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Users\Julla\Documents\Technical Analysis\Model\"/>
    </mc:Choice>
  </mc:AlternateContent>
  <xr:revisionPtr revIDLastSave="0" documentId="13_ncr:1_{6A786C7C-0BB3-4720-96B5-0E30A02C9FA7}" xr6:coauthVersionLast="45" xr6:coauthVersionMax="45" xr10:uidLastSave="{00000000-0000-0000-0000-000000000000}"/>
  <bookViews>
    <workbookView xWindow="-108" yWindow="-108" windowWidth="23256" windowHeight="12576" firstSheet="16" activeTab="6"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Baseline data (from input)" sheetId="10" r:id="rId8"/>
    <sheet name="Results (plots)" sheetId="14" r:id="rId9"/>
    <sheet name="Recycling - Case 1" sheetId="11" r:id="rId10"/>
    <sheet name="Recycling - Case 2" sheetId="16" r:id="rId11"/>
    <sheet name="Recycling - Case 3" sheetId="17" r:id="rId12"/>
    <sheet name="Waste Summary 2017 SASOW" sheetId="12" r:id="rId13"/>
    <sheet name="Policies" sheetId="13" state="hidden" r:id="rId14"/>
    <sheet name="Parameters" sheetId="1" state="hidden"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state="hidden"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39" i="11" l="1"/>
  <c r="AD140" i="11"/>
  <c r="AD141" i="11"/>
  <c r="AD142" i="11"/>
  <c r="AD143" i="11"/>
  <c r="AD144" i="11"/>
  <c r="AD145" i="11"/>
  <c r="AD146" i="11"/>
  <c r="AD147" i="11"/>
  <c r="AD148" i="11"/>
  <c r="AD149" i="11"/>
  <c r="AD150" i="11"/>
  <c r="AD151" i="11"/>
  <c r="AD152" i="11"/>
  <c r="AD153" i="11"/>
  <c r="AD154" i="11"/>
  <c r="AD155" i="11"/>
  <c r="AD156" i="11"/>
  <c r="AD157" i="11"/>
  <c r="AD158" i="11"/>
  <c r="AD159" i="11"/>
  <c r="AD160" i="11"/>
  <c r="AD161" i="11"/>
  <c r="AD162" i="11"/>
  <c r="AD163" i="11"/>
  <c r="AD164" i="11"/>
  <c r="AD165" i="11"/>
  <c r="AD166" i="11"/>
  <c r="AD167" i="11"/>
  <c r="AD168" i="11"/>
  <c r="AD169" i="11"/>
  <c r="AD170" i="11"/>
  <c r="AD138" i="11"/>
  <c r="AD137" i="11"/>
  <c r="AA119" i="19"/>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87" i="18"/>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19" i="3"/>
  <c r="N19" i="3" s="1"/>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86" i="19"/>
  <c r="AH19" i="19"/>
  <c r="X20" i="19"/>
  <c r="X21" i="19"/>
  <c r="X22" i="19"/>
  <c r="X23" i="19"/>
  <c r="X24" i="19"/>
  <c r="X25" i="19"/>
  <c r="X26" i="19"/>
  <c r="X27" i="19"/>
  <c r="X28" i="19"/>
  <c r="X29" i="19"/>
  <c r="X30" i="19"/>
  <c r="X31" i="19"/>
  <c r="X32" i="19"/>
  <c r="X33" i="19"/>
  <c r="X34" i="19"/>
  <c r="X35" i="19"/>
  <c r="X36" i="19"/>
  <c r="X37" i="19"/>
  <c r="X38" i="19"/>
  <c r="X39" i="19"/>
  <c r="X40" i="19"/>
  <c r="X41" i="19"/>
  <c r="X42" i="19"/>
  <c r="X43" i="19"/>
  <c r="X44" i="19"/>
  <c r="X45" i="19"/>
  <c r="X46" i="19"/>
  <c r="X47" i="19"/>
  <c r="X48" i="19"/>
  <c r="X49" i="19"/>
  <c r="X50" i="19"/>
  <c r="X51" i="19"/>
  <c r="X52" i="19"/>
  <c r="X53" i="19"/>
  <c r="X54" i="19"/>
  <c r="X55" i="19"/>
  <c r="X56" i="19"/>
  <c r="X57" i="19"/>
  <c r="X58" i="19"/>
  <c r="X59" i="19"/>
  <c r="X60" i="19"/>
  <c r="X61" i="19"/>
  <c r="X62" i="19"/>
  <c r="X63" i="19"/>
  <c r="X64" i="19"/>
  <c r="X65" i="19"/>
  <c r="X66" i="19"/>
  <c r="X67" i="19"/>
  <c r="X68" i="19"/>
  <c r="X69" i="19"/>
  <c r="X70" i="19"/>
  <c r="X71" i="19"/>
  <c r="X72" i="19"/>
  <c r="X73" i="19"/>
  <c r="X74" i="19"/>
  <c r="X75" i="19"/>
  <c r="X76" i="19"/>
  <c r="X77" i="19"/>
  <c r="X78" i="19"/>
  <c r="X79" i="19"/>
  <c r="X80" i="19"/>
  <c r="X81" i="19"/>
  <c r="X82" i="19"/>
  <c r="X83" i="19"/>
  <c r="X84" i="19"/>
  <c r="X85" i="19"/>
  <c r="X86" i="19"/>
  <c r="X19" i="19"/>
  <c r="AH20" i="18"/>
  <c r="AH21" i="18"/>
  <c r="AH22" i="18"/>
  <c r="AH23" i="18"/>
  <c r="AH24" i="18"/>
  <c r="AH25" i="18"/>
  <c r="AH26" i="18"/>
  <c r="AH27" i="18"/>
  <c r="AH28" i="18"/>
  <c r="AH29" i="18"/>
  <c r="AH30" i="18"/>
  <c r="AH31" i="18"/>
  <c r="AH32" i="18"/>
  <c r="AH33" i="18"/>
  <c r="AH34" i="18"/>
  <c r="AH35" i="18"/>
  <c r="AH36" i="18"/>
  <c r="AH37" i="18"/>
  <c r="AH38" i="18"/>
  <c r="AH39" i="18"/>
  <c r="AH40" i="18"/>
  <c r="AH41" i="18"/>
  <c r="AH42" i="18"/>
  <c r="AH43" i="18"/>
  <c r="AH44" i="18"/>
  <c r="AH45" i="18"/>
  <c r="AH46" i="18"/>
  <c r="AH47" i="18"/>
  <c r="AH48" i="18"/>
  <c r="AH49" i="18"/>
  <c r="AH50" i="18"/>
  <c r="AH51" i="18"/>
  <c r="AH52" i="18"/>
  <c r="AH53" i="18"/>
  <c r="AH54" i="18"/>
  <c r="AH55" i="18"/>
  <c r="AH56" i="18"/>
  <c r="AH57" i="18"/>
  <c r="AH58" i="18"/>
  <c r="AH59" i="18"/>
  <c r="AH60" i="18"/>
  <c r="AH61" i="18"/>
  <c r="AH62" i="18"/>
  <c r="AH63" i="18"/>
  <c r="AH64" i="18"/>
  <c r="AH65" i="18"/>
  <c r="AH66" i="18"/>
  <c r="AH67" i="18"/>
  <c r="AH68" i="18"/>
  <c r="AH69" i="18"/>
  <c r="AH70" i="18"/>
  <c r="AH71" i="18"/>
  <c r="AH72" i="18"/>
  <c r="AH73" i="18"/>
  <c r="AH74" i="18"/>
  <c r="AH75" i="18"/>
  <c r="AH76" i="18"/>
  <c r="AH77" i="18"/>
  <c r="AH78" i="18"/>
  <c r="AH79" i="18"/>
  <c r="AH80" i="18"/>
  <c r="AH81" i="18"/>
  <c r="AH82" i="18"/>
  <c r="AH83" i="18"/>
  <c r="AH84" i="18"/>
  <c r="AH85" i="18"/>
  <c r="AH86" i="18"/>
  <c r="AH19" i="18"/>
  <c r="X20" i="18"/>
  <c r="X21" i="18"/>
  <c r="X22" i="18"/>
  <c r="X23" i="18"/>
  <c r="X24" i="18"/>
  <c r="X25" i="18"/>
  <c r="X26" i="18"/>
  <c r="X27" i="18"/>
  <c r="X28" i="18"/>
  <c r="X29" i="18"/>
  <c r="X30" i="18"/>
  <c r="X31" i="18"/>
  <c r="X32" i="18"/>
  <c r="X33" i="18"/>
  <c r="X34" i="18"/>
  <c r="X35" i="18"/>
  <c r="X36" i="18"/>
  <c r="X37" i="18"/>
  <c r="X38" i="18"/>
  <c r="X39" i="18"/>
  <c r="X40" i="18"/>
  <c r="X41" i="18"/>
  <c r="X42" i="18"/>
  <c r="X43" i="18"/>
  <c r="X44" i="18"/>
  <c r="X45" i="18"/>
  <c r="X46" i="18"/>
  <c r="X47" i="18"/>
  <c r="X48" i="18"/>
  <c r="X49" i="18"/>
  <c r="X50" i="18"/>
  <c r="X51" i="18"/>
  <c r="X52" i="18"/>
  <c r="X53" i="18"/>
  <c r="X54" i="18"/>
  <c r="X55" i="18"/>
  <c r="X56" i="18"/>
  <c r="X57" i="18"/>
  <c r="X58" i="18"/>
  <c r="X59" i="18"/>
  <c r="X60" i="18"/>
  <c r="X61" i="18"/>
  <c r="X62" i="18"/>
  <c r="X63" i="18"/>
  <c r="X64" i="18"/>
  <c r="X65" i="18"/>
  <c r="X66" i="18"/>
  <c r="X67" i="18"/>
  <c r="X68" i="18"/>
  <c r="X69" i="18"/>
  <c r="X70" i="18"/>
  <c r="X71" i="18"/>
  <c r="X72" i="18"/>
  <c r="X73" i="18"/>
  <c r="X74" i="18"/>
  <c r="X75" i="18"/>
  <c r="X76" i="18"/>
  <c r="X77" i="18"/>
  <c r="X78" i="18"/>
  <c r="X79" i="18"/>
  <c r="X80" i="18"/>
  <c r="X81" i="18"/>
  <c r="X82" i="18"/>
  <c r="X83" i="18"/>
  <c r="X84" i="18"/>
  <c r="X85" i="18"/>
  <c r="X86" i="18"/>
  <c r="X19" i="18"/>
  <c r="X86"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19" i="3"/>
  <c r="CJ28" i="6"/>
  <c r="CK28" i="6"/>
  <c r="CL28" i="6"/>
  <c r="CM28" i="6"/>
  <c r="CJ29" i="6"/>
  <c r="CK29" i="6"/>
  <c r="CL29" i="6"/>
  <c r="CM29" i="6"/>
  <c r="CJ30" i="6"/>
  <c r="CK30" i="6"/>
  <c r="CL30" i="6"/>
  <c r="CM30" i="6"/>
  <c r="CJ31" i="6"/>
  <c r="CK31" i="6"/>
  <c r="CL31" i="6"/>
  <c r="CM31" i="6"/>
  <c r="CJ32" i="6"/>
  <c r="CK32" i="6"/>
  <c r="CL32" i="6"/>
  <c r="CM32" i="6"/>
  <c r="CJ33" i="6"/>
  <c r="CK33" i="6"/>
  <c r="CL33" i="6"/>
  <c r="CM33" i="6"/>
  <c r="CJ34" i="6"/>
  <c r="CK34" i="6"/>
  <c r="CL34" i="6"/>
  <c r="CM34" i="6"/>
  <c r="CJ35" i="6"/>
  <c r="CK35" i="6"/>
  <c r="CL35" i="6"/>
  <c r="CM35" i="6"/>
  <c r="CJ36" i="6"/>
  <c r="CK36" i="6"/>
  <c r="CL36" i="6"/>
  <c r="CM36" i="6"/>
  <c r="CJ37" i="6"/>
  <c r="CK37" i="6"/>
  <c r="CL37" i="6"/>
  <c r="CM37" i="6"/>
  <c r="CJ38" i="6"/>
  <c r="CK38" i="6"/>
  <c r="CL38" i="6"/>
  <c r="CM38" i="6"/>
  <c r="CJ39" i="6"/>
  <c r="CK39" i="6"/>
  <c r="CL39" i="6"/>
  <c r="CM39" i="6"/>
  <c r="CJ40" i="6"/>
  <c r="CK40" i="6"/>
  <c r="CL40" i="6"/>
  <c r="CM40" i="6"/>
  <c r="CJ41" i="6"/>
  <c r="CK41" i="6"/>
  <c r="CL41" i="6"/>
  <c r="CM41" i="6"/>
  <c r="CJ42" i="6"/>
  <c r="CK42" i="6"/>
  <c r="CL42" i="6"/>
  <c r="CM42" i="6"/>
  <c r="CJ43" i="6"/>
  <c r="CK43" i="6"/>
  <c r="CL43" i="6"/>
  <c r="CM43" i="6"/>
  <c r="CJ44" i="6"/>
  <c r="CK44" i="6"/>
  <c r="CL44" i="6"/>
  <c r="CM44" i="6"/>
  <c r="CJ45" i="6"/>
  <c r="CK45" i="6"/>
  <c r="CL45" i="6"/>
  <c r="CM45" i="6"/>
  <c r="CJ46" i="6"/>
  <c r="CK46" i="6"/>
  <c r="CL46" i="6"/>
  <c r="CM46" i="6"/>
  <c r="CJ47" i="6"/>
  <c r="CK47" i="6"/>
  <c r="CL47" i="6"/>
  <c r="CM47" i="6"/>
  <c r="CJ48" i="6"/>
  <c r="CK48" i="6"/>
  <c r="CL48" i="6"/>
  <c r="CM48" i="6"/>
  <c r="CJ49" i="6"/>
  <c r="CK49" i="6"/>
  <c r="CL49" i="6"/>
  <c r="CM49" i="6"/>
  <c r="CJ50" i="6"/>
  <c r="CK50" i="6"/>
  <c r="CL50" i="6"/>
  <c r="CM50" i="6"/>
  <c r="CJ51" i="6"/>
  <c r="CK51" i="6"/>
  <c r="CL51" i="6"/>
  <c r="CM51" i="6"/>
  <c r="CJ52" i="6"/>
  <c r="CK52" i="6"/>
  <c r="CL52" i="6"/>
  <c r="CM52" i="6"/>
  <c r="CJ53" i="6"/>
  <c r="CK53" i="6"/>
  <c r="CL53" i="6"/>
  <c r="CM53" i="6"/>
  <c r="CJ54" i="6"/>
  <c r="CK54" i="6"/>
  <c r="CL54" i="6"/>
  <c r="CM54" i="6"/>
  <c r="CJ55" i="6"/>
  <c r="CK55" i="6"/>
  <c r="CL55" i="6"/>
  <c r="CM55" i="6"/>
  <c r="CJ56" i="6"/>
  <c r="CK56" i="6"/>
  <c r="CL56" i="6"/>
  <c r="CM56" i="6"/>
  <c r="CJ57" i="6"/>
  <c r="CK57" i="6"/>
  <c r="CL57" i="6"/>
  <c r="CM57" i="6"/>
  <c r="CJ58" i="6"/>
  <c r="CK58" i="6"/>
  <c r="CL58" i="6"/>
  <c r="CM58" i="6"/>
  <c r="CJ59" i="6"/>
  <c r="CK59" i="6"/>
  <c r="CL59" i="6"/>
  <c r="CM59" i="6"/>
  <c r="CJ60" i="6"/>
  <c r="CK60" i="6"/>
  <c r="CL60" i="6"/>
  <c r="CM60" i="6"/>
  <c r="CK27" i="6"/>
  <c r="CL27" i="6"/>
  <c r="CM27" i="6"/>
  <c r="CJ27" i="6"/>
  <c r="CF28" i="6"/>
  <c r="CG28" i="6"/>
  <c r="CH28" i="6"/>
  <c r="CI28" i="6"/>
  <c r="CF29" i="6"/>
  <c r="CG29" i="6"/>
  <c r="CH29" i="6"/>
  <c r="CI29" i="6"/>
  <c r="CF30" i="6"/>
  <c r="CG30" i="6"/>
  <c r="CH30" i="6"/>
  <c r="CI30" i="6"/>
  <c r="CF31" i="6"/>
  <c r="CG31" i="6"/>
  <c r="CH31" i="6"/>
  <c r="CI31" i="6"/>
  <c r="CF32" i="6"/>
  <c r="CG32" i="6"/>
  <c r="CH32" i="6"/>
  <c r="CI32" i="6"/>
  <c r="CF33" i="6"/>
  <c r="CG33" i="6"/>
  <c r="CH33" i="6"/>
  <c r="CI33" i="6"/>
  <c r="CF34" i="6"/>
  <c r="CG34" i="6"/>
  <c r="CH34" i="6"/>
  <c r="CI34" i="6"/>
  <c r="CF35" i="6"/>
  <c r="CG35" i="6"/>
  <c r="CH35" i="6"/>
  <c r="CI35" i="6"/>
  <c r="CF36" i="6"/>
  <c r="CG36" i="6"/>
  <c r="CH36" i="6"/>
  <c r="CI36" i="6"/>
  <c r="CF37" i="6"/>
  <c r="CG37" i="6"/>
  <c r="CH37" i="6"/>
  <c r="CI37" i="6"/>
  <c r="CF38" i="6"/>
  <c r="CG38" i="6"/>
  <c r="CH38" i="6"/>
  <c r="CI38" i="6"/>
  <c r="CF39" i="6"/>
  <c r="CG39" i="6"/>
  <c r="CH39" i="6"/>
  <c r="CI39" i="6"/>
  <c r="CF40" i="6"/>
  <c r="CG40" i="6"/>
  <c r="CH40" i="6"/>
  <c r="CI40" i="6"/>
  <c r="CF41" i="6"/>
  <c r="CG41" i="6"/>
  <c r="CH41" i="6"/>
  <c r="CI41" i="6"/>
  <c r="CF42" i="6"/>
  <c r="CG42" i="6"/>
  <c r="CH42" i="6"/>
  <c r="CI42" i="6"/>
  <c r="CF43" i="6"/>
  <c r="CG43" i="6"/>
  <c r="CH43" i="6"/>
  <c r="CI43" i="6"/>
  <c r="CF44" i="6"/>
  <c r="CG44" i="6"/>
  <c r="CH44" i="6"/>
  <c r="CI44" i="6"/>
  <c r="CF45" i="6"/>
  <c r="CG45" i="6"/>
  <c r="CH45" i="6"/>
  <c r="CI45" i="6"/>
  <c r="CF46" i="6"/>
  <c r="CG46" i="6"/>
  <c r="CH46" i="6"/>
  <c r="CI46" i="6"/>
  <c r="CF47" i="6"/>
  <c r="CG47" i="6"/>
  <c r="CH47" i="6"/>
  <c r="CI47" i="6"/>
  <c r="CF48" i="6"/>
  <c r="CG48" i="6"/>
  <c r="CH48" i="6"/>
  <c r="CI48" i="6"/>
  <c r="CF49" i="6"/>
  <c r="CG49" i="6"/>
  <c r="CH49" i="6"/>
  <c r="CI49" i="6"/>
  <c r="CF50" i="6"/>
  <c r="CG50" i="6"/>
  <c r="CH50" i="6"/>
  <c r="CI50" i="6"/>
  <c r="CF51" i="6"/>
  <c r="CG51" i="6"/>
  <c r="CH51" i="6"/>
  <c r="CI51" i="6"/>
  <c r="CF52" i="6"/>
  <c r="CG52" i="6"/>
  <c r="CH52" i="6"/>
  <c r="CI52" i="6"/>
  <c r="CF53" i="6"/>
  <c r="CG53" i="6"/>
  <c r="CH53" i="6"/>
  <c r="CI53" i="6"/>
  <c r="CF54" i="6"/>
  <c r="CG54" i="6"/>
  <c r="CH54" i="6"/>
  <c r="CI54" i="6"/>
  <c r="CF55" i="6"/>
  <c r="CG55" i="6"/>
  <c r="CH55" i="6"/>
  <c r="CI55" i="6"/>
  <c r="CF56" i="6"/>
  <c r="CG56" i="6"/>
  <c r="CH56" i="6"/>
  <c r="CI56" i="6"/>
  <c r="CF57" i="6"/>
  <c r="CG57" i="6"/>
  <c r="CH57" i="6"/>
  <c r="CI57" i="6"/>
  <c r="CF58" i="6"/>
  <c r="CG58" i="6"/>
  <c r="CH58" i="6"/>
  <c r="CI58" i="6"/>
  <c r="CF59" i="6"/>
  <c r="CG59" i="6"/>
  <c r="CH59" i="6"/>
  <c r="CI59" i="6"/>
  <c r="CF60" i="6"/>
  <c r="CG60" i="6"/>
  <c r="CH60" i="6"/>
  <c r="CI60" i="6"/>
  <c r="CG27" i="6"/>
  <c r="CH27" i="6"/>
  <c r="CI27" i="6"/>
  <c r="CF27" i="6"/>
  <c r="CB28" i="6"/>
  <c r="CC28" i="6"/>
  <c r="CD28" i="6"/>
  <c r="CE28" i="6"/>
  <c r="CB29" i="6"/>
  <c r="CC29" i="6"/>
  <c r="CD29" i="6"/>
  <c r="CE29" i="6"/>
  <c r="CB30" i="6"/>
  <c r="CC30" i="6"/>
  <c r="CD30" i="6"/>
  <c r="CE30" i="6"/>
  <c r="CB31" i="6"/>
  <c r="CC31" i="6"/>
  <c r="CD31" i="6"/>
  <c r="CE31" i="6"/>
  <c r="CB32" i="6"/>
  <c r="CC32" i="6"/>
  <c r="CD32" i="6"/>
  <c r="CE32" i="6"/>
  <c r="CB33" i="6"/>
  <c r="CC33" i="6"/>
  <c r="CD33" i="6"/>
  <c r="CE33" i="6"/>
  <c r="CB34" i="6"/>
  <c r="CC34" i="6"/>
  <c r="CD34" i="6"/>
  <c r="CE34" i="6"/>
  <c r="CB35" i="6"/>
  <c r="CC35" i="6"/>
  <c r="CD35" i="6"/>
  <c r="CE35" i="6"/>
  <c r="CB36" i="6"/>
  <c r="CC36" i="6"/>
  <c r="CD36" i="6"/>
  <c r="CE36" i="6"/>
  <c r="CB37" i="6"/>
  <c r="CC37" i="6"/>
  <c r="CD37" i="6"/>
  <c r="CE37" i="6"/>
  <c r="CB38" i="6"/>
  <c r="CC38" i="6"/>
  <c r="CD38" i="6"/>
  <c r="CE38" i="6"/>
  <c r="CB39" i="6"/>
  <c r="CC39" i="6"/>
  <c r="CD39" i="6"/>
  <c r="CE39" i="6"/>
  <c r="CB40" i="6"/>
  <c r="CC40" i="6"/>
  <c r="CD40" i="6"/>
  <c r="CE40" i="6"/>
  <c r="CB41" i="6"/>
  <c r="CC41" i="6"/>
  <c r="CD41" i="6"/>
  <c r="CE41" i="6"/>
  <c r="CB42" i="6"/>
  <c r="CC42" i="6"/>
  <c r="CD42" i="6"/>
  <c r="CE42" i="6"/>
  <c r="CB43" i="6"/>
  <c r="CC43" i="6"/>
  <c r="CD43" i="6"/>
  <c r="CE43" i="6"/>
  <c r="CB44" i="6"/>
  <c r="CC44" i="6"/>
  <c r="CD44" i="6"/>
  <c r="CE44" i="6"/>
  <c r="CB45" i="6"/>
  <c r="CC45" i="6"/>
  <c r="CD45" i="6"/>
  <c r="CE45" i="6"/>
  <c r="CB46" i="6"/>
  <c r="CC46" i="6"/>
  <c r="CD46" i="6"/>
  <c r="CE46" i="6"/>
  <c r="CB47" i="6"/>
  <c r="CC47" i="6"/>
  <c r="CD47" i="6"/>
  <c r="CE47" i="6"/>
  <c r="CB48" i="6"/>
  <c r="CC48" i="6"/>
  <c r="CD48" i="6"/>
  <c r="CE48" i="6"/>
  <c r="CB49" i="6"/>
  <c r="CC49" i="6"/>
  <c r="CD49" i="6"/>
  <c r="CE49" i="6"/>
  <c r="CB50" i="6"/>
  <c r="CC50" i="6"/>
  <c r="CD50" i="6"/>
  <c r="CE50" i="6"/>
  <c r="CB51" i="6"/>
  <c r="CC51" i="6"/>
  <c r="CD51" i="6"/>
  <c r="CE51" i="6"/>
  <c r="CB52" i="6"/>
  <c r="CC52" i="6"/>
  <c r="CD52" i="6"/>
  <c r="CE52" i="6"/>
  <c r="CB53" i="6"/>
  <c r="CC53" i="6"/>
  <c r="CD53" i="6"/>
  <c r="CE53" i="6"/>
  <c r="CB54" i="6"/>
  <c r="CC54" i="6"/>
  <c r="CD54" i="6"/>
  <c r="CE54" i="6"/>
  <c r="CB55" i="6"/>
  <c r="CC55" i="6"/>
  <c r="CD55" i="6"/>
  <c r="CE55" i="6"/>
  <c r="CB56" i="6"/>
  <c r="CC56" i="6"/>
  <c r="CD56" i="6"/>
  <c r="CE56" i="6"/>
  <c r="CB57" i="6"/>
  <c r="CC57" i="6"/>
  <c r="CD57" i="6"/>
  <c r="CE57" i="6"/>
  <c r="CB58" i="6"/>
  <c r="CC58" i="6"/>
  <c r="CD58" i="6"/>
  <c r="CE58" i="6"/>
  <c r="CB59" i="6"/>
  <c r="CC59" i="6"/>
  <c r="CD59" i="6"/>
  <c r="CE59" i="6"/>
  <c r="CB60" i="6"/>
  <c r="CC60" i="6"/>
  <c r="CD60" i="6"/>
  <c r="CE60" i="6"/>
  <c r="CC27" i="6"/>
  <c r="CD27" i="6"/>
  <c r="CE27" i="6"/>
  <c r="CB27" i="6"/>
  <c r="BU28" i="6"/>
  <c r="BV28" i="6"/>
  <c r="BW28" i="6"/>
  <c r="BX28" i="6"/>
  <c r="BY28" i="6"/>
  <c r="BZ28" i="6"/>
  <c r="BU29" i="6"/>
  <c r="BV29" i="6"/>
  <c r="BW29" i="6"/>
  <c r="BX29" i="6"/>
  <c r="BY29" i="6"/>
  <c r="BZ29" i="6"/>
  <c r="BU30" i="6"/>
  <c r="BV30" i="6"/>
  <c r="BW30" i="6"/>
  <c r="BX30" i="6"/>
  <c r="BY30" i="6"/>
  <c r="BZ30" i="6"/>
  <c r="BU31" i="6"/>
  <c r="BV31" i="6"/>
  <c r="BW31" i="6"/>
  <c r="BX31" i="6"/>
  <c r="BY31" i="6"/>
  <c r="BZ31" i="6"/>
  <c r="BU32" i="6"/>
  <c r="BV32" i="6"/>
  <c r="BW32" i="6"/>
  <c r="BX32" i="6"/>
  <c r="BY32" i="6"/>
  <c r="BZ32" i="6"/>
  <c r="BU33" i="6"/>
  <c r="BV33" i="6"/>
  <c r="BW33" i="6"/>
  <c r="BX33" i="6"/>
  <c r="BY33" i="6"/>
  <c r="BZ33" i="6"/>
  <c r="BU34" i="6"/>
  <c r="BV34" i="6"/>
  <c r="BW34" i="6"/>
  <c r="BX34" i="6"/>
  <c r="BY34" i="6"/>
  <c r="BZ34" i="6"/>
  <c r="BU35" i="6"/>
  <c r="BV35" i="6"/>
  <c r="BW35" i="6"/>
  <c r="BX35" i="6"/>
  <c r="BY35" i="6"/>
  <c r="BZ35" i="6"/>
  <c r="BU36" i="6"/>
  <c r="BV36" i="6"/>
  <c r="BW36" i="6"/>
  <c r="BX36" i="6"/>
  <c r="BY36" i="6"/>
  <c r="BZ36" i="6"/>
  <c r="BU37" i="6"/>
  <c r="BV37" i="6"/>
  <c r="BW37" i="6"/>
  <c r="BX37" i="6"/>
  <c r="BY37" i="6"/>
  <c r="BZ37" i="6"/>
  <c r="BU38" i="6"/>
  <c r="BV38" i="6"/>
  <c r="BW38" i="6"/>
  <c r="BX38" i="6"/>
  <c r="BY38" i="6"/>
  <c r="BZ38" i="6"/>
  <c r="BU39" i="6"/>
  <c r="BV39" i="6"/>
  <c r="BW39" i="6"/>
  <c r="BX39" i="6"/>
  <c r="BY39" i="6"/>
  <c r="BZ39" i="6"/>
  <c r="BU40" i="6"/>
  <c r="BV40" i="6"/>
  <c r="BW40" i="6"/>
  <c r="BX40" i="6"/>
  <c r="BY40" i="6"/>
  <c r="BZ40" i="6"/>
  <c r="BU41" i="6"/>
  <c r="BV41" i="6"/>
  <c r="BW41" i="6"/>
  <c r="BX41" i="6"/>
  <c r="BY41" i="6"/>
  <c r="BZ41" i="6"/>
  <c r="BU42" i="6"/>
  <c r="BV42" i="6"/>
  <c r="BW42" i="6"/>
  <c r="BX42" i="6"/>
  <c r="BY42" i="6"/>
  <c r="BZ42" i="6"/>
  <c r="BU43" i="6"/>
  <c r="BV43" i="6"/>
  <c r="BW43" i="6"/>
  <c r="BX43" i="6"/>
  <c r="BY43" i="6"/>
  <c r="BZ43" i="6"/>
  <c r="BU44" i="6"/>
  <c r="BV44" i="6"/>
  <c r="BW44" i="6"/>
  <c r="BX44" i="6"/>
  <c r="BY44" i="6"/>
  <c r="BZ44" i="6"/>
  <c r="BU45" i="6"/>
  <c r="BV45" i="6"/>
  <c r="BW45" i="6"/>
  <c r="BX45" i="6"/>
  <c r="BY45" i="6"/>
  <c r="BZ45" i="6"/>
  <c r="BU46" i="6"/>
  <c r="BV46" i="6"/>
  <c r="BW46" i="6"/>
  <c r="BX46" i="6"/>
  <c r="BY46" i="6"/>
  <c r="BZ46" i="6"/>
  <c r="BU47" i="6"/>
  <c r="BV47" i="6"/>
  <c r="BW47" i="6"/>
  <c r="BX47" i="6"/>
  <c r="BY47" i="6"/>
  <c r="BZ47" i="6"/>
  <c r="BU48" i="6"/>
  <c r="BV48" i="6"/>
  <c r="BW48" i="6"/>
  <c r="BX48" i="6"/>
  <c r="BY48" i="6"/>
  <c r="BZ48" i="6"/>
  <c r="BU49" i="6"/>
  <c r="BV49" i="6"/>
  <c r="BW49" i="6"/>
  <c r="BX49" i="6"/>
  <c r="BY49" i="6"/>
  <c r="BZ49" i="6"/>
  <c r="BU50" i="6"/>
  <c r="BV50" i="6"/>
  <c r="BW50" i="6"/>
  <c r="BX50" i="6"/>
  <c r="BY50" i="6"/>
  <c r="BZ50" i="6"/>
  <c r="BU51" i="6"/>
  <c r="BV51" i="6"/>
  <c r="BW51" i="6"/>
  <c r="BX51" i="6"/>
  <c r="BY51" i="6"/>
  <c r="BZ51" i="6"/>
  <c r="BU52" i="6"/>
  <c r="BV52" i="6"/>
  <c r="BW52" i="6"/>
  <c r="BX52" i="6"/>
  <c r="BY52" i="6"/>
  <c r="BZ52" i="6"/>
  <c r="BU53" i="6"/>
  <c r="BV53" i="6"/>
  <c r="BW53" i="6"/>
  <c r="BX53" i="6"/>
  <c r="BY53" i="6"/>
  <c r="BZ53" i="6"/>
  <c r="BU54" i="6"/>
  <c r="BV54" i="6"/>
  <c r="BW54" i="6"/>
  <c r="BX54" i="6"/>
  <c r="BY54" i="6"/>
  <c r="BZ54" i="6"/>
  <c r="BU55" i="6"/>
  <c r="BV55" i="6"/>
  <c r="BW55" i="6"/>
  <c r="BX55" i="6"/>
  <c r="BY55" i="6"/>
  <c r="BZ55" i="6"/>
  <c r="BU56" i="6"/>
  <c r="BV56" i="6"/>
  <c r="BW56" i="6"/>
  <c r="BX56" i="6"/>
  <c r="BY56" i="6"/>
  <c r="BZ56" i="6"/>
  <c r="BU57" i="6"/>
  <c r="BV57" i="6"/>
  <c r="BW57" i="6"/>
  <c r="BX57" i="6"/>
  <c r="BY57" i="6"/>
  <c r="BZ57" i="6"/>
  <c r="BU58" i="6"/>
  <c r="BV58" i="6"/>
  <c r="BW58" i="6"/>
  <c r="BX58" i="6"/>
  <c r="BY58" i="6"/>
  <c r="BZ58" i="6"/>
  <c r="BU59" i="6"/>
  <c r="BV59" i="6"/>
  <c r="BW59" i="6"/>
  <c r="BX59" i="6"/>
  <c r="BY59" i="6"/>
  <c r="BZ59" i="6"/>
  <c r="BU60" i="6"/>
  <c r="BV60" i="6"/>
  <c r="BW60" i="6"/>
  <c r="BX60" i="6"/>
  <c r="BY60" i="6"/>
  <c r="BZ60" i="6"/>
  <c r="BV27" i="6"/>
  <c r="BW27" i="6"/>
  <c r="BX27" i="6"/>
  <c r="BY27" i="6"/>
  <c r="BZ27" i="6"/>
  <c r="BU27" i="6"/>
  <c r="BO51" i="6"/>
  <c r="BP51" i="6"/>
  <c r="BQ51" i="6"/>
  <c r="BR51" i="6"/>
  <c r="BS51" i="6"/>
  <c r="BT51" i="6"/>
  <c r="BO52" i="6"/>
  <c r="BP52" i="6"/>
  <c r="BQ52" i="6"/>
  <c r="BR52" i="6"/>
  <c r="BS52" i="6"/>
  <c r="BT52" i="6"/>
  <c r="BO53" i="6"/>
  <c r="BP53" i="6"/>
  <c r="BQ53" i="6"/>
  <c r="BR53" i="6"/>
  <c r="BS53" i="6"/>
  <c r="BT53" i="6"/>
  <c r="BO54" i="6"/>
  <c r="BP54" i="6"/>
  <c r="BQ54" i="6"/>
  <c r="BR54" i="6"/>
  <c r="BS54" i="6"/>
  <c r="BT54" i="6"/>
  <c r="BO55" i="6"/>
  <c r="BP55" i="6"/>
  <c r="BQ55" i="6"/>
  <c r="BR55" i="6"/>
  <c r="BS55" i="6"/>
  <c r="BT55" i="6"/>
  <c r="BO56" i="6"/>
  <c r="BP56" i="6"/>
  <c r="BQ56" i="6"/>
  <c r="BR56" i="6"/>
  <c r="BS56" i="6"/>
  <c r="BT56" i="6"/>
  <c r="BO57" i="6"/>
  <c r="BP57" i="6"/>
  <c r="BQ57" i="6"/>
  <c r="BR57" i="6"/>
  <c r="BS57" i="6"/>
  <c r="BT57" i="6"/>
  <c r="BO58" i="6"/>
  <c r="BP58" i="6"/>
  <c r="BQ58" i="6"/>
  <c r="BR58" i="6"/>
  <c r="BS58" i="6"/>
  <c r="BT58" i="6"/>
  <c r="BO59" i="6"/>
  <c r="BP59" i="6"/>
  <c r="BQ59" i="6"/>
  <c r="BR59" i="6"/>
  <c r="BS59" i="6"/>
  <c r="BT59" i="6"/>
  <c r="BO60" i="6"/>
  <c r="BP60" i="6"/>
  <c r="BQ60" i="6"/>
  <c r="BR60" i="6"/>
  <c r="BS60" i="6"/>
  <c r="BT60" i="6"/>
  <c r="BO28" i="6"/>
  <c r="BP28" i="6"/>
  <c r="BQ28" i="6"/>
  <c r="BR28" i="6"/>
  <c r="BS28" i="6"/>
  <c r="BT28" i="6"/>
  <c r="BO29" i="6"/>
  <c r="BP29" i="6"/>
  <c r="BQ29" i="6"/>
  <c r="BR29" i="6"/>
  <c r="BS29" i="6"/>
  <c r="BT29" i="6"/>
  <c r="BO30" i="6"/>
  <c r="BP30" i="6"/>
  <c r="BQ30" i="6"/>
  <c r="BR30" i="6"/>
  <c r="BS30" i="6"/>
  <c r="BT30" i="6"/>
  <c r="BO31" i="6"/>
  <c r="BP31" i="6"/>
  <c r="BQ31" i="6"/>
  <c r="BR31" i="6"/>
  <c r="BS31" i="6"/>
  <c r="BT31" i="6"/>
  <c r="BO32" i="6"/>
  <c r="BP32" i="6"/>
  <c r="BQ32" i="6"/>
  <c r="BR32" i="6"/>
  <c r="BS32" i="6"/>
  <c r="BT32" i="6"/>
  <c r="BO33" i="6"/>
  <c r="BP33" i="6"/>
  <c r="BQ33" i="6"/>
  <c r="BR33" i="6"/>
  <c r="BS33" i="6"/>
  <c r="BT33" i="6"/>
  <c r="BO34" i="6"/>
  <c r="BP34" i="6"/>
  <c r="BQ34" i="6"/>
  <c r="BR34" i="6"/>
  <c r="BS34" i="6"/>
  <c r="BT34" i="6"/>
  <c r="BO35" i="6"/>
  <c r="BP35" i="6"/>
  <c r="BQ35" i="6"/>
  <c r="BR35" i="6"/>
  <c r="BS35" i="6"/>
  <c r="BT35" i="6"/>
  <c r="BO36" i="6"/>
  <c r="BP36" i="6"/>
  <c r="BQ36" i="6"/>
  <c r="BR36" i="6"/>
  <c r="BS36" i="6"/>
  <c r="BT36" i="6"/>
  <c r="BO37" i="6"/>
  <c r="BP37" i="6"/>
  <c r="BQ37" i="6"/>
  <c r="BR37" i="6"/>
  <c r="BS37" i="6"/>
  <c r="BT37" i="6"/>
  <c r="BO38" i="6"/>
  <c r="BP38" i="6"/>
  <c r="BQ38" i="6"/>
  <c r="BR38" i="6"/>
  <c r="BS38" i="6"/>
  <c r="BT38" i="6"/>
  <c r="BO39" i="6"/>
  <c r="BP39" i="6"/>
  <c r="BQ39" i="6"/>
  <c r="BR39" i="6"/>
  <c r="BS39" i="6"/>
  <c r="BT39" i="6"/>
  <c r="BO40" i="6"/>
  <c r="BP40" i="6"/>
  <c r="BQ40" i="6"/>
  <c r="BR40" i="6"/>
  <c r="BS40" i="6"/>
  <c r="BT40" i="6"/>
  <c r="BO41" i="6"/>
  <c r="BP41" i="6"/>
  <c r="BQ41" i="6"/>
  <c r="BR41" i="6"/>
  <c r="BS41" i="6"/>
  <c r="BT41" i="6"/>
  <c r="BO42" i="6"/>
  <c r="BP42" i="6"/>
  <c r="BQ42" i="6"/>
  <c r="BR42" i="6"/>
  <c r="BS42" i="6"/>
  <c r="BT42" i="6"/>
  <c r="BO43" i="6"/>
  <c r="BP43" i="6"/>
  <c r="BQ43" i="6"/>
  <c r="BR43" i="6"/>
  <c r="BS43" i="6"/>
  <c r="BT43" i="6"/>
  <c r="BO44" i="6"/>
  <c r="BP44" i="6"/>
  <c r="BQ44" i="6"/>
  <c r="BR44" i="6"/>
  <c r="BS44" i="6"/>
  <c r="BT44" i="6"/>
  <c r="BO45" i="6"/>
  <c r="BP45" i="6"/>
  <c r="BQ45" i="6"/>
  <c r="BR45" i="6"/>
  <c r="BS45" i="6"/>
  <c r="BT45" i="6"/>
  <c r="BO46" i="6"/>
  <c r="BP46" i="6"/>
  <c r="BQ46" i="6"/>
  <c r="BR46" i="6"/>
  <c r="BS46" i="6"/>
  <c r="BT46" i="6"/>
  <c r="BO47" i="6"/>
  <c r="BP47" i="6"/>
  <c r="BQ47" i="6"/>
  <c r="BR47" i="6"/>
  <c r="BS47" i="6"/>
  <c r="BT47" i="6"/>
  <c r="BO48" i="6"/>
  <c r="BP48" i="6"/>
  <c r="BQ48" i="6"/>
  <c r="BR48" i="6"/>
  <c r="BS48" i="6"/>
  <c r="BT48" i="6"/>
  <c r="BO49" i="6"/>
  <c r="BP49" i="6"/>
  <c r="BQ49" i="6"/>
  <c r="BR49" i="6"/>
  <c r="BS49" i="6"/>
  <c r="BT49" i="6"/>
  <c r="BO50" i="6"/>
  <c r="BP50" i="6"/>
  <c r="BQ50" i="6"/>
  <c r="BR50" i="6"/>
  <c r="BS50" i="6"/>
  <c r="BT50" i="6"/>
  <c r="BP27" i="6"/>
  <c r="BQ27" i="6"/>
  <c r="BR27" i="6"/>
  <c r="BS27" i="6"/>
  <c r="BT27" i="6"/>
  <c r="BM29" i="6"/>
  <c r="BM30" i="6"/>
  <c r="BM31" i="6"/>
  <c r="BM32" i="6"/>
  <c r="BM33" i="6"/>
  <c r="BM34" i="6"/>
  <c r="BM35" i="6"/>
  <c r="BM36" i="6"/>
  <c r="BM37" i="6"/>
  <c r="BM38" i="6"/>
  <c r="BM39" i="6"/>
  <c r="BM40" i="6"/>
  <c r="BM41" i="6"/>
  <c r="BM42" i="6"/>
  <c r="BM43" i="6"/>
  <c r="BM44" i="6"/>
  <c r="BM45" i="6"/>
  <c r="BM46" i="6"/>
  <c r="BM47" i="6"/>
  <c r="BM48" i="6"/>
  <c r="BM49" i="6"/>
  <c r="BM50" i="6"/>
  <c r="BM51" i="6"/>
  <c r="BM52" i="6"/>
  <c r="BM53" i="6"/>
  <c r="BM54" i="6"/>
  <c r="BM55" i="6"/>
  <c r="BM56" i="6"/>
  <c r="BM57" i="6"/>
  <c r="BM58" i="6"/>
  <c r="BM59" i="6"/>
  <c r="BM60" i="6"/>
  <c r="BM27" i="6"/>
  <c r="BM10" i="6"/>
  <c r="BN10" i="6"/>
  <c r="BM11" i="6"/>
  <c r="BN11" i="6"/>
  <c r="BM12" i="6"/>
  <c r="BN12" i="6"/>
  <c r="BM13" i="6"/>
  <c r="BN13" i="6"/>
  <c r="BM14" i="6"/>
  <c r="BN14" i="6"/>
  <c r="BM15" i="6"/>
  <c r="BN15" i="6"/>
  <c r="BM16" i="6"/>
  <c r="BN16" i="6"/>
  <c r="BM17" i="6"/>
  <c r="BN17" i="6"/>
  <c r="BM18" i="6"/>
  <c r="BN18" i="6"/>
  <c r="BM19" i="6"/>
  <c r="BN19" i="6"/>
  <c r="BM20" i="6"/>
  <c r="BN20" i="6"/>
  <c r="BM21" i="6"/>
  <c r="BN21" i="6"/>
  <c r="BM22" i="6"/>
  <c r="BN22" i="6"/>
  <c r="BM23" i="6"/>
  <c r="BN23" i="6"/>
  <c r="BM24" i="6"/>
  <c r="BN24" i="6"/>
  <c r="BM25" i="6"/>
  <c r="BN25" i="6"/>
  <c r="BM26" i="6"/>
  <c r="BN26" i="6"/>
  <c r="BL11" i="6"/>
  <c r="BL12" i="6"/>
  <c r="BL13" i="6"/>
  <c r="BL14" i="6"/>
  <c r="BL15" i="6"/>
  <c r="BL16" i="6"/>
  <c r="BL17" i="6"/>
  <c r="BL18" i="6"/>
  <c r="BL19" i="6"/>
  <c r="BL20" i="6"/>
  <c r="BL21" i="6"/>
  <c r="BL22" i="6"/>
  <c r="BL23" i="6"/>
  <c r="BL24" i="6"/>
  <c r="BL25" i="6"/>
  <c r="BL26" i="6"/>
  <c r="BL10" i="6"/>
  <c r="BL34" i="6"/>
  <c r="BN34" i="6"/>
  <c r="BL35" i="6"/>
  <c r="BN35" i="6"/>
  <c r="BL36" i="6"/>
  <c r="BN36" i="6"/>
  <c r="BL37" i="6"/>
  <c r="BN37" i="6"/>
  <c r="BL38" i="6"/>
  <c r="BN38" i="6"/>
  <c r="BL39" i="6"/>
  <c r="BN39" i="6"/>
  <c r="BL40" i="6"/>
  <c r="BN40" i="6"/>
  <c r="BL41" i="6"/>
  <c r="BN41" i="6"/>
  <c r="BL42" i="6"/>
  <c r="BN42" i="6"/>
  <c r="BL43" i="6"/>
  <c r="BN43" i="6"/>
  <c r="BL44" i="6"/>
  <c r="BN44" i="6"/>
  <c r="BL45" i="6"/>
  <c r="BN45" i="6"/>
  <c r="BL46" i="6"/>
  <c r="BN46" i="6"/>
  <c r="BL47" i="6"/>
  <c r="BN47" i="6"/>
  <c r="BL48" i="6"/>
  <c r="BN48" i="6"/>
  <c r="BL49" i="6"/>
  <c r="BN49" i="6"/>
  <c r="BL50" i="6"/>
  <c r="BN50" i="6"/>
  <c r="BL51" i="6"/>
  <c r="BN51" i="6"/>
  <c r="BL52" i="6"/>
  <c r="BN52" i="6"/>
  <c r="BL53" i="6"/>
  <c r="BN53" i="6"/>
  <c r="BL54" i="6"/>
  <c r="BN54" i="6"/>
  <c r="BL55" i="6"/>
  <c r="BN55" i="6"/>
  <c r="BL56" i="6"/>
  <c r="BN56" i="6"/>
  <c r="BL57" i="6"/>
  <c r="BN57" i="6"/>
  <c r="BL58" i="6"/>
  <c r="BN58" i="6"/>
  <c r="BL59" i="6"/>
  <c r="BN59" i="6"/>
  <c r="BL60" i="6"/>
  <c r="BN60" i="6"/>
  <c r="BN27" i="6"/>
  <c r="BM28" i="6"/>
  <c r="BN28" i="6"/>
  <c r="BN29" i="6"/>
  <c r="BN30" i="6"/>
  <c r="BN31" i="6"/>
  <c r="BN32" i="6"/>
  <c r="BN33" i="6"/>
  <c r="BL28" i="6"/>
  <c r="BL29" i="6"/>
  <c r="BL30" i="6"/>
  <c r="BL31" i="6"/>
  <c r="BL32" i="6"/>
  <c r="BL33" i="6"/>
  <c r="BL27" i="6"/>
  <c r="BI28" i="6"/>
  <c r="BJ28" i="6"/>
  <c r="BK28" i="6"/>
  <c r="BI29" i="6"/>
  <c r="BJ29" i="6"/>
  <c r="BK29" i="6"/>
  <c r="BI30" i="6"/>
  <c r="BJ30" i="6"/>
  <c r="BK30" i="6"/>
  <c r="BI31" i="6"/>
  <c r="BJ31" i="6"/>
  <c r="BK31" i="6"/>
  <c r="BI32" i="6"/>
  <c r="BJ32" i="6"/>
  <c r="BK32" i="6"/>
  <c r="BI33" i="6"/>
  <c r="BJ33" i="6"/>
  <c r="BK33" i="6"/>
  <c r="BI34" i="6"/>
  <c r="BJ34" i="6"/>
  <c r="BK34" i="6"/>
  <c r="BI35" i="6"/>
  <c r="BJ35" i="6"/>
  <c r="BK35" i="6"/>
  <c r="BI36" i="6"/>
  <c r="BJ36" i="6"/>
  <c r="BK36" i="6"/>
  <c r="BI37" i="6"/>
  <c r="BJ37" i="6"/>
  <c r="BK37" i="6"/>
  <c r="BI38" i="6"/>
  <c r="BJ38" i="6"/>
  <c r="BK38" i="6"/>
  <c r="BI39" i="6"/>
  <c r="BJ39" i="6"/>
  <c r="BK39" i="6"/>
  <c r="BI40" i="6"/>
  <c r="BJ40" i="6"/>
  <c r="BK40" i="6"/>
  <c r="BI41" i="6"/>
  <c r="BJ41" i="6"/>
  <c r="BK41" i="6"/>
  <c r="BI42" i="6"/>
  <c r="BJ42" i="6"/>
  <c r="BK42" i="6"/>
  <c r="BI43" i="6"/>
  <c r="BJ43" i="6"/>
  <c r="BK43" i="6"/>
  <c r="BI44" i="6"/>
  <c r="BJ44" i="6"/>
  <c r="BK44" i="6"/>
  <c r="BI45" i="6"/>
  <c r="BJ45" i="6"/>
  <c r="BK45" i="6"/>
  <c r="BI46" i="6"/>
  <c r="BJ46" i="6"/>
  <c r="BK46" i="6"/>
  <c r="BI47" i="6"/>
  <c r="BJ47" i="6"/>
  <c r="BK47" i="6"/>
  <c r="BI48" i="6"/>
  <c r="BJ48" i="6"/>
  <c r="BK48" i="6"/>
  <c r="BI49" i="6"/>
  <c r="BJ49" i="6"/>
  <c r="BK49" i="6"/>
  <c r="BI50" i="6"/>
  <c r="BJ50" i="6"/>
  <c r="BK50" i="6"/>
  <c r="BI51" i="6"/>
  <c r="BJ51" i="6"/>
  <c r="BK51" i="6"/>
  <c r="BI52" i="6"/>
  <c r="BJ52" i="6"/>
  <c r="BK52" i="6"/>
  <c r="BI53" i="6"/>
  <c r="BJ53" i="6"/>
  <c r="BK53" i="6"/>
  <c r="BI54" i="6"/>
  <c r="BJ54" i="6"/>
  <c r="BK54" i="6"/>
  <c r="BI55" i="6"/>
  <c r="BJ55" i="6"/>
  <c r="BK55" i="6"/>
  <c r="BI56" i="6"/>
  <c r="BJ56" i="6"/>
  <c r="BK56" i="6"/>
  <c r="BI57" i="6"/>
  <c r="BJ57" i="6"/>
  <c r="BK57" i="6"/>
  <c r="BI58" i="6"/>
  <c r="BJ58" i="6"/>
  <c r="BK58" i="6"/>
  <c r="BI59" i="6"/>
  <c r="BJ59" i="6"/>
  <c r="BK59" i="6"/>
  <c r="BI60" i="6"/>
  <c r="BJ60" i="6"/>
  <c r="BK60" i="6"/>
  <c r="BJ27" i="6"/>
  <c r="BK27" i="6"/>
  <c r="BI10" i="6"/>
  <c r="BI27" i="6"/>
  <c r="BO27" i="6"/>
  <c r="BZ26" i="6"/>
  <c r="BY26" i="6"/>
  <c r="BX26" i="6"/>
  <c r="BT26" i="6"/>
  <c r="BS26" i="6"/>
  <c r="BR26" i="6"/>
  <c r="BK26" i="6"/>
  <c r="BJ26" i="6"/>
  <c r="BI26" i="6"/>
  <c r="BU26" i="6" s="1"/>
  <c r="BZ25" i="6"/>
  <c r="BY25" i="6"/>
  <c r="BX25" i="6"/>
  <c r="BT25" i="6"/>
  <c r="BS25" i="6"/>
  <c r="BR25" i="6"/>
  <c r="BK25" i="6"/>
  <c r="BJ25" i="6"/>
  <c r="BI25" i="6"/>
  <c r="BO25" i="6" s="1"/>
  <c r="BZ24" i="6"/>
  <c r="BY24" i="6"/>
  <c r="BX24" i="6"/>
  <c r="BT24" i="6"/>
  <c r="BS24" i="6"/>
  <c r="BR24" i="6"/>
  <c r="BK24" i="6"/>
  <c r="BJ24" i="6"/>
  <c r="BP24" i="6" s="1"/>
  <c r="BI24" i="6"/>
  <c r="BU24" i="6" s="1"/>
  <c r="BZ23" i="6"/>
  <c r="BY23" i="6"/>
  <c r="BX23" i="6"/>
  <c r="BT23" i="6"/>
  <c r="BS23" i="6"/>
  <c r="BR23" i="6"/>
  <c r="BK23" i="6"/>
  <c r="BJ23" i="6"/>
  <c r="BI23" i="6"/>
  <c r="BO23" i="6" s="1"/>
  <c r="BZ22" i="6"/>
  <c r="BY22" i="6"/>
  <c r="BX22" i="6"/>
  <c r="BT22" i="6"/>
  <c r="BS22" i="6"/>
  <c r="BR22" i="6"/>
  <c r="BK22" i="6"/>
  <c r="BJ22" i="6"/>
  <c r="BV22" i="6" s="1"/>
  <c r="BI22" i="6"/>
  <c r="BU22" i="6" s="1"/>
  <c r="BZ21" i="6"/>
  <c r="BY21" i="6"/>
  <c r="BX21" i="6"/>
  <c r="BT21" i="6"/>
  <c r="BS21" i="6"/>
  <c r="BR21" i="6"/>
  <c r="BK21" i="6"/>
  <c r="BJ21" i="6"/>
  <c r="BP21" i="6" s="1"/>
  <c r="BI21" i="6"/>
  <c r="BO21" i="6" s="1"/>
  <c r="BZ20" i="6"/>
  <c r="BY20" i="6"/>
  <c r="BX20" i="6"/>
  <c r="BT20" i="6"/>
  <c r="BS20" i="6"/>
  <c r="BR20" i="6"/>
  <c r="BK20" i="6"/>
  <c r="BJ20" i="6"/>
  <c r="BI20" i="6"/>
  <c r="BO20" i="6" s="1"/>
  <c r="BZ19" i="6"/>
  <c r="BY19" i="6"/>
  <c r="BX19" i="6"/>
  <c r="BT19" i="6"/>
  <c r="BS19" i="6"/>
  <c r="BR19" i="6"/>
  <c r="BK19" i="6"/>
  <c r="BJ19" i="6"/>
  <c r="BI19" i="6"/>
  <c r="BZ18" i="6"/>
  <c r="BY18" i="6"/>
  <c r="BX18" i="6"/>
  <c r="BT18" i="6"/>
  <c r="BS18" i="6"/>
  <c r="BR18" i="6"/>
  <c r="BK18" i="6"/>
  <c r="BJ18" i="6"/>
  <c r="BI18" i="6"/>
  <c r="BU18" i="6" s="1"/>
  <c r="BZ17" i="6"/>
  <c r="BY17" i="6"/>
  <c r="BX17" i="6"/>
  <c r="BT17" i="6"/>
  <c r="BS17" i="6"/>
  <c r="BR17" i="6"/>
  <c r="BK17" i="6"/>
  <c r="BJ17" i="6"/>
  <c r="BI17" i="6"/>
  <c r="BO17" i="6" s="1"/>
  <c r="BZ16" i="6"/>
  <c r="BY16" i="6"/>
  <c r="BX16" i="6"/>
  <c r="BT16" i="6"/>
  <c r="BS16" i="6"/>
  <c r="BR16" i="6"/>
  <c r="BK16" i="6"/>
  <c r="BJ16" i="6"/>
  <c r="BP16" i="6" s="1"/>
  <c r="BI16" i="6"/>
  <c r="BU16" i="6" s="1"/>
  <c r="BZ15" i="6"/>
  <c r="BY15" i="6"/>
  <c r="BX15" i="6"/>
  <c r="BT15" i="6"/>
  <c r="BS15" i="6"/>
  <c r="BR15" i="6"/>
  <c r="BK15" i="6"/>
  <c r="BJ15" i="6"/>
  <c r="BI15" i="6"/>
  <c r="BO15" i="6" s="1"/>
  <c r="BZ14" i="6"/>
  <c r="BY14" i="6"/>
  <c r="BX14" i="6"/>
  <c r="BT14" i="6"/>
  <c r="BS14" i="6"/>
  <c r="BR14" i="6"/>
  <c r="BK14" i="6"/>
  <c r="BJ14" i="6"/>
  <c r="BV14" i="6" s="1"/>
  <c r="BI14" i="6"/>
  <c r="BU14" i="6" s="1"/>
  <c r="BZ13" i="6"/>
  <c r="BY13" i="6"/>
  <c r="BX13" i="6"/>
  <c r="BT13" i="6"/>
  <c r="BS13" i="6"/>
  <c r="BR13" i="6"/>
  <c r="BK13" i="6"/>
  <c r="BJ13" i="6"/>
  <c r="BP13" i="6" s="1"/>
  <c r="BI13" i="6"/>
  <c r="BO13" i="6" s="1"/>
  <c r="BZ12" i="6"/>
  <c r="BY12" i="6"/>
  <c r="BX12" i="6"/>
  <c r="BT12" i="6"/>
  <c r="BS12" i="6"/>
  <c r="BR12" i="6"/>
  <c r="BK12" i="6"/>
  <c r="BJ12" i="6"/>
  <c r="BI12" i="6"/>
  <c r="BO12" i="6" s="1"/>
  <c r="BZ11" i="6"/>
  <c r="BY11" i="6"/>
  <c r="BX11" i="6"/>
  <c r="BT11" i="6"/>
  <c r="BS11" i="6"/>
  <c r="BR11" i="6"/>
  <c r="BK11" i="6"/>
  <c r="BJ11" i="6"/>
  <c r="BI11" i="6"/>
  <c r="BZ10" i="6"/>
  <c r="BY10" i="6"/>
  <c r="BX10" i="6"/>
  <c r="BT10" i="6"/>
  <c r="BS10" i="6"/>
  <c r="BR10" i="6"/>
  <c r="BK10" i="6"/>
  <c r="BJ10" i="6"/>
  <c r="BU10" i="6"/>
  <c r="BP26" i="6"/>
  <c r="BQ26" i="6"/>
  <c r="BV26" i="6"/>
  <c r="BQ25" i="6"/>
  <c r="BW25" i="6"/>
  <c r="BP25" i="6"/>
  <c r="BQ24" i="6"/>
  <c r="BV24" i="6"/>
  <c r="BQ23" i="6"/>
  <c r="BW23" i="6"/>
  <c r="BP23" i="6"/>
  <c r="BP22" i="6"/>
  <c r="BO22" i="6"/>
  <c r="BQ22" i="6"/>
  <c r="BQ21" i="6"/>
  <c r="BW21" i="6"/>
  <c r="BP20" i="6"/>
  <c r="BQ20" i="6"/>
  <c r="BV20" i="6"/>
  <c r="BU20" i="6"/>
  <c r="BQ19" i="6"/>
  <c r="BW19" i="6"/>
  <c r="BP19" i="6"/>
  <c r="BO19" i="6"/>
  <c r="BP18" i="6"/>
  <c r="BQ18" i="6"/>
  <c r="BV18" i="6"/>
  <c r="BQ17" i="6"/>
  <c r="BW17" i="6"/>
  <c r="BP17" i="6"/>
  <c r="BQ16" i="6"/>
  <c r="BV16" i="6"/>
  <c r="BQ15" i="6"/>
  <c r="BW15" i="6"/>
  <c r="BP15" i="6"/>
  <c r="BP14" i="6"/>
  <c r="BO14" i="6"/>
  <c r="BQ14" i="6"/>
  <c r="BQ13" i="6"/>
  <c r="BW13" i="6"/>
  <c r="BP12" i="6"/>
  <c r="BQ12" i="6"/>
  <c r="BV12" i="6"/>
  <c r="BU12" i="6"/>
  <c r="BQ11" i="6"/>
  <c r="BW11" i="6"/>
  <c r="BP11" i="6"/>
  <c r="BO11" i="6"/>
  <c r="BP10" i="6"/>
  <c r="BQ10" i="6"/>
  <c r="BV10" i="6"/>
  <c r="J50" i="4"/>
  <c r="S7"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6" i="10"/>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184"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52"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50"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16"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82" i="9"/>
  <c r="K250" i="9"/>
  <c r="K249" i="9"/>
  <c r="K248" i="9"/>
  <c r="K247" i="9"/>
  <c r="K246" i="9"/>
  <c r="K245" i="9"/>
  <c r="K244" i="9"/>
  <c r="K243" i="9"/>
  <c r="K242" i="9"/>
  <c r="K241" i="9"/>
  <c r="K240" i="9"/>
  <c r="K239" i="9"/>
  <c r="K238" i="9"/>
  <c r="K237" i="9"/>
  <c r="K236" i="9"/>
  <c r="K235" i="9"/>
  <c r="K234" i="9"/>
  <c r="K233" i="9"/>
  <c r="K232" i="9"/>
  <c r="K231" i="9"/>
  <c r="K230" i="9"/>
  <c r="K229" i="9"/>
  <c r="K228" i="9"/>
  <c r="K227" i="9"/>
  <c r="K226" i="9"/>
  <c r="K225" i="9"/>
  <c r="K224" i="9"/>
  <c r="K223" i="9"/>
  <c r="M222" i="9"/>
  <c r="K222" i="9"/>
  <c r="D222" i="9"/>
  <c r="K221" i="9"/>
  <c r="K220" i="9"/>
  <c r="K219" i="9"/>
  <c r="K218" i="9"/>
  <c r="P81" i="9"/>
  <c r="K80" i="9"/>
  <c r="P73" i="9"/>
  <c r="G73" i="9"/>
  <c r="P72" i="9"/>
  <c r="G72" i="9"/>
  <c r="P71" i="9"/>
  <c r="G71" i="9"/>
  <c r="P70" i="9"/>
  <c r="G70" i="9"/>
  <c r="P69" i="9"/>
  <c r="G69" i="9"/>
  <c r="P68" i="9"/>
  <c r="G68" i="9"/>
  <c r="P67" i="9"/>
  <c r="G67" i="9"/>
  <c r="P66" i="9"/>
  <c r="G66" i="9"/>
  <c r="P65" i="9"/>
  <c r="G65" i="9"/>
  <c r="P64" i="9"/>
  <c r="G64" i="9"/>
  <c r="P63" i="9"/>
  <c r="G63" i="9"/>
  <c r="Q62" i="9"/>
  <c r="P62" i="9"/>
  <c r="M62" i="9"/>
  <c r="S62" i="9" s="1"/>
  <c r="L62" i="9"/>
  <c r="J62" i="9"/>
  <c r="H62" i="9"/>
  <c r="D62" i="9"/>
  <c r="C62" i="9"/>
  <c r="G62" i="9" s="1"/>
  <c r="A62" i="9"/>
  <c r="P61" i="9"/>
  <c r="M61" i="9"/>
  <c r="S61" i="9" s="1"/>
  <c r="L61" i="9"/>
  <c r="H61" i="9"/>
  <c r="G61" i="9"/>
  <c r="D61" i="9"/>
  <c r="J61" i="9" s="1"/>
  <c r="C61" i="9"/>
  <c r="A61" i="9"/>
  <c r="S60" i="9"/>
  <c r="M60" i="9"/>
  <c r="Q60" i="9" s="1"/>
  <c r="L60" i="9"/>
  <c r="P60" i="9" s="1"/>
  <c r="G60" i="9"/>
  <c r="D60" i="9"/>
  <c r="J60" i="9" s="1"/>
  <c r="C60" i="9"/>
  <c r="A60" i="9"/>
  <c r="S59" i="9"/>
  <c r="Q59" i="9"/>
  <c r="M59" i="9"/>
  <c r="L59" i="9"/>
  <c r="P59" i="9" s="1"/>
  <c r="J59" i="9"/>
  <c r="D59" i="9"/>
  <c r="H59" i="9" s="1"/>
  <c r="C59" i="9"/>
  <c r="G59" i="9" s="1"/>
  <c r="A59" i="9"/>
  <c r="Q58" i="9"/>
  <c r="P58" i="9"/>
  <c r="M58" i="9"/>
  <c r="S58" i="9" s="1"/>
  <c r="L58" i="9"/>
  <c r="J58" i="9"/>
  <c r="H58" i="9"/>
  <c r="D58" i="9"/>
  <c r="C58" i="9"/>
  <c r="G58" i="9" s="1"/>
  <c r="A58" i="9"/>
  <c r="P57" i="9"/>
  <c r="M57" i="9"/>
  <c r="S57" i="9" s="1"/>
  <c r="L57" i="9"/>
  <c r="H57" i="9"/>
  <c r="G57" i="9"/>
  <c r="D57" i="9"/>
  <c r="J57" i="9" s="1"/>
  <c r="C57" i="9"/>
  <c r="A57" i="9"/>
  <c r="S56" i="9"/>
  <c r="M56" i="9"/>
  <c r="Q56" i="9" s="1"/>
  <c r="L56" i="9"/>
  <c r="P56" i="9" s="1"/>
  <c r="G56" i="9"/>
  <c r="D56" i="9"/>
  <c r="J56" i="9" s="1"/>
  <c r="C56" i="9"/>
  <c r="A56" i="9"/>
  <c r="S55" i="9"/>
  <c r="Q55" i="9"/>
  <c r="M55" i="9"/>
  <c r="L55" i="9"/>
  <c r="P55" i="9" s="1"/>
  <c r="J55" i="9"/>
  <c r="D55" i="9"/>
  <c r="H55" i="9" s="1"/>
  <c r="C55" i="9"/>
  <c r="G55" i="9" s="1"/>
  <c r="A55" i="9"/>
  <c r="P54" i="9"/>
  <c r="M54" i="9"/>
  <c r="S54" i="9" s="1"/>
  <c r="L54" i="9"/>
  <c r="J54" i="9"/>
  <c r="H54" i="9"/>
  <c r="G54" i="9"/>
  <c r="D54" i="9"/>
  <c r="C54" i="9"/>
  <c r="A54" i="9"/>
  <c r="M53" i="9"/>
  <c r="S53" i="9" s="1"/>
  <c r="L53" i="9"/>
  <c r="P53" i="9" s="1"/>
  <c r="G53" i="9"/>
  <c r="D53" i="9"/>
  <c r="J53" i="9" s="1"/>
  <c r="C53" i="9"/>
  <c r="A53" i="9"/>
  <c r="S52" i="9"/>
  <c r="Q52" i="9"/>
  <c r="M52" i="9"/>
  <c r="L52" i="9"/>
  <c r="P52" i="9" s="1"/>
  <c r="D52" i="9"/>
  <c r="J52" i="9" s="1"/>
  <c r="C52" i="9"/>
  <c r="G52" i="9" s="1"/>
  <c r="A52" i="9"/>
  <c r="S51" i="9"/>
  <c r="Q51" i="9"/>
  <c r="P51" i="9"/>
  <c r="M51" i="9"/>
  <c r="L51" i="9"/>
  <c r="J51" i="9"/>
  <c r="H51" i="9"/>
  <c r="D51" i="9"/>
  <c r="C51" i="9"/>
  <c r="G51" i="9" s="1"/>
  <c r="A51" i="9"/>
  <c r="P50" i="9"/>
  <c r="M50" i="9"/>
  <c r="S50" i="9" s="1"/>
  <c r="L50" i="9"/>
  <c r="J50" i="9"/>
  <c r="H50" i="9"/>
  <c r="G50" i="9"/>
  <c r="D50" i="9"/>
  <c r="C50" i="9"/>
  <c r="A50" i="9"/>
  <c r="M49" i="9"/>
  <c r="S49" i="9" s="1"/>
  <c r="L49" i="9"/>
  <c r="P49" i="9" s="1"/>
  <c r="G49" i="9"/>
  <c r="D49" i="9"/>
  <c r="J49" i="9" s="1"/>
  <c r="C49" i="9"/>
  <c r="A49" i="9"/>
  <c r="S48" i="9"/>
  <c r="Q48" i="9"/>
  <c r="M48" i="9"/>
  <c r="L48" i="9"/>
  <c r="P48" i="9" s="1"/>
  <c r="D48" i="9"/>
  <c r="J48" i="9" s="1"/>
  <c r="C48" i="9"/>
  <c r="G48" i="9" s="1"/>
  <c r="A48" i="9"/>
  <c r="S47" i="9"/>
  <c r="Q47" i="9"/>
  <c r="P47" i="9"/>
  <c r="M47" i="9"/>
  <c r="L47" i="9"/>
  <c r="J47" i="9"/>
  <c r="H47" i="9"/>
  <c r="D47" i="9"/>
  <c r="C47" i="9"/>
  <c r="G47" i="9" s="1"/>
  <c r="A47" i="9"/>
  <c r="P46" i="9"/>
  <c r="M46" i="9"/>
  <c r="S46" i="9" s="1"/>
  <c r="L46" i="9"/>
  <c r="J46" i="9"/>
  <c r="H46" i="9"/>
  <c r="G46" i="9"/>
  <c r="D46" i="9"/>
  <c r="C46" i="9"/>
  <c r="A46" i="9"/>
  <c r="M45" i="9"/>
  <c r="S45" i="9" s="1"/>
  <c r="L45" i="9"/>
  <c r="P45" i="9" s="1"/>
  <c r="G45" i="9"/>
  <c r="D45" i="9"/>
  <c r="J45" i="9" s="1"/>
  <c r="C45" i="9"/>
  <c r="A45" i="9"/>
  <c r="S44" i="9"/>
  <c r="Q44" i="9"/>
  <c r="M44" i="9"/>
  <c r="L44" i="9"/>
  <c r="P44" i="9" s="1"/>
  <c r="D44" i="9"/>
  <c r="J44" i="9" s="1"/>
  <c r="C44" i="9"/>
  <c r="G44" i="9" s="1"/>
  <c r="A44" i="9"/>
  <c r="S43" i="9"/>
  <c r="Q43" i="9"/>
  <c r="P43" i="9"/>
  <c r="M43" i="9"/>
  <c r="L43" i="9"/>
  <c r="J43" i="9"/>
  <c r="H43" i="9"/>
  <c r="D43" i="9"/>
  <c r="C43" i="9"/>
  <c r="G43" i="9" s="1"/>
  <c r="A43" i="9"/>
  <c r="P42" i="9"/>
  <c r="M42" i="9"/>
  <c r="S42" i="9" s="1"/>
  <c r="L42" i="9"/>
  <c r="J42" i="9"/>
  <c r="H42" i="9"/>
  <c r="G42" i="9"/>
  <c r="D42" i="9"/>
  <c r="C42" i="9"/>
  <c r="A42" i="9"/>
  <c r="M41" i="9"/>
  <c r="S41" i="9" s="1"/>
  <c r="L41" i="9"/>
  <c r="P41" i="9" s="1"/>
  <c r="G41" i="9"/>
  <c r="D41" i="9"/>
  <c r="J41" i="9" s="1"/>
  <c r="C41" i="9"/>
  <c r="A41" i="9"/>
  <c r="S40" i="9"/>
  <c r="Q40" i="9"/>
  <c r="M40" i="9"/>
  <c r="L40" i="9"/>
  <c r="P40" i="9" s="1"/>
  <c r="D40" i="9"/>
  <c r="J40" i="9" s="1"/>
  <c r="C40" i="9"/>
  <c r="G40" i="9" s="1"/>
  <c r="A40" i="9"/>
  <c r="S39" i="9"/>
  <c r="Q39" i="9"/>
  <c r="P39" i="9"/>
  <c r="M39" i="9"/>
  <c r="L39" i="9"/>
  <c r="J39" i="9"/>
  <c r="H39" i="9"/>
  <c r="D39" i="9"/>
  <c r="C39" i="9"/>
  <c r="G39" i="9" s="1"/>
  <c r="A39" i="9"/>
  <c r="P38" i="9"/>
  <c r="M38" i="9"/>
  <c r="S38" i="9" s="1"/>
  <c r="L38" i="9"/>
  <c r="J38" i="9"/>
  <c r="H38" i="9"/>
  <c r="G38" i="9"/>
  <c r="D38" i="9"/>
  <c r="C38" i="9"/>
  <c r="A38" i="9"/>
  <c r="M37" i="9"/>
  <c r="S37" i="9" s="1"/>
  <c r="L37" i="9"/>
  <c r="P37" i="9" s="1"/>
  <c r="G37" i="9"/>
  <c r="D37" i="9"/>
  <c r="J37" i="9" s="1"/>
  <c r="C37" i="9"/>
  <c r="A37" i="9"/>
  <c r="S36" i="9"/>
  <c r="Q36" i="9"/>
  <c r="M36" i="9"/>
  <c r="L36" i="9"/>
  <c r="P36" i="9" s="1"/>
  <c r="D36" i="9"/>
  <c r="J36" i="9" s="1"/>
  <c r="C36" i="9"/>
  <c r="G36" i="9" s="1"/>
  <c r="A36" i="9"/>
  <c r="S35" i="9"/>
  <c r="Q35" i="9"/>
  <c r="P35" i="9"/>
  <c r="M35" i="9"/>
  <c r="L35" i="9"/>
  <c r="J35" i="9"/>
  <c r="H35" i="9"/>
  <c r="D35" i="9"/>
  <c r="C35" i="9"/>
  <c r="G35" i="9" s="1"/>
  <c r="A35" i="9"/>
  <c r="P34" i="9"/>
  <c r="M34" i="9"/>
  <c r="S34" i="9" s="1"/>
  <c r="L34" i="9"/>
  <c r="J34" i="9"/>
  <c r="H34" i="9"/>
  <c r="G34" i="9"/>
  <c r="D34" i="9"/>
  <c r="C34" i="9"/>
  <c r="A34" i="9"/>
  <c r="M33" i="9"/>
  <c r="S33" i="9" s="1"/>
  <c r="L33" i="9"/>
  <c r="P33" i="9" s="1"/>
  <c r="G33" i="9"/>
  <c r="D33" i="9"/>
  <c r="J33" i="9" s="1"/>
  <c r="C33" i="9"/>
  <c r="A33" i="9"/>
  <c r="S32" i="9"/>
  <c r="Q32" i="9"/>
  <c r="M32" i="9"/>
  <c r="L32" i="9"/>
  <c r="P32" i="9" s="1"/>
  <c r="D32" i="9"/>
  <c r="J32" i="9" s="1"/>
  <c r="C32" i="9"/>
  <c r="G32" i="9" s="1"/>
  <c r="A32" i="9"/>
  <c r="S31" i="9"/>
  <c r="Q31" i="9"/>
  <c r="P31" i="9"/>
  <c r="M31" i="9"/>
  <c r="L31" i="9"/>
  <c r="J31" i="9"/>
  <c r="H31" i="9"/>
  <c r="D31" i="9"/>
  <c r="C31" i="9"/>
  <c r="G31" i="9" s="1"/>
  <c r="A31" i="9"/>
  <c r="P30" i="9"/>
  <c r="M30" i="9"/>
  <c r="S30" i="9" s="1"/>
  <c r="L30" i="9"/>
  <c r="J30" i="9"/>
  <c r="H30" i="9"/>
  <c r="G30" i="9"/>
  <c r="D30" i="9"/>
  <c r="C30" i="9"/>
  <c r="A30" i="9"/>
  <c r="M29" i="9"/>
  <c r="S29" i="9" s="1"/>
  <c r="L29" i="9"/>
  <c r="P29" i="9" s="1"/>
  <c r="G29" i="9"/>
  <c r="D29" i="9"/>
  <c r="J29" i="9" s="1"/>
  <c r="C29" i="9"/>
  <c r="A29" i="9"/>
  <c r="S28" i="9"/>
  <c r="Q28" i="9"/>
  <c r="M28" i="9"/>
  <c r="L28" i="9"/>
  <c r="P28" i="9" s="1"/>
  <c r="D28" i="9"/>
  <c r="J28" i="9" s="1"/>
  <c r="C28" i="9"/>
  <c r="G28" i="9" s="1"/>
  <c r="A28" i="9"/>
  <c r="S27" i="9"/>
  <c r="Q27" i="9"/>
  <c r="P27" i="9"/>
  <c r="M27" i="9"/>
  <c r="L27" i="9"/>
  <c r="J27" i="9"/>
  <c r="H27" i="9"/>
  <c r="D27" i="9"/>
  <c r="C27" i="9"/>
  <c r="G27" i="9" s="1"/>
  <c r="A27" i="9"/>
  <c r="P26" i="9"/>
  <c r="M26" i="9"/>
  <c r="S26" i="9" s="1"/>
  <c r="L26" i="9"/>
  <c r="J26" i="9"/>
  <c r="H26" i="9"/>
  <c r="G26" i="9"/>
  <c r="D26" i="9"/>
  <c r="C26" i="9"/>
  <c r="A26" i="9"/>
  <c r="M25" i="9"/>
  <c r="S25" i="9" s="1"/>
  <c r="L25" i="9"/>
  <c r="P25" i="9" s="1"/>
  <c r="G25" i="9"/>
  <c r="D25" i="9"/>
  <c r="J25" i="9" s="1"/>
  <c r="C25" i="9"/>
  <c r="A25" i="9"/>
  <c r="S24" i="9"/>
  <c r="Q24" i="9"/>
  <c r="M24" i="9"/>
  <c r="L24" i="9"/>
  <c r="P24" i="9" s="1"/>
  <c r="D24" i="9"/>
  <c r="J24" i="9" s="1"/>
  <c r="C24" i="9"/>
  <c r="G24" i="9" s="1"/>
  <c r="A24" i="9"/>
  <c r="S23" i="9"/>
  <c r="Q23" i="9"/>
  <c r="P23" i="9"/>
  <c r="M23" i="9"/>
  <c r="L23" i="9"/>
  <c r="J23" i="9"/>
  <c r="H23" i="9"/>
  <c r="D23" i="9"/>
  <c r="C23" i="9"/>
  <c r="G23" i="9" s="1"/>
  <c r="A23" i="9"/>
  <c r="P22" i="9"/>
  <c r="M22" i="9"/>
  <c r="S22" i="9" s="1"/>
  <c r="L22" i="9"/>
  <c r="J22" i="9"/>
  <c r="H22" i="9"/>
  <c r="G22" i="9"/>
  <c r="D22" i="9"/>
  <c r="C22" i="9"/>
  <c r="A22" i="9"/>
  <c r="M21" i="9"/>
  <c r="S21" i="9" s="1"/>
  <c r="L21" i="9"/>
  <c r="P21" i="9" s="1"/>
  <c r="G21" i="9"/>
  <c r="D21" i="9"/>
  <c r="J21" i="9" s="1"/>
  <c r="C21" i="9"/>
  <c r="A21" i="9"/>
  <c r="S20" i="9"/>
  <c r="Q20" i="9"/>
  <c r="M20" i="9"/>
  <c r="L20" i="9"/>
  <c r="P20" i="9" s="1"/>
  <c r="D20" i="9"/>
  <c r="J20" i="9" s="1"/>
  <c r="C20" i="9"/>
  <c r="G20" i="9" s="1"/>
  <c r="A20" i="9"/>
  <c r="S19" i="9"/>
  <c r="Q19" i="9"/>
  <c r="P19" i="9"/>
  <c r="M19" i="9"/>
  <c r="L19" i="9"/>
  <c r="J19" i="9"/>
  <c r="H19" i="9"/>
  <c r="D19" i="9"/>
  <c r="C19" i="9"/>
  <c r="G19" i="9" s="1"/>
  <c r="A19" i="9"/>
  <c r="P18" i="9"/>
  <c r="M18" i="9"/>
  <c r="S18" i="9" s="1"/>
  <c r="L18" i="9"/>
  <c r="J18" i="9"/>
  <c r="H18" i="9"/>
  <c r="G18" i="9"/>
  <c r="D18" i="9"/>
  <c r="C18" i="9"/>
  <c r="A18" i="9"/>
  <c r="M17" i="9"/>
  <c r="S17" i="9" s="1"/>
  <c r="L17" i="9"/>
  <c r="P17" i="9" s="1"/>
  <c r="G17" i="9"/>
  <c r="D17" i="9"/>
  <c r="J17" i="9" s="1"/>
  <c r="C17" i="9"/>
  <c r="A17" i="9"/>
  <c r="S16" i="9"/>
  <c r="Q16" i="9"/>
  <c r="M16" i="9"/>
  <c r="L16" i="9"/>
  <c r="P16" i="9" s="1"/>
  <c r="D16" i="9"/>
  <c r="J16" i="9" s="1"/>
  <c r="C16" i="9"/>
  <c r="G16" i="9" s="1"/>
  <c r="A16" i="9"/>
  <c r="S15" i="9"/>
  <c r="Q15" i="9"/>
  <c r="P15" i="9"/>
  <c r="M15" i="9"/>
  <c r="L15" i="9"/>
  <c r="J15" i="9"/>
  <c r="H15" i="9"/>
  <c r="D15" i="9"/>
  <c r="C15" i="9"/>
  <c r="G15" i="9" s="1"/>
  <c r="A15" i="9"/>
  <c r="P14" i="9"/>
  <c r="M14" i="9"/>
  <c r="S14" i="9" s="1"/>
  <c r="L14" i="9"/>
  <c r="J14" i="9"/>
  <c r="H14" i="9"/>
  <c r="G14" i="9"/>
  <c r="D14" i="9"/>
  <c r="C14" i="9"/>
  <c r="A14" i="9"/>
  <c r="S13" i="9"/>
  <c r="Q13" i="9"/>
  <c r="P13" i="9"/>
  <c r="J13" i="9"/>
  <c r="H13" i="9"/>
  <c r="G13" i="9"/>
  <c r="A13" i="9"/>
  <c r="AG189" i="8"/>
  <c r="AF189" i="8"/>
  <c r="AE189" i="8"/>
  <c r="AD189" i="8"/>
  <c r="AC189" i="8"/>
  <c r="AB189" i="8"/>
  <c r="AA189" i="8"/>
  <c r="AG188" i="8"/>
  <c r="AF188" i="8"/>
  <c r="AE188" i="8"/>
  <c r="AD188" i="8"/>
  <c r="AC188" i="8"/>
  <c r="AB188" i="8"/>
  <c r="AA188" i="8"/>
  <c r="AG187" i="8"/>
  <c r="AF187" i="8"/>
  <c r="AE187" i="8"/>
  <c r="AD187" i="8"/>
  <c r="AC187" i="8"/>
  <c r="AB187" i="8"/>
  <c r="AA187" i="8"/>
  <c r="AG186" i="8"/>
  <c r="AF186" i="8"/>
  <c r="AE186" i="8"/>
  <c r="AD186" i="8"/>
  <c r="AC186" i="8"/>
  <c r="AB186" i="8"/>
  <c r="AA186" i="8"/>
  <c r="AG185" i="8"/>
  <c r="AF185" i="8"/>
  <c r="AE185" i="8"/>
  <c r="AD185" i="8"/>
  <c r="AC185" i="8"/>
  <c r="AB185" i="8"/>
  <c r="AA185" i="8"/>
  <c r="AG184" i="8"/>
  <c r="AF184" i="8"/>
  <c r="AE184" i="8"/>
  <c r="AD184" i="8"/>
  <c r="AC184" i="8"/>
  <c r="AB184" i="8"/>
  <c r="AA184" i="8"/>
  <c r="AG183" i="8"/>
  <c r="AF183" i="8"/>
  <c r="AE183" i="8"/>
  <c r="AD183" i="8"/>
  <c r="AC183" i="8"/>
  <c r="AB183" i="8"/>
  <c r="AA183" i="8"/>
  <c r="AG182" i="8"/>
  <c r="AF182" i="8"/>
  <c r="AE182" i="8"/>
  <c r="AD182" i="8"/>
  <c r="AC182" i="8"/>
  <c r="AB182" i="8"/>
  <c r="AA182" i="8"/>
  <c r="AG181" i="8"/>
  <c r="AF181" i="8"/>
  <c r="AE181" i="8"/>
  <c r="AD181" i="8"/>
  <c r="AC181" i="8"/>
  <c r="AB181" i="8"/>
  <c r="AA181" i="8"/>
  <c r="AG180" i="8"/>
  <c r="AF180" i="8"/>
  <c r="AE180" i="8"/>
  <c r="AD180" i="8"/>
  <c r="AC180" i="8"/>
  <c r="AB180" i="8"/>
  <c r="AA180" i="8"/>
  <c r="AG179" i="8"/>
  <c r="AF179" i="8"/>
  <c r="AE179" i="8"/>
  <c r="AD179" i="8"/>
  <c r="AC179" i="8"/>
  <c r="AB179" i="8"/>
  <c r="AA179" i="8"/>
  <c r="AG178" i="8"/>
  <c r="AF178" i="8"/>
  <c r="AE178" i="8"/>
  <c r="AD178" i="8"/>
  <c r="AC178" i="8"/>
  <c r="AB178" i="8"/>
  <c r="AA178" i="8"/>
  <c r="AG177" i="8"/>
  <c r="AF177" i="8"/>
  <c r="AE177" i="8"/>
  <c r="AD177" i="8"/>
  <c r="AC177" i="8"/>
  <c r="AB177" i="8"/>
  <c r="AA177" i="8"/>
  <c r="AG176" i="8"/>
  <c r="AF176" i="8"/>
  <c r="AE176" i="8"/>
  <c r="AD176" i="8"/>
  <c r="AC176" i="8"/>
  <c r="AB176" i="8"/>
  <c r="AA176" i="8"/>
  <c r="AG175" i="8"/>
  <c r="AF175" i="8"/>
  <c r="AE175" i="8"/>
  <c r="AD175" i="8"/>
  <c r="AC175" i="8"/>
  <c r="AB175" i="8"/>
  <c r="AA175" i="8"/>
  <c r="AG174" i="8"/>
  <c r="AF174" i="8"/>
  <c r="AE174" i="8"/>
  <c r="AD174" i="8"/>
  <c r="AC174" i="8"/>
  <c r="AB174" i="8"/>
  <c r="AA174" i="8"/>
  <c r="AG173" i="8"/>
  <c r="AF173" i="8"/>
  <c r="AE173" i="8"/>
  <c r="AD173" i="8"/>
  <c r="AC173" i="8"/>
  <c r="AB173" i="8"/>
  <c r="AA173" i="8"/>
  <c r="AG172" i="8"/>
  <c r="AF172" i="8"/>
  <c r="AE172" i="8"/>
  <c r="AD172" i="8"/>
  <c r="AC172" i="8"/>
  <c r="AB172" i="8"/>
  <c r="AA172" i="8"/>
  <c r="AG171" i="8"/>
  <c r="AF171" i="8"/>
  <c r="AE171" i="8"/>
  <c r="AD171" i="8"/>
  <c r="AC171" i="8"/>
  <c r="AB171" i="8"/>
  <c r="AA171" i="8"/>
  <c r="AG170" i="8"/>
  <c r="AF170" i="8"/>
  <c r="AE170" i="8"/>
  <c r="AD170" i="8"/>
  <c r="AC170" i="8"/>
  <c r="AB170" i="8"/>
  <c r="AA170" i="8"/>
  <c r="AG169" i="8"/>
  <c r="AF169" i="8"/>
  <c r="AE169" i="8"/>
  <c r="AD169" i="8"/>
  <c r="AC169" i="8"/>
  <c r="AB169" i="8"/>
  <c r="AA169" i="8"/>
  <c r="AG168" i="8"/>
  <c r="AF168" i="8"/>
  <c r="AE168" i="8"/>
  <c r="AD168" i="8"/>
  <c r="AC168" i="8"/>
  <c r="AB168" i="8"/>
  <c r="AA168" i="8"/>
  <c r="AG167" i="8"/>
  <c r="AF167" i="8"/>
  <c r="AE167" i="8"/>
  <c r="AD167" i="8"/>
  <c r="AC167" i="8"/>
  <c r="AB167" i="8"/>
  <c r="AA167" i="8"/>
  <c r="AG166" i="8"/>
  <c r="AF166" i="8"/>
  <c r="AE166" i="8"/>
  <c r="AD166" i="8"/>
  <c r="AC166" i="8"/>
  <c r="AB166" i="8"/>
  <c r="AA166" i="8"/>
  <c r="AG165" i="8"/>
  <c r="AF165" i="8"/>
  <c r="AE165" i="8"/>
  <c r="AD165" i="8"/>
  <c r="AC165" i="8"/>
  <c r="AB165" i="8"/>
  <c r="AA165" i="8"/>
  <c r="AG164" i="8"/>
  <c r="AF164" i="8"/>
  <c r="AE164" i="8"/>
  <c r="AD164" i="8"/>
  <c r="AC164" i="8"/>
  <c r="AB164" i="8"/>
  <c r="AA164" i="8"/>
  <c r="AG163" i="8"/>
  <c r="AF163" i="8"/>
  <c r="AE163" i="8"/>
  <c r="AD163" i="8"/>
  <c r="AC163" i="8"/>
  <c r="AB163" i="8"/>
  <c r="AA163" i="8"/>
  <c r="AG162" i="8"/>
  <c r="AF162" i="8"/>
  <c r="AE162" i="8"/>
  <c r="AD162" i="8"/>
  <c r="AC162" i="8"/>
  <c r="AB162" i="8"/>
  <c r="AA162" i="8"/>
  <c r="AG161" i="8"/>
  <c r="AF161" i="8"/>
  <c r="AE161" i="8"/>
  <c r="AD161" i="8"/>
  <c r="AC161" i="8"/>
  <c r="AB161" i="8"/>
  <c r="AA161" i="8"/>
  <c r="AG160" i="8"/>
  <c r="AF160" i="8"/>
  <c r="AE160" i="8"/>
  <c r="AD160" i="8"/>
  <c r="AC160" i="8"/>
  <c r="AB160" i="8"/>
  <c r="AA160" i="8"/>
  <c r="AG159" i="8"/>
  <c r="AF159" i="8"/>
  <c r="AE159" i="8"/>
  <c r="AD159" i="8"/>
  <c r="AC159" i="8"/>
  <c r="AB159" i="8"/>
  <c r="AA159" i="8"/>
  <c r="AG158" i="8"/>
  <c r="AF158" i="8"/>
  <c r="AE158" i="8"/>
  <c r="AD158" i="8"/>
  <c r="AC158" i="8"/>
  <c r="AB158" i="8"/>
  <c r="AA158" i="8"/>
  <c r="AG157" i="8"/>
  <c r="AF157" i="8"/>
  <c r="AE157" i="8"/>
  <c r="AD157" i="8"/>
  <c r="AC157" i="8"/>
  <c r="AB157" i="8"/>
  <c r="AA157" i="8"/>
  <c r="AG155" i="8"/>
  <c r="AF155" i="8"/>
  <c r="AE155" i="8"/>
  <c r="AD155" i="8"/>
  <c r="AC155" i="8"/>
  <c r="AB155" i="8"/>
  <c r="AA155" i="8"/>
  <c r="AG154" i="8"/>
  <c r="AF154" i="8"/>
  <c r="AE154" i="8"/>
  <c r="AD154" i="8"/>
  <c r="AC154" i="8"/>
  <c r="AB154" i="8"/>
  <c r="AA154" i="8"/>
  <c r="AG153" i="8"/>
  <c r="AF153" i="8"/>
  <c r="AE153" i="8"/>
  <c r="AD153" i="8"/>
  <c r="AC153" i="8"/>
  <c r="AB153" i="8"/>
  <c r="AA153" i="8"/>
  <c r="AG152" i="8"/>
  <c r="AF152" i="8"/>
  <c r="AE152" i="8"/>
  <c r="AD152" i="8"/>
  <c r="AC152" i="8"/>
  <c r="AB152" i="8"/>
  <c r="AA152" i="8"/>
  <c r="AG151" i="8"/>
  <c r="AF151" i="8"/>
  <c r="AE151" i="8"/>
  <c r="AD151" i="8"/>
  <c r="AC151" i="8"/>
  <c r="AB151" i="8"/>
  <c r="AA151" i="8"/>
  <c r="AG150" i="8"/>
  <c r="AF150" i="8"/>
  <c r="AE150" i="8"/>
  <c r="AD150" i="8"/>
  <c r="AC150" i="8"/>
  <c r="AB150" i="8"/>
  <c r="AA150" i="8"/>
  <c r="AG149" i="8"/>
  <c r="AF149" i="8"/>
  <c r="AE149" i="8"/>
  <c r="AD149" i="8"/>
  <c r="AC149" i="8"/>
  <c r="AB149" i="8"/>
  <c r="AA149" i="8"/>
  <c r="AG148" i="8"/>
  <c r="AF148" i="8"/>
  <c r="AE148" i="8"/>
  <c r="AD148" i="8"/>
  <c r="AC148" i="8"/>
  <c r="AB148" i="8"/>
  <c r="AA148" i="8"/>
  <c r="AG147" i="8"/>
  <c r="AF147" i="8"/>
  <c r="AE147" i="8"/>
  <c r="AD147" i="8"/>
  <c r="AC147" i="8"/>
  <c r="AB147" i="8"/>
  <c r="AA147" i="8"/>
  <c r="AG146" i="8"/>
  <c r="AF146" i="8"/>
  <c r="AE146" i="8"/>
  <c r="AD146" i="8"/>
  <c r="AC146" i="8"/>
  <c r="AB146" i="8"/>
  <c r="AA146" i="8"/>
  <c r="AG145" i="8"/>
  <c r="AF145" i="8"/>
  <c r="AE145" i="8"/>
  <c r="AD145" i="8"/>
  <c r="AC145" i="8"/>
  <c r="AB145" i="8"/>
  <c r="AA145" i="8"/>
  <c r="AG144" i="8"/>
  <c r="AF144" i="8"/>
  <c r="AE144" i="8"/>
  <c r="AD144" i="8"/>
  <c r="AC144" i="8"/>
  <c r="AB144" i="8"/>
  <c r="AA144" i="8"/>
  <c r="AG143" i="8"/>
  <c r="AF143" i="8"/>
  <c r="AE143" i="8"/>
  <c r="AD143" i="8"/>
  <c r="AC143" i="8"/>
  <c r="AB143" i="8"/>
  <c r="AA143" i="8"/>
  <c r="AG142" i="8"/>
  <c r="AF142" i="8"/>
  <c r="AE142" i="8"/>
  <c r="AD142" i="8"/>
  <c r="AC142" i="8"/>
  <c r="AB142" i="8"/>
  <c r="AA142" i="8"/>
  <c r="AG141" i="8"/>
  <c r="AF141" i="8"/>
  <c r="AE141" i="8"/>
  <c r="AD141" i="8"/>
  <c r="AC141" i="8"/>
  <c r="AB141" i="8"/>
  <c r="AA141" i="8"/>
  <c r="AG140" i="8"/>
  <c r="AF140" i="8"/>
  <c r="AE140" i="8"/>
  <c r="AD140" i="8"/>
  <c r="AC140" i="8"/>
  <c r="AB140" i="8"/>
  <c r="AA140" i="8"/>
  <c r="AG139" i="8"/>
  <c r="AF139" i="8"/>
  <c r="AE139" i="8"/>
  <c r="AD139" i="8"/>
  <c r="AC139" i="8"/>
  <c r="AB139" i="8"/>
  <c r="AA139" i="8"/>
  <c r="AG138" i="8"/>
  <c r="AF138" i="8"/>
  <c r="AE138" i="8"/>
  <c r="AD138" i="8"/>
  <c r="AC138" i="8"/>
  <c r="AB138" i="8"/>
  <c r="AA138" i="8"/>
  <c r="AG137" i="8"/>
  <c r="AF137" i="8"/>
  <c r="AE137" i="8"/>
  <c r="AD137" i="8"/>
  <c r="AC137" i="8"/>
  <c r="AB137" i="8"/>
  <c r="AA137" i="8"/>
  <c r="AG136" i="8"/>
  <c r="AF136" i="8"/>
  <c r="AE136" i="8"/>
  <c r="AD136" i="8"/>
  <c r="AC136" i="8"/>
  <c r="AB136" i="8"/>
  <c r="AA136" i="8"/>
  <c r="AG135" i="8"/>
  <c r="AF135" i="8"/>
  <c r="AE135" i="8"/>
  <c r="AD135" i="8"/>
  <c r="AC135" i="8"/>
  <c r="AB135" i="8"/>
  <c r="AA135" i="8"/>
  <c r="AG134" i="8"/>
  <c r="AF134" i="8"/>
  <c r="AE134" i="8"/>
  <c r="AD134" i="8"/>
  <c r="AC134" i="8"/>
  <c r="AB134" i="8"/>
  <c r="AA134" i="8"/>
  <c r="AG133" i="8"/>
  <c r="AF133" i="8"/>
  <c r="AE133" i="8"/>
  <c r="AD133" i="8"/>
  <c r="AC133" i="8"/>
  <c r="AB133" i="8"/>
  <c r="AA133" i="8"/>
  <c r="AG132" i="8"/>
  <c r="AF132" i="8"/>
  <c r="AE132" i="8"/>
  <c r="AD132" i="8"/>
  <c r="AC132" i="8"/>
  <c r="AB132" i="8"/>
  <c r="AA132" i="8"/>
  <c r="AG131" i="8"/>
  <c r="AF131" i="8"/>
  <c r="AE131" i="8"/>
  <c r="AD131" i="8"/>
  <c r="AC131" i="8"/>
  <c r="AB131" i="8"/>
  <c r="AA131" i="8"/>
  <c r="AG130" i="8"/>
  <c r="AF130" i="8"/>
  <c r="AE130" i="8"/>
  <c r="AD130" i="8"/>
  <c r="AC130" i="8"/>
  <c r="AB130" i="8"/>
  <c r="AA130" i="8"/>
  <c r="AG129" i="8"/>
  <c r="AF129" i="8"/>
  <c r="AE129" i="8"/>
  <c r="AD129" i="8"/>
  <c r="AC129" i="8"/>
  <c r="AB129" i="8"/>
  <c r="AA129" i="8"/>
  <c r="AG128" i="8"/>
  <c r="AF128" i="8"/>
  <c r="AE128" i="8"/>
  <c r="AD128" i="8"/>
  <c r="AC128" i="8"/>
  <c r="AB128" i="8"/>
  <c r="AA128" i="8"/>
  <c r="AG127" i="8"/>
  <c r="AF127" i="8"/>
  <c r="AE127" i="8"/>
  <c r="AD127" i="8"/>
  <c r="AC127" i="8"/>
  <c r="AB127" i="8"/>
  <c r="AA127" i="8"/>
  <c r="AG126" i="8"/>
  <c r="AF126" i="8"/>
  <c r="AE126" i="8"/>
  <c r="AD126" i="8"/>
  <c r="AC126" i="8"/>
  <c r="AB126" i="8"/>
  <c r="AA126" i="8"/>
  <c r="AG125" i="8"/>
  <c r="AF125" i="8"/>
  <c r="AE125" i="8"/>
  <c r="AD125" i="8"/>
  <c r="AC125" i="8"/>
  <c r="AB125" i="8"/>
  <c r="AA125" i="8"/>
  <c r="AG124" i="8"/>
  <c r="AF124" i="8"/>
  <c r="AE124" i="8"/>
  <c r="AD124" i="8"/>
  <c r="AC124" i="8"/>
  <c r="AB124" i="8"/>
  <c r="AA124" i="8"/>
  <c r="AG123" i="8"/>
  <c r="AF123" i="8"/>
  <c r="AE123" i="8"/>
  <c r="AD123" i="8"/>
  <c r="AC123" i="8"/>
  <c r="AB123" i="8"/>
  <c r="AA123" i="8"/>
  <c r="AA92" i="8"/>
  <c r="AB92" i="8"/>
  <c r="AC92" i="8"/>
  <c r="AD92" i="8"/>
  <c r="AE92" i="8"/>
  <c r="AF92" i="8"/>
  <c r="AG92" i="8"/>
  <c r="AA93" i="8"/>
  <c r="AB93" i="8"/>
  <c r="AC93" i="8"/>
  <c r="AD93" i="8"/>
  <c r="AE93" i="8"/>
  <c r="AF93" i="8"/>
  <c r="AG93" i="8"/>
  <c r="AA94" i="8"/>
  <c r="AB94" i="8"/>
  <c r="AC94" i="8"/>
  <c r="AD94" i="8"/>
  <c r="AE94" i="8"/>
  <c r="AF94" i="8"/>
  <c r="AG94" i="8"/>
  <c r="AA95" i="8"/>
  <c r="AB95" i="8"/>
  <c r="AC95" i="8"/>
  <c r="AD95" i="8"/>
  <c r="AE95" i="8"/>
  <c r="AF95" i="8"/>
  <c r="AG95" i="8"/>
  <c r="AA96" i="8"/>
  <c r="AB96" i="8"/>
  <c r="AC96" i="8"/>
  <c r="AD96" i="8"/>
  <c r="AE96" i="8"/>
  <c r="AF96" i="8"/>
  <c r="AG96" i="8"/>
  <c r="AA97" i="8"/>
  <c r="AB97" i="8"/>
  <c r="AC97" i="8"/>
  <c r="AD97" i="8"/>
  <c r="AE97" i="8"/>
  <c r="AF97" i="8"/>
  <c r="AG97" i="8"/>
  <c r="AA98" i="8"/>
  <c r="AB98" i="8"/>
  <c r="AC98" i="8"/>
  <c r="AD98" i="8"/>
  <c r="AE98" i="8"/>
  <c r="AF98" i="8"/>
  <c r="AG98" i="8"/>
  <c r="AA99" i="8"/>
  <c r="AB99" i="8"/>
  <c r="AC99" i="8"/>
  <c r="AD99" i="8"/>
  <c r="AE99" i="8"/>
  <c r="AF99" i="8"/>
  <c r="AG99" i="8"/>
  <c r="AA100" i="8"/>
  <c r="AB100" i="8"/>
  <c r="AC100" i="8"/>
  <c r="AD100" i="8"/>
  <c r="AE100" i="8"/>
  <c r="AF100" i="8"/>
  <c r="AG100" i="8"/>
  <c r="AA101" i="8"/>
  <c r="AB101" i="8"/>
  <c r="AC101" i="8"/>
  <c r="AD101" i="8"/>
  <c r="AE101" i="8"/>
  <c r="AF101" i="8"/>
  <c r="AG101" i="8"/>
  <c r="AA102" i="8"/>
  <c r="AB102" i="8"/>
  <c r="AC102" i="8"/>
  <c r="AD102" i="8"/>
  <c r="AE102" i="8"/>
  <c r="AF102" i="8"/>
  <c r="AG102" i="8"/>
  <c r="AA103" i="8"/>
  <c r="AB103" i="8"/>
  <c r="AC103" i="8"/>
  <c r="AD103" i="8"/>
  <c r="AE103" i="8"/>
  <c r="AF103" i="8"/>
  <c r="AG103" i="8"/>
  <c r="AA104" i="8"/>
  <c r="AB104" i="8"/>
  <c r="AC104" i="8"/>
  <c r="AD104" i="8"/>
  <c r="AE104" i="8"/>
  <c r="AF104" i="8"/>
  <c r="AG104" i="8"/>
  <c r="AA105" i="8"/>
  <c r="AB105" i="8"/>
  <c r="AC105" i="8"/>
  <c r="AD105" i="8"/>
  <c r="AE105" i="8"/>
  <c r="AF105" i="8"/>
  <c r="AG105" i="8"/>
  <c r="AA106" i="8"/>
  <c r="AB106" i="8"/>
  <c r="AC106" i="8"/>
  <c r="AD106" i="8"/>
  <c r="AE106" i="8"/>
  <c r="AF106" i="8"/>
  <c r="AG106" i="8"/>
  <c r="AA107" i="8"/>
  <c r="AB107" i="8"/>
  <c r="AC107" i="8"/>
  <c r="AD107" i="8"/>
  <c r="AE107" i="8"/>
  <c r="AF107" i="8"/>
  <c r="AG107" i="8"/>
  <c r="AA108" i="8"/>
  <c r="AB108" i="8"/>
  <c r="AC108" i="8"/>
  <c r="AD108" i="8"/>
  <c r="AE108" i="8"/>
  <c r="AF108" i="8"/>
  <c r="AG108" i="8"/>
  <c r="AA109" i="8"/>
  <c r="AB109" i="8"/>
  <c r="AC109" i="8"/>
  <c r="AD109" i="8"/>
  <c r="AE109" i="8"/>
  <c r="AF109" i="8"/>
  <c r="AG109" i="8"/>
  <c r="AA110" i="8"/>
  <c r="AB110" i="8"/>
  <c r="AC110" i="8"/>
  <c r="AD110" i="8"/>
  <c r="AE110" i="8"/>
  <c r="AF110" i="8"/>
  <c r="AG110" i="8"/>
  <c r="AA111" i="8"/>
  <c r="AB111" i="8"/>
  <c r="AC111" i="8"/>
  <c r="AD111" i="8"/>
  <c r="AE111" i="8"/>
  <c r="AF111" i="8"/>
  <c r="AG111" i="8"/>
  <c r="AA112" i="8"/>
  <c r="AB112" i="8"/>
  <c r="AC112" i="8"/>
  <c r="AD112" i="8"/>
  <c r="AE112" i="8"/>
  <c r="AF112" i="8"/>
  <c r="AG112" i="8"/>
  <c r="AA113" i="8"/>
  <c r="AB113" i="8"/>
  <c r="AC113" i="8"/>
  <c r="AD113" i="8"/>
  <c r="AE113" i="8"/>
  <c r="AF113" i="8"/>
  <c r="AG113" i="8"/>
  <c r="AA114" i="8"/>
  <c r="AB114" i="8"/>
  <c r="AC114" i="8"/>
  <c r="AD114" i="8"/>
  <c r="AE114" i="8"/>
  <c r="AF114" i="8"/>
  <c r="AG114" i="8"/>
  <c r="AA115" i="8"/>
  <c r="AB115" i="8"/>
  <c r="AC115" i="8"/>
  <c r="AD115" i="8"/>
  <c r="AE115" i="8"/>
  <c r="AF115" i="8"/>
  <c r="AG115" i="8"/>
  <c r="AA116" i="8"/>
  <c r="AB116" i="8"/>
  <c r="AC116" i="8"/>
  <c r="AD116" i="8"/>
  <c r="AE116" i="8"/>
  <c r="AF116" i="8"/>
  <c r="AG116" i="8"/>
  <c r="AA117" i="8"/>
  <c r="AB117" i="8"/>
  <c r="AC117" i="8"/>
  <c r="AD117" i="8"/>
  <c r="AE117" i="8"/>
  <c r="AF117" i="8"/>
  <c r="AG117" i="8"/>
  <c r="AA118" i="8"/>
  <c r="AB118" i="8"/>
  <c r="AC118" i="8"/>
  <c r="AD118" i="8"/>
  <c r="AE118" i="8"/>
  <c r="AF118" i="8"/>
  <c r="AG118" i="8"/>
  <c r="AA119" i="8"/>
  <c r="AB119" i="8"/>
  <c r="AC119" i="8"/>
  <c r="AD119" i="8"/>
  <c r="AE119" i="8"/>
  <c r="AF119" i="8"/>
  <c r="AG119" i="8"/>
  <c r="AA120" i="8"/>
  <c r="AB120" i="8"/>
  <c r="AC120" i="8"/>
  <c r="AD120" i="8"/>
  <c r="AE120" i="8"/>
  <c r="AF120" i="8"/>
  <c r="AG120" i="8"/>
  <c r="AA121" i="8"/>
  <c r="AB121" i="8"/>
  <c r="AC121" i="8"/>
  <c r="AD121" i="8"/>
  <c r="AE121" i="8"/>
  <c r="AF121" i="8"/>
  <c r="AG121" i="8"/>
  <c r="AG91" i="8"/>
  <c r="AF91" i="8"/>
  <c r="AE91" i="8"/>
  <c r="AD91" i="8"/>
  <c r="AC91" i="8"/>
  <c r="AB91" i="8"/>
  <c r="AA91" i="8"/>
  <c r="AG90" i="8"/>
  <c r="AF90" i="8"/>
  <c r="AE90" i="8"/>
  <c r="AD90" i="8"/>
  <c r="AC90" i="8"/>
  <c r="AB90" i="8"/>
  <c r="AA90" i="8"/>
  <c r="AG89" i="8"/>
  <c r="AF89" i="8"/>
  <c r="AE89" i="8"/>
  <c r="AD89" i="8"/>
  <c r="AC89" i="8"/>
  <c r="AB89" i="8"/>
  <c r="AA89" i="8"/>
  <c r="AA71" i="8"/>
  <c r="AB71" i="8"/>
  <c r="AC71" i="8"/>
  <c r="AD71" i="8"/>
  <c r="AE71" i="8"/>
  <c r="AF71" i="8"/>
  <c r="AG71" i="8"/>
  <c r="AA72" i="8"/>
  <c r="AB72" i="8"/>
  <c r="AC72" i="8"/>
  <c r="AD72" i="8"/>
  <c r="AE72" i="8"/>
  <c r="AF72" i="8"/>
  <c r="AG72" i="8"/>
  <c r="AA73" i="8"/>
  <c r="AB73" i="8"/>
  <c r="AC73" i="8"/>
  <c r="AD73" i="8"/>
  <c r="AE73" i="8"/>
  <c r="AF73" i="8"/>
  <c r="AG73" i="8"/>
  <c r="AA74" i="8"/>
  <c r="AB74" i="8"/>
  <c r="AC74" i="8"/>
  <c r="AD74" i="8"/>
  <c r="AE74" i="8"/>
  <c r="AF74" i="8"/>
  <c r="AG74" i="8"/>
  <c r="AA75" i="8"/>
  <c r="AB75" i="8"/>
  <c r="AC75" i="8"/>
  <c r="AD75" i="8"/>
  <c r="AE75" i="8"/>
  <c r="AF75" i="8"/>
  <c r="AG75" i="8"/>
  <c r="AA76" i="8"/>
  <c r="AB76" i="8"/>
  <c r="AC76" i="8"/>
  <c r="AD76" i="8"/>
  <c r="AE76" i="8"/>
  <c r="AF76" i="8"/>
  <c r="AG76" i="8"/>
  <c r="AA77" i="8"/>
  <c r="AB77" i="8"/>
  <c r="AC77" i="8"/>
  <c r="AD77" i="8"/>
  <c r="AE77" i="8"/>
  <c r="AF77" i="8"/>
  <c r="AG77" i="8"/>
  <c r="AA78" i="8"/>
  <c r="AB78" i="8"/>
  <c r="AC78" i="8"/>
  <c r="AD78" i="8"/>
  <c r="AE78" i="8"/>
  <c r="AF78" i="8"/>
  <c r="AG78" i="8"/>
  <c r="AA79" i="8"/>
  <c r="AB79" i="8"/>
  <c r="AC79" i="8"/>
  <c r="AD79" i="8"/>
  <c r="AE79" i="8"/>
  <c r="AF79" i="8"/>
  <c r="AG79" i="8"/>
  <c r="AA80" i="8"/>
  <c r="AB80" i="8"/>
  <c r="AC80" i="8"/>
  <c r="AD80" i="8"/>
  <c r="AE80" i="8"/>
  <c r="AF80" i="8"/>
  <c r="AG80" i="8"/>
  <c r="AA81" i="8"/>
  <c r="AB81" i="8"/>
  <c r="AC81" i="8"/>
  <c r="AD81" i="8"/>
  <c r="AE81" i="8"/>
  <c r="AF81" i="8"/>
  <c r="AG81" i="8"/>
  <c r="AA82" i="8"/>
  <c r="AB82" i="8"/>
  <c r="AC82" i="8"/>
  <c r="AD82" i="8"/>
  <c r="AE82" i="8"/>
  <c r="AF82" i="8"/>
  <c r="AG82" i="8"/>
  <c r="AA83" i="8"/>
  <c r="AB83" i="8"/>
  <c r="AC83" i="8"/>
  <c r="AD83" i="8"/>
  <c r="AE83" i="8"/>
  <c r="AF83" i="8"/>
  <c r="AG83" i="8"/>
  <c r="AA84" i="8"/>
  <c r="AB84" i="8"/>
  <c r="AC84" i="8"/>
  <c r="AD84" i="8"/>
  <c r="AE84" i="8"/>
  <c r="AF84" i="8"/>
  <c r="AG84" i="8"/>
  <c r="AA85" i="8"/>
  <c r="AB85" i="8"/>
  <c r="AC85" i="8"/>
  <c r="AD85" i="8"/>
  <c r="AE85" i="8"/>
  <c r="AF85" i="8"/>
  <c r="AG85" i="8"/>
  <c r="AA86" i="8"/>
  <c r="AB86" i="8"/>
  <c r="AC86" i="8"/>
  <c r="AD86" i="8"/>
  <c r="AE86" i="8"/>
  <c r="AF86" i="8"/>
  <c r="AG86" i="8"/>
  <c r="AA87" i="8"/>
  <c r="AB87" i="8"/>
  <c r="AC87" i="8"/>
  <c r="AD87" i="8"/>
  <c r="AE87" i="8"/>
  <c r="AF87" i="8"/>
  <c r="AG87" i="8"/>
  <c r="AB70" i="8"/>
  <c r="AC70" i="8"/>
  <c r="AD70" i="8"/>
  <c r="AE70" i="8"/>
  <c r="AF70" i="8"/>
  <c r="AG70" i="8"/>
  <c r="AA70" i="8"/>
  <c r="Y189" i="8"/>
  <c r="X189" i="8"/>
  <c r="W189" i="8"/>
  <c r="V189" i="8"/>
  <c r="U189" i="8"/>
  <c r="T189" i="8"/>
  <c r="S189" i="8"/>
  <c r="Y188" i="8"/>
  <c r="X188" i="8"/>
  <c r="W188" i="8"/>
  <c r="V188" i="8"/>
  <c r="U188" i="8"/>
  <c r="T188" i="8"/>
  <c r="S188" i="8"/>
  <c r="Y187" i="8"/>
  <c r="X187" i="8"/>
  <c r="W187" i="8"/>
  <c r="V187" i="8"/>
  <c r="U187" i="8"/>
  <c r="T187" i="8"/>
  <c r="S187" i="8"/>
  <c r="Y186" i="8"/>
  <c r="X186" i="8"/>
  <c r="W186" i="8"/>
  <c r="V186" i="8"/>
  <c r="U186" i="8"/>
  <c r="T186" i="8"/>
  <c r="S186" i="8"/>
  <c r="Y185" i="8"/>
  <c r="X185" i="8"/>
  <c r="W185" i="8"/>
  <c r="V185" i="8"/>
  <c r="U185" i="8"/>
  <c r="T185" i="8"/>
  <c r="S185" i="8"/>
  <c r="Y184" i="8"/>
  <c r="X184" i="8"/>
  <c r="W184" i="8"/>
  <c r="V184" i="8"/>
  <c r="U184" i="8"/>
  <c r="T184" i="8"/>
  <c r="S184" i="8"/>
  <c r="Y183" i="8"/>
  <c r="X183" i="8"/>
  <c r="W183" i="8"/>
  <c r="V183" i="8"/>
  <c r="U183" i="8"/>
  <c r="T183" i="8"/>
  <c r="S183" i="8"/>
  <c r="Y182" i="8"/>
  <c r="X182" i="8"/>
  <c r="W182" i="8"/>
  <c r="V182" i="8"/>
  <c r="U182" i="8"/>
  <c r="T182" i="8"/>
  <c r="S182" i="8"/>
  <c r="Y181" i="8"/>
  <c r="X181" i="8"/>
  <c r="W181" i="8"/>
  <c r="V181" i="8"/>
  <c r="U181" i="8"/>
  <c r="T181" i="8"/>
  <c r="S181" i="8"/>
  <c r="Y180" i="8"/>
  <c r="X180" i="8"/>
  <c r="W180" i="8"/>
  <c r="V180" i="8"/>
  <c r="U180" i="8"/>
  <c r="T180" i="8"/>
  <c r="S180" i="8"/>
  <c r="Y179" i="8"/>
  <c r="X179" i="8"/>
  <c r="W179" i="8"/>
  <c r="V179" i="8"/>
  <c r="U179" i="8"/>
  <c r="T179" i="8"/>
  <c r="S179" i="8"/>
  <c r="Y178" i="8"/>
  <c r="X178" i="8"/>
  <c r="W178" i="8"/>
  <c r="V178" i="8"/>
  <c r="U178" i="8"/>
  <c r="T178" i="8"/>
  <c r="S178" i="8"/>
  <c r="Y177" i="8"/>
  <c r="X177" i="8"/>
  <c r="W177" i="8"/>
  <c r="V177" i="8"/>
  <c r="U177" i="8"/>
  <c r="T177" i="8"/>
  <c r="S177" i="8"/>
  <c r="Y176" i="8"/>
  <c r="X176" i="8"/>
  <c r="W176" i="8"/>
  <c r="V176" i="8"/>
  <c r="U176" i="8"/>
  <c r="T176" i="8"/>
  <c r="S176" i="8"/>
  <c r="Y175" i="8"/>
  <c r="X175" i="8"/>
  <c r="W175" i="8"/>
  <c r="V175" i="8"/>
  <c r="U175" i="8"/>
  <c r="T175" i="8"/>
  <c r="S175" i="8"/>
  <c r="Y174" i="8"/>
  <c r="X174" i="8"/>
  <c r="W174" i="8"/>
  <c r="V174" i="8"/>
  <c r="U174" i="8"/>
  <c r="T174" i="8"/>
  <c r="S174" i="8"/>
  <c r="Y173" i="8"/>
  <c r="X173" i="8"/>
  <c r="W173" i="8"/>
  <c r="V173" i="8"/>
  <c r="U173" i="8"/>
  <c r="T173" i="8"/>
  <c r="S173" i="8"/>
  <c r="Y172" i="8"/>
  <c r="X172" i="8"/>
  <c r="W172" i="8"/>
  <c r="V172" i="8"/>
  <c r="U172" i="8"/>
  <c r="T172" i="8"/>
  <c r="S172" i="8"/>
  <c r="Y171" i="8"/>
  <c r="X171" i="8"/>
  <c r="W171" i="8"/>
  <c r="V171" i="8"/>
  <c r="U171" i="8"/>
  <c r="T171" i="8"/>
  <c r="S171" i="8"/>
  <c r="Y170" i="8"/>
  <c r="X170" i="8"/>
  <c r="W170" i="8"/>
  <c r="V170" i="8"/>
  <c r="U170" i="8"/>
  <c r="T170" i="8"/>
  <c r="S170" i="8"/>
  <c r="Y169" i="8"/>
  <c r="X169" i="8"/>
  <c r="W169" i="8"/>
  <c r="V169" i="8"/>
  <c r="U169" i="8"/>
  <c r="T169" i="8"/>
  <c r="S169" i="8"/>
  <c r="Y168" i="8"/>
  <c r="X168" i="8"/>
  <c r="W168" i="8"/>
  <c r="V168" i="8"/>
  <c r="U168" i="8"/>
  <c r="T168" i="8"/>
  <c r="S168" i="8"/>
  <c r="Y167" i="8"/>
  <c r="X167" i="8"/>
  <c r="W167" i="8"/>
  <c r="V167" i="8"/>
  <c r="U167" i="8"/>
  <c r="T167" i="8"/>
  <c r="S167" i="8"/>
  <c r="Y166" i="8"/>
  <c r="X166" i="8"/>
  <c r="W166" i="8"/>
  <c r="V166" i="8"/>
  <c r="U166" i="8"/>
  <c r="T166" i="8"/>
  <c r="S166" i="8"/>
  <c r="Y165" i="8"/>
  <c r="X165" i="8"/>
  <c r="W165" i="8"/>
  <c r="V165" i="8"/>
  <c r="U165" i="8"/>
  <c r="T165" i="8"/>
  <c r="S165" i="8"/>
  <c r="Y164" i="8"/>
  <c r="X164" i="8"/>
  <c r="W164" i="8"/>
  <c r="V164" i="8"/>
  <c r="U164" i="8"/>
  <c r="T164" i="8"/>
  <c r="S164" i="8"/>
  <c r="Y163" i="8"/>
  <c r="X163" i="8"/>
  <c r="W163" i="8"/>
  <c r="V163" i="8"/>
  <c r="U163" i="8"/>
  <c r="T163" i="8"/>
  <c r="S163" i="8"/>
  <c r="Y162" i="8"/>
  <c r="X162" i="8"/>
  <c r="W162" i="8"/>
  <c r="V162" i="8"/>
  <c r="U162" i="8"/>
  <c r="T162" i="8"/>
  <c r="S162" i="8"/>
  <c r="Y161" i="8"/>
  <c r="X161" i="8"/>
  <c r="W161" i="8"/>
  <c r="V161" i="8"/>
  <c r="U161" i="8"/>
  <c r="T161" i="8"/>
  <c r="S161" i="8"/>
  <c r="Y160" i="8"/>
  <c r="X160" i="8"/>
  <c r="W160" i="8"/>
  <c r="V160" i="8"/>
  <c r="U160" i="8"/>
  <c r="T160" i="8"/>
  <c r="S160" i="8"/>
  <c r="Y159" i="8"/>
  <c r="X159" i="8"/>
  <c r="W159" i="8"/>
  <c r="V159" i="8"/>
  <c r="U159" i="8"/>
  <c r="T159" i="8"/>
  <c r="S159" i="8"/>
  <c r="Y158" i="8"/>
  <c r="X158" i="8"/>
  <c r="W158" i="8"/>
  <c r="V158" i="8"/>
  <c r="U158" i="8"/>
  <c r="T158" i="8"/>
  <c r="S158" i="8"/>
  <c r="Y157" i="8"/>
  <c r="X157" i="8"/>
  <c r="W157" i="8"/>
  <c r="V157" i="8"/>
  <c r="U157" i="8"/>
  <c r="T157" i="8"/>
  <c r="S157" i="8"/>
  <c r="Y155" i="8"/>
  <c r="X155" i="8"/>
  <c r="W155" i="8"/>
  <c r="V155" i="8"/>
  <c r="U155" i="8"/>
  <c r="T155" i="8"/>
  <c r="S155" i="8"/>
  <c r="Y154" i="8"/>
  <c r="X154" i="8"/>
  <c r="W154" i="8"/>
  <c r="V154" i="8"/>
  <c r="U154" i="8"/>
  <c r="T154" i="8"/>
  <c r="S154" i="8"/>
  <c r="Y153" i="8"/>
  <c r="X153" i="8"/>
  <c r="W153" i="8"/>
  <c r="V153" i="8"/>
  <c r="U153" i="8"/>
  <c r="T153" i="8"/>
  <c r="S153" i="8"/>
  <c r="Y152" i="8"/>
  <c r="X152" i="8"/>
  <c r="W152" i="8"/>
  <c r="V152" i="8"/>
  <c r="U152" i="8"/>
  <c r="T152" i="8"/>
  <c r="S152" i="8"/>
  <c r="Y151" i="8"/>
  <c r="X151" i="8"/>
  <c r="W151" i="8"/>
  <c r="V151" i="8"/>
  <c r="U151" i="8"/>
  <c r="T151" i="8"/>
  <c r="S151" i="8"/>
  <c r="Y150" i="8"/>
  <c r="X150" i="8"/>
  <c r="W150" i="8"/>
  <c r="V150" i="8"/>
  <c r="U150" i="8"/>
  <c r="T150" i="8"/>
  <c r="S150" i="8"/>
  <c r="Y149" i="8"/>
  <c r="X149" i="8"/>
  <c r="W149" i="8"/>
  <c r="V149" i="8"/>
  <c r="U149" i="8"/>
  <c r="T149" i="8"/>
  <c r="S149" i="8"/>
  <c r="Y148" i="8"/>
  <c r="X148" i="8"/>
  <c r="W148" i="8"/>
  <c r="V148" i="8"/>
  <c r="U148" i="8"/>
  <c r="T148" i="8"/>
  <c r="S148" i="8"/>
  <c r="Y147" i="8"/>
  <c r="X147" i="8"/>
  <c r="W147" i="8"/>
  <c r="V147" i="8"/>
  <c r="U147" i="8"/>
  <c r="T147" i="8"/>
  <c r="S147" i="8"/>
  <c r="Y146" i="8"/>
  <c r="X146" i="8"/>
  <c r="W146" i="8"/>
  <c r="V146" i="8"/>
  <c r="U146" i="8"/>
  <c r="T146" i="8"/>
  <c r="S146" i="8"/>
  <c r="Y145" i="8"/>
  <c r="X145" i="8"/>
  <c r="W145" i="8"/>
  <c r="V145" i="8"/>
  <c r="U145" i="8"/>
  <c r="T145" i="8"/>
  <c r="S145" i="8"/>
  <c r="Y144" i="8"/>
  <c r="X144" i="8"/>
  <c r="W144" i="8"/>
  <c r="V144" i="8"/>
  <c r="U144" i="8"/>
  <c r="T144" i="8"/>
  <c r="S144" i="8"/>
  <c r="Y143" i="8"/>
  <c r="X143" i="8"/>
  <c r="W143" i="8"/>
  <c r="V143" i="8"/>
  <c r="U143" i="8"/>
  <c r="T143" i="8"/>
  <c r="S143" i="8"/>
  <c r="Y142" i="8"/>
  <c r="X142" i="8"/>
  <c r="W142" i="8"/>
  <c r="V142" i="8"/>
  <c r="U142" i="8"/>
  <c r="T142" i="8"/>
  <c r="S142" i="8"/>
  <c r="Y141" i="8"/>
  <c r="X141" i="8"/>
  <c r="W141" i="8"/>
  <c r="V141" i="8"/>
  <c r="U141" i="8"/>
  <c r="T141" i="8"/>
  <c r="S141" i="8"/>
  <c r="Y140" i="8"/>
  <c r="X140" i="8"/>
  <c r="W140" i="8"/>
  <c r="V140" i="8"/>
  <c r="U140" i="8"/>
  <c r="T140" i="8"/>
  <c r="S140" i="8"/>
  <c r="Y139" i="8"/>
  <c r="X139" i="8"/>
  <c r="W139" i="8"/>
  <c r="V139" i="8"/>
  <c r="U139" i="8"/>
  <c r="T139" i="8"/>
  <c r="S139" i="8"/>
  <c r="Y138" i="8"/>
  <c r="X138" i="8"/>
  <c r="W138" i="8"/>
  <c r="V138" i="8"/>
  <c r="U138" i="8"/>
  <c r="T138" i="8"/>
  <c r="S138" i="8"/>
  <c r="Y137" i="8"/>
  <c r="X137" i="8"/>
  <c r="W137" i="8"/>
  <c r="V137" i="8"/>
  <c r="U137" i="8"/>
  <c r="T137" i="8"/>
  <c r="S137" i="8"/>
  <c r="Y136" i="8"/>
  <c r="X136" i="8"/>
  <c r="W136" i="8"/>
  <c r="V136" i="8"/>
  <c r="U136" i="8"/>
  <c r="T136" i="8"/>
  <c r="S136" i="8"/>
  <c r="Y135" i="8"/>
  <c r="X135" i="8"/>
  <c r="W135" i="8"/>
  <c r="V135" i="8"/>
  <c r="U135" i="8"/>
  <c r="T135" i="8"/>
  <c r="S135" i="8"/>
  <c r="Y134" i="8"/>
  <c r="X134" i="8"/>
  <c r="W134" i="8"/>
  <c r="V134" i="8"/>
  <c r="U134" i="8"/>
  <c r="T134" i="8"/>
  <c r="S134" i="8"/>
  <c r="Y133" i="8"/>
  <c r="X133" i="8"/>
  <c r="W133" i="8"/>
  <c r="V133" i="8"/>
  <c r="U133" i="8"/>
  <c r="T133" i="8"/>
  <c r="S133" i="8"/>
  <c r="Y132" i="8"/>
  <c r="X132" i="8"/>
  <c r="W132" i="8"/>
  <c r="V132" i="8"/>
  <c r="U132" i="8"/>
  <c r="T132" i="8"/>
  <c r="S132" i="8"/>
  <c r="Y131" i="8"/>
  <c r="X131" i="8"/>
  <c r="W131" i="8"/>
  <c r="V131" i="8"/>
  <c r="U131" i="8"/>
  <c r="T131" i="8"/>
  <c r="S131" i="8"/>
  <c r="Y130" i="8"/>
  <c r="X130" i="8"/>
  <c r="W130" i="8"/>
  <c r="V130" i="8"/>
  <c r="U130" i="8"/>
  <c r="T130" i="8"/>
  <c r="S130" i="8"/>
  <c r="Y129" i="8"/>
  <c r="X129" i="8"/>
  <c r="W129" i="8"/>
  <c r="V129" i="8"/>
  <c r="U129" i="8"/>
  <c r="T129" i="8"/>
  <c r="S129" i="8"/>
  <c r="Y128" i="8"/>
  <c r="X128" i="8"/>
  <c r="W128" i="8"/>
  <c r="V128" i="8"/>
  <c r="U128" i="8"/>
  <c r="T128" i="8"/>
  <c r="S128" i="8"/>
  <c r="Y127" i="8"/>
  <c r="X127" i="8"/>
  <c r="W127" i="8"/>
  <c r="V127" i="8"/>
  <c r="U127" i="8"/>
  <c r="T127" i="8"/>
  <c r="S127" i="8"/>
  <c r="Y126" i="8"/>
  <c r="X126" i="8"/>
  <c r="W126" i="8"/>
  <c r="V126" i="8"/>
  <c r="U126" i="8"/>
  <c r="T126" i="8"/>
  <c r="S126" i="8"/>
  <c r="Y125" i="8"/>
  <c r="X125" i="8"/>
  <c r="W125" i="8"/>
  <c r="V125" i="8"/>
  <c r="U125" i="8"/>
  <c r="T125" i="8"/>
  <c r="S125" i="8"/>
  <c r="Y124" i="8"/>
  <c r="X124" i="8"/>
  <c r="W124" i="8"/>
  <c r="V124" i="8"/>
  <c r="U124" i="8"/>
  <c r="T124" i="8"/>
  <c r="S124" i="8"/>
  <c r="Y123" i="8"/>
  <c r="X123" i="8"/>
  <c r="W123" i="8"/>
  <c r="V123" i="8"/>
  <c r="U123" i="8"/>
  <c r="T123" i="8"/>
  <c r="S123" i="8"/>
  <c r="S90" i="8"/>
  <c r="T90" i="8"/>
  <c r="U90" i="8"/>
  <c r="V90" i="8"/>
  <c r="W90" i="8"/>
  <c r="X90" i="8"/>
  <c r="Y90" i="8"/>
  <c r="S91" i="8"/>
  <c r="T91" i="8"/>
  <c r="U91" i="8"/>
  <c r="V91" i="8"/>
  <c r="W91" i="8"/>
  <c r="X91" i="8"/>
  <c r="Y91" i="8"/>
  <c r="S92" i="8"/>
  <c r="T92" i="8"/>
  <c r="U92" i="8"/>
  <c r="V92" i="8"/>
  <c r="W92" i="8"/>
  <c r="X92" i="8"/>
  <c r="Y92" i="8"/>
  <c r="S93" i="8"/>
  <c r="T93" i="8"/>
  <c r="U93" i="8"/>
  <c r="V93" i="8"/>
  <c r="W93" i="8"/>
  <c r="X93" i="8"/>
  <c r="Y93" i="8"/>
  <c r="S94" i="8"/>
  <c r="T94" i="8"/>
  <c r="U94" i="8"/>
  <c r="V94" i="8"/>
  <c r="W94" i="8"/>
  <c r="X94" i="8"/>
  <c r="Y94" i="8"/>
  <c r="S95" i="8"/>
  <c r="T95" i="8"/>
  <c r="U95" i="8"/>
  <c r="V95" i="8"/>
  <c r="W95" i="8"/>
  <c r="X95" i="8"/>
  <c r="Y95" i="8"/>
  <c r="S96" i="8"/>
  <c r="T96" i="8"/>
  <c r="U96" i="8"/>
  <c r="V96" i="8"/>
  <c r="W96" i="8"/>
  <c r="X96" i="8"/>
  <c r="Y96" i="8"/>
  <c r="S97" i="8"/>
  <c r="T97" i="8"/>
  <c r="U97" i="8"/>
  <c r="V97" i="8"/>
  <c r="W97" i="8"/>
  <c r="X97" i="8"/>
  <c r="Y97" i="8"/>
  <c r="S98" i="8"/>
  <c r="T98" i="8"/>
  <c r="U98" i="8"/>
  <c r="V98" i="8"/>
  <c r="W98" i="8"/>
  <c r="X98" i="8"/>
  <c r="Y98" i="8"/>
  <c r="S99" i="8"/>
  <c r="T99" i="8"/>
  <c r="U99" i="8"/>
  <c r="V99" i="8"/>
  <c r="W99" i="8"/>
  <c r="X99" i="8"/>
  <c r="Y99" i="8"/>
  <c r="S100" i="8"/>
  <c r="T100" i="8"/>
  <c r="U100" i="8"/>
  <c r="V100" i="8"/>
  <c r="W100" i="8"/>
  <c r="X100" i="8"/>
  <c r="Y100" i="8"/>
  <c r="S101" i="8"/>
  <c r="T101" i="8"/>
  <c r="U101" i="8"/>
  <c r="V101" i="8"/>
  <c r="W101" i="8"/>
  <c r="X101" i="8"/>
  <c r="Y101" i="8"/>
  <c r="S102" i="8"/>
  <c r="T102" i="8"/>
  <c r="U102" i="8"/>
  <c r="V102" i="8"/>
  <c r="W102" i="8"/>
  <c r="X102" i="8"/>
  <c r="Y102" i="8"/>
  <c r="S103" i="8"/>
  <c r="T103" i="8"/>
  <c r="U103" i="8"/>
  <c r="V103" i="8"/>
  <c r="W103" i="8"/>
  <c r="X103" i="8"/>
  <c r="Y103" i="8"/>
  <c r="S104" i="8"/>
  <c r="T104" i="8"/>
  <c r="U104" i="8"/>
  <c r="V104" i="8"/>
  <c r="W104" i="8"/>
  <c r="X104" i="8"/>
  <c r="Y104" i="8"/>
  <c r="S105" i="8"/>
  <c r="T105" i="8"/>
  <c r="U105" i="8"/>
  <c r="V105" i="8"/>
  <c r="W105" i="8"/>
  <c r="X105" i="8"/>
  <c r="Y105" i="8"/>
  <c r="S106" i="8"/>
  <c r="T106" i="8"/>
  <c r="U106" i="8"/>
  <c r="V106" i="8"/>
  <c r="W106" i="8"/>
  <c r="X106" i="8"/>
  <c r="Y106" i="8"/>
  <c r="S107" i="8"/>
  <c r="T107" i="8"/>
  <c r="U107" i="8"/>
  <c r="V107" i="8"/>
  <c r="W107" i="8"/>
  <c r="X107" i="8"/>
  <c r="Y107" i="8"/>
  <c r="S108" i="8"/>
  <c r="T108" i="8"/>
  <c r="U108" i="8"/>
  <c r="V108" i="8"/>
  <c r="W108" i="8"/>
  <c r="X108" i="8"/>
  <c r="Y108" i="8"/>
  <c r="S109" i="8"/>
  <c r="T109" i="8"/>
  <c r="U109" i="8"/>
  <c r="V109" i="8"/>
  <c r="W109" i="8"/>
  <c r="X109" i="8"/>
  <c r="Y109" i="8"/>
  <c r="S110" i="8"/>
  <c r="T110" i="8"/>
  <c r="U110" i="8"/>
  <c r="V110" i="8"/>
  <c r="W110" i="8"/>
  <c r="X110" i="8"/>
  <c r="Y110" i="8"/>
  <c r="S111" i="8"/>
  <c r="T111" i="8"/>
  <c r="U111" i="8"/>
  <c r="V111" i="8"/>
  <c r="W111" i="8"/>
  <c r="X111" i="8"/>
  <c r="Y111" i="8"/>
  <c r="S112" i="8"/>
  <c r="T112" i="8"/>
  <c r="U112" i="8"/>
  <c r="V112" i="8"/>
  <c r="W112" i="8"/>
  <c r="X112" i="8"/>
  <c r="Y112" i="8"/>
  <c r="S113" i="8"/>
  <c r="T113" i="8"/>
  <c r="U113" i="8"/>
  <c r="V113" i="8"/>
  <c r="W113" i="8"/>
  <c r="X113" i="8"/>
  <c r="Y113" i="8"/>
  <c r="S114" i="8"/>
  <c r="T114" i="8"/>
  <c r="U114" i="8"/>
  <c r="V114" i="8"/>
  <c r="W114" i="8"/>
  <c r="X114" i="8"/>
  <c r="Y114" i="8"/>
  <c r="S115" i="8"/>
  <c r="T115" i="8"/>
  <c r="U115" i="8"/>
  <c r="V115" i="8"/>
  <c r="W115" i="8"/>
  <c r="X115" i="8"/>
  <c r="Y115" i="8"/>
  <c r="S116" i="8"/>
  <c r="T116" i="8"/>
  <c r="U116" i="8"/>
  <c r="V116" i="8"/>
  <c r="W116" i="8"/>
  <c r="X116" i="8"/>
  <c r="Y116" i="8"/>
  <c r="S117" i="8"/>
  <c r="T117" i="8"/>
  <c r="U117" i="8"/>
  <c r="V117" i="8"/>
  <c r="W117" i="8"/>
  <c r="X117" i="8"/>
  <c r="Y117" i="8"/>
  <c r="S118" i="8"/>
  <c r="T118" i="8"/>
  <c r="U118" i="8"/>
  <c r="V118" i="8"/>
  <c r="W118" i="8"/>
  <c r="X118" i="8"/>
  <c r="Y118" i="8"/>
  <c r="S119" i="8"/>
  <c r="T119" i="8"/>
  <c r="U119" i="8"/>
  <c r="V119" i="8"/>
  <c r="W119" i="8"/>
  <c r="X119" i="8"/>
  <c r="Y119" i="8"/>
  <c r="S120" i="8"/>
  <c r="T120" i="8"/>
  <c r="U120" i="8"/>
  <c r="V120" i="8"/>
  <c r="W120" i="8"/>
  <c r="X120" i="8"/>
  <c r="Y120" i="8"/>
  <c r="S121" i="8"/>
  <c r="T121" i="8"/>
  <c r="U121" i="8"/>
  <c r="V121" i="8"/>
  <c r="W121" i="8"/>
  <c r="X121" i="8"/>
  <c r="Y121" i="8"/>
  <c r="T89" i="8"/>
  <c r="U89" i="8"/>
  <c r="V89" i="8"/>
  <c r="W89" i="8"/>
  <c r="X89" i="8"/>
  <c r="Y89" i="8"/>
  <c r="S89" i="8"/>
  <c r="S71" i="8"/>
  <c r="T71" i="8"/>
  <c r="U71" i="8"/>
  <c r="V71" i="8"/>
  <c r="W71" i="8"/>
  <c r="X71" i="8"/>
  <c r="Y71" i="8"/>
  <c r="S72" i="8"/>
  <c r="T72" i="8"/>
  <c r="U72" i="8"/>
  <c r="V72" i="8"/>
  <c r="W72" i="8"/>
  <c r="X72" i="8"/>
  <c r="Y72" i="8"/>
  <c r="S73" i="8"/>
  <c r="T73" i="8"/>
  <c r="U73" i="8"/>
  <c r="V73" i="8"/>
  <c r="W73" i="8"/>
  <c r="X73" i="8"/>
  <c r="Y73" i="8"/>
  <c r="S74" i="8"/>
  <c r="T74" i="8"/>
  <c r="U74" i="8"/>
  <c r="V74" i="8"/>
  <c r="W74" i="8"/>
  <c r="X74" i="8"/>
  <c r="Y74" i="8"/>
  <c r="S75" i="8"/>
  <c r="T75" i="8"/>
  <c r="U75" i="8"/>
  <c r="V75" i="8"/>
  <c r="W75" i="8"/>
  <c r="X75" i="8"/>
  <c r="Y75" i="8"/>
  <c r="S76" i="8"/>
  <c r="T76" i="8"/>
  <c r="U76" i="8"/>
  <c r="V76" i="8"/>
  <c r="W76" i="8"/>
  <c r="X76" i="8"/>
  <c r="Y76" i="8"/>
  <c r="S77" i="8"/>
  <c r="T77" i="8"/>
  <c r="U77" i="8"/>
  <c r="V77" i="8"/>
  <c r="W77" i="8"/>
  <c r="X77" i="8"/>
  <c r="Y77" i="8"/>
  <c r="S78" i="8"/>
  <c r="T78" i="8"/>
  <c r="U78" i="8"/>
  <c r="V78" i="8"/>
  <c r="W78" i="8"/>
  <c r="X78" i="8"/>
  <c r="Y78" i="8"/>
  <c r="S79" i="8"/>
  <c r="T79" i="8"/>
  <c r="U79" i="8"/>
  <c r="V79" i="8"/>
  <c r="W79" i="8"/>
  <c r="X79" i="8"/>
  <c r="Y79" i="8"/>
  <c r="S80" i="8"/>
  <c r="T80" i="8"/>
  <c r="U80" i="8"/>
  <c r="V80" i="8"/>
  <c r="W80" i="8"/>
  <c r="X80" i="8"/>
  <c r="Y80" i="8"/>
  <c r="S81" i="8"/>
  <c r="T81" i="8"/>
  <c r="U81" i="8"/>
  <c r="V81" i="8"/>
  <c r="W81" i="8"/>
  <c r="X81" i="8"/>
  <c r="Y81" i="8"/>
  <c r="S82" i="8"/>
  <c r="T82" i="8"/>
  <c r="U82" i="8"/>
  <c r="V82" i="8"/>
  <c r="W82" i="8"/>
  <c r="X82" i="8"/>
  <c r="Y82" i="8"/>
  <c r="S83" i="8"/>
  <c r="T83" i="8"/>
  <c r="U83" i="8"/>
  <c r="V83" i="8"/>
  <c r="W83" i="8"/>
  <c r="X83" i="8"/>
  <c r="Y83" i="8"/>
  <c r="S84" i="8"/>
  <c r="T84" i="8"/>
  <c r="U84" i="8"/>
  <c r="V84" i="8"/>
  <c r="W84" i="8"/>
  <c r="X84" i="8"/>
  <c r="Y84" i="8"/>
  <c r="S85" i="8"/>
  <c r="T85" i="8"/>
  <c r="U85" i="8"/>
  <c r="V85" i="8"/>
  <c r="W85" i="8"/>
  <c r="X85" i="8"/>
  <c r="Y85" i="8"/>
  <c r="S86" i="8"/>
  <c r="T86" i="8"/>
  <c r="U86" i="8"/>
  <c r="V86" i="8"/>
  <c r="W86" i="8"/>
  <c r="X86" i="8"/>
  <c r="Y86" i="8"/>
  <c r="S87" i="8"/>
  <c r="T87" i="8"/>
  <c r="U87" i="8"/>
  <c r="V87" i="8"/>
  <c r="W87" i="8"/>
  <c r="X87" i="8"/>
  <c r="Y87" i="8"/>
  <c r="T70" i="8"/>
  <c r="U70" i="8"/>
  <c r="V70" i="8"/>
  <c r="W70" i="8"/>
  <c r="X70" i="8"/>
  <c r="Y70" i="8"/>
  <c r="S70" i="8"/>
  <c r="Q189" i="8"/>
  <c r="P189" i="8"/>
  <c r="O189" i="8"/>
  <c r="N189" i="8"/>
  <c r="M189" i="8"/>
  <c r="L189" i="8"/>
  <c r="K189" i="8"/>
  <c r="Q188" i="8"/>
  <c r="P188" i="8"/>
  <c r="O188" i="8"/>
  <c r="N188" i="8"/>
  <c r="M188" i="8"/>
  <c r="L188" i="8"/>
  <c r="K188" i="8"/>
  <c r="Q187" i="8"/>
  <c r="P187" i="8"/>
  <c r="O187" i="8"/>
  <c r="N187" i="8"/>
  <c r="M187" i="8"/>
  <c r="L187" i="8"/>
  <c r="K187" i="8"/>
  <c r="Q186" i="8"/>
  <c r="P186" i="8"/>
  <c r="O186" i="8"/>
  <c r="N186" i="8"/>
  <c r="M186" i="8"/>
  <c r="L186" i="8"/>
  <c r="K186" i="8"/>
  <c r="Q185" i="8"/>
  <c r="P185" i="8"/>
  <c r="O185" i="8"/>
  <c r="N185" i="8"/>
  <c r="M185" i="8"/>
  <c r="L185" i="8"/>
  <c r="K185" i="8"/>
  <c r="Q184" i="8"/>
  <c r="P184" i="8"/>
  <c r="O184" i="8"/>
  <c r="N184" i="8"/>
  <c r="M184" i="8"/>
  <c r="L184" i="8"/>
  <c r="K184" i="8"/>
  <c r="Q183" i="8"/>
  <c r="P183" i="8"/>
  <c r="O183" i="8"/>
  <c r="N183" i="8"/>
  <c r="M183" i="8"/>
  <c r="L183" i="8"/>
  <c r="K183" i="8"/>
  <c r="Q182" i="8"/>
  <c r="P182" i="8"/>
  <c r="O182" i="8"/>
  <c r="N182" i="8"/>
  <c r="M182" i="8"/>
  <c r="L182" i="8"/>
  <c r="K182" i="8"/>
  <c r="Q181" i="8"/>
  <c r="P181" i="8"/>
  <c r="O181" i="8"/>
  <c r="N181" i="8"/>
  <c r="M181" i="8"/>
  <c r="L181" i="8"/>
  <c r="K181" i="8"/>
  <c r="Q180" i="8"/>
  <c r="P180" i="8"/>
  <c r="O180" i="8"/>
  <c r="N180" i="8"/>
  <c r="M180" i="8"/>
  <c r="L180" i="8"/>
  <c r="K180" i="8"/>
  <c r="Q179" i="8"/>
  <c r="P179" i="8"/>
  <c r="O179" i="8"/>
  <c r="N179" i="8"/>
  <c r="M179" i="8"/>
  <c r="L179" i="8"/>
  <c r="K179" i="8"/>
  <c r="Q178" i="8"/>
  <c r="P178" i="8"/>
  <c r="O178" i="8"/>
  <c r="N178" i="8"/>
  <c r="M178" i="8"/>
  <c r="L178" i="8"/>
  <c r="K178" i="8"/>
  <c r="Q177" i="8"/>
  <c r="P177" i="8"/>
  <c r="O177" i="8"/>
  <c r="N177" i="8"/>
  <c r="M177" i="8"/>
  <c r="L177" i="8"/>
  <c r="K177" i="8"/>
  <c r="Q176" i="8"/>
  <c r="P176" i="8"/>
  <c r="O176" i="8"/>
  <c r="N176" i="8"/>
  <c r="M176" i="8"/>
  <c r="L176" i="8"/>
  <c r="K176" i="8"/>
  <c r="Q175" i="8"/>
  <c r="P175" i="8"/>
  <c r="O175" i="8"/>
  <c r="N175" i="8"/>
  <c r="M175" i="8"/>
  <c r="L175" i="8"/>
  <c r="K175" i="8"/>
  <c r="Q174" i="8"/>
  <c r="P174" i="8"/>
  <c r="O174" i="8"/>
  <c r="N174" i="8"/>
  <c r="M174" i="8"/>
  <c r="L174" i="8"/>
  <c r="K174" i="8"/>
  <c r="Q173" i="8"/>
  <c r="P173" i="8"/>
  <c r="O173" i="8"/>
  <c r="N173" i="8"/>
  <c r="M173" i="8"/>
  <c r="L173" i="8"/>
  <c r="K173" i="8"/>
  <c r="Q172" i="8"/>
  <c r="P172" i="8"/>
  <c r="O172" i="8"/>
  <c r="N172" i="8"/>
  <c r="M172" i="8"/>
  <c r="L172" i="8"/>
  <c r="K172" i="8"/>
  <c r="Q171" i="8"/>
  <c r="P171" i="8"/>
  <c r="O171" i="8"/>
  <c r="N171" i="8"/>
  <c r="M171" i="8"/>
  <c r="L171" i="8"/>
  <c r="K171" i="8"/>
  <c r="Q170" i="8"/>
  <c r="P170" i="8"/>
  <c r="O170" i="8"/>
  <c r="N170" i="8"/>
  <c r="M170" i="8"/>
  <c r="L170" i="8"/>
  <c r="K170" i="8"/>
  <c r="Q169" i="8"/>
  <c r="P169" i="8"/>
  <c r="O169" i="8"/>
  <c r="N169" i="8"/>
  <c r="M169" i="8"/>
  <c r="L169" i="8"/>
  <c r="K169" i="8"/>
  <c r="Q168" i="8"/>
  <c r="P168" i="8"/>
  <c r="O168" i="8"/>
  <c r="N168" i="8"/>
  <c r="M168" i="8"/>
  <c r="L168" i="8"/>
  <c r="K168" i="8"/>
  <c r="Q167" i="8"/>
  <c r="P167" i="8"/>
  <c r="O167" i="8"/>
  <c r="N167" i="8"/>
  <c r="M167" i="8"/>
  <c r="L167" i="8"/>
  <c r="K167" i="8"/>
  <c r="Q166" i="8"/>
  <c r="P166" i="8"/>
  <c r="O166" i="8"/>
  <c r="N166" i="8"/>
  <c r="M166" i="8"/>
  <c r="L166" i="8"/>
  <c r="K166" i="8"/>
  <c r="Q165" i="8"/>
  <c r="P165" i="8"/>
  <c r="O165" i="8"/>
  <c r="N165" i="8"/>
  <c r="M165" i="8"/>
  <c r="L165" i="8"/>
  <c r="K165" i="8"/>
  <c r="Q164" i="8"/>
  <c r="P164" i="8"/>
  <c r="O164" i="8"/>
  <c r="N164" i="8"/>
  <c r="M164" i="8"/>
  <c r="L164" i="8"/>
  <c r="K164" i="8"/>
  <c r="Q163" i="8"/>
  <c r="P163" i="8"/>
  <c r="O163" i="8"/>
  <c r="N163" i="8"/>
  <c r="M163" i="8"/>
  <c r="L163" i="8"/>
  <c r="K163" i="8"/>
  <c r="Q162" i="8"/>
  <c r="P162" i="8"/>
  <c r="O162" i="8"/>
  <c r="N162" i="8"/>
  <c r="M162" i="8"/>
  <c r="L162" i="8"/>
  <c r="K162" i="8"/>
  <c r="Q161" i="8"/>
  <c r="P161" i="8"/>
  <c r="O161" i="8"/>
  <c r="N161" i="8"/>
  <c r="M161" i="8"/>
  <c r="L161" i="8"/>
  <c r="K161" i="8"/>
  <c r="Q160" i="8"/>
  <c r="P160" i="8"/>
  <c r="O160" i="8"/>
  <c r="N160" i="8"/>
  <c r="M160" i="8"/>
  <c r="L160" i="8"/>
  <c r="K160" i="8"/>
  <c r="Q159" i="8"/>
  <c r="P159" i="8"/>
  <c r="O159" i="8"/>
  <c r="N159" i="8"/>
  <c r="M159" i="8"/>
  <c r="L159" i="8"/>
  <c r="K159" i="8"/>
  <c r="Q158" i="8"/>
  <c r="P158" i="8"/>
  <c r="O158" i="8"/>
  <c r="N158" i="8"/>
  <c r="M158" i="8"/>
  <c r="L158" i="8"/>
  <c r="K158" i="8"/>
  <c r="Q157" i="8"/>
  <c r="P157" i="8"/>
  <c r="O157" i="8"/>
  <c r="N157" i="8"/>
  <c r="M157" i="8"/>
  <c r="L157" i="8"/>
  <c r="K157" i="8"/>
  <c r="D157" i="8"/>
  <c r="E157" i="8"/>
  <c r="F157" i="8"/>
  <c r="G157" i="8"/>
  <c r="H157" i="8"/>
  <c r="I157" i="8"/>
  <c r="D158" i="8"/>
  <c r="E158" i="8"/>
  <c r="F158" i="8"/>
  <c r="G158" i="8"/>
  <c r="H158" i="8"/>
  <c r="I158" i="8"/>
  <c r="D159" i="8"/>
  <c r="E159" i="8"/>
  <c r="F159" i="8"/>
  <c r="G159" i="8"/>
  <c r="H159" i="8"/>
  <c r="I159" i="8"/>
  <c r="D160" i="8"/>
  <c r="E160" i="8"/>
  <c r="F160" i="8"/>
  <c r="G160" i="8"/>
  <c r="H160" i="8"/>
  <c r="I160" i="8"/>
  <c r="D161" i="8"/>
  <c r="E161" i="8"/>
  <c r="F161" i="8"/>
  <c r="G161" i="8"/>
  <c r="H161" i="8"/>
  <c r="I161" i="8"/>
  <c r="D162" i="8"/>
  <c r="E162" i="8"/>
  <c r="F162" i="8"/>
  <c r="G162" i="8"/>
  <c r="H162" i="8"/>
  <c r="I162" i="8"/>
  <c r="D163" i="8"/>
  <c r="E163" i="8"/>
  <c r="F163" i="8"/>
  <c r="G163" i="8"/>
  <c r="H163" i="8"/>
  <c r="I163" i="8"/>
  <c r="D164" i="8"/>
  <c r="E164" i="8"/>
  <c r="F164" i="8"/>
  <c r="G164" i="8"/>
  <c r="H164" i="8"/>
  <c r="I164" i="8"/>
  <c r="D165" i="8"/>
  <c r="E165" i="8"/>
  <c r="F165" i="8"/>
  <c r="G165" i="8"/>
  <c r="H165" i="8"/>
  <c r="I165" i="8"/>
  <c r="D166" i="8"/>
  <c r="E166" i="8"/>
  <c r="F166" i="8"/>
  <c r="G166" i="8"/>
  <c r="H166" i="8"/>
  <c r="I166" i="8"/>
  <c r="D167" i="8"/>
  <c r="E167" i="8"/>
  <c r="F167" i="8"/>
  <c r="G167" i="8"/>
  <c r="H167" i="8"/>
  <c r="I167" i="8"/>
  <c r="D168" i="8"/>
  <c r="E168" i="8"/>
  <c r="F168" i="8"/>
  <c r="G168" i="8"/>
  <c r="H168" i="8"/>
  <c r="I168" i="8"/>
  <c r="D169" i="8"/>
  <c r="E169" i="8"/>
  <c r="F169" i="8"/>
  <c r="G169" i="8"/>
  <c r="H169" i="8"/>
  <c r="I169" i="8"/>
  <c r="D170" i="8"/>
  <c r="E170" i="8"/>
  <c r="F170" i="8"/>
  <c r="G170" i="8"/>
  <c r="H170" i="8"/>
  <c r="I170" i="8"/>
  <c r="D171" i="8"/>
  <c r="E171" i="8"/>
  <c r="F171" i="8"/>
  <c r="G171" i="8"/>
  <c r="H171" i="8"/>
  <c r="I171" i="8"/>
  <c r="D172" i="8"/>
  <c r="E172" i="8"/>
  <c r="F172" i="8"/>
  <c r="G172" i="8"/>
  <c r="H172" i="8"/>
  <c r="I172" i="8"/>
  <c r="D173" i="8"/>
  <c r="E173" i="8"/>
  <c r="F173" i="8"/>
  <c r="G173" i="8"/>
  <c r="H173" i="8"/>
  <c r="I173" i="8"/>
  <c r="D174" i="8"/>
  <c r="E174" i="8"/>
  <c r="F174" i="8"/>
  <c r="G174" i="8"/>
  <c r="H174" i="8"/>
  <c r="I174" i="8"/>
  <c r="D175" i="8"/>
  <c r="E175" i="8"/>
  <c r="F175" i="8"/>
  <c r="G175" i="8"/>
  <c r="H175" i="8"/>
  <c r="I175" i="8"/>
  <c r="D176" i="8"/>
  <c r="E176" i="8"/>
  <c r="F176" i="8"/>
  <c r="G176" i="8"/>
  <c r="H176" i="8"/>
  <c r="I176" i="8"/>
  <c r="D177" i="8"/>
  <c r="E177" i="8"/>
  <c r="F177" i="8"/>
  <c r="G177" i="8"/>
  <c r="H177" i="8"/>
  <c r="I177" i="8"/>
  <c r="D178" i="8"/>
  <c r="E178" i="8"/>
  <c r="F178" i="8"/>
  <c r="G178" i="8"/>
  <c r="H178" i="8"/>
  <c r="I178" i="8"/>
  <c r="D179" i="8"/>
  <c r="E179" i="8"/>
  <c r="F179" i="8"/>
  <c r="G179" i="8"/>
  <c r="H179" i="8"/>
  <c r="I179" i="8"/>
  <c r="D180" i="8"/>
  <c r="E180" i="8"/>
  <c r="F180" i="8"/>
  <c r="G180" i="8"/>
  <c r="H180" i="8"/>
  <c r="I180" i="8"/>
  <c r="D181" i="8"/>
  <c r="E181" i="8"/>
  <c r="F181" i="8"/>
  <c r="G181" i="8"/>
  <c r="H181" i="8"/>
  <c r="I181" i="8"/>
  <c r="D182" i="8"/>
  <c r="E182" i="8"/>
  <c r="F182" i="8"/>
  <c r="G182" i="8"/>
  <c r="H182" i="8"/>
  <c r="I182" i="8"/>
  <c r="D183" i="8"/>
  <c r="E183" i="8"/>
  <c r="F183" i="8"/>
  <c r="G183" i="8"/>
  <c r="H183" i="8"/>
  <c r="I183" i="8"/>
  <c r="D184" i="8"/>
  <c r="E184" i="8"/>
  <c r="F184" i="8"/>
  <c r="G184" i="8"/>
  <c r="H184" i="8"/>
  <c r="I184" i="8"/>
  <c r="D185" i="8"/>
  <c r="E185" i="8"/>
  <c r="F185" i="8"/>
  <c r="G185" i="8"/>
  <c r="H185" i="8"/>
  <c r="I185" i="8"/>
  <c r="D186" i="8"/>
  <c r="E186" i="8"/>
  <c r="F186" i="8"/>
  <c r="G186" i="8"/>
  <c r="H186" i="8"/>
  <c r="I186" i="8"/>
  <c r="D187" i="8"/>
  <c r="E187" i="8"/>
  <c r="F187" i="8"/>
  <c r="G187" i="8"/>
  <c r="H187" i="8"/>
  <c r="I187" i="8"/>
  <c r="D188" i="8"/>
  <c r="E188" i="8"/>
  <c r="F188" i="8"/>
  <c r="G188" i="8"/>
  <c r="H188" i="8"/>
  <c r="I188" i="8"/>
  <c r="D189" i="8"/>
  <c r="E189" i="8"/>
  <c r="F189" i="8"/>
  <c r="G189" i="8"/>
  <c r="H189" i="8"/>
  <c r="I189"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57" i="8"/>
  <c r="Q155" i="8"/>
  <c r="P155" i="8"/>
  <c r="O155" i="8"/>
  <c r="N155" i="8"/>
  <c r="M155" i="8"/>
  <c r="L155" i="8"/>
  <c r="K155" i="8"/>
  <c r="Q154" i="8"/>
  <c r="P154" i="8"/>
  <c r="O154" i="8"/>
  <c r="N154" i="8"/>
  <c r="M154" i="8"/>
  <c r="L154" i="8"/>
  <c r="K154" i="8"/>
  <c r="Q153" i="8"/>
  <c r="P153" i="8"/>
  <c r="O153" i="8"/>
  <c r="N153" i="8"/>
  <c r="M153" i="8"/>
  <c r="L153" i="8"/>
  <c r="K153" i="8"/>
  <c r="Q152" i="8"/>
  <c r="P152" i="8"/>
  <c r="O152" i="8"/>
  <c r="N152" i="8"/>
  <c r="M152" i="8"/>
  <c r="L152" i="8"/>
  <c r="K152" i="8"/>
  <c r="Q151" i="8"/>
  <c r="P151" i="8"/>
  <c r="O151" i="8"/>
  <c r="N151" i="8"/>
  <c r="M151" i="8"/>
  <c r="L151" i="8"/>
  <c r="K151" i="8"/>
  <c r="Q150" i="8"/>
  <c r="P150" i="8"/>
  <c r="O150" i="8"/>
  <c r="N150" i="8"/>
  <c r="M150" i="8"/>
  <c r="L150" i="8"/>
  <c r="K150" i="8"/>
  <c r="Q149" i="8"/>
  <c r="P149" i="8"/>
  <c r="O149" i="8"/>
  <c r="N149" i="8"/>
  <c r="M149" i="8"/>
  <c r="L149" i="8"/>
  <c r="K149" i="8"/>
  <c r="Q148" i="8"/>
  <c r="P148" i="8"/>
  <c r="O148" i="8"/>
  <c r="N148" i="8"/>
  <c r="M148" i="8"/>
  <c r="L148" i="8"/>
  <c r="K148" i="8"/>
  <c r="Q147" i="8"/>
  <c r="P147" i="8"/>
  <c r="O147" i="8"/>
  <c r="N147" i="8"/>
  <c r="M147" i="8"/>
  <c r="L147" i="8"/>
  <c r="K147" i="8"/>
  <c r="Q146" i="8"/>
  <c r="P146" i="8"/>
  <c r="O146" i="8"/>
  <c r="N146" i="8"/>
  <c r="M146" i="8"/>
  <c r="L146" i="8"/>
  <c r="K146" i="8"/>
  <c r="Q145" i="8"/>
  <c r="P145" i="8"/>
  <c r="O145" i="8"/>
  <c r="N145" i="8"/>
  <c r="M145" i="8"/>
  <c r="L145" i="8"/>
  <c r="K145" i="8"/>
  <c r="Q144" i="8"/>
  <c r="P144" i="8"/>
  <c r="O144" i="8"/>
  <c r="N144" i="8"/>
  <c r="M144" i="8"/>
  <c r="L144" i="8"/>
  <c r="K144" i="8"/>
  <c r="Q143" i="8"/>
  <c r="P143" i="8"/>
  <c r="O143" i="8"/>
  <c r="N143" i="8"/>
  <c r="M143" i="8"/>
  <c r="L143" i="8"/>
  <c r="K143" i="8"/>
  <c r="Q142" i="8"/>
  <c r="P142" i="8"/>
  <c r="O142" i="8"/>
  <c r="N142" i="8"/>
  <c r="M142" i="8"/>
  <c r="L142" i="8"/>
  <c r="K142" i="8"/>
  <c r="Q141" i="8"/>
  <c r="P141" i="8"/>
  <c r="O141" i="8"/>
  <c r="N141" i="8"/>
  <c r="M141" i="8"/>
  <c r="L141" i="8"/>
  <c r="K141" i="8"/>
  <c r="Q140" i="8"/>
  <c r="P140" i="8"/>
  <c r="O140" i="8"/>
  <c r="N140" i="8"/>
  <c r="M140" i="8"/>
  <c r="L140" i="8"/>
  <c r="K140" i="8"/>
  <c r="Q139" i="8"/>
  <c r="P139" i="8"/>
  <c r="O139" i="8"/>
  <c r="N139" i="8"/>
  <c r="M139" i="8"/>
  <c r="L139" i="8"/>
  <c r="K139" i="8"/>
  <c r="Q138" i="8"/>
  <c r="P138" i="8"/>
  <c r="O138" i="8"/>
  <c r="N138" i="8"/>
  <c r="M138" i="8"/>
  <c r="L138" i="8"/>
  <c r="K138" i="8"/>
  <c r="Q137" i="8"/>
  <c r="P137" i="8"/>
  <c r="O137" i="8"/>
  <c r="N137" i="8"/>
  <c r="M137" i="8"/>
  <c r="L137" i="8"/>
  <c r="K137" i="8"/>
  <c r="Q136" i="8"/>
  <c r="P136" i="8"/>
  <c r="O136" i="8"/>
  <c r="N136" i="8"/>
  <c r="M136" i="8"/>
  <c r="L136" i="8"/>
  <c r="K136" i="8"/>
  <c r="Q135" i="8"/>
  <c r="P135" i="8"/>
  <c r="O135" i="8"/>
  <c r="N135" i="8"/>
  <c r="M135" i="8"/>
  <c r="L135" i="8"/>
  <c r="K135" i="8"/>
  <c r="Q134" i="8"/>
  <c r="P134" i="8"/>
  <c r="O134" i="8"/>
  <c r="N134" i="8"/>
  <c r="M134" i="8"/>
  <c r="L134" i="8"/>
  <c r="K134" i="8"/>
  <c r="Q133" i="8"/>
  <c r="P133" i="8"/>
  <c r="O133" i="8"/>
  <c r="N133" i="8"/>
  <c r="M133" i="8"/>
  <c r="L133" i="8"/>
  <c r="K133" i="8"/>
  <c r="Q132" i="8"/>
  <c r="P132" i="8"/>
  <c r="O132" i="8"/>
  <c r="N132" i="8"/>
  <c r="M132" i="8"/>
  <c r="L132" i="8"/>
  <c r="K132" i="8"/>
  <c r="Q131" i="8"/>
  <c r="P131" i="8"/>
  <c r="O131" i="8"/>
  <c r="N131" i="8"/>
  <c r="M131" i="8"/>
  <c r="L131" i="8"/>
  <c r="K131" i="8"/>
  <c r="Q130" i="8"/>
  <c r="P130" i="8"/>
  <c r="O130" i="8"/>
  <c r="N130" i="8"/>
  <c r="M130" i="8"/>
  <c r="L130" i="8"/>
  <c r="K130" i="8"/>
  <c r="Q129" i="8"/>
  <c r="P129" i="8"/>
  <c r="O129" i="8"/>
  <c r="N129" i="8"/>
  <c r="M129" i="8"/>
  <c r="L129" i="8"/>
  <c r="K129" i="8"/>
  <c r="Q128" i="8"/>
  <c r="P128" i="8"/>
  <c r="O128" i="8"/>
  <c r="N128" i="8"/>
  <c r="M128" i="8"/>
  <c r="L128" i="8"/>
  <c r="K128" i="8"/>
  <c r="Q127" i="8"/>
  <c r="P127" i="8"/>
  <c r="O127" i="8"/>
  <c r="N127" i="8"/>
  <c r="M127" i="8"/>
  <c r="L127" i="8"/>
  <c r="K127" i="8"/>
  <c r="Q126" i="8"/>
  <c r="P126" i="8"/>
  <c r="O126" i="8"/>
  <c r="N126" i="8"/>
  <c r="M126" i="8"/>
  <c r="L126" i="8"/>
  <c r="K126" i="8"/>
  <c r="Q125" i="8"/>
  <c r="P125" i="8"/>
  <c r="O125" i="8"/>
  <c r="N125" i="8"/>
  <c r="M125" i="8"/>
  <c r="L125" i="8"/>
  <c r="K125" i="8"/>
  <c r="Q124" i="8"/>
  <c r="P124" i="8"/>
  <c r="O124" i="8"/>
  <c r="N124" i="8"/>
  <c r="M124" i="8"/>
  <c r="L124" i="8"/>
  <c r="K124" i="8"/>
  <c r="Q123" i="8"/>
  <c r="P123" i="8"/>
  <c r="O123" i="8"/>
  <c r="N123" i="8"/>
  <c r="M123" i="8"/>
  <c r="L123" i="8"/>
  <c r="K123" i="8"/>
  <c r="K90" i="8"/>
  <c r="L90" i="8"/>
  <c r="M90" i="8"/>
  <c r="N90" i="8"/>
  <c r="O90" i="8"/>
  <c r="P90" i="8"/>
  <c r="Q90" i="8"/>
  <c r="K91" i="8"/>
  <c r="L91" i="8"/>
  <c r="M91" i="8"/>
  <c r="N91" i="8"/>
  <c r="O91" i="8"/>
  <c r="P91" i="8"/>
  <c r="Q91" i="8"/>
  <c r="K92" i="8"/>
  <c r="L92" i="8"/>
  <c r="M92" i="8"/>
  <c r="N92" i="8"/>
  <c r="O92" i="8"/>
  <c r="P92" i="8"/>
  <c r="Q92" i="8"/>
  <c r="K93" i="8"/>
  <c r="L93" i="8"/>
  <c r="M93" i="8"/>
  <c r="N93" i="8"/>
  <c r="O93" i="8"/>
  <c r="P93" i="8"/>
  <c r="Q93" i="8"/>
  <c r="K94" i="8"/>
  <c r="L94" i="8"/>
  <c r="M94" i="8"/>
  <c r="N94" i="8"/>
  <c r="O94" i="8"/>
  <c r="P94" i="8"/>
  <c r="Q94" i="8"/>
  <c r="K95" i="8"/>
  <c r="L95" i="8"/>
  <c r="M95" i="8"/>
  <c r="N95" i="8"/>
  <c r="O95" i="8"/>
  <c r="P95" i="8"/>
  <c r="Q95" i="8"/>
  <c r="K96" i="8"/>
  <c r="L96" i="8"/>
  <c r="M96" i="8"/>
  <c r="N96" i="8"/>
  <c r="O96" i="8"/>
  <c r="P96" i="8"/>
  <c r="Q96" i="8"/>
  <c r="K97" i="8"/>
  <c r="L97" i="8"/>
  <c r="M97" i="8"/>
  <c r="N97" i="8"/>
  <c r="O97" i="8"/>
  <c r="P97" i="8"/>
  <c r="Q97" i="8"/>
  <c r="K98" i="8"/>
  <c r="L98" i="8"/>
  <c r="M98" i="8"/>
  <c r="N98" i="8"/>
  <c r="O98" i="8"/>
  <c r="P98" i="8"/>
  <c r="Q98" i="8"/>
  <c r="K99" i="8"/>
  <c r="L99" i="8"/>
  <c r="M99" i="8"/>
  <c r="N99" i="8"/>
  <c r="O99" i="8"/>
  <c r="P99" i="8"/>
  <c r="Q99" i="8"/>
  <c r="K100" i="8"/>
  <c r="L100" i="8"/>
  <c r="M100" i="8"/>
  <c r="N100" i="8"/>
  <c r="O100" i="8"/>
  <c r="P100" i="8"/>
  <c r="Q100" i="8"/>
  <c r="K101" i="8"/>
  <c r="L101" i="8"/>
  <c r="M101" i="8"/>
  <c r="N101" i="8"/>
  <c r="O101" i="8"/>
  <c r="P101" i="8"/>
  <c r="Q101" i="8"/>
  <c r="K102" i="8"/>
  <c r="L102" i="8"/>
  <c r="M102" i="8"/>
  <c r="N102" i="8"/>
  <c r="O102" i="8"/>
  <c r="P102" i="8"/>
  <c r="Q102" i="8"/>
  <c r="K103" i="8"/>
  <c r="L103" i="8"/>
  <c r="M103" i="8"/>
  <c r="N103" i="8"/>
  <c r="O103" i="8"/>
  <c r="P103" i="8"/>
  <c r="Q103" i="8"/>
  <c r="K104" i="8"/>
  <c r="L104" i="8"/>
  <c r="M104" i="8"/>
  <c r="N104" i="8"/>
  <c r="O104" i="8"/>
  <c r="P104" i="8"/>
  <c r="Q104" i="8"/>
  <c r="K105" i="8"/>
  <c r="L105" i="8"/>
  <c r="M105" i="8"/>
  <c r="N105" i="8"/>
  <c r="O105" i="8"/>
  <c r="P105" i="8"/>
  <c r="Q105" i="8"/>
  <c r="K106" i="8"/>
  <c r="L106" i="8"/>
  <c r="M106" i="8"/>
  <c r="N106" i="8"/>
  <c r="O106" i="8"/>
  <c r="P106" i="8"/>
  <c r="Q106" i="8"/>
  <c r="K107" i="8"/>
  <c r="L107" i="8"/>
  <c r="M107" i="8"/>
  <c r="N107" i="8"/>
  <c r="O107" i="8"/>
  <c r="P107" i="8"/>
  <c r="Q107" i="8"/>
  <c r="K108" i="8"/>
  <c r="L108" i="8"/>
  <c r="M108" i="8"/>
  <c r="N108" i="8"/>
  <c r="O108" i="8"/>
  <c r="P108" i="8"/>
  <c r="Q108" i="8"/>
  <c r="K109" i="8"/>
  <c r="L109" i="8"/>
  <c r="M109" i="8"/>
  <c r="N109" i="8"/>
  <c r="O109" i="8"/>
  <c r="P109" i="8"/>
  <c r="Q109" i="8"/>
  <c r="K110" i="8"/>
  <c r="L110" i="8"/>
  <c r="M110" i="8"/>
  <c r="N110" i="8"/>
  <c r="O110" i="8"/>
  <c r="P110" i="8"/>
  <c r="Q110" i="8"/>
  <c r="K111" i="8"/>
  <c r="L111" i="8"/>
  <c r="M111" i="8"/>
  <c r="N111" i="8"/>
  <c r="O111" i="8"/>
  <c r="P111" i="8"/>
  <c r="Q111" i="8"/>
  <c r="K112" i="8"/>
  <c r="L112" i="8"/>
  <c r="M112" i="8"/>
  <c r="N112" i="8"/>
  <c r="O112" i="8"/>
  <c r="P112" i="8"/>
  <c r="Q112" i="8"/>
  <c r="K113" i="8"/>
  <c r="L113" i="8"/>
  <c r="M113" i="8"/>
  <c r="N113" i="8"/>
  <c r="O113" i="8"/>
  <c r="P113" i="8"/>
  <c r="Q113" i="8"/>
  <c r="K114" i="8"/>
  <c r="L114" i="8"/>
  <c r="M114" i="8"/>
  <c r="N114" i="8"/>
  <c r="O114" i="8"/>
  <c r="P114" i="8"/>
  <c r="Q114" i="8"/>
  <c r="K115" i="8"/>
  <c r="L115" i="8"/>
  <c r="M115" i="8"/>
  <c r="N115" i="8"/>
  <c r="O115" i="8"/>
  <c r="P115" i="8"/>
  <c r="Q115" i="8"/>
  <c r="K116" i="8"/>
  <c r="L116" i="8"/>
  <c r="M116" i="8"/>
  <c r="N116" i="8"/>
  <c r="O116" i="8"/>
  <c r="P116" i="8"/>
  <c r="Q116" i="8"/>
  <c r="K117" i="8"/>
  <c r="L117" i="8"/>
  <c r="M117" i="8"/>
  <c r="N117" i="8"/>
  <c r="O117" i="8"/>
  <c r="P117" i="8"/>
  <c r="Q117" i="8"/>
  <c r="K118" i="8"/>
  <c r="L118" i="8"/>
  <c r="M118" i="8"/>
  <c r="N118" i="8"/>
  <c r="O118" i="8"/>
  <c r="P118" i="8"/>
  <c r="Q118" i="8"/>
  <c r="K119" i="8"/>
  <c r="L119" i="8"/>
  <c r="M119" i="8"/>
  <c r="N119" i="8"/>
  <c r="O119" i="8"/>
  <c r="P119" i="8"/>
  <c r="Q119" i="8"/>
  <c r="K120" i="8"/>
  <c r="L120" i="8"/>
  <c r="M120" i="8"/>
  <c r="N120" i="8"/>
  <c r="O120" i="8"/>
  <c r="P120" i="8"/>
  <c r="Q120" i="8"/>
  <c r="K121" i="8"/>
  <c r="L121" i="8"/>
  <c r="M121" i="8"/>
  <c r="N121" i="8"/>
  <c r="O121" i="8"/>
  <c r="P121" i="8"/>
  <c r="Q121" i="8"/>
  <c r="K89" i="8"/>
  <c r="Q89" i="8"/>
  <c r="P89" i="8"/>
  <c r="O89" i="8"/>
  <c r="N89" i="8"/>
  <c r="M89" i="8"/>
  <c r="L89" i="8"/>
  <c r="K71" i="8"/>
  <c r="L71" i="8"/>
  <c r="M71" i="8"/>
  <c r="N71" i="8"/>
  <c r="O71" i="8"/>
  <c r="P71" i="8"/>
  <c r="Q71" i="8"/>
  <c r="K72" i="8"/>
  <c r="L72" i="8"/>
  <c r="M72" i="8"/>
  <c r="N72" i="8"/>
  <c r="O72" i="8"/>
  <c r="P72" i="8"/>
  <c r="Q72" i="8"/>
  <c r="K73" i="8"/>
  <c r="L73" i="8"/>
  <c r="M73" i="8"/>
  <c r="N73" i="8"/>
  <c r="O73" i="8"/>
  <c r="P73" i="8"/>
  <c r="Q73" i="8"/>
  <c r="K74" i="8"/>
  <c r="L74" i="8"/>
  <c r="M74" i="8"/>
  <c r="N74" i="8"/>
  <c r="O74" i="8"/>
  <c r="P74" i="8"/>
  <c r="Q74" i="8"/>
  <c r="K75" i="8"/>
  <c r="L75" i="8"/>
  <c r="M75" i="8"/>
  <c r="N75" i="8"/>
  <c r="O75" i="8"/>
  <c r="P75" i="8"/>
  <c r="Q75" i="8"/>
  <c r="K76" i="8"/>
  <c r="L76" i="8"/>
  <c r="M76" i="8"/>
  <c r="N76" i="8"/>
  <c r="O76" i="8"/>
  <c r="P76" i="8"/>
  <c r="Q76" i="8"/>
  <c r="K77" i="8"/>
  <c r="L77" i="8"/>
  <c r="M77" i="8"/>
  <c r="N77" i="8"/>
  <c r="O77" i="8"/>
  <c r="P77" i="8"/>
  <c r="Q77" i="8"/>
  <c r="K78" i="8"/>
  <c r="L78" i="8"/>
  <c r="M78" i="8"/>
  <c r="N78" i="8"/>
  <c r="O78" i="8"/>
  <c r="P78" i="8"/>
  <c r="Q78" i="8"/>
  <c r="K79" i="8"/>
  <c r="L79" i="8"/>
  <c r="M79" i="8"/>
  <c r="N79" i="8"/>
  <c r="O79" i="8"/>
  <c r="P79" i="8"/>
  <c r="Q79" i="8"/>
  <c r="K80" i="8"/>
  <c r="L80" i="8"/>
  <c r="M80" i="8"/>
  <c r="N80" i="8"/>
  <c r="O80" i="8"/>
  <c r="P80" i="8"/>
  <c r="Q80" i="8"/>
  <c r="K81" i="8"/>
  <c r="L81" i="8"/>
  <c r="M81" i="8"/>
  <c r="N81" i="8"/>
  <c r="O81" i="8"/>
  <c r="P81" i="8"/>
  <c r="Q81" i="8"/>
  <c r="K82" i="8"/>
  <c r="L82" i="8"/>
  <c r="M82" i="8"/>
  <c r="N82" i="8"/>
  <c r="O82" i="8"/>
  <c r="P82" i="8"/>
  <c r="Q82" i="8"/>
  <c r="K83" i="8"/>
  <c r="L83" i="8"/>
  <c r="M83" i="8"/>
  <c r="N83" i="8"/>
  <c r="O83" i="8"/>
  <c r="P83" i="8"/>
  <c r="Q83" i="8"/>
  <c r="K84" i="8"/>
  <c r="L84" i="8"/>
  <c r="M84" i="8"/>
  <c r="N84" i="8"/>
  <c r="O84" i="8"/>
  <c r="P84" i="8"/>
  <c r="Q84" i="8"/>
  <c r="K85" i="8"/>
  <c r="L85" i="8"/>
  <c r="M85" i="8"/>
  <c r="N85" i="8"/>
  <c r="O85" i="8"/>
  <c r="P85" i="8"/>
  <c r="Q85" i="8"/>
  <c r="K86" i="8"/>
  <c r="L86" i="8"/>
  <c r="M86" i="8"/>
  <c r="N86" i="8"/>
  <c r="O86" i="8"/>
  <c r="P86" i="8"/>
  <c r="Q86" i="8"/>
  <c r="K87" i="8"/>
  <c r="L87" i="8"/>
  <c r="M87" i="8"/>
  <c r="N87" i="8"/>
  <c r="O87" i="8"/>
  <c r="P87" i="8"/>
  <c r="Q87" i="8"/>
  <c r="K70" i="8"/>
  <c r="M70" i="8"/>
  <c r="N70" i="8"/>
  <c r="O70" i="8"/>
  <c r="P70" i="8"/>
  <c r="Q70" i="8"/>
  <c r="L70" i="8"/>
  <c r="C71" i="8"/>
  <c r="D71" i="8"/>
  <c r="E71" i="8"/>
  <c r="F71" i="8"/>
  <c r="G71" i="8"/>
  <c r="H71" i="8"/>
  <c r="I71" i="8"/>
  <c r="C72" i="8"/>
  <c r="D72" i="8"/>
  <c r="E72" i="8"/>
  <c r="F72" i="8"/>
  <c r="G72" i="8"/>
  <c r="H72" i="8"/>
  <c r="I72" i="8"/>
  <c r="C73" i="8"/>
  <c r="D73" i="8"/>
  <c r="E73" i="8"/>
  <c r="F73" i="8"/>
  <c r="G73" i="8"/>
  <c r="H73" i="8"/>
  <c r="I73" i="8"/>
  <c r="C74" i="8"/>
  <c r="D74" i="8"/>
  <c r="E74" i="8"/>
  <c r="F74" i="8"/>
  <c r="G74" i="8"/>
  <c r="H74" i="8"/>
  <c r="I74" i="8"/>
  <c r="C75" i="8"/>
  <c r="D75" i="8"/>
  <c r="E75" i="8"/>
  <c r="F75" i="8"/>
  <c r="G75" i="8"/>
  <c r="H75" i="8"/>
  <c r="I75" i="8"/>
  <c r="C76" i="8"/>
  <c r="D76" i="8"/>
  <c r="E76" i="8"/>
  <c r="F76" i="8"/>
  <c r="G76" i="8"/>
  <c r="H76" i="8"/>
  <c r="I76" i="8"/>
  <c r="C77" i="8"/>
  <c r="D77" i="8"/>
  <c r="E77" i="8"/>
  <c r="F77" i="8"/>
  <c r="G77" i="8"/>
  <c r="H77" i="8"/>
  <c r="I77" i="8"/>
  <c r="C78" i="8"/>
  <c r="D78" i="8"/>
  <c r="E78" i="8"/>
  <c r="F78" i="8"/>
  <c r="G78" i="8"/>
  <c r="H78" i="8"/>
  <c r="I78" i="8"/>
  <c r="C79" i="8"/>
  <c r="D79" i="8"/>
  <c r="E79" i="8"/>
  <c r="F79" i="8"/>
  <c r="G79" i="8"/>
  <c r="H79" i="8"/>
  <c r="I79" i="8"/>
  <c r="C80" i="8"/>
  <c r="D80" i="8"/>
  <c r="E80" i="8"/>
  <c r="F80" i="8"/>
  <c r="G80" i="8"/>
  <c r="H80" i="8"/>
  <c r="I80" i="8"/>
  <c r="C81" i="8"/>
  <c r="D81" i="8"/>
  <c r="E81" i="8"/>
  <c r="F81" i="8"/>
  <c r="G81" i="8"/>
  <c r="H81" i="8"/>
  <c r="I81" i="8"/>
  <c r="C82" i="8"/>
  <c r="D82" i="8"/>
  <c r="E82" i="8"/>
  <c r="F82" i="8"/>
  <c r="G82" i="8"/>
  <c r="H82" i="8"/>
  <c r="I82" i="8"/>
  <c r="C83" i="8"/>
  <c r="D83" i="8"/>
  <c r="E83" i="8"/>
  <c r="F83" i="8"/>
  <c r="G83" i="8"/>
  <c r="H83" i="8"/>
  <c r="I83" i="8"/>
  <c r="C84" i="8"/>
  <c r="D84" i="8"/>
  <c r="E84" i="8"/>
  <c r="F84" i="8"/>
  <c r="G84" i="8"/>
  <c r="H84" i="8"/>
  <c r="I84" i="8"/>
  <c r="C85" i="8"/>
  <c r="D85" i="8"/>
  <c r="E85" i="8"/>
  <c r="F85" i="8"/>
  <c r="G85" i="8"/>
  <c r="H85" i="8"/>
  <c r="I85" i="8"/>
  <c r="C86" i="8"/>
  <c r="D86" i="8"/>
  <c r="E86" i="8"/>
  <c r="F86" i="8"/>
  <c r="G86" i="8"/>
  <c r="H86" i="8"/>
  <c r="I86" i="8"/>
  <c r="C87" i="8"/>
  <c r="D87" i="8"/>
  <c r="E87" i="8"/>
  <c r="F87" i="8"/>
  <c r="G87" i="8"/>
  <c r="H87" i="8"/>
  <c r="I87" i="8"/>
  <c r="D70" i="8"/>
  <c r="E70" i="8"/>
  <c r="F70" i="8"/>
  <c r="G70" i="8"/>
  <c r="H70" i="8"/>
  <c r="I70" i="8"/>
  <c r="C70" i="8"/>
  <c r="J70" i="8"/>
  <c r="C124" i="8"/>
  <c r="D124" i="8"/>
  <c r="E124" i="8"/>
  <c r="F124" i="8"/>
  <c r="G124" i="8"/>
  <c r="H124" i="8"/>
  <c r="I124" i="8"/>
  <c r="C125" i="8"/>
  <c r="D125" i="8"/>
  <c r="E125" i="8"/>
  <c r="F125" i="8"/>
  <c r="G125" i="8"/>
  <c r="H125" i="8"/>
  <c r="I125" i="8"/>
  <c r="C126" i="8"/>
  <c r="D126" i="8"/>
  <c r="E126" i="8"/>
  <c r="F126" i="8"/>
  <c r="G126" i="8"/>
  <c r="H126" i="8"/>
  <c r="I126" i="8"/>
  <c r="C127" i="8"/>
  <c r="D127" i="8"/>
  <c r="E127" i="8"/>
  <c r="F127" i="8"/>
  <c r="G127" i="8"/>
  <c r="H127" i="8"/>
  <c r="I127" i="8"/>
  <c r="C128" i="8"/>
  <c r="D128" i="8"/>
  <c r="E128" i="8"/>
  <c r="F128" i="8"/>
  <c r="G128" i="8"/>
  <c r="H128" i="8"/>
  <c r="I128" i="8"/>
  <c r="C129" i="8"/>
  <c r="D129" i="8"/>
  <c r="E129" i="8"/>
  <c r="F129" i="8"/>
  <c r="G129" i="8"/>
  <c r="H129" i="8"/>
  <c r="I129" i="8"/>
  <c r="C130" i="8"/>
  <c r="D130" i="8"/>
  <c r="E130" i="8"/>
  <c r="F130" i="8"/>
  <c r="G130" i="8"/>
  <c r="H130" i="8"/>
  <c r="I130" i="8"/>
  <c r="C131" i="8"/>
  <c r="D131" i="8"/>
  <c r="E131" i="8"/>
  <c r="F131" i="8"/>
  <c r="G131" i="8"/>
  <c r="H131" i="8"/>
  <c r="I131" i="8"/>
  <c r="C132" i="8"/>
  <c r="D132" i="8"/>
  <c r="E132" i="8"/>
  <c r="F132" i="8"/>
  <c r="G132" i="8"/>
  <c r="H132" i="8"/>
  <c r="I132" i="8"/>
  <c r="C133" i="8"/>
  <c r="D133" i="8"/>
  <c r="E133" i="8"/>
  <c r="F133" i="8"/>
  <c r="G133" i="8"/>
  <c r="H133" i="8"/>
  <c r="I133" i="8"/>
  <c r="C134" i="8"/>
  <c r="D134" i="8"/>
  <c r="E134" i="8"/>
  <c r="F134" i="8"/>
  <c r="G134" i="8"/>
  <c r="H134" i="8"/>
  <c r="I134" i="8"/>
  <c r="C135" i="8"/>
  <c r="D135" i="8"/>
  <c r="E135" i="8"/>
  <c r="F135" i="8"/>
  <c r="G135" i="8"/>
  <c r="H135" i="8"/>
  <c r="I135" i="8"/>
  <c r="C136" i="8"/>
  <c r="D136" i="8"/>
  <c r="E136" i="8"/>
  <c r="F136" i="8"/>
  <c r="G136" i="8"/>
  <c r="H136" i="8"/>
  <c r="I136" i="8"/>
  <c r="C137" i="8"/>
  <c r="D137" i="8"/>
  <c r="E137" i="8"/>
  <c r="F137" i="8"/>
  <c r="G137" i="8"/>
  <c r="H137" i="8"/>
  <c r="I137" i="8"/>
  <c r="C138" i="8"/>
  <c r="D138" i="8"/>
  <c r="E138" i="8"/>
  <c r="F138" i="8"/>
  <c r="G138" i="8"/>
  <c r="H138" i="8"/>
  <c r="I138" i="8"/>
  <c r="C139" i="8"/>
  <c r="D139" i="8"/>
  <c r="E139" i="8"/>
  <c r="F139" i="8"/>
  <c r="G139" i="8"/>
  <c r="H139" i="8"/>
  <c r="I139" i="8"/>
  <c r="C140" i="8"/>
  <c r="D140" i="8"/>
  <c r="E140" i="8"/>
  <c r="F140" i="8"/>
  <c r="G140" i="8"/>
  <c r="H140" i="8"/>
  <c r="I140" i="8"/>
  <c r="C141" i="8"/>
  <c r="D141" i="8"/>
  <c r="E141" i="8"/>
  <c r="F141" i="8"/>
  <c r="G141" i="8"/>
  <c r="H141" i="8"/>
  <c r="I141" i="8"/>
  <c r="C142" i="8"/>
  <c r="D142" i="8"/>
  <c r="E142" i="8"/>
  <c r="F142" i="8"/>
  <c r="G142" i="8"/>
  <c r="H142" i="8"/>
  <c r="I142" i="8"/>
  <c r="C143" i="8"/>
  <c r="D143" i="8"/>
  <c r="E143" i="8"/>
  <c r="F143" i="8"/>
  <c r="G143" i="8"/>
  <c r="H143" i="8"/>
  <c r="I143" i="8"/>
  <c r="C144" i="8"/>
  <c r="D144" i="8"/>
  <c r="E144" i="8"/>
  <c r="F144" i="8"/>
  <c r="G144" i="8"/>
  <c r="H144" i="8"/>
  <c r="I144" i="8"/>
  <c r="C145" i="8"/>
  <c r="D145" i="8"/>
  <c r="E145" i="8"/>
  <c r="F145" i="8"/>
  <c r="G145" i="8"/>
  <c r="H145" i="8"/>
  <c r="I145" i="8"/>
  <c r="C146" i="8"/>
  <c r="D146" i="8"/>
  <c r="E146" i="8"/>
  <c r="F146" i="8"/>
  <c r="G146" i="8"/>
  <c r="H146" i="8"/>
  <c r="I146" i="8"/>
  <c r="C147" i="8"/>
  <c r="D147" i="8"/>
  <c r="E147" i="8"/>
  <c r="F147" i="8"/>
  <c r="G147" i="8"/>
  <c r="H147" i="8"/>
  <c r="I147" i="8"/>
  <c r="C148" i="8"/>
  <c r="D148" i="8"/>
  <c r="E148" i="8"/>
  <c r="F148" i="8"/>
  <c r="G148" i="8"/>
  <c r="H148" i="8"/>
  <c r="I148" i="8"/>
  <c r="C149" i="8"/>
  <c r="D149" i="8"/>
  <c r="E149" i="8"/>
  <c r="F149" i="8"/>
  <c r="G149" i="8"/>
  <c r="H149" i="8"/>
  <c r="I149" i="8"/>
  <c r="C150" i="8"/>
  <c r="D150" i="8"/>
  <c r="E150" i="8"/>
  <c r="F150" i="8"/>
  <c r="G150" i="8"/>
  <c r="H150" i="8"/>
  <c r="I150" i="8"/>
  <c r="C151" i="8"/>
  <c r="D151" i="8"/>
  <c r="E151" i="8"/>
  <c r="F151" i="8"/>
  <c r="G151" i="8"/>
  <c r="H151" i="8"/>
  <c r="I151" i="8"/>
  <c r="C152" i="8"/>
  <c r="D152" i="8"/>
  <c r="E152" i="8"/>
  <c r="F152" i="8"/>
  <c r="G152" i="8"/>
  <c r="H152" i="8"/>
  <c r="I152" i="8"/>
  <c r="C153" i="8"/>
  <c r="D153" i="8"/>
  <c r="E153" i="8"/>
  <c r="F153" i="8"/>
  <c r="G153" i="8"/>
  <c r="H153" i="8"/>
  <c r="I153" i="8"/>
  <c r="C154" i="8"/>
  <c r="D154" i="8"/>
  <c r="E154" i="8"/>
  <c r="F154" i="8"/>
  <c r="G154" i="8"/>
  <c r="H154" i="8"/>
  <c r="I154" i="8"/>
  <c r="C155" i="8"/>
  <c r="D155" i="8"/>
  <c r="E155" i="8"/>
  <c r="F155" i="8"/>
  <c r="G155" i="8"/>
  <c r="H155" i="8"/>
  <c r="I155" i="8"/>
  <c r="F123" i="8"/>
  <c r="D123" i="8"/>
  <c r="E123" i="8"/>
  <c r="G123" i="8"/>
  <c r="H123" i="8"/>
  <c r="I123" i="8"/>
  <c r="C123" i="8"/>
  <c r="C90" i="8"/>
  <c r="D90" i="8"/>
  <c r="E90" i="8"/>
  <c r="F90" i="8"/>
  <c r="G90" i="8"/>
  <c r="H90" i="8"/>
  <c r="I90" i="8"/>
  <c r="C91" i="8"/>
  <c r="D91" i="8"/>
  <c r="E91" i="8"/>
  <c r="F91" i="8"/>
  <c r="G91" i="8"/>
  <c r="H91" i="8"/>
  <c r="I91" i="8"/>
  <c r="C92" i="8"/>
  <c r="D92" i="8"/>
  <c r="E92" i="8"/>
  <c r="F92" i="8"/>
  <c r="G92" i="8"/>
  <c r="H92" i="8"/>
  <c r="I92" i="8"/>
  <c r="C93" i="8"/>
  <c r="D93" i="8"/>
  <c r="E93" i="8"/>
  <c r="F93" i="8"/>
  <c r="G93" i="8"/>
  <c r="H93" i="8"/>
  <c r="I93" i="8"/>
  <c r="C94" i="8"/>
  <c r="D94" i="8"/>
  <c r="E94" i="8"/>
  <c r="F94" i="8"/>
  <c r="G94" i="8"/>
  <c r="H94" i="8"/>
  <c r="I94" i="8"/>
  <c r="C95" i="8"/>
  <c r="D95" i="8"/>
  <c r="E95" i="8"/>
  <c r="F95" i="8"/>
  <c r="G95" i="8"/>
  <c r="H95" i="8"/>
  <c r="I95" i="8"/>
  <c r="C96" i="8"/>
  <c r="D96" i="8"/>
  <c r="E96" i="8"/>
  <c r="F96" i="8"/>
  <c r="G96" i="8"/>
  <c r="H96" i="8"/>
  <c r="I96" i="8"/>
  <c r="C97" i="8"/>
  <c r="D97" i="8"/>
  <c r="E97" i="8"/>
  <c r="F97" i="8"/>
  <c r="G97" i="8"/>
  <c r="H97" i="8"/>
  <c r="I97" i="8"/>
  <c r="C98" i="8"/>
  <c r="D98" i="8"/>
  <c r="E98" i="8"/>
  <c r="F98" i="8"/>
  <c r="G98" i="8"/>
  <c r="H98" i="8"/>
  <c r="I98" i="8"/>
  <c r="C99" i="8"/>
  <c r="D99" i="8"/>
  <c r="E99" i="8"/>
  <c r="F99" i="8"/>
  <c r="G99" i="8"/>
  <c r="H99" i="8"/>
  <c r="I99" i="8"/>
  <c r="C100" i="8"/>
  <c r="D100" i="8"/>
  <c r="E100" i="8"/>
  <c r="F100" i="8"/>
  <c r="G100" i="8"/>
  <c r="H100" i="8"/>
  <c r="I100" i="8"/>
  <c r="C101" i="8"/>
  <c r="D101" i="8"/>
  <c r="E101" i="8"/>
  <c r="F101" i="8"/>
  <c r="G101" i="8"/>
  <c r="H101" i="8"/>
  <c r="I101" i="8"/>
  <c r="C102" i="8"/>
  <c r="D102" i="8"/>
  <c r="E102" i="8"/>
  <c r="F102" i="8"/>
  <c r="G102" i="8"/>
  <c r="H102" i="8"/>
  <c r="I102" i="8"/>
  <c r="C103" i="8"/>
  <c r="D103" i="8"/>
  <c r="E103" i="8"/>
  <c r="F103" i="8"/>
  <c r="G103" i="8"/>
  <c r="H103" i="8"/>
  <c r="I103" i="8"/>
  <c r="C104" i="8"/>
  <c r="D104" i="8"/>
  <c r="E104" i="8"/>
  <c r="F104" i="8"/>
  <c r="G104" i="8"/>
  <c r="H104" i="8"/>
  <c r="I104" i="8"/>
  <c r="C105" i="8"/>
  <c r="D105" i="8"/>
  <c r="E105" i="8"/>
  <c r="F105" i="8"/>
  <c r="G105" i="8"/>
  <c r="H105" i="8"/>
  <c r="I105" i="8"/>
  <c r="C106" i="8"/>
  <c r="D106" i="8"/>
  <c r="E106" i="8"/>
  <c r="F106" i="8"/>
  <c r="G106" i="8"/>
  <c r="H106" i="8"/>
  <c r="I106" i="8"/>
  <c r="C107" i="8"/>
  <c r="D107" i="8"/>
  <c r="E107" i="8"/>
  <c r="F107" i="8"/>
  <c r="G107" i="8"/>
  <c r="H107" i="8"/>
  <c r="I107" i="8"/>
  <c r="C108" i="8"/>
  <c r="D108" i="8"/>
  <c r="E108" i="8"/>
  <c r="F108" i="8"/>
  <c r="G108" i="8"/>
  <c r="H108" i="8"/>
  <c r="I108" i="8"/>
  <c r="C109" i="8"/>
  <c r="D109" i="8"/>
  <c r="E109" i="8"/>
  <c r="F109" i="8"/>
  <c r="G109" i="8"/>
  <c r="H109" i="8"/>
  <c r="I109" i="8"/>
  <c r="C110" i="8"/>
  <c r="D110" i="8"/>
  <c r="E110" i="8"/>
  <c r="F110" i="8"/>
  <c r="G110" i="8"/>
  <c r="H110" i="8"/>
  <c r="I110" i="8"/>
  <c r="C111" i="8"/>
  <c r="D111" i="8"/>
  <c r="E111" i="8"/>
  <c r="F111" i="8"/>
  <c r="G111" i="8"/>
  <c r="H111" i="8"/>
  <c r="I111" i="8"/>
  <c r="C112" i="8"/>
  <c r="D112" i="8"/>
  <c r="E112" i="8"/>
  <c r="F112" i="8"/>
  <c r="G112" i="8"/>
  <c r="H112" i="8"/>
  <c r="I112" i="8"/>
  <c r="C113" i="8"/>
  <c r="D113" i="8"/>
  <c r="E113" i="8"/>
  <c r="F113" i="8"/>
  <c r="G113" i="8"/>
  <c r="H113" i="8"/>
  <c r="I113" i="8"/>
  <c r="C114" i="8"/>
  <c r="D114" i="8"/>
  <c r="E114" i="8"/>
  <c r="F114" i="8"/>
  <c r="G114" i="8"/>
  <c r="H114" i="8"/>
  <c r="I114" i="8"/>
  <c r="C115" i="8"/>
  <c r="D115" i="8"/>
  <c r="E115" i="8"/>
  <c r="F115" i="8"/>
  <c r="G115" i="8"/>
  <c r="H115" i="8"/>
  <c r="I115" i="8"/>
  <c r="C116" i="8"/>
  <c r="D116" i="8"/>
  <c r="E116" i="8"/>
  <c r="F116" i="8"/>
  <c r="G116" i="8"/>
  <c r="H116" i="8"/>
  <c r="I116" i="8"/>
  <c r="C117" i="8"/>
  <c r="D117" i="8"/>
  <c r="E117" i="8"/>
  <c r="F117" i="8"/>
  <c r="G117" i="8"/>
  <c r="H117" i="8"/>
  <c r="I117" i="8"/>
  <c r="C118" i="8"/>
  <c r="D118" i="8"/>
  <c r="E118" i="8"/>
  <c r="F118" i="8"/>
  <c r="G118" i="8"/>
  <c r="H118" i="8"/>
  <c r="I118" i="8"/>
  <c r="C119" i="8"/>
  <c r="D119" i="8"/>
  <c r="E119" i="8"/>
  <c r="F119" i="8"/>
  <c r="G119" i="8"/>
  <c r="H119" i="8"/>
  <c r="I119" i="8"/>
  <c r="C120" i="8"/>
  <c r="D120" i="8"/>
  <c r="E120" i="8"/>
  <c r="F120" i="8"/>
  <c r="G120" i="8"/>
  <c r="H120" i="8"/>
  <c r="I120" i="8"/>
  <c r="C121" i="8"/>
  <c r="D121" i="8"/>
  <c r="E121" i="8"/>
  <c r="F121" i="8"/>
  <c r="G121" i="8"/>
  <c r="H121" i="8"/>
  <c r="I121" i="8"/>
  <c r="D89" i="8"/>
  <c r="E89" i="8"/>
  <c r="F89" i="8"/>
  <c r="G89" i="8"/>
  <c r="H89" i="8"/>
  <c r="I89" i="8"/>
  <c r="C89" i="8"/>
  <c r="B71" i="8"/>
  <c r="B72" i="8"/>
  <c r="B73" i="8"/>
  <c r="B74" i="8"/>
  <c r="B75" i="8"/>
  <c r="B76" i="8"/>
  <c r="B77" i="8"/>
  <c r="B78" i="8"/>
  <c r="B79" i="8"/>
  <c r="B87" i="8"/>
  <c r="B70" i="8"/>
  <c r="L86" i="9"/>
  <c r="M154" i="9"/>
  <c r="D154" i="9"/>
  <c r="L256" i="9"/>
  <c r="L222" i="9"/>
  <c r="L188" i="9"/>
  <c r="C222" i="9"/>
  <c r="C256" i="9"/>
  <c r="C86" i="9"/>
  <c r="L120" i="9"/>
  <c r="C120" i="9"/>
  <c r="L154" i="9"/>
  <c r="C154" i="9"/>
  <c r="C188" i="9"/>
  <c r="H79" i="17"/>
  <c r="G79" i="17"/>
  <c r="G80" i="17" s="1"/>
  <c r="F79" i="17"/>
  <c r="F80" i="17" s="1"/>
  <c r="E79" i="17"/>
  <c r="D79" i="17"/>
  <c r="C79" i="17"/>
  <c r="H80" i="17" s="1"/>
  <c r="H79" i="16"/>
  <c r="H80" i="16" s="1"/>
  <c r="G79" i="16"/>
  <c r="G80" i="16" s="1"/>
  <c r="F79" i="16"/>
  <c r="E79" i="16"/>
  <c r="D79" i="16"/>
  <c r="D80" i="16" s="1"/>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73" i="10"/>
  <c r="BB6" i="10"/>
  <c r="AG7" i="10"/>
  <c r="AG8"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H7" i="10"/>
  <c r="AH8" i="10"/>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AI6" i="10"/>
  <c r="AH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Z6" i="10"/>
  <c r="Y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AD6" i="10"/>
  <c r="AE6" i="10"/>
  <c r="AF6" i="10"/>
  <c r="AC6" i="10"/>
  <c r="AA6" i="10"/>
  <c r="U73" i="10"/>
  <c r="V73" i="10"/>
  <c r="W73" i="10"/>
  <c r="T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73" i="10"/>
  <c r="B6" i="10"/>
  <c r="L6" i="10"/>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BO16" i="6" l="1"/>
  <c r="BO24" i="6"/>
  <c r="BO10" i="6"/>
  <c r="BO18" i="6"/>
  <c r="BO26" i="6"/>
  <c r="BW10" i="6"/>
  <c r="BU11" i="6"/>
  <c r="BW12" i="6"/>
  <c r="BU13" i="6"/>
  <c r="BW14" i="6"/>
  <c r="BU15" i="6"/>
  <c r="BW16" i="6"/>
  <c r="BU17" i="6"/>
  <c r="BW18" i="6"/>
  <c r="BU19" i="6"/>
  <c r="BW20" i="6"/>
  <c r="BU21" i="6"/>
  <c r="BW22" i="6"/>
  <c r="BU23" i="6"/>
  <c r="BW24" i="6"/>
  <c r="BU25" i="6"/>
  <c r="BW26" i="6"/>
  <c r="BV11" i="6"/>
  <c r="BV13" i="6"/>
  <c r="BV15" i="6"/>
  <c r="BV17" i="6"/>
  <c r="BV19" i="6"/>
  <c r="BV21" i="6"/>
  <c r="BV23" i="6"/>
  <c r="BV25" i="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Z78" i="8" l="1"/>
  <c r="AH79" i="8"/>
  <c r="J79" i="8"/>
  <c r="J71" i="8"/>
  <c r="R73" i="8"/>
  <c r="J72" i="8"/>
  <c r="J77" i="8"/>
  <c r="AH73" i="8"/>
  <c r="R77" i="8"/>
  <c r="AH78" i="8"/>
  <c r="Z71" i="8"/>
  <c r="AH77" i="8"/>
  <c r="Z70" i="8"/>
  <c r="J76" i="8"/>
  <c r="J78" i="8"/>
  <c r="R74" i="8"/>
  <c r="AH74" i="8"/>
  <c r="J75" i="8"/>
  <c r="J73" i="8"/>
  <c r="J74" i="8"/>
  <c r="R79" i="8"/>
  <c r="Z79" i="8" l="1"/>
  <c r="Z72" i="8"/>
  <c r="R72" i="8"/>
  <c r="Z74" i="8"/>
  <c r="R76" i="8"/>
  <c r="Z75" i="8"/>
  <c r="R78" i="8"/>
  <c r="AH76" i="8"/>
  <c r="Z76" i="8"/>
  <c r="Z73" i="8"/>
  <c r="AH72" i="8"/>
  <c r="AH75" i="8"/>
  <c r="AH70" i="8"/>
  <c r="R75" i="8"/>
  <c r="Z77" i="8"/>
  <c r="AH71" i="8"/>
  <c r="R71" i="8"/>
  <c r="R70" i="8"/>
  <c r="BS96" i="17" l="1"/>
  <c r="BR96" i="17"/>
  <c r="BQ96" i="17"/>
  <c r="BP96" i="17"/>
  <c r="BP97" i="17" s="1"/>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O96" i="17"/>
  <c r="BN96" i="17"/>
  <c r="BM96" i="17"/>
  <c r="BN96" i="16"/>
  <c r="BO96" i="16"/>
  <c r="BP96" i="16"/>
  <c r="BT96" i="16" s="1"/>
  <c r="BQ96" i="16"/>
  <c r="BR96" i="16"/>
  <c r="BS96" i="16"/>
  <c r="BM96" i="16"/>
  <c r="BN97" i="1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R98" i="1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17" i="4"/>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M50" i="4"/>
  <c r="L50" i="4"/>
  <c r="AB6" i="10" s="1"/>
  <c r="J51" i="4"/>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M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N97" i="17"/>
  <c r="BN98" i="17" s="1"/>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T96" i="17"/>
  <c r="BX94" i="17"/>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M97" i="16"/>
  <c r="BX94" i="16"/>
  <c r="BX95" i="11"/>
  <c r="AI7" i="10"/>
  <c r="AI8" i="10" s="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AD7" i="10"/>
  <c r="AS6" i="10"/>
  <c r="AV6" i="10"/>
  <c r="AM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Q80" i="9" s="1"/>
  <c r="P80" i="9"/>
  <c r="D80" i="9"/>
  <c r="V79" i="9"/>
  <c r="M79" i="9"/>
  <c r="D79" i="9"/>
  <c r="V78" i="9"/>
  <c r="M78" i="9"/>
  <c r="D78" i="9"/>
  <c r="V77" i="9"/>
  <c r="M77" i="9"/>
  <c r="D77" i="9"/>
  <c r="V76" i="9"/>
  <c r="M76" i="9"/>
  <c r="D76" i="9"/>
  <c r="V75" i="9"/>
  <c r="M75" i="9"/>
  <c r="D75" i="9"/>
  <c r="V74" i="9"/>
  <c r="M74" i="9"/>
  <c r="D74" i="9"/>
  <c r="V73" i="9"/>
  <c r="M73" i="9"/>
  <c r="D73" i="9"/>
  <c r="V72" i="9"/>
  <c r="M72" i="9"/>
  <c r="T72" i="9"/>
  <c r="D72" i="9"/>
  <c r="V71" i="9"/>
  <c r="M71" i="9"/>
  <c r="D71" i="9"/>
  <c r="V70" i="9"/>
  <c r="M70" i="9"/>
  <c r="T70" i="9"/>
  <c r="D70" i="9"/>
  <c r="V69" i="9"/>
  <c r="M69" i="9"/>
  <c r="D69" i="9"/>
  <c r="V68" i="9"/>
  <c r="M68" i="9"/>
  <c r="T68" i="9"/>
  <c r="D68" i="9"/>
  <c r="V67" i="9"/>
  <c r="M67" i="9"/>
  <c r="D67" i="9"/>
  <c r="V66" i="9"/>
  <c r="M66" i="9"/>
  <c r="T66" i="9"/>
  <c r="D66" i="9"/>
  <c r="V65" i="9"/>
  <c r="M65" i="9"/>
  <c r="D65" i="9"/>
  <c r="V64" i="9"/>
  <c r="M64" i="9"/>
  <c r="T64" i="9"/>
  <c r="D64" i="9"/>
  <c r="V63" i="9"/>
  <c r="M63" i="9"/>
  <c r="D63" i="9"/>
  <c r="M51" i="4" l="1"/>
  <c r="AA7" i="10"/>
  <c r="T63" i="9"/>
  <c r="T69" i="9"/>
  <c r="O221" i="9"/>
  <c r="N255" i="9"/>
  <c r="O121" i="9"/>
  <c r="T65" i="9"/>
  <c r="T71" i="9"/>
  <c r="L87" i="9"/>
  <c r="BT97" i="11"/>
  <c r="BT99" i="11"/>
  <c r="BT98" i="11"/>
  <c r="BM100" i="11"/>
  <c r="U55" i="4"/>
  <c r="AC55" i="4"/>
  <c r="L51" i="4"/>
  <c r="AB7" i="10" s="1"/>
  <c r="AV7" i="10" s="1"/>
  <c r="U52" i="4"/>
  <c r="AC52" i="4"/>
  <c r="N56" i="4"/>
  <c r="V56" i="4"/>
  <c r="U50" i="4"/>
  <c r="AC50" i="4"/>
  <c r="U54" i="4"/>
  <c r="AC54" i="4"/>
  <c r="U51" i="4"/>
  <c r="AC51" i="4"/>
  <c r="J52" i="4"/>
  <c r="AA8" i="10" s="1"/>
  <c r="U53" i="4"/>
  <c r="AC53" i="4"/>
  <c r="I118"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BT97" i="17"/>
  <c r="BM98" i="17"/>
  <c r="BM98" i="16"/>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V51" i="10"/>
  <c r="AO50" i="10"/>
  <c r="AO12" i="10"/>
  <c r="AN12" i="10"/>
  <c r="AM12" i="10"/>
  <c r="AO20" i="10"/>
  <c r="AN20" i="10"/>
  <c r="AM20" i="10"/>
  <c r="W10" i="10"/>
  <c r="W11" i="10" s="1"/>
  <c r="W12" i="10" s="1"/>
  <c r="W13" i="10" s="1"/>
  <c r="AP9" i="10"/>
  <c r="AO11" i="10"/>
  <c r="AP11" i="10"/>
  <c r="AN11" i="10"/>
  <c r="AM11" i="10"/>
  <c r="AO19" i="10"/>
  <c r="AN19" i="10"/>
  <c r="AM19" i="10"/>
  <c r="AP8" i="10"/>
  <c r="AO8" i="10"/>
  <c r="AN8" i="10"/>
  <c r="AM8" i="10"/>
  <c r="AO16" i="10"/>
  <c r="AN16" i="10"/>
  <c r="AM16" i="10"/>
  <c r="AO24" i="10"/>
  <c r="AN24" i="10"/>
  <c r="AM24" i="10"/>
  <c r="AO26" i="10"/>
  <c r="AM26" i="10"/>
  <c r="U26" i="10"/>
  <c r="U27" i="10" s="1"/>
  <c r="U28" i="10" s="1"/>
  <c r="U29" i="10" s="1"/>
  <c r="U30" i="10" s="1"/>
  <c r="AN25" i="10"/>
  <c r="AM25" i="10"/>
  <c r="AD8" i="10"/>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U7" i="10"/>
  <c r="AO7" i="10"/>
  <c r="AP7" i="10"/>
  <c r="AN7" i="10"/>
  <c r="AM7" i="10"/>
  <c r="AL7" i="10"/>
  <c r="AI9" i="10"/>
  <c r="AO15" i="10"/>
  <c r="AN15" i="10"/>
  <c r="AM15" i="10"/>
  <c r="AO23" i="10"/>
  <c r="AN23" i="10"/>
  <c r="AM23" i="10"/>
  <c r="AG6" i="10"/>
  <c r="AE8" i="10"/>
  <c r="AO29" i="10"/>
  <c r="AN29" i="10"/>
  <c r="AO33" i="10"/>
  <c r="AO35" i="10"/>
  <c r="AO36" i="10"/>
  <c r="AO41" i="10"/>
  <c r="AO43" i="10"/>
  <c r="AO44" i="10"/>
  <c r="AO49" i="10"/>
  <c r="AT6" i="10"/>
  <c r="AT7" i="10"/>
  <c r="AN10" i="10"/>
  <c r="AM10" i="10"/>
  <c r="AN14" i="10"/>
  <c r="AM14" i="10"/>
  <c r="AN18" i="10"/>
  <c r="AM18" i="10"/>
  <c r="AN22" i="10"/>
  <c r="AM22" i="10"/>
  <c r="AM17" i="10"/>
  <c r="AM28" i="10"/>
  <c r="AO32" i="10"/>
  <c r="AN6" i="10"/>
  <c r="AO6" i="10"/>
  <c r="AU6" i="10"/>
  <c r="AC7" i="10"/>
  <c r="AM9" i="10"/>
  <c r="AN9" i="10"/>
  <c r="AO10" i="10"/>
  <c r="AM13" i="10"/>
  <c r="AN13" i="10"/>
  <c r="AO14" i="10"/>
  <c r="AN17" i="10"/>
  <c r="AO18" i="10"/>
  <c r="AM21" i="10"/>
  <c r="AN21" i="10"/>
  <c r="AO22" i="10"/>
  <c r="AO25" i="10"/>
  <c r="AM27" i="10"/>
  <c r="AO27" i="10"/>
  <c r="AO28" i="10"/>
  <c r="AO30" i="10"/>
  <c r="AO37" i="10"/>
  <c r="AO39" i="10"/>
  <c r="AO40" i="10"/>
  <c r="AO45" i="10"/>
  <c r="AO47" i="10"/>
  <c r="X7" i="10"/>
  <c r="X6" i="10"/>
  <c r="AF7" i="10"/>
  <c r="AW6" i="10"/>
  <c r="AP6" i="10"/>
  <c r="T8" i="10"/>
  <c r="AL8" i="10" s="1"/>
  <c r="AO9" i="10"/>
  <c r="AP10" i="10"/>
  <c r="AO13" i="10"/>
  <c r="AO17" i="10"/>
  <c r="AO21" i="10"/>
  <c r="AN27" i="10"/>
  <c r="AM29" i="10"/>
  <c r="AO34" i="10"/>
  <c r="AO38" i="10"/>
  <c r="AO42" i="10"/>
  <c r="AO46" i="10"/>
  <c r="AO31" i="10"/>
  <c r="AO48" i="10"/>
  <c r="X73" i="10"/>
  <c r="L88" i="9"/>
  <c r="M87" i="9"/>
  <c r="O223" i="9"/>
  <c r="O87" i="9"/>
  <c r="N85" i="9"/>
  <c r="D87" i="9"/>
  <c r="C88" i="9"/>
  <c r="T67" i="9"/>
  <c r="N257" i="9"/>
  <c r="N121" i="9"/>
  <c r="O259" i="9"/>
  <c r="O123" i="9"/>
  <c r="M156" i="9"/>
  <c r="S80" i="9"/>
  <c r="M188" i="9"/>
  <c r="L189" i="9"/>
  <c r="L258" i="9"/>
  <c r="M257" i="9"/>
  <c r="N84" i="9"/>
  <c r="L122" i="9"/>
  <c r="D223" i="9"/>
  <c r="M223" i="9"/>
  <c r="L224" i="9"/>
  <c r="O255" i="9"/>
  <c r="O84" i="9"/>
  <c r="C121" i="9"/>
  <c r="D155" i="9"/>
  <c r="L157" i="9"/>
  <c r="C189" i="9"/>
  <c r="M256" i="9"/>
  <c r="C257" i="9"/>
  <c r="D256" i="9"/>
  <c r="AX6" i="10" l="1"/>
  <c r="AP12" i="10"/>
  <c r="AQ6" i="10"/>
  <c r="AZ6" i="10" s="1"/>
  <c r="BT100" i="11"/>
  <c r="BM101" i="11"/>
  <c r="I119" i="4"/>
  <c r="AC56" i="4"/>
  <c r="V57" i="4"/>
  <c r="M52" i="4"/>
  <c r="L52" i="4"/>
  <c r="AB8" i="10" s="1"/>
  <c r="AU8" i="10" s="1"/>
  <c r="J53" i="4"/>
  <c r="AA9" i="10" s="1"/>
  <c r="U56" i="4"/>
  <c r="N57" i="4"/>
  <c r="N31" i="4"/>
  <c r="N21" i="4"/>
  <c r="J31" i="4" s="1"/>
  <c r="N25" i="4"/>
  <c r="N28" i="4"/>
  <c r="C224" i="9"/>
  <c r="AQ7" i="10"/>
  <c r="AQ8" i="10"/>
  <c r="BM99" i="17"/>
  <c r="BT98" i="17"/>
  <c r="BT97" i="16"/>
  <c r="BT98" i="16"/>
  <c r="BM99" i="16"/>
  <c r="U31" i="10"/>
  <c r="AM30" i="10"/>
  <c r="AN28" i="10"/>
  <c r="AI10" i="10"/>
  <c r="AD29" i="10"/>
  <c r="T9" i="10"/>
  <c r="X8" i="10"/>
  <c r="AF8" i="10"/>
  <c r="AW7" i="10"/>
  <c r="AN30" i="10"/>
  <c r="AC8" i="10"/>
  <c r="AS7" i="10"/>
  <c r="AE9" i="10"/>
  <c r="AN26"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AX7" i="10" l="1"/>
  <c r="AV8" i="10"/>
  <c r="AT8" i="10"/>
  <c r="BA6" i="10"/>
  <c r="BT101" i="11"/>
  <c r="BM102" i="11"/>
  <c r="V58" i="4"/>
  <c r="AC57" i="4"/>
  <c r="L53" i="4"/>
  <c r="AB9" i="10" s="1"/>
  <c r="AV9" i="10" s="1"/>
  <c r="J54" i="4"/>
  <c r="AA10" i="10" s="1"/>
  <c r="M53" i="4"/>
  <c r="N58" i="4"/>
  <c r="U57" i="4"/>
  <c r="I120" i="4"/>
  <c r="H31" i="4"/>
  <c r="M31" i="4"/>
  <c r="E31" i="4"/>
  <c r="D31" i="4"/>
  <c r="K31" i="4"/>
  <c r="I31" i="4"/>
  <c r="G31" i="4"/>
  <c r="F31" i="4"/>
  <c r="L31" i="4"/>
  <c r="C31" i="4"/>
  <c r="C225" i="9"/>
  <c r="BM100" i="17"/>
  <c r="BT99" i="17"/>
  <c r="BT99" i="16"/>
  <c r="BM100" i="16"/>
  <c r="AE10" i="10"/>
  <c r="AC9" i="10"/>
  <c r="AS8" i="10"/>
  <c r="AD30" i="10"/>
  <c r="V53" i="10"/>
  <c r="AO52" i="10"/>
  <c r="W15" i="10"/>
  <c r="AP14" i="10"/>
  <c r="U32" i="10"/>
  <c r="AN31" i="10"/>
  <c r="AM31" i="10"/>
  <c r="T10" i="10"/>
  <c r="X9" i="10"/>
  <c r="AL9" i="10"/>
  <c r="AQ9" i="10" s="1"/>
  <c r="AI11" i="10"/>
  <c r="BA7" i="10"/>
  <c r="AZ7" i="10"/>
  <c r="AF9" i="10"/>
  <c r="AW8"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AT9" i="10" l="1"/>
  <c r="AU9" i="10"/>
  <c r="BT102" i="11"/>
  <c r="BM103" i="11"/>
  <c r="N59" i="4"/>
  <c r="U58" i="4"/>
  <c r="I121" i="4"/>
  <c r="J55" i="4"/>
  <c r="AA11" i="10" s="1"/>
  <c r="M54" i="4"/>
  <c r="L54" i="4"/>
  <c r="AB10" i="10" s="1"/>
  <c r="AV10" i="10" s="1"/>
  <c r="V59" i="4"/>
  <c r="AC58" i="4"/>
  <c r="C226" i="9"/>
  <c r="BM101" i="17"/>
  <c r="BT100" i="17"/>
  <c r="BM101" i="16"/>
  <c r="BT100" i="16"/>
  <c r="T11" i="10"/>
  <c r="X10" i="10"/>
  <c r="AL10" i="10"/>
  <c r="AQ10" i="10" s="1"/>
  <c r="AF10" i="10"/>
  <c r="AW9" i="10"/>
  <c r="AI12" i="10"/>
  <c r="W16" i="10"/>
  <c r="AP15" i="10"/>
  <c r="AD31" i="10"/>
  <c r="U33" i="10"/>
  <c r="AN32" i="10"/>
  <c r="AM32" i="10"/>
  <c r="V54" i="10"/>
  <c r="AO53" i="10"/>
  <c r="AC10" i="10"/>
  <c r="AS9" i="10"/>
  <c r="AX8"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AT10" i="10" l="1"/>
  <c r="AU10" i="10"/>
  <c r="AX9" i="10"/>
  <c r="BA9" i="10" s="1"/>
  <c r="BT103" i="11"/>
  <c r="BM104" i="11"/>
  <c r="M55" i="4"/>
  <c r="J56" i="4"/>
  <c r="AA12" i="10" s="1"/>
  <c r="L55" i="4"/>
  <c r="AB11" i="10" s="1"/>
  <c r="AC59" i="4"/>
  <c r="V60" i="4"/>
  <c r="I122" i="4"/>
  <c r="U59" i="4"/>
  <c r="N60" i="4"/>
  <c r="C227" i="9"/>
  <c r="BT101" i="17"/>
  <c r="BM102" i="17"/>
  <c r="BT101" i="16"/>
  <c r="BM102" i="16"/>
  <c r="AZ8" i="10"/>
  <c r="BA8" i="10"/>
  <c r="U34" i="10"/>
  <c r="AN33" i="10"/>
  <c r="AM33" i="10"/>
  <c r="W17" i="10"/>
  <c r="AP16" i="10"/>
  <c r="AF11" i="10"/>
  <c r="AW10" i="10"/>
  <c r="V55" i="10"/>
  <c r="AO54" i="10"/>
  <c r="AE12" i="10"/>
  <c r="AD32" i="10"/>
  <c r="AI13" i="10"/>
  <c r="AS10" i="10"/>
  <c r="AC11" i="10"/>
  <c r="X11" i="10"/>
  <c r="T12" i="10"/>
  <c r="AL11" i="10"/>
  <c r="AQ11" i="10" s="1"/>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AT11" i="10" l="1"/>
  <c r="AU11" i="10"/>
  <c r="AV11" i="10"/>
  <c r="AZ9" i="10"/>
  <c r="AX10" i="10"/>
  <c r="AZ10" i="10" s="1"/>
  <c r="BT104" i="11"/>
  <c r="BM105" i="11"/>
  <c r="M56" i="4"/>
  <c r="L56" i="4"/>
  <c r="AB12" i="10" s="1"/>
  <c r="J57" i="4"/>
  <c r="AA13" i="10" s="1"/>
  <c r="U60" i="4"/>
  <c r="N61" i="4"/>
  <c r="I123" i="4"/>
  <c r="AC60" i="4"/>
  <c r="V61" i="4"/>
  <c r="C228" i="9"/>
  <c r="BT102" i="17"/>
  <c r="BM103" i="17"/>
  <c r="BT102" i="16"/>
  <c r="BM103" i="16"/>
  <c r="T13" i="10"/>
  <c r="X12" i="10"/>
  <c r="AL12" i="10"/>
  <c r="AQ12" i="10" s="1"/>
  <c r="AD33" i="10"/>
  <c r="V56" i="10"/>
  <c r="AO55" i="10"/>
  <c r="AF12" i="10"/>
  <c r="AW11" i="10"/>
  <c r="AI14" i="10"/>
  <c r="AV12" i="10"/>
  <c r="AE13" i="10"/>
  <c r="U35" i="10"/>
  <c r="AM34" i="10"/>
  <c r="AN34" i="10"/>
  <c r="W18" i="10"/>
  <c r="AP17" i="10"/>
  <c r="AC12" i="10"/>
  <c r="AS11"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AT12" i="10" l="1"/>
  <c r="AU12" i="10"/>
  <c r="BA10" i="10"/>
  <c r="BT105" i="11"/>
  <c r="BM106" i="11"/>
  <c r="I124" i="4"/>
  <c r="L57" i="4"/>
  <c r="AB13" i="10" s="1"/>
  <c r="AV13" i="10" s="1"/>
  <c r="J58" i="4"/>
  <c r="AA14" i="10" s="1"/>
  <c r="M57" i="4"/>
  <c r="V62" i="4"/>
  <c r="AC61" i="4"/>
  <c r="N62" i="4"/>
  <c r="U61" i="4"/>
  <c r="C229" i="9"/>
  <c r="BM104" i="17"/>
  <c r="BT103" i="17"/>
  <c r="BM104" i="16"/>
  <c r="BT103" i="16"/>
  <c r="U36" i="10"/>
  <c r="AN35" i="10"/>
  <c r="AM35" i="10"/>
  <c r="AI15" i="10"/>
  <c r="W19" i="10"/>
  <c r="AP18" i="10"/>
  <c r="AE14" i="10"/>
  <c r="AX11" i="10"/>
  <c r="AF13" i="10"/>
  <c r="AW12" i="10"/>
  <c r="AD34" i="10"/>
  <c r="V57" i="10"/>
  <c r="AO56" i="10"/>
  <c r="AC13" i="10"/>
  <c r="AS12" i="10"/>
  <c r="T14" i="10"/>
  <c r="X13" i="10"/>
  <c r="AL13" i="10"/>
  <c r="AQ13" i="10" s="1"/>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T13" i="10" l="1"/>
  <c r="AU13" i="10"/>
  <c r="AX12" i="10"/>
  <c r="AZ12" i="10" s="1"/>
  <c r="BT106" i="11"/>
  <c r="BM107" i="11"/>
  <c r="J59" i="4"/>
  <c r="AA15" i="10" s="1"/>
  <c r="M58" i="4"/>
  <c r="L58" i="4"/>
  <c r="AB14" i="10" s="1"/>
  <c r="AV14" i="10" s="1"/>
  <c r="V63" i="4"/>
  <c r="AC62" i="4"/>
  <c r="N63" i="4"/>
  <c r="U62" i="4"/>
  <c r="I125" i="4"/>
  <c r="C230" i="9"/>
  <c r="BM105" i="17"/>
  <c r="BT104" i="17"/>
  <c r="BM105" i="16"/>
  <c r="BT104" i="16"/>
  <c r="T15" i="10"/>
  <c r="X14" i="10"/>
  <c r="AL14" i="10"/>
  <c r="AQ14" i="10" s="1"/>
  <c r="AE15" i="10"/>
  <c r="AI16" i="10"/>
  <c r="V58" i="10"/>
  <c r="AO57" i="10"/>
  <c r="AF14" i="10"/>
  <c r="AW13" i="10"/>
  <c r="AC14" i="10"/>
  <c r="AS13" i="10"/>
  <c r="BA11" i="10"/>
  <c r="AZ11" i="10"/>
  <c r="W20" i="10"/>
  <c r="AP19" i="10"/>
  <c r="AD35" i="10"/>
  <c r="U37" i="10"/>
  <c r="AM36" i="10"/>
  <c r="AN36" i="10"/>
  <c r="M94" i="9"/>
  <c r="P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AT14" i="10" l="1"/>
  <c r="AU14" i="10"/>
  <c r="BA12" i="10"/>
  <c r="AX13" i="10"/>
  <c r="AZ13" i="10" s="1"/>
  <c r="BT107" i="11"/>
  <c r="BM108" i="11"/>
  <c r="AC63" i="4"/>
  <c r="V64" i="4"/>
  <c r="U63" i="4"/>
  <c r="N64" i="4"/>
  <c r="I126" i="4"/>
  <c r="M59" i="4"/>
  <c r="J60" i="4"/>
  <c r="AA16" i="10" s="1"/>
  <c r="L59" i="4"/>
  <c r="AB15" i="10" s="1"/>
  <c r="C231" i="9"/>
  <c r="BT105" i="17"/>
  <c r="BM106" i="17"/>
  <c r="BT105" i="16"/>
  <c r="BM106" i="16"/>
  <c r="AF15" i="10"/>
  <c r="AW14" i="10"/>
  <c r="U38" i="10"/>
  <c r="AN37" i="10"/>
  <c r="AM37" i="10"/>
  <c r="W21" i="10"/>
  <c r="AP20" i="10"/>
  <c r="AS14" i="10"/>
  <c r="AC15" i="10"/>
  <c r="V59" i="10"/>
  <c r="AO58" i="10"/>
  <c r="AI17" i="10"/>
  <c r="AD36" i="10"/>
  <c r="AV15" i="10"/>
  <c r="AE16" i="10"/>
  <c r="X15" i="10"/>
  <c r="T16" i="10"/>
  <c r="AL15" i="10"/>
  <c r="AQ15" i="10" s="1"/>
  <c r="N237" i="9"/>
  <c r="N101" i="9"/>
  <c r="D163" i="9"/>
  <c r="D231" i="9"/>
  <c r="S94" i="9"/>
  <c r="Q94" i="9"/>
  <c r="C129" i="9"/>
  <c r="D128" i="9"/>
  <c r="O275" i="9"/>
  <c r="O139" i="9"/>
  <c r="O239" i="9"/>
  <c r="O103" i="9"/>
  <c r="N236" i="9"/>
  <c r="N100" i="9"/>
  <c r="L232" i="9"/>
  <c r="L165" i="9"/>
  <c r="M164" i="9"/>
  <c r="L96" i="9"/>
  <c r="M95" i="9"/>
  <c r="C165" i="9"/>
  <c r="C197" i="9"/>
  <c r="D196" i="9"/>
  <c r="D95" i="9"/>
  <c r="C96" i="9"/>
  <c r="N273" i="9"/>
  <c r="N137" i="9"/>
  <c r="M231" i="9"/>
  <c r="O236" i="9"/>
  <c r="O100" i="9"/>
  <c r="S128" i="9"/>
  <c r="D264" i="9"/>
  <c r="C265" i="9"/>
  <c r="M196" i="9"/>
  <c r="L197" i="9"/>
  <c r="L266" i="9"/>
  <c r="M265" i="9"/>
  <c r="M129" i="9"/>
  <c r="L130" i="9"/>
  <c r="BA13" i="10" l="1"/>
  <c r="AT15" i="10"/>
  <c r="AU15" i="10"/>
  <c r="AX14" i="10"/>
  <c r="BA14" i="10" s="1"/>
  <c r="BT108" i="11"/>
  <c r="BM109" i="11"/>
  <c r="M60" i="4"/>
  <c r="L60" i="4"/>
  <c r="AB16" i="10" s="1"/>
  <c r="AV16" i="10" s="1"/>
  <c r="J61" i="4"/>
  <c r="AA17" i="10" s="1"/>
  <c r="AC64" i="4"/>
  <c r="V65" i="4"/>
  <c r="U64" i="4"/>
  <c r="N65" i="4"/>
  <c r="I127" i="4"/>
  <c r="C232" i="9"/>
  <c r="BT106" i="17"/>
  <c r="BM107" i="17"/>
  <c r="BT106" i="16"/>
  <c r="BM107" i="16"/>
  <c r="AE17" i="10"/>
  <c r="AI18" i="10"/>
  <c r="W22" i="10"/>
  <c r="AP21" i="10"/>
  <c r="AC16" i="10"/>
  <c r="AS15" i="10"/>
  <c r="AF16" i="10"/>
  <c r="AW15" i="10"/>
  <c r="T17" i="10"/>
  <c r="X16" i="10"/>
  <c r="AL16" i="10"/>
  <c r="AQ16" i="10" s="1"/>
  <c r="AD37" i="10"/>
  <c r="V60" i="10"/>
  <c r="AO59" i="10"/>
  <c r="U39" i="10"/>
  <c r="AM38" i="10"/>
  <c r="AN38" i="10"/>
  <c r="P165" i="9"/>
  <c r="L166" i="9"/>
  <c r="N238" i="9"/>
  <c r="N102" i="9"/>
  <c r="M232" i="9"/>
  <c r="O241" i="9"/>
  <c r="O105" i="9"/>
  <c r="D164" i="9"/>
  <c r="N239" i="9"/>
  <c r="N103" i="9"/>
  <c r="L131" i="9"/>
  <c r="M130" i="9"/>
  <c r="M266" i="9"/>
  <c r="L267" i="9"/>
  <c r="N275" i="9"/>
  <c r="N139" i="9"/>
  <c r="C166" i="9"/>
  <c r="M197" i="9"/>
  <c r="L198" i="9"/>
  <c r="D265" i="9"/>
  <c r="C266" i="9"/>
  <c r="O238" i="9"/>
  <c r="O102" i="9"/>
  <c r="L97" i="9"/>
  <c r="M96" i="9"/>
  <c r="M165" i="9"/>
  <c r="S164" i="9"/>
  <c r="P232" i="9"/>
  <c r="L233" i="9"/>
  <c r="D232" i="9"/>
  <c r="D96" i="9"/>
  <c r="C97" i="9"/>
  <c r="C198" i="9"/>
  <c r="D197" i="9"/>
  <c r="O277" i="9"/>
  <c r="O141" i="9"/>
  <c r="C130" i="9"/>
  <c r="D129" i="9"/>
  <c r="AX15" i="10" l="1"/>
  <c r="AT16" i="10"/>
  <c r="AU16" i="10"/>
  <c r="AZ14" i="10"/>
  <c r="BT109" i="11"/>
  <c r="BM110" i="11"/>
  <c r="N66" i="4"/>
  <c r="U65" i="4"/>
  <c r="L61" i="4"/>
  <c r="AB17" i="10" s="1"/>
  <c r="J62" i="4"/>
  <c r="AA18" i="10" s="1"/>
  <c r="M61" i="4"/>
  <c r="I128" i="4"/>
  <c r="V66" i="4"/>
  <c r="AC65" i="4"/>
  <c r="C233" i="9"/>
  <c r="BM108" i="17"/>
  <c r="BT107" i="17"/>
  <c r="BM108" i="16"/>
  <c r="BT107" i="16"/>
  <c r="BA15" i="10"/>
  <c r="AZ15" i="10"/>
  <c r="V61" i="10"/>
  <c r="AO60" i="10"/>
  <c r="AC17" i="10"/>
  <c r="AS16" i="10"/>
  <c r="AI19" i="10"/>
  <c r="T18" i="10"/>
  <c r="X17" i="10"/>
  <c r="AL17" i="10"/>
  <c r="AQ17" i="10" s="1"/>
  <c r="AF17" i="10"/>
  <c r="AW16" i="10"/>
  <c r="AE18" i="10"/>
  <c r="U40" i="10"/>
  <c r="AN39" i="10"/>
  <c r="AM39" i="10"/>
  <c r="AD38" i="10"/>
  <c r="W23" i="10"/>
  <c r="AP22" i="10"/>
  <c r="L199" i="9"/>
  <c r="M198" i="9"/>
  <c r="N277" i="9"/>
  <c r="N141" i="9"/>
  <c r="N241" i="9"/>
  <c r="N105" i="9"/>
  <c r="D165" i="9"/>
  <c r="O243" i="9"/>
  <c r="O107" i="9"/>
  <c r="L167" i="9"/>
  <c r="D130" i="9"/>
  <c r="C131" i="9"/>
  <c r="L234" i="9"/>
  <c r="P233" i="9"/>
  <c r="Q165" i="9"/>
  <c r="M166" i="9"/>
  <c r="S165" i="9"/>
  <c r="O240" i="9"/>
  <c r="O104" i="9"/>
  <c r="C267" i="9"/>
  <c r="D266" i="9"/>
  <c r="S232" i="9"/>
  <c r="Q232" i="9"/>
  <c r="M233" i="9"/>
  <c r="N240" i="9"/>
  <c r="N104" i="9"/>
  <c r="C98" i="9"/>
  <c r="D97" i="9"/>
  <c r="O279" i="9"/>
  <c r="O143" i="9"/>
  <c r="D198" i="9"/>
  <c r="C199" i="9"/>
  <c r="D233" i="9"/>
  <c r="M267" i="9"/>
  <c r="P267" i="9"/>
  <c r="L268" i="9"/>
  <c r="M97" i="9"/>
  <c r="L98" i="9"/>
  <c r="C167" i="9"/>
  <c r="S266" i="9"/>
  <c r="L132" i="9"/>
  <c r="M131" i="9"/>
  <c r="AT17" i="10" l="1"/>
  <c r="AU17" i="10"/>
  <c r="AV17" i="10"/>
  <c r="BT110" i="11"/>
  <c r="BM111" i="11"/>
  <c r="V67" i="4"/>
  <c r="AC66" i="4"/>
  <c r="I129" i="4"/>
  <c r="J63" i="4"/>
  <c r="AA19" i="10" s="1"/>
  <c r="M62" i="4"/>
  <c r="L62" i="4"/>
  <c r="AB18" i="10" s="1"/>
  <c r="AV18" i="10" s="1"/>
  <c r="N67" i="4"/>
  <c r="U66" i="4"/>
  <c r="C234" i="9"/>
  <c r="BM109" i="17"/>
  <c r="BT108" i="17"/>
  <c r="BM109" i="16"/>
  <c r="BT108" i="16"/>
  <c r="AD39" i="10"/>
  <c r="AI20" i="10"/>
  <c r="AE19" i="10"/>
  <c r="AX16" i="10"/>
  <c r="V62" i="10"/>
  <c r="AO61" i="10"/>
  <c r="W24" i="10"/>
  <c r="AP23" i="10"/>
  <c r="T19" i="10"/>
  <c r="X18" i="10"/>
  <c r="AL18" i="10"/>
  <c r="AQ18" i="10" s="1"/>
  <c r="AC18" i="10"/>
  <c r="AS17" i="10"/>
  <c r="U41" i="10"/>
  <c r="AM40" i="10"/>
  <c r="AN40" i="10"/>
  <c r="AF18" i="10"/>
  <c r="AW17" i="10"/>
  <c r="N242" i="9"/>
  <c r="N106" i="9"/>
  <c r="O245" i="9"/>
  <c r="O109" i="9"/>
  <c r="M98" i="9"/>
  <c r="L99" i="9"/>
  <c r="Q267" i="9"/>
  <c r="S267" i="9"/>
  <c r="O281" i="9"/>
  <c r="O145" i="9"/>
  <c r="P234" i="9"/>
  <c r="L235" i="9"/>
  <c r="N243" i="9"/>
  <c r="N107" i="9"/>
  <c r="S198" i="9"/>
  <c r="C268" i="9"/>
  <c r="D267" i="9"/>
  <c r="S233" i="9"/>
  <c r="M234" i="9"/>
  <c r="Q233" i="9"/>
  <c r="O242" i="9"/>
  <c r="O106" i="9"/>
  <c r="S166" i="9"/>
  <c r="M167" i="9"/>
  <c r="D234" i="9"/>
  <c r="M132" i="9"/>
  <c r="L133" i="9"/>
  <c r="C99" i="9"/>
  <c r="D98" i="9"/>
  <c r="C168" i="9"/>
  <c r="L269" i="9"/>
  <c r="M268" i="9"/>
  <c r="C200" i="9"/>
  <c r="D199" i="9"/>
  <c r="D131" i="9"/>
  <c r="C132" i="9"/>
  <c r="L168" i="9"/>
  <c r="P167" i="9"/>
  <c r="D166" i="9"/>
  <c r="N279" i="9"/>
  <c r="N143" i="9"/>
  <c r="P199" i="9"/>
  <c r="L200" i="9"/>
  <c r="M199" i="9"/>
  <c r="AT18" i="10" l="1"/>
  <c r="AU18" i="10"/>
  <c r="BT111" i="11"/>
  <c r="BM112" i="11"/>
  <c r="U67" i="4"/>
  <c r="N68" i="4"/>
  <c r="I130" i="4"/>
  <c r="M63" i="4"/>
  <c r="J64" i="4"/>
  <c r="AA20" i="10" s="1"/>
  <c r="L63" i="4"/>
  <c r="AB19" i="10" s="1"/>
  <c r="AC67" i="4"/>
  <c r="V68" i="4"/>
  <c r="C235" i="9"/>
  <c r="BT109" i="17"/>
  <c r="BM110" i="17"/>
  <c r="BT109" i="16"/>
  <c r="BM110" i="16"/>
  <c r="X19" i="10"/>
  <c r="T20" i="10"/>
  <c r="AL19" i="10"/>
  <c r="AQ19" i="10" s="1"/>
  <c r="V63" i="10"/>
  <c r="AO62" i="10"/>
  <c r="AS18" i="10"/>
  <c r="AC19" i="10"/>
  <c r="AZ16" i="10"/>
  <c r="BA16" i="10"/>
  <c r="AI21" i="10"/>
  <c r="U42" i="10"/>
  <c r="AM41" i="10"/>
  <c r="AN41" i="10"/>
  <c r="W25" i="10"/>
  <c r="AP24" i="10"/>
  <c r="AV19" i="10"/>
  <c r="AE20" i="10"/>
  <c r="AF19" i="10"/>
  <c r="AW18" i="10"/>
  <c r="AX17" i="10"/>
  <c r="AD40" i="10"/>
  <c r="D167" i="9"/>
  <c r="C169" i="9"/>
  <c r="N145" i="9"/>
  <c r="N281" i="9"/>
  <c r="L270" i="9"/>
  <c r="M269" i="9"/>
  <c r="P269" i="9"/>
  <c r="M133" i="9"/>
  <c r="L134" i="9"/>
  <c r="M235" i="9"/>
  <c r="S234" i="9"/>
  <c r="Q234" i="9"/>
  <c r="O283" i="9"/>
  <c r="O147" i="9"/>
  <c r="L100" i="9"/>
  <c r="M99" i="9"/>
  <c r="O244" i="9"/>
  <c r="O108" i="9"/>
  <c r="O247" i="9"/>
  <c r="O111" i="9"/>
  <c r="C133" i="9"/>
  <c r="D132" i="9"/>
  <c r="D99" i="9"/>
  <c r="C100" i="9"/>
  <c r="N245" i="9"/>
  <c r="N109" i="9"/>
  <c r="C269" i="9"/>
  <c r="D268" i="9"/>
  <c r="L236" i="9"/>
  <c r="P235" i="9"/>
  <c r="N244" i="9"/>
  <c r="N108" i="9"/>
  <c r="S199" i="9"/>
  <c r="Q199" i="9"/>
  <c r="M200" i="9"/>
  <c r="L201" i="9"/>
  <c r="L169" i="9"/>
  <c r="C201" i="9"/>
  <c r="D200" i="9"/>
  <c r="S268" i="9"/>
  <c r="D235" i="9"/>
  <c r="S167" i="9"/>
  <c r="M168" i="9"/>
  <c r="Q167" i="9"/>
  <c r="AT19" i="10" l="1"/>
  <c r="AU19" i="10"/>
  <c r="BT112" i="11"/>
  <c r="BM113" i="11"/>
  <c r="AC68" i="4"/>
  <c r="V69" i="4"/>
  <c r="I131" i="4"/>
  <c r="M64" i="4"/>
  <c r="J65" i="4"/>
  <c r="AA21" i="10" s="1"/>
  <c r="L64" i="4"/>
  <c r="AB20" i="10" s="1"/>
  <c r="U68" i="4"/>
  <c r="N69" i="4"/>
  <c r="C236" i="9"/>
  <c r="BT110" i="17"/>
  <c r="BM111" i="17"/>
  <c r="BT110" i="16"/>
  <c r="BM111" i="16"/>
  <c r="AF20" i="10"/>
  <c r="AW19" i="10"/>
  <c r="W26" i="10"/>
  <c r="AP25" i="10"/>
  <c r="AI22" i="10"/>
  <c r="V64" i="10"/>
  <c r="AO63" i="10"/>
  <c r="AD41" i="10"/>
  <c r="AV20" i="10"/>
  <c r="AE21" i="10"/>
  <c r="AC20" i="10"/>
  <c r="AS19" i="10"/>
  <c r="AX19" i="10" s="1"/>
  <c r="BA17" i="10"/>
  <c r="AZ17" i="10"/>
  <c r="AX18" i="10"/>
  <c r="T21" i="10"/>
  <c r="X20" i="10"/>
  <c r="AL20" i="10"/>
  <c r="AQ20" i="10" s="1"/>
  <c r="U43" i="10"/>
  <c r="AN42" i="10"/>
  <c r="AM42" i="10"/>
  <c r="N246" i="9"/>
  <c r="N110" i="9"/>
  <c r="N247" i="9"/>
  <c r="N111" i="9"/>
  <c r="Q235" i="9"/>
  <c r="M236" i="9"/>
  <c r="S235" i="9"/>
  <c r="L202" i="9"/>
  <c r="M201" i="9"/>
  <c r="P201" i="9"/>
  <c r="L101" i="9"/>
  <c r="M100" i="9"/>
  <c r="P169" i="9"/>
  <c r="L170" i="9"/>
  <c r="D100" i="9"/>
  <c r="C101" i="9"/>
  <c r="D236" i="9"/>
  <c r="D269" i="9"/>
  <c r="C270" i="9"/>
  <c r="C134" i="9"/>
  <c r="D133" i="9"/>
  <c r="O246" i="9"/>
  <c r="O110" i="9"/>
  <c r="L135" i="9"/>
  <c r="M134" i="9"/>
  <c r="Q269" i="9"/>
  <c r="S269" i="9"/>
  <c r="N147" i="9"/>
  <c r="N283" i="9"/>
  <c r="D201" i="9"/>
  <c r="C202" i="9"/>
  <c r="S200" i="9"/>
  <c r="M169" i="9"/>
  <c r="S168" i="9"/>
  <c r="L237" i="9"/>
  <c r="P236" i="9"/>
  <c r="O249" i="9"/>
  <c r="O113" i="9"/>
  <c r="M270" i="9"/>
  <c r="L271" i="9"/>
  <c r="C170" i="9"/>
  <c r="D168" i="9"/>
  <c r="AT20" i="10" l="1"/>
  <c r="AU20" i="10"/>
  <c r="BT113" i="11"/>
  <c r="BM114" i="11"/>
  <c r="I132" i="4"/>
  <c r="L65" i="4"/>
  <c r="AB21" i="10" s="1"/>
  <c r="AV21" i="10" s="1"/>
  <c r="J66" i="4"/>
  <c r="AA22" i="10" s="1"/>
  <c r="M65" i="4"/>
  <c r="V70" i="4"/>
  <c r="AC69" i="4"/>
  <c r="N70" i="4"/>
  <c r="U69" i="4"/>
  <c r="C237" i="9"/>
  <c r="BM112" i="17"/>
  <c r="BT111" i="17"/>
  <c r="BM112" i="16"/>
  <c r="BT111" i="16"/>
  <c r="AE22" i="10"/>
  <c r="T22" i="10"/>
  <c r="X21" i="10"/>
  <c r="AL21" i="10"/>
  <c r="AQ21" i="10" s="1"/>
  <c r="V65" i="10"/>
  <c r="AO64" i="10"/>
  <c r="W27" i="10"/>
  <c r="AP26" i="10"/>
  <c r="U44" i="10"/>
  <c r="AM43" i="10"/>
  <c r="AN43" i="10"/>
  <c r="BA18" i="10"/>
  <c r="AZ18" i="10"/>
  <c r="BA19" i="10"/>
  <c r="AZ19" i="10"/>
  <c r="AC21" i="10"/>
  <c r="AS20" i="10"/>
  <c r="AD42" i="10"/>
  <c r="AI23" i="10"/>
  <c r="AF21" i="10"/>
  <c r="AW20" i="10"/>
  <c r="D270" i="9"/>
  <c r="C271" i="9"/>
  <c r="L171" i="9"/>
  <c r="S201" i="9"/>
  <c r="Q201" i="9"/>
  <c r="S236" i="9"/>
  <c r="M237" i="9"/>
  <c r="Q236" i="9"/>
  <c r="C171" i="9"/>
  <c r="O248" i="9"/>
  <c r="O112" i="9"/>
  <c r="D134" i="9"/>
  <c r="C135" i="9"/>
  <c r="C102" i="9"/>
  <c r="D101" i="9"/>
  <c r="M101" i="9"/>
  <c r="L102" i="9"/>
  <c r="L203" i="9"/>
  <c r="M202" i="9"/>
  <c r="N249" i="9"/>
  <c r="N113" i="9"/>
  <c r="N248" i="9"/>
  <c r="N112" i="9"/>
  <c r="M271" i="9"/>
  <c r="L272" i="9"/>
  <c r="P271" i="9"/>
  <c r="Q169" i="9"/>
  <c r="M170" i="9"/>
  <c r="S169" i="9"/>
  <c r="D202" i="9"/>
  <c r="C203" i="9"/>
  <c r="D169" i="9"/>
  <c r="S270" i="9"/>
  <c r="L238" i="9"/>
  <c r="P237" i="9"/>
  <c r="L136" i="9"/>
  <c r="M135" i="9"/>
  <c r="D237" i="9"/>
  <c r="AX20" i="10" l="1"/>
  <c r="AT21" i="10"/>
  <c r="AU21" i="10"/>
  <c r="BT114" i="11"/>
  <c r="BM115" i="11"/>
  <c r="N71" i="4"/>
  <c r="U70" i="4"/>
  <c r="J67" i="4"/>
  <c r="AA23" i="10" s="1"/>
  <c r="M66" i="4"/>
  <c r="L66" i="4"/>
  <c r="AB22" i="10" s="1"/>
  <c r="V71" i="4"/>
  <c r="AC70" i="4"/>
  <c r="I133" i="4"/>
  <c r="C238" i="9"/>
  <c r="BM113" i="17"/>
  <c r="BT112" i="17"/>
  <c r="BM113" i="16"/>
  <c r="BT112" i="16"/>
  <c r="AF22" i="10"/>
  <c r="AW21" i="10"/>
  <c r="AD43" i="10"/>
  <c r="W28" i="10"/>
  <c r="AP27" i="10"/>
  <c r="AZ20" i="10"/>
  <c r="BA20" i="10"/>
  <c r="T23" i="10"/>
  <c r="X22" i="10"/>
  <c r="AL22" i="10"/>
  <c r="AQ22" i="10" s="1"/>
  <c r="AI24" i="10"/>
  <c r="AC22" i="10"/>
  <c r="AS21" i="10"/>
  <c r="U45" i="10"/>
  <c r="AM44" i="10"/>
  <c r="AN44" i="10"/>
  <c r="AO65" i="10"/>
  <c r="AV22" i="10"/>
  <c r="AE23" i="10"/>
  <c r="C103" i="9"/>
  <c r="D102" i="9"/>
  <c r="C172" i="9"/>
  <c r="S202" i="9"/>
  <c r="D238" i="9"/>
  <c r="N250" i="9"/>
  <c r="N114" i="9"/>
  <c r="P203" i="9"/>
  <c r="L204" i="9"/>
  <c r="M203" i="9"/>
  <c r="L172" i="9"/>
  <c r="P171" i="9"/>
  <c r="M136" i="9"/>
  <c r="L137" i="9"/>
  <c r="C204" i="9"/>
  <c r="D203" i="9"/>
  <c r="Q271" i="9"/>
  <c r="S271" i="9"/>
  <c r="O250" i="9"/>
  <c r="O114" i="9"/>
  <c r="D135" i="9"/>
  <c r="C136" i="9"/>
  <c r="P238" i="9"/>
  <c r="L239" i="9"/>
  <c r="D170" i="9"/>
  <c r="S170" i="9"/>
  <c r="M171" i="9"/>
  <c r="L273" i="9"/>
  <c r="M272" i="9"/>
  <c r="M102" i="9"/>
  <c r="L103" i="9"/>
  <c r="S237" i="9"/>
  <c r="Q237" i="9"/>
  <c r="M238" i="9"/>
  <c r="C272" i="9"/>
  <c r="D271" i="9"/>
  <c r="AX21" i="10" l="1"/>
  <c r="AT22" i="10"/>
  <c r="AU22" i="10"/>
  <c r="BT115" i="11"/>
  <c r="BM116" i="11"/>
  <c r="L67" i="4"/>
  <c r="AB23" i="10" s="1"/>
  <c r="AV23" i="10" s="1"/>
  <c r="M67" i="4"/>
  <c r="J68" i="4"/>
  <c r="AA24" i="10" s="1"/>
  <c r="AC71" i="4"/>
  <c r="V72" i="4"/>
  <c r="I134" i="4"/>
  <c r="U71" i="4"/>
  <c r="N72" i="4"/>
  <c r="C239" i="9"/>
  <c r="BT113" i="17"/>
  <c r="BM114" i="17"/>
  <c r="BT113" i="16"/>
  <c r="BM114" i="16"/>
  <c r="BA21" i="10"/>
  <c r="AZ21" i="10"/>
  <c r="AI25" i="10"/>
  <c r="AD44" i="10"/>
  <c r="AS22" i="10"/>
  <c r="AC23" i="10"/>
  <c r="AE24" i="10"/>
  <c r="U46" i="10"/>
  <c r="AN45" i="10"/>
  <c r="AM45" i="10"/>
  <c r="X23" i="10"/>
  <c r="T24" i="10"/>
  <c r="AL23" i="10"/>
  <c r="AQ23" i="10" s="1"/>
  <c r="W29" i="10"/>
  <c r="AP28" i="10"/>
  <c r="AF23" i="10"/>
  <c r="AW22" i="10"/>
  <c r="S272" i="9"/>
  <c r="O150" i="9"/>
  <c r="O252" i="9"/>
  <c r="O116" i="9"/>
  <c r="L173" i="9"/>
  <c r="N252" i="9"/>
  <c r="N150" i="9"/>
  <c r="N116" i="9"/>
  <c r="D239" i="9"/>
  <c r="M239" i="9"/>
  <c r="Q238" i="9"/>
  <c r="S238" i="9"/>
  <c r="C137" i="9"/>
  <c r="D136" i="9"/>
  <c r="C205" i="9"/>
  <c r="D204" i="9"/>
  <c r="S203" i="9"/>
  <c r="Q203" i="9"/>
  <c r="S171" i="9"/>
  <c r="M172" i="9"/>
  <c r="Q171" i="9"/>
  <c r="D171" i="9"/>
  <c r="M137" i="9"/>
  <c r="L138" i="9"/>
  <c r="C173" i="9"/>
  <c r="C273" i="9"/>
  <c r="D272" i="9"/>
  <c r="L104" i="9"/>
  <c r="M103" i="9"/>
  <c r="L274" i="9"/>
  <c r="P273" i="9"/>
  <c r="M273" i="9"/>
  <c r="P239" i="9"/>
  <c r="L240" i="9"/>
  <c r="M204" i="9"/>
  <c r="L205" i="9"/>
  <c r="D103" i="9"/>
  <c r="C104" i="9"/>
  <c r="AT23" i="10" l="1"/>
  <c r="AU23" i="10"/>
  <c r="BT116" i="11"/>
  <c r="BM117" i="11"/>
  <c r="I135" i="4"/>
  <c r="M68" i="4"/>
  <c r="J69" i="4"/>
  <c r="AA25" i="10" s="1"/>
  <c r="L68" i="4"/>
  <c r="AB24" i="10" s="1"/>
  <c r="U72" i="4"/>
  <c r="N73" i="4"/>
  <c r="AC72" i="4"/>
  <c r="V73" i="4"/>
  <c r="C240" i="9"/>
  <c r="BT114" i="17"/>
  <c r="BM115" i="17"/>
  <c r="BT114" i="16"/>
  <c r="BM115" i="16"/>
  <c r="AE25" i="10"/>
  <c r="AX22" i="10"/>
  <c r="W30" i="10"/>
  <c r="AP29" i="10"/>
  <c r="AI26" i="10"/>
  <c r="AF24" i="10"/>
  <c r="AW23" i="10"/>
  <c r="T25" i="10"/>
  <c r="X24" i="10"/>
  <c r="AL24" i="10"/>
  <c r="AQ24" i="10" s="1"/>
  <c r="U47" i="10"/>
  <c r="AM46" i="10"/>
  <c r="AN46" i="10"/>
  <c r="AC24" i="10"/>
  <c r="AS23" i="10"/>
  <c r="AX23" i="10" s="1"/>
  <c r="AD45" i="10"/>
  <c r="S273" i="9"/>
  <c r="Q273" i="9"/>
  <c r="L206" i="9"/>
  <c r="P205" i="9"/>
  <c r="M205" i="9"/>
  <c r="L139" i="9"/>
  <c r="M138" i="9"/>
  <c r="C138" i="9"/>
  <c r="D137" i="9"/>
  <c r="L174" i="9"/>
  <c r="P173" i="9"/>
  <c r="O152" i="9"/>
  <c r="D104" i="9"/>
  <c r="C105" i="9"/>
  <c r="C174" i="9"/>
  <c r="M173" i="9"/>
  <c r="S172" i="9"/>
  <c r="L275" i="9"/>
  <c r="M274" i="9"/>
  <c r="D172" i="9"/>
  <c r="C206" i="9"/>
  <c r="D205" i="9"/>
  <c r="N118" i="9"/>
  <c r="N254" i="9"/>
  <c r="P104" i="9"/>
  <c r="L105" i="9"/>
  <c r="M104" i="9"/>
  <c r="Q239" i="9"/>
  <c r="M240" i="9"/>
  <c r="S239" i="9"/>
  <c r="S204" i="9"/>
  <c r="L241" i="9"/>
  <c r="P240" i="9"/>
  <c r="D273" i="9"/>
  <c r="C274" i="9"/>
  <c r="D240" i="9"/>
  <c r="N152" i="9"/>
  <c r="O254" i="9"/>
  <c r="O118" i="9"/>
  <c r="AT24" i="10" l="1"/>
  <c r="AU24" i="10"/>
  <c r="AV24" i="10"/>
  <c r="BT117" i="11"/>
  <c r="BM118" i="11"/>
  <c r="N74" i="4"/>
  <c r="U73" i="4"/>
  <c r="I136" i="4"/>
  <c r="L69" i="4"/>
  <c r="AB25" i="10" s="1"/>
  <c r="J70" i="4"/>
  <c r="AA26" i="10" s="1"/>
  <c r="M69" i="4"/>
  <c r="V74" i="4"/>
  <c r="AC73" i="4"/>
  <c r="C241" i="9"/>
  <c r="BM116" i="17"/>
  <c r="BT115" i="17"/>
  <c r="BM116" i="16"/>
  <c r="BT115" i="16"/>
  <c r="T26" i="10"/>
  <c r="X25" i="10"/>
  <c r="AL25" i="10"/>
  <c r="AQ25" i="10" s="1"/>
  <c r="AI27" i="10"/>
  <c r="W31" i="10"/>
  <c r="AP30" i="10"/>
  <c r="BA23" i="10"/>
  <c r="AZ23" i="10"/>
  <c r="U48" i="10"/>
  <c r="AN47" i="10"/>
  <c r="AM47" i="10"/>
  <c r="BA22" i="10"/>
  <c r="AZ22" i="10"/>
  <c r="AC25" i="10"/>
  <c r="AS24" i="10"/>
  <c r="AF25" i="10"/>
  <c r="AW24" i="10"/>
  <c r="AV25" i="10"/>
  <c r="AE26" i="10"/>
  <c r="AD46" i="10"/>
  <c r="N154" i="9"/>
  <c r="S104" i="9"/>
  <c r="Q104" i="9"/>
  <c r="O256" i="9"/>
  <c r="O120" i="9"/>
  <c r="M275" i="9"/>
  <c r="P275" i="9"/>
  <c r="L276" i="9"/>
  <c r="S173" i="9"/>
  <c r="Q173" i="9"/>
  <c r="M174" i="9"/>
  <c r="C106" i="9"/>
  <c r="D105" i="9"/>
  <c r="O154" i="9"/>
  <c r="S205" i="9"/>
  <c r="Q205" i="9"/>
  <c r="D173" i="9"/>
  <c r="S274" i="9"/>
  <c r="D241" i="9"/>
  <c r="M105" i="9"/>
  <c r="L106" i="9"/>
  <c r="L242" i="9"/>
  <c r="P241" i="9"/>
  <c r="S240" i="9"/>
  <c r="M241" i="9"/>
  <c r="Q240" i="9"/>
  <c r="S138" i="9"/>
  <c r="D206" i="9"/>
  <c r="C207" i="9"/>
  <c r="N256" i="9"/>
  <c r="N120" i="9"/>
  <c r="D274" i="9"/>
  <c r="C275" i="9"/>
  <c r="C175" i="9"/>
  <c r="L175" i="9"/>
  <c r="D138" i="9"/>
  <c r="C139" i="9"/>
  <c r="L140" i="9"/>
  <c r="M139" i="9"/>
  <c r="L207" i="9"/>
  <c r="M206" i="9"/>
  <c r="AT25" i="10" l="1"/>
  <c r="AU25" i="10"/>
  <c r="AX24" i="10"/>
  <c r="AZ24" i="10" s="1"/>
  <c r="BT118" i="11"/>
  <c r="BM119" i="11"/>
  <c r="V75" i="4"/>
  <c r="AC74" i="4"/>
  <c r="I137" i="4"/>
  <c r="J71" i="4"/>
  <c r="AA27" i="10" s="1"/>
  <c r="M70" i="4"/>
  <c r="L70" i="4"/>
  <c r="AB26" i="10" s="1"/>
  <c r="AV26" i="10" s="1"/>
  <c r="N75" i="4"/>
  <c r="U74" i="4"/>
  <c r="C242" i="9"/>
  <c r="BM117" i="17"/>
  <c r="BT116" i="17"/>
  <c r="BM117" i="16"/>
  <c r="BT116" i="16"/>
  <c r="AD47" i="10"/>
  <c r="AW25" i="10"/>
  <c r="AF26" i="10"/>
  <c r="W32" i="10"/>
  <c r="AP31" i="10"/>
  <c r="AE27" i="10"/>
  <c r="AC26" i="10"/>
  <c r="AS25" i="10"/>
  <c r="U49" i="10"/>
  <c r="AM48" i="10"/>
  <c r="AN48" i="10"/>
  <c r="AI28" i="10"/>
  <c r="T27" i="10"/>
  <c r="X26" i="10"/>
  <c r="AL26" i="10"/>
  <c r="AQ26" i="10" s="1"/>
  <c r="M140" i="9"/>
  <c r="L141" i="9"/>
  <c r="C176" i="9"/>
  <c r="C276" i="9"/>
  <c r="D275" i="9"/>
  <c r="N258" i="9"/>
  <c r="N122" i="9"/>
  <c r="D207" i="9"/>
  <c r="C208" i="9"/>
  <c r="M106" i="9"/>
  <c r="L107" i="9"/>
  <c r="M242" i="9"/>
  <c r="Q241" i="9"/>
  <c r="S241" i="9"/>
  <c r="P207" i="9"/>
  <c r="M207" i="9"/>
  <c r="L208" i="9"/>
  <c r="D242" i="9"/>
  <c r="C107" i="9"/>
  <c r="D106" i="9"/>
  <c r="M276" i="9"/>
  <c r="L277" i="9"/>
  <c r="O258" i="9"/>
  <c r="O122" i="9"/>
  <c r="Q275" i="9"/>
  <c r="S275" i="9"/>
  <c r="L176" i="9"/>
  <c r="P175" i="9"/>
  <c r="S206" i="9"/>
  <c r="D139" i="9"/>
  <c r="C140" i="9"/>
  <c r="P242" i="9"/>
  <c r="L243" i="9"/>
  <c r="D174" i="9"/>
  <c r="O156" i="9"/>
  <c r="M175" i="9"/>
  <c r="S174" i="9"/>
  <c r="N156" i="9"/>
  <c r="BA24" i="10" l="1"/>
  <c r="AT26" i="10"/>
  <c r="AU26" i="10"/>
  <c r="AX25" i="10"/>
  <c r="BA25" i="10" s="1"/>
  <c r="BT119" i="11"/>
  <c r="BM120" i="11"/>
  <c r="U75" i="4"/>
  <c r="N76" i="4"/>
  <c r="I138" i="4"/>
  <c r="M71" i="4"/>
  <c r="L71" i="4"/>
  <c r="AB27" i="10" s="1"/>
  <c r="J72" i="4"/>
  <c r="AA28" i="10" s="1"/>
  <c r="AC75" i="4"/>
  <c r="V76" i="4"/>
  <c r="C243" i="9"/>
  <c r="BT117" i="17"/>
  <c r="BM118" i="17"/>
  <c r="BT117" i="16"/>
  <c r="BM118" i="16"/>
  <c r="U50" i="10"/>
  <c r="AN49" i="10"/>
  <c r="AM49" i="10"/>
  <c r="AE28" i="10"/>
  <c r="AV27" i="10"/>
  <c r="AI29" i="10"/>
  <c r="AD48" i="10"/>
  <c r="AF27" i="10"/>
  <c r="AW26" i="10"/>
  <c r="T28" i="10"/>
  <c r="X27" i="10"/>
  <c r="AL27" i="10"/>
  <c r="AQ27" i="10" s="1"/>
  <c r="AC27" i="10"/>
  <c r="AS26" i="10"/>
  <c r="W33" i="10"/>
  <c r="AP32" i="10"/>
  <c r="S276" i="9"/>
  <c r="D175" i="9"/>
  <c r="M208" i="9"/>
  <c r="L209" i="9"/>
  <c r="C209" i="9"/>
  <c r="D208" i="9"/>
  <c r="N260" i="9"/>
  <c r="N124" i="9"/>
  <c r="D276" i="9"/>
  <c r="C277" i="9"/>
  <c r="Q175" i="9"/>
  <c r="M176" i="9"/>
  <c r="S175" i="9"/>
  <c r="L244" i="9"/>
  <c r="P243" i="9"/>
  <c r="L177" i="9"/>
  <c r="L278" i="9"/>
  <c r="P277" i="9"/>
  <c r="M277" i="9"/>
  <c r="D243" i="9"/>
  <c r="S207" i="9"/>
  <c r="Q207" i="9"/>
  <c r="M243" i="9"/>
  <c r="S242" i="9"/>
  <c r="Q242" i="9"/>
  <c r="L108" i="9"/>
  <c r="M107" i="9"/>
  <c r="O158" i="9"/>
  <c r="O260" i="9"/>
  <c r="O124" i="9"/>
  <c r="M141" i="9"/>
  <c r="L142" i="9"/>
  <c r="N158" i="9"/>
  <c r="C141" i="9"/>
  <c r="D140" i="9"/>
  <c r="D107" i="9"/>
  <c r="C108" i="9"/>
  <c r="C177" i="9"/>
  <c r="AT27" i="10" l="1"/>
  <c r="AU27" i="10"/>
  <c r="AZ25" i="10"/>
  <c r="BT120" i="11"/>
  <c r="BM121" i="11"/>
  <c r="M72" i="4"/>
  <c r="J73" i="4"/>
  <c r="AA29" i="10" s="1"/>
  <c r="L72" i="4"/>
  <c r="AB28" i="10" s="1"/>
  <c r="AV28" i="10" s="1"/>
  <c r="I139" i="4"/>
  <c r="U76" i="4"/>
  <c r="N77" i="4"/>
  <c r="AC76" i="4"/>
  <c r="V77" i="4"/>
  <c r="C244" i="9"/>
  <c r="BT118" i="17"/>
  <c r="BM119" i="17"/>
  <c r="BT118" i="16"/>
  <c r="BM119" i="16"/>
  <c r="AS27" i="10"/>
  <c r="AC28" i="10"/>
  <c r="T29" i="10"/>
  <c r="X28" i="10"/>
  <c r="AL28" i="10"/>
  <c r="AQ28" i="10" s="1"/>
  <c r="AI30" i="10"/>
  <c r="AE29" i="10"/>
  <c r="AW27" i="10"/>
  <c r="AF28" i="10"/>
  <c r="AD49" i="10"/>
  <c r="W34" i="10"/>
  <c r="AP33" i="10"/>
  <c r="AX26" i="10"/>
  <c r="AM50" i="10"/>
  <c r="U51" i="10"/>
  <c r="AN50" i="10"/>
  <c r="O262" i="9"/>
  <c r="O126" i="9"/>
  <c r="O160" i="9"/>
  <c r="P209" i="9"/>
  <c r="M209" i="9"/>
  <c r="L210" i="9"/>
  <c r="L143" i="9"/>
  <c r="M142" i="9"/>
  <c r="Q277" i="9"/>
  <c r="S277" i="9"/>
  <c r="L178" i="9"/>
  <c r="P177" i="9"/>
  <c r="S176" i="9"/>
  <c r="M177" i="9"/>
  <c r="D176" i="9"/>
  <c r="S208" i="9"/>
  <c r="D108" i="9"/>
  <c r="C109" i="9"/>
  <c r="N160" i="9"/>
  <c r="L109" i="9"/>
  <c r="M108" i="9"/>
  <c r="C142" i="9"/>
  <c r="D141" i="9"/>
  <c r="C178" i="9"/>
  <c r="Q243" i="9"/>
  <c r="S243" i="9"/>
  <c r="M244" i="9"/>
  <c r="D244" i="9"/>
  <c r="M278" i="9"/>
  <c r="L279" i="9"/>
  <c r="L245" i="9"/>
  <c r="P244" i="9"/>
  <c r="D277" i="9"/>
  <c r="C278" i="9"/>
  <c r="N262" i="9"/>
  <c r="N126" i="9"/>
  <c r="C210" i="9"/>
  <c r="D209" i="9"/>
  <c r="AT28" i="10" l="1"/>
  <c r="AU28" i="10"/>
  <c r="BT121" i="11"/>
  <c r="BM122" i="11"/>
  <c r="N78" i="4"/>
  <c r="U77" i="4"/>
  <c r="L73" i="4"/>
  <c r="AB29" i="10" s="1"/>
  <c r="J74" i="4"/>
  <c r="AA30" i="10" s="1"/>
  <c r="M73" i="4"/>
  <c r="V78" i="4"/>
  <c r="AC77" i="4"/>
  <c r="I140" i="4"/>
  <c r="C245" i="9"/>
  <c r="BM120" i="17"/>
  <c r="BT119" i="17"/>
  <c r="BM120" i="16"/>
  <c r="BT119" i="16"/>
  <c r="X29" i="10"/>
  <c r="T30" i="10"/>
  <c r="AL29" i="10"/>
  <c r="AQ29" i="10" s="1"/>
  <c r="AD50" i="10"/>
  <c r="AI31" i="10"/>
  <c r="AZ26" i="10"/>
  <c r="BA26" i="10"/>
  <c r="AF29" i="10"/>
  <c r="AW28" i="10"/>
  <c r="AE30" i="10"/>
  <c r="AS28" i="10"/>
  <c r="AC29" i="10"/>
  <c r="U52" i="10"/>
  <c r="AM51" i="10"/>
  <c r="AN51" i="10"/>
  <c r="W35" i="10"/>
  <c r="AP34" i="10"/>
  <c r="AX27" i="10"/>
  <c r="L246" i="9"/>
  <c r="P245" i="9"/>
  <c r="D177" i="9"/>
  <c r="L144" i="9"/>
  <c r="M143" i="9"/>
  <c r="O264" i="9"/>
  <c r="O128" i="9"/>
  <c r="C279" i="9"/>
  <c r="D278" i="9"/>
  <c r="M279" i="9"/>
  <c r="L280" i="9"/>
  <c r="P279" i="9"/>
  <c r="D245" i="9"/>
  <c r="M109" i="9"/>
  <c r="L110" i="9"/>
  <c r="C110" i="9"/>
  <c r="D109" i="9"/>
  <c r="L179" i="9"/>
  <c r="S209" i="9"/>
  <c r="Q209" i="9"/>
  <c r="N264" i="9"/>
  <c r="N128" i="9"/>
  <c r="S278" i="9"/>
  <c r="S177" i="9"/>
  <c r="M178" i="9"/>
  <c r="Q177" i="9"/>
  <c r="O162" i="9"/>
  <c r="D210" i="9"/>
  <c r="C211" i="9"/>
  <c r="N162" i="9"/>
  <c r="L211" i="9"/>
  <c r="M210" i="9"/>
  <c r="S244" i="9"/>
  <c r="Q244" i="9"/>
  <c r="M245" i="9"/>
  <c r="C179" i="9"/>
  <c r="D142" i="9"/>
  <c r="C143" i="9"/>
  <c r="AT29" i="10" l="1"/>
  <c r="AU29" i="10"/>
  <c r="AV29" i="10"/>
  <c r="AX28" i="10"/>
  <c r="AZ28" i="10" s="1"/>
  <c r="BT122" i="11"/>
  <c r="BM123" i="11"/>
  <c r="V79" i="4"/>
  <c r="AC78" i="4"/>
  <c r="J75" i="4"/>
  <c r="AA31" i="10" s="1"/>
  <c r="M74" i="4"/>
  <c r="L74" i="4"/>
  <c r="AB30" i="10" s="1"/>
  <c r="I141" i="4"/>
  <c r="N79" i="4"/>
  <c r="U78" i="4"/>
  <c r="C246" i="9"/>
  <c r="BM121" i="17"/>
  <c r="BT120" i="17"/>
  <c r="BM121" i="16"/>
  <c r="BT120" i="16"/>
  <c r="W36" i="10"/>
  <c r="AP35" i="10"/>
  <c r="AD51" i="10"/>
  <c r="AC30" i="10"/>
  <c r="AS29" i="10"/>
  <c r="AI32" i="10"/>
  <c r="AF30" i="10"/>
  <c r="AW29" i="10"/>
  <c r="T31" i="10"/>
  <c r="X30" i="10"/>
  <c r="AL30" i="10"/>
  <c r="AQ30" i="10" s="1"/>
  <c r="BA27" i="10"/>
  <c r="AZ27" i="10"/>
  <c r="U53" i="10"/>
  <c r="AM52" i="10"/>
  <c r="AN52" i="10"/>
  <c r="AE31" i="10"/>
  <c r="M110" i="9"/>
  <c r="L111" i="9"/>
  <c r="C280" i="9"/>
  <c r="D279" i="9"/>
  <c r="D143" i="9"/>
  <c r="C144" i="9"/>
  <c r="S210" i="9"/>
  <c r="L281" i="9"/>
  <c r="M280" i="9"/>
  <c r="C180" i="9"/>
  <c r="O164" i="9"/>
  <c r="Q279" i="9"/>
  <c r="S279" i="9"/>
  <c r="M144" i="9"/>
  <c r="L145" i="9"/>
  <c r="N164" i="9"/>
  <c r="S245" i="9"/>
  <c r="Q245" i="9"/>
  <c r="M246" i="9"/>
  <c r="P211" i="9"/>
  <c r="L212" i="9"/>
  <c r="M211" i="9"/>
  <c r="C212" i="9"/>
  <c r="D211" i="9"/>
  <c r="M179" i="9"/>
  <c r="S178" i="9"/>
  <c r="N266" i="9"/>
  <c r="P266" i="9" s="1"/>
  <c r="N130" i="9"/>
  <c r="P128" i="9"/>
  <c r="L180" i="9"/>
  <c r="P179" i="9"/>
  <c r="C111" i="9"/>
  <c r="D110" i="9"/>
  <c r="D246" i="9"/>
  <c r="O266" i="9"/>
  <c r="Q266" i="9" s="1"/>
  <c r="O130" i="9"/>
  <c r="Q128" i="9"/>
  <c r="D178" i="9"/>
  <c r="P246" i="9"/>
  <c r="L247" i="9"/>
  <c r="AT30" i="10" l="1"/>
  <c r="AU30" i="10"/>
  <c r="AV30" i="10"/>
  <c r="AX29" i="10"/>
  <c r="BA29" i="10" s="1"/>
  <c r="BA28" i="10"/>
  <c r="BT123" i="11"/>
  <c r="BM124" i="11"/>
  <c r="I142" i="4"/>
  <c r="L75" i="4"/>
  <c r="AB31" i="10" s="1"/>
  <c r="M75" i="4"/>
  <c r="J76" i="4"/>
  <c r="AA32" i="10" s="1"/>
  <c r="U79" i="4"/>
  <c r="N80" i="4"/>
  <c r="AC79" i="4"/>
  <c r="V80" i="4"/>
  <c r="C247" i="9"/>
  <c r="BT121" i="17"/>
  <c r="BM122" i="17"/>
  <c r="BT121" i="16"/>
  <c r="BM122" i="16"/>
  <c r="AW30" i="10"/>
  <c r="AF31" i="10"/>
  <c r="AI33" i="10"/>
  <c r="AE32" i="10"/>
  <c r="AV31" i="10"/>
  <c r="U54" i="10"/>
  <c r="AN53" i="10"/>
  <c r="AM53" i="10"/>
  <c r="AD52" i="10"/>
  <c r="T32" i="10"/>
  <c r="X31" i="10"/>
  <c r="AL31" i="10"/>
  <c r="AQ31" i="10" s="1"/>
  <c r="AC31" i="10"/>
  <c r="AS30" i="10"/>
  <c r="W37" i="10"/>
  <c r="AP36" i="10"/>
  <c r="M212" i="9"/>
  <c r="L213" i="9"/>
  <c r="D280" i="9"/>
  <c r="C281" i="9"/>
  <c r="O268" i="9"/>
  <c r="Q268" i="9" s="1"/>
  <c r="O132" i="9"/>
  <c r="C213" i="9"/>
  <c r="D212" i="9"/>
  <c r="M247" i="9"/>
  <c r="Q246" i="9"/>
  <c r="S246" i="9"/>
  <c r="N166" i="9"/>
  <c r="P164" i="9"/>
  <c r="L112" i="9"/>
  <c r="M111" i="9"/>
  <c r="S280" i="9"/>
  <c r="L181" i="9"/>
  <c r="C181" i="9"/>
  <c r="D179" i="9"/>
  <c r="C112" i="9"/>
  <c r="D111" i="9"/>
  <c r="N268" i="9"/>
  <c r="P268" i="9" s="1"/>
  <c r="N132" i="9"/>
  <c r="P247" i="9"/>
  <c r="L248" i="9"/>
  <c r="D247" i="9"/>
  <c r="Q179" i="9"/>
  <c r="S179" i="9"/>
  <c r="M180" i="9"/>
  <c r="Q211" i="9"/>
  <c r="S211" i="9"/>
  <c r="M145" i="9"/>
  <c r="L146" i="9"/>
  <c r="O166" i="9"/>
  <c r="Q164" i="9"/>
  <c r="L282" i="9"/>
  <c r="M281" i="9"/>
  <c r="P281" i="9"/>
  <c r="C145" i="9"/>
  <c r="D144" i="9"/>
  <c r="AX30" i="10" l="1"/>
  <c r="AZ29" i="10"/>
  <c r="AT31" i="10"/>
  <c r="AU31" i="10"/>
  <c r="BT124" i="11"/>
  <c r="BM125" i="11"/>
  <c r="U80" i="4"/>
  <c r="N81" i="4"/>
  <c r="AC80" i="4"/>
  <c r="V81" i="4"/>
  <c r="M76" i="4"/>
  <c r="J77" i="4"/>
  <c r="AA33" i="10" s="1"/>
  <c r="L76" i="4"/>
  <c r="AB32" i="10" s="1"/>
  <c r="I143" i="4"/>
  <c r="C248" i="9"/>
  <c r="BT122" i="17"/>
  <c r="BM123" i="17"/>
  <c r="BT122" i="16"/>
  <c r="BM123" i="16"/>
  <c r="W38" i="10"/>
  <c r="AP37" i="10"/>
  <c r="T33" i="10"/>
  <c r="X32" i="10"/>
  <c r="AL32" i="10"/>
  <c r="AQ32" i="10" s="1"/>
  <c r="AZ30" i="10"/>
  <c r="BA30" i="10"/>
  <c r="U55" i="10"/>
  <c r="AM54" i="10"/>
  <c r="AN54" i="10"/>
  <c r="AI34" i="10"/>
  <c r="AD53" i="10"/>
  <c r="AW31" i="10"/>
  <c r="AF32" i="10"/>
  <c r="AC32" i="10"/>
  <c r="AS31" i="10"/>
  <c r="AE33" i="10"/>
  <c r="L147" i="9"/>
  <c r="M146" i="9"/>
  <c r="M112" i="9"/>
  <c r="L113" i="9"/>
  <c r="D248" i="9"/>
  <c r="C182" i="9"/>
  <c r="Q247" i="9"/>
  <c r="M248" i="9"/>
  <c r="S247" i="9"/>
  <c r="D281" i="9"/>
  <c r="C282" i="9"/>
  <c r="M213" i="9"/>
  <c r="L214" i="9"/>
  <c r="P213" i="9"/>
  <c r="C214" i="9"/>
  <c r="D213" i="9"/>
  <c r="S281" i="9"/>
  <c r="Q281" i="9"/>
  <c r="N270" i="9"/>
  <c r="P270" i="9" s="1"/>
  <c r="N134" i="9"/>
  <c r="C113" i="9"/>
  <c r="D112" i="9"/>
  <c r="N168" i="9"/>
  <c r="P166" i="9"/>
  <c r="O134" i="9"/>
  <c r="O270" i="9"/>
  <c r="Q270" i="9" s="1"/>
  <c r="S180" i="9"/>
  <c r="M181" i="9"/>
  <c r="D180" i="9"/>
  <c r="O168" i="9"/>
  <c r="Q166" i="9"/>
  <c r="C146" i="9"/>
  <c r="D145" i="9"/>
  <c r="L283" i="9"/>
  <c r="M282" i="9"/>
  <c r="P248" i="9"/>
  <c r="L249" i="9"/>
  <c r="L182" i="9"/>
  <c r="P181" i="9"/>
  <c r="S212" i="9"/>
  <c r="AX31" i="10" l="1"/>
  <c r="AT32" i="10"/>
  <c r="AU32" i="10"/>
  <c r="AV32" i="10"/>
  <c r="BT125" i="11"/>
  <c r="BM126" i="11"/>
  <c r="V82" i="4"/>
  <c r="AC81" i="4"/>
  <c r="L77" i="4"/>
  <c r="AB33" i="10" s="1"/>
  <c r="J78" i="4"/>
  <c r="AA34" i="10" s="1"/>
  <c r="M77" i="4"/>
  <c r="N82" i="4"/>
  <c r="U81" i="4"/>
  <c r="I144" i="4"/>
  <c r="C249" i="9"/>
  <c r="BM124" i="17"/>
  <c r="BT123" i="17"/>
  <c r="BM124" i="16"/>
  <c r="BT123" i="16"/>
  <c r="AF33" i="10"/>
  <c r="AW32" i="10"/>
  <c r="AI35" i="10"/>
  <c r="U56" i="10"/>
  <c r="B63" i="9" s="1"/>
  <c r="AN55" i="10"/>
  <c r="AM55" i="10"/>
  <c r="BA31" i="10"/>
  <c r="AZ31" i="10"/>
  <c r="T34" i="10"/>
  <c r="X33" i="10"/>
  <c r="AL33" i="10"/>
  <c r="AQ33" i="10" s="1"/>
  <c r="AE34" i="10"/>
  <c r="AC33" i="10"/>
  <c r="AS32" i="10"/>
  <c r="AD54" i="10"/>
  <c r="W39" i="10"/>
  <c r="AP38" i="10"/>
  <c r="O272" i="9"/>
  <c r="Q272" i="9" s="1"/>
  <c r="O136" i="9"/>
  <c r="O170" i="9"/>
  <c r="Q168" i="9"/>
  <c r="N272" i="9"/>
  <c r="P272" i="9" s="1"/>
  <c r="N136" i="9"/>
  <c r="L215" i="9"/>
  <c r="M214" i="9"/>
  <c r="S282" i="9"/>
  <c r="D181" i="9"/>
  <c r="M182" i="9"/>
  <c r="Q181" i="9"/>
  <c r="S181" i="9"/>
  <c r="S213" i="9"/>
  <c r="Q213" i="9"/>
  <c r="L114" i="9"/>
  <c r="M113" i="9"/>
  <c r="L250" i="9"/>
  <c r="P250" i="9" s="1"/>
  <c r="P249" i="9"/>
  <c r="M283" i="9"/>
  <c r="L284" i="9"/>
  <c r="P283" i="9"/>
  <c r="D146" i="9"/>
  <c r="C147" i="9"/>
  <c r="N170" i="9"/>
  <c r="P168" i="9"/>
  <c r="D113" i="9"/>
  <c r="C114" i="9"/>
  <c r="D214" i="9"/>
  <c r="C215" i="9"/>
  <c r="C283" i="9"/>
  <c r="D282" i="9"/>
  <c r="S248" i="9"/>
  <c r="Q248" i="9"/>
  <c r="M249" i="9"/>
  <c r="D249" i="9"/>
  <c r="L148" i="9"/>
  <c r="M147" i="9"/>
  <c r="AT33" i="10" l="1"/>
  <c r="AU33" i="10"/>
  <c r="AV33" i="10"/>
  <c r="AX32" i="10"/>
  <c r="BA32" i="10" s="1"/>
  <c r="H63" i="9"/>
  <c r="J63" i="9"/>
  <c r="BT126" i="11"/>
  <c r="BM127" i="11"/>
  <c r="N83" i="4"/>
  <c r="U82" i="4"/>
  <c r="J79" i="4"/>
  <c r="AA35" i="10" s="1"/>
  <c r="M78" i="4"/>
  <c r="L78" i="4"/>
  <c r="AB34" i="10" s="1"/>
  <c r="I145" i="4"/>
  <c r="V83" i="4"/>
  <c r="AC82" i="4"/>
  <c r="C250" i="9"/>
  <c r="BM125" i="17"/>
  <c r="BT124" i="17"/>
  <c r="BM125" i="16"/>
  <c r="BT124" i="16"/>
  <c r="W40" i="10"/>
  <c r="AP39" i="10"/>
  <c r="AC34" i="10"/>
  <c r="AS33" i="10"/>
  <c r="AI36" i="10"/>
  <c r="AD55" i="10"/>
  <c r="AE35" i="10"/>
  <c r="AV34" i="10"/>
  <c r="X34" i="10"/>
  <c r="T35" i="10"/>
  <c r="AL34" i="10"/>
  <c r="AQ34" i="10" s="1"/>
  <c r="U57" i="10"/>
  <c r="B64" i="9" s="1"/>
  <c r="AM56" i="10"/>
  <c r="AN56" i="10"/>
  <c r="AF34" i="10"/>
  <c r="AW33" i="10"/>
  <c r="Q283" i="9"/>
  <c r="S283" i="9"/>
  <c r="Q249" i="9"/>
  <c r="S249" i="9"/>
  <c r="M250" i="9"/>
  <c r="C284" i="9"/>
  <c r="D283" i="9"/>
  <c r="P215" i="9"/>
  <c r="L216" i="9"/>
  <c r="M215" i="9"/>
  <c r="N274" i="9"/>
  <c r="P274" i="9" s="1"/>
  <c r="N138" i="9"/>
  <c r="O274" i="9"/>
  <c r="Q274" i="9" s="1"/>
  <c r="O138" i="9"/>
  <c r="N172" i="9"/>
  <c r="P170" i="9"/>
  <c r="D182" i="9"/>
  <c r="O172" i="9"/>
  <c r="Q170" i="9"/>
  <c r="C216" i="9"/>
  <c r="D215" i="9"/>
  <c r="M148" i="9"/>
  <c r="D250" i="9"/>
  <c r="D114" i="9"/>
  <c r="D147" i="9"/>
  <c r="C148" i="9"/>
  <c r="M284" i="9"/>
  <c r="P114" i="9"/>
  <c r="M114" i="9"/>
  <c r="S182" i="9"/>
  <c r="S214" i="9"/>
  <c r="AZ32" i="10" l="1"/>
  <c r="AT34" i="10"/>
  <c r="AU34" i="10"/>
  <c r="J64" i="9"/>
  <c r="H64" i="9"/>
  <c r="BT127" i="11"/>
  <c r="BM128" i="11"/>
  <c r="I146" i="4"/>
  <c r="M79" i="4"/>
  <c r="L79" i="4"/>
  <c r="AB35" i="10" s="1"/>
  <c r="AV35" i="10" s="1"/>
  <c r="J80" i="4"/>
  <c r="AA36" i="10" s="1"/>
  <c r="AC83" i="4"/>
  <c r="V84" i="4"/>
  <c r="U83" i="4"/>
  <c r="N84" i="4"/>
  <c r="BT125" i="17"/>
  <c r="BM126" i="17"/>
  <c r="BT125" i="16"/>
  <c r="BM126" i="16"/>
  <c r="AW34" i="10"/>
  <c r="AF35" i="10"/>
  <c r="AD56" i="10"/>
  <c r="AS34" i="10"/>
  <c r="AC35" i="10"/>
  <c r="AE36" i="10"/>
  <c r="AI37" i="10"/>
  <c r="U58" i="10"/>
  <c r="B65" i="9" s="1"/>
  <c r="AN57" i="10"/>
  <c r="AM57" i="10"/>
  <c r="T36" i="10"/>
  <c r="X35" i="10"/>
  <c r="AL35" i="10"/>
  <c r="AQ35" i="10" s="1"/>
  <c r="AX33" i="10"/>
  <c r="W41" i="10"/>
  <c r="AP40" i="10"/>
  <c r="Q215" i="9"/>
  <c r="S215" i="9"/>
  <c r="Q114" i="9"/>
  <c r="S114" i="9"/>
  <c r="D148" i="9"/>
  <c r="O174" i="9"/>
  <c r="Q172" i="9"/>
  <c r="M216" i="9"/>
  <c r="Q250" i="9"/>
  <c r="S250" i="9"/>
  <c r="D216" i="9"/>
  <c r="N276" i="9"/>
  <c r="P276" i="9" s="1"/>
  <c r="N140" i="9"/>
  <c r="P138" i="9"/>
  <c r="S284" i="9"/>
  <c r="S148" i="9"/>
  <c r="N174" i="9"/>
  <c r="P172" i="9"/>
  <c r="O276" i="9"/>
  <c r="Q276" i="9" s="1"/>
  <c r="O140" i="9"/>
  <c r="Q138" i="9"/>
  <c r="D284" i="9"/>
  <c r="AT35" i="10" l="1"/>
  <c r="AU35" i="10"/>
  <c r="AX34" i="10"/>
  <c r="BA34" i="10" s="1"/>
  <c r="J65" i="9"/>
  <c r="H65" i="9"/>
  <c r="BT128" i="11"/>
  <c r="BM129" i="11"/>
  <c r="V85" i="4"/>
  <c r="AC84" i="4"/>
  <c r="N85" i="4"/>
  <c r="U84" i="4"/>
  <c r="M80" i="4"/>
  <c r="L80" i="4"/>
  <c r="AB36" i="10" s="1"/>
  <c r="J81" i="4"/>
  <c r="AA37" i="10" s="1"/>
  <c r="I147" i="4"/>
  <c r="BT126" i="17"/>
  <c r="BM127" i="17"/>
  <c r="BT126" i="16"/>
  <c r="BM127" i="16"/>
  <c r="AM58" i="10"/>
  <c r="U59" i="10"/>
  <c r="B66" i="9" s="1"/>
  <c r="AN58" i="10"/>
  <c r="W42" i="10"/>
  <c r="AP41" i="10"/>
  <c r="AD57" i="10"/>
  <c r="X36" i="10"/>
  <c r="T37" i="10"/>
  <c r="AL36" i="10"/>
  <c r="AQ36" i="10" s="1"/>
  <c r="AI38" i="10"/>
  <c r="AS35" i="10"/>
  <c r="AC36" i="10"/>
  <c r="AF36" i="10"/>
  <c r="AW35" i="10"/>
  <c r="AZ33" i="10"/>
  <c r="BA33" i="10"/>
  <c r="AV36" i="10"/>
  <c r="AE37" i="10"/>
  <c r="N142" i="9"/>
  <c r="N278" i="9"/>
  <c r="P278" i="9" s="1"/>
  <c r="S216" i="9"/>
  <c r="O176" i="9"/>
  <c r="Q174" i="9"/>
  <c r="N176" i="9"/>
  <c r="P174" i="9"/>
  <c r="O278" i="9"/>
  <c r="Q278" i="9" s="1"/>
  <c r="O142" i="9"/>
  <c r="AZ34" i="10" l="1"/>
  <c r="AT36" i="10"/>
  <c r="AU36" i="10"/>
  <c r="H66" i="9"/>
  <c r="J66" i="9"/>
  <c r="BT129" i="11"/>
  <c r="BM130" i="11"/>
  <c r="BT130" i="11" s="1"/>
  <c r="L81" i="4"/>
  <c r="AB37" i="10" s="1"/>
  <c r="AV37" i="10" s="1"/>
  <c r="J82" i="4"/>
  <c r="AA38" i="10" s="1"/>
  <c r="M81" i="4"/>
  <c r="U85" i="4"/>
  <c r="N86" i="4"/>
  <c r="I148" i="4"/>
  <c r="AC85" i="4"/>
  <c r="V86" i="4"/>
  <c r="BM128" i="17"/>
  <c r="BT127" i="17"/>
  <c r="BM128" i="16"/>
  <c r="BT127" i="16"/>
  <c r="AW36" i="10"/>
  <c r="AF37" i="10"/>
  <c r="AI39" i="10"/>
  <c r="W43" i="10"/>
  <c r="AP42" i="10"/>
  <c r="AD58" i="10"/>
  <c r="U60" i="10"/>
  <c r="B67" i="9" s="1"/>
  <c r="AN59" i="10"/>
  <c r="AM59" i="10"/>
  <c r="AC37" i="10"/>
  <c r="AS36" i="10"/>
  <c r="AE38" i="10"/>
  <c r="AX35" i="10"/>
  <c r="T38" i="10"/>
  <c r="X37" i="10"/>
  <c r="AL37" i="10"/>
  <c r="AQ37" i="10" s="1"/>
  <c r="O178" i="9"/>
  <c r="Q176" i="9"/>
  <c r="N280" i="9"/>
  <c r="P280" i="9" s="1"/>
  <c r="N144" i="9"/>
  <c r="O280" i="9"/>
  <c r="Q280" i="9" s="1"/>
  <c r="O144" i="9"/>
  <c r="N178" i="9"/>
  <c r="P176" i="9"/>
  <c r="AT37" i="10" l="1"/>
  <c r="AU37" i="10"/>
  <c r="AX36" i="10"/>
  <c r="BA36" i="10" s="1"/>
  <c r="J67" i="9"/>
  <c r="H67" i="9"/>
  <c r="J83" i="4"/>
  <c r="AA39" i="10" s="1"/>
  <c r="M82" i="4"/>
  <c r="L82" i="4"/>
  <c r="AB38" i="10" s="1"/>
  <c r="I149" i="4"/>
  <c r="V87" i="4"/>
  <c r="AC86" i="4"/>
  <c r="N87" i="4"/>
  <c r="U86" i="4"/>
  <c r="BM129" i="17"/>
  <c r="BT129" i="17" s="1"/>
  <c r="BT128" i="17"/>
  <c r="BM129" i="16"/>
  <c r="BT129" i="16" s="1"/>
  <c r="BT128" i="16"/>
  <c r="AE39" i="10"/>
  <c r="AD59" i="10"/>
  <c r="AI40" i="10"/>
  <c r="AC38" i="10"/>
  <c r="AS37" i="10"/>
  <c r="AF38" i="10"/>
  <c r="AW37" i="10"/>
  <c r="T39" i="10"/>
  <c r="X38" i="10"/>
  <c r="AL38" i="10"/>
  <c r="AQ38" i="10" s="1"/>
  <c r="AZ35" i="10"/>
  <c r="BA35" i="10"/>
  <c r="U61" i="10"/>
  <c r="B68" i="9" s="1"/>
  <c r="AN60" i="10"/>
  <c r="AM60" i="10"/>
  <c r="W44" i="10"/>
  <c r="AP43" i="10"/>
  <c r="O180" i="9"/>
  <c r="Q178" i="9"/>
  <c r="N282" i="9"/>
  <c r="P282" i="9" s="1"/>
  <c r="N146" i="9"/>
  <c r="N180" i="9"/>
  <c r="P178" i="9"/>
  <c r="O282" i="9"/>
  <c r="Q282" i="9" s="1"/>
  <c r="O146" i="9"/>
  <c r="AZ36" i="10" l="1"/>
  <c r="AT38" i="10"/>
  <c r="AU38" i="10"/>
  <c r="AV38" i="10"/>
  <c r="J68" i="9"/>
  <c r="H68" i="9"/>
  <c r="N88" i="4"/>
  <c r="U87" i="4"/>
  <c r="V88" i="4"/>
  <c r="AC87" i="4"/>
  <c r="I150" i="4"/>
  <c r="M83" i="4"/>
  <c r="L83" i="4"/>
  <c r="AB39" i="10" s="1"/>
  <c r="J84" i="4"/>
  <c r="AA40" i="10" s="1"/>
  <c r="U62" i="10"/>
  <c r="B69" i="9" s="1"/>
  <c r="AN61" i="10"/>
  <c r="AM61" i="10"/>
  <c r="T40" i="10"/>
  <c r="X39" i="10"/>
  <c r="AL39" i="10"/>
  <c r="AQ39" i="10" s="1"/>
  <c r="AS38" i="10"/>
  <c r="AC39" i="10"/>
  <c r="AD60" i="10"/>
  <c r="W45" i="10"/>
  <c r="AP44" i="10"/>
  <c r="AW38" i="10"/>
  <c r="AF39" i="10"/>
  <c r="AX37" i="10"/>
  <c r="AI41" i="10"/>
  <c r="AE40" i="10"/>
  <c r="N284" i="9"/>
  <c r="P284" i="9" s="1"/>
  <c r="N148" i="9"/>
  <c r="N182" i="9"/>
  <c r="P182" i="9" s="1"/>
  <c r="P180" i="9"/>
  <c r="O284" i="9"/>
  <c r="Q284" i="9" s="1"/>
  <c r="O148" i="9"/>
  <c r="O182" i="9"/>
  <c r="Q182" i="9" s="1"/>
  <c r="Q180" i="9"/>
  <c r="AT39" i="10" l="1"/>
  <c r="AU39" i="10"/>
  <c r="AV39" i="10"/>
  <c r="AX38" i="10"/>
  <c r="AZ38" i="10" s="1"/>
  <c r="H69" i="9"/>
  <c r="J69" i="9"/>
  <c r="AC88" i="4"/>
  <c r="V89" i="4"/>
  <c r="M84" i="4"/>
  <c r="L84" i="4"/>
  <c r="AB40" i="10" s="1"/>
  <c r="J85" i="4"/>
  <c r="AA41" i="10" s="1"/>
  <c r="U88" i="4"/>
  <c r="N89" i="4"/>
  <c r="W46" i="10"/>
  <c r="AP45" i="10"/>
  <c r="X40" i="10"/>
  <c r="T41" i="10"/>
  <c r="AL40" i="10"/>
  <c r="AQ40" i="10" s="1"/>
  <c r="AE41" i="10"/>
  <c r="AF40" i="10"/>
  <c r="AW39" i="10"/>
  <c r="AZ37" i="10"/>
  <c r="BA37" i="10"/>
  <c r="AD61" i="10"/>
  <c r="AI42" i="10"/>
  <c r="AS39" i="10"/>
  <c r="AC40" i="10"/>
  <c r="U63" i="10"/>
  <c r="B70" i="9" s="1"/>
  <c r="AM62" i="10"/>
  <c r="AN62" i="10"/>
  <c r="O184" i="9"/>
  <c r="Q148" i="9"/>
  <c r="N184" i="9"/>
  <c r="P148" i="9"/>
  <c r="AT40" i="10" l="1"/>
  <c r="AU40" i="10"/>
  <c r="AV40" i="10"/>
  <c r="BA38" i="10"/>
  <c r="H70" i="9"/>
  <c r="J70" i="9"/>
  <c r="U89" i="4"/>
  <c r="N90" i="4"/>
  <c r="AC89" i="4"/>
  <c r="V90" i="4"/>
  <c r="M85" i="4"/>
  <c r="L85" i="4"/>
  <c r="AB41" i="10" s="1"/>
  <c r="AV41" i="10" s="1"/>
  <c r="J86" i="4"/>
  <c r="AA42" i="10" s="1"/>
  <c r="AF41" i="10"/>
  <c r="AW40" i="10"/>
  <c r="T42" i="10"/>
  <c r="X41" i="10"/>
  <c r="AL41" i="10"/>
  <c r="AQ41" i="10" s="1"/>
  <c r="AC41" i="10"/>
  <c r="AS40" i="10"/>
  <c r="AX39" i="10"/>
  <c r="AD62" i="10"/>
  <c r="U64" i="10"/>
  <c r="B71" i="9" s="1"/>
  <c r="AN63" i="10"/>
  <c r="AM63" i="10"/>
  <c r="AI43" i="10"/>
  <c r="AE42" i="10"/>
  <c r="W47" i="10"/>
  <c r="AP46" i="10"/>
  <c r="N186" i="9"/>
  <c r="O186" i="9"/>
  <c r="AT41" i="10" l="1"/>
  <c r="AU41" i="10"/>
  <c r="AX40" i="10"/>
  <c r="BA40" i="10" s="1"/>
  <c r="J71" i="9"/>
  <c r="H71" i="9"/>
  <c r="V91" i="4"/>
  <c r="AC90" i="4"/>
  <c r="L86" i="4"/>
  <c r="AB42" i="10" s="1"/>
  <c r="AV42" i="10" s="1"/>
  <c r="J87" i="4"/>
  <c r="AA43" i="10" s="1"/>
  <c r="M86" i="4"/>
  <c r="N91" i="4"/>
  <c r="U90" i="4"/>
  <c r="U65" i="10"/>
  <c r="B72" i="9" s="1"/>
  <c r="AN64" i="10"/>
  <c r="AM64" i="10"/>
  <c r="W48" i="10"/>
  <c r="AP47" i="10"/>
  <c r="AI44" i="10"/>
  <c r="X42" i="10"/>
  <c r="T43" i="10"/>
  <c r="AL42" i="10"/>
  <c r="AQ42" i="10" s="1"/>
  <c r="AE43" i="10"/>
  <c r="AD63" i="10"/>
  <c r="AC42" i="10"/>
  <c r="AS41" i="10"/>
  <c r="AZ39" i="10"/>
  <c r="BA39" i="10"/>
  <c r="AF42" i="10"/>
  <c r="AW41" i="10"/>
  <c r="O188" i="9"/>
  <c r="N188" i="9"/>
  <c r="AT42" i="10" l="1"/>
  <c r="AU42" i="10"/>
  <c r="AZ40" i="10"/>
  <c r="J72" i="9"/>
  <c r="H72" i="9"/>
  <c r="J88" i="4"/>
  <c r="AA44" i="10" s="1"/>
  <c r="L87" i="4"/>
  <c r="AB43" i="10" s="1"/>
  <c r="AV43" i="10" s="1"/>
  <c r="M87" i="4"/>
  <c r="N92" i="4"/>
  <c r="U91" i="4"/>
  <c r="V92" i="4"/>
  <c r="AC91" i="4"/>
  <c r="W49" i="10"/>
  <c r="AP48" i="10"/>
  <c r="AX41" i="10"/>
  <c r="AD64" i="10"/>
  <c r="T44" i="10"/>
  <c r="X43" i="10"/>
  <c r="AL43" i="10"/>
  <c r="AQ43" i="10" s="1"/>
  <c r="AW42" i="10"/>
  <c r="AF43" i="10"/>
  <c r="AS42" i="10"/>
  <c r="AC43" i="10"/>
  <c r="AI45" i="10"/>
  <c r="AE44" i="10"/>
  <c r="AN65" i="10"/>
  <c r="AM65" i="10"/>
  <c r="N190" i="9"/>
  <c r="O190" i="9"/>
  <c r="AX42" i="10" l="1"/>
  <c r="BA42" i="10" s="1"/>
  <c r="AT43" i="10"/>
  <c r="AU43" i="10"/>
  <c r="U92" i="4"/>
  <c r="N93" i="4"/>
  <c r="AC92" i="4"/>
  <c r="V93" i="4"/>
  <c r="M88" i="4"/>
  <c r="L88" i="4"/>
  <c r="AB44" i="10" s="1"/>
  <c r="J89" i="4"/>
  <c r="AA45" i="10" s="1"/>
  <c r="AS43" i="10"/>
  <c r="AC44" i="10"/>
  <c r="AD65" i="10"/>
  <c r="AZ41" i="10"/>
  <c r="BA41" i="10"/>
  <c r="AI46" i="10"/>
  <c r="AF44" i="10"/>
  <c r="AW43" i="10"/>
  <c r="X44" i="10"/>
  <c r="T45" i="10"/>
  <c r="AL44" i="10"/>
  <c r="AQ44" i="10" s="1"/>
  <c r="AV44" i="10"/>
  <c r="AE45" i="10"/>
  <c r="W50" i="10"/>
  <c r="AP49" i="10"/>
  <c r="O192" i="9"/>
  <c r="N192" i="9"/>
  <c r="AT44" i="10" l="1"/>
  <c r="AU44" i="10"/>
  <c r="AZ42" i="10"/>
  <c r="M89" i="4"/>
  <c r="L89" i="4"/>
  <c r="AB45" i="10" s="1"/>
  <c r="J90" i="4"/>
  <c r="AA46" i="10" s="1"/>
  <c r="AC93" i="4"/>
  <c r="V94" i="4"/>
  <c r="U93" i="4"/>
  <c r="N94" i="4"/>
  <c r="AD66" i="10"/>
  <c r="AW44" i="10"/>
  <c r="AF45" i="10"/>
  <c r="W51" i="10"/>
  <c r="AP50" i="10"/>
  <c r="T46" i="10"/>
  <c r="X45" i="10"/>
  <c r="AL45" i="10"/>
  <c r="AQ45" i="10" s="1"/>
  <c r="AI47" i="10"/>
  <c r="AC45" i="10"/>
  <c r="AS44" i="10"/>
  <c r="AV45" i="10"/>
  <c r="AE46" i="10"/>
  <c r="AX43" i="10"/>
  <c r="N194" i="9"/>
  <c r="O194" i="9"/>
  <c r="AX44" i="10" l="1"/>
  <c r="AT45" i="10"/>
  <c r="AU45" i="10"/>
  <c r="V95" i="4"/>
  <c r="AC94" i="4"/>
  <c r="N95" i="4"/>
  <c r="U94" i="4"/>
  <c r="L90" i="4"/>
  <c r="AB46" i="10" s="1"/>
  <c r="AV46" i="10" s="1"/>
  <c r="J91" i="4"/>
  <c r="AA47" i="10" s="1"/>
  <c r="M90" i="4"/>
  <c r="W52" i="10"/>
  <c r="AP51" i="10"/>
  <c r="AD67" i="10"/>
  <c r="AC46" i="10"/>
  <c r="AS45" i="10"/>
  <c r="AF46" i="10"/>
  <c r="AW45" i="10"/>
  <c r="BA44" i="10"/>
  <c r="AZ44" i="10"/>
  <c r="AI48" i="10"/>
  <c r="T47" i="10"/>
  <c r="X46" i="10"/>
  <c r="AL46" i="10"/>
  <c r="AQ46" i="10" s="1"/>
  <c r="AZ43" i="10"/>
  <c r="BA43" i="10"/>
  <c r="AE47" i="10"/>
  <c r="O196" i="9"/>
  <c r="N196" i="9"/>
  <c r="AT46" i="10" l="1"/>
  <c r="AU46" i="10"/>
  <c r="AX45" i="10"/>
  <c r="AZ45" i="10" s="1"/>
  <c r="J92" i="4"/>
  <c r="AA48" i="10" s="1"/>
  <c r="L91" i="4"/>
  <c r="AB47" i="10" s="1"/>
  <c r="M91" i="4"/>
  <c r="N96" i="4"/>
  <c r="U95" i="4"/>
  <c r="V96" i="4"/>
  <c r="AC95" i="4"/>
  <c r="AF47" i="10"/>
  <c r="AW46" i="10"/>
  <c r="AE48" i="10"/>
  <c r="AV47" i="10"/>
  <c r="AI49" i="10"/>
  <c r="AD68" i="10"/>
  <c r="AC47" i="10"/>
  <c r="AS46" i="10"/>
  <c r="T48" i="10"/>
  <c r="X47" i="10"/>
  <c r="AL47" i="10"/>
  <c r="AQ47" i="10" s="1"/>
  <c r="W53" i="10"/>
  <c r="AP52" i="10"/>
  <c r="N198" i="9"/>
  <c r="O198" i="9"/>
  <c r="AT47" i="10" l="1"/>
  <c r="AU47" i="10"/>
  <c r="BA45" i="10"/>
  <c r="AX46" i="10"/>
  <c r="AZ46" i="10" s="1"/>
  <c r="U96" i="4"/>
  <c r="N97" i="4"/>
  <c r="AC96" i="4"/>
  <c r="V97" i="4"/>
  <c r="M92" i="4"/>
  <c r="L92" i="4"/>
  <c r="AB48" i="10" s="1"/>
  <c r="J93" i="4"/>
  <c r="AA49" i="10" s="1"/>
  <c r="W54" i="10"/>
  <c r="AP53" i="10"/>
  <c r="AD69" i="10"/>
  <c r="AW47" i="10"/>
  <c r="AF48" i="10"/>
  <c r="AC48" i="10"/>
  <c r="AS47" i="10"/>
  <c r="AE49" i="10"/>
  <c r="T49" i="10"/>
  <c r="X48" i="10"/>
  <c r="AL48" i="10"/>
  <c r="AQ48" i="10" s="1"/>
  <c r="AI50" i="10"/>
  <c r="O200" i="9"/>
  <c r="Q198" i="9"/>
  <c r="N200" i="9"/>
  <c r="P198" i="9"/>
  <c r="BA46" i="10" l="1"/>
  <c r="AT48" i="10"/>
  <c r="AU48" i="10"/>
  <c r="AV48" i="10"/>
  <c r="AX47" i="10"/>
  <c r="U97" i="4"/>
  <c r="N98" i="4"/>
  <c r="AC97" i="4"/>
  <c r="V98" i="4"/>
  <c r="M93" i="4"/>
  <c r="L93" i="4"/>
  <c r="AB49" i="10" s="1"/>
  <c r="J94" i="4"/>
  <c r="AA50" i="10" s="1"/>
  <c r="AS48" i="10"/>
  <c r="AC49" i="10"/>
  <c r="AF49" i="10"/>
  <c r="AW48" i="10"/>
  <c r="AE50" i="10"/>
  <c r="BA47" i="10"/>
  <c r="AZ47" i="10"/>
  <c r="AI51" i="10"/>
  <c r="X49" i="10"/>
  <c r="T50" i="10"/>
  <c r="AL49" i="10"/>
  <c r="AQ49" i="10" s="1"/>
  <c r="AD70" i="10"/>
  <c r="W55" i="10"/>
  <c r="AP54" i="10"/>
  <c r="N202" i="9"/>
  <c r="P200" i="9"/>
  <c r="O202" i="9"/>
  <c r="Q200" i="9"/>
  <c r="AT49" i="10" l="1"/>
  <c r="AU49" i="10"/>
  <c r="AV49" i="10"/>
  <c r="L94" i="4"/>
  <c r="AB50" i="10" s="1"/>
  <c r="J95" i="4"/>
  <c r="AA51" i="10" s="1"/>
  <c r="M94" i="4"/>
  <c r="N99" i="4"/>
  <c r="U98" i="4"/>
  <c r="V99" i="4"/>
  <c r="AC98" i="4"/>
  <c r="W56" i="10"/>
  <c r="AP55" i="10"/>
  <c r="X50" i="10"/>
  <c r="T51" i="10"/>
  <c r="AL50" i="10"/>
  <c r="AQ50" i="10" s="1"/>
  <c r="AW49" i="10"/>
  <c r="AF50" i="10"/>
  <c r="AD71" i="10"/>
  <c r="AI52" i="10"/>
  <c r="AE51" i="10"/>
  <c r="AC50" i="10"/>
  <c r="AS49" i="10"/>
  <c r="AX49" i="10" s="1"/>
  <c r="AX48" i="10"/>
  <c r="O204" i="9"/>
  <c r="Q202" i="9"/>
  <c r="N204" i="9"/>
  <c r="P202" i="9"/>
  <c r="AT50" i="10" l="1"/>
  <c r="AU50" i="10"/>
  <c r="AV50" i="10"/>
  <c r="V100" i="4"/>
  <c r="AC99" i="4"/>
  <c r="J96" i="4"/>
  <c r="AA52" i="10" s="1"/>
  <c r="L95" i="4"/>
  <c r="AB51" i="10" s="1"/>
  <c r="M95" i="4"/>
  <c r="N100" i="4"/>
  <c r="U99" i="4"/>
  <c r="AS50" i="10"/>
  <c r="AC51" i="10"/>
  <c r="AD72" i="10"/>
  <c r="T52" i="10"/>
  <c r="X51" i="10"/>
  <c r="AL51" i="10"/>
  <c r="AQ51" i="10" s="1"/>
  <c r="AW50" i="10"/>
  <c r="AF51" i="10"/>
  <c r="BA49" i="10"/>
  <c r="AZ49" i="10"/>
  <c r="AE52" i="10"/>
  <c r="AI53" i="10"/>
  <c r="BA48" i="10"/>
  <c r="AZ48" i="10"/>
  <c r="W57" i="10"/>
  <c r="AP56" i="10"/>
  <c r="N206" i="9"/>
  <c r="P204" i="9"/>
  <c r="O206" i="9"/>
  <c r="Q204" i="9"/>
  <c r="AT51" i="10" l="1"/>
  <c r="AU51" i="10"/>
  <c r="AV51" i="10"/>
  <c r="AX50" i="10"/>
  <c r="BA50" i="10" s="1"/>
  <c r="M96" i="4"/>
  <c r="L96" i="4"/>
  <c r="AB52" i="10" s="1"/>
  <c r="J97" i="4"/>
  <c r="AA53" i="10" s="1"/>
  <c r="N101" i="4"/>
  <c r="U100" i="4"/>
  <c r="V101" i="4"/>
  <c r="AC100" i="4"/>
  <c r="AI54" i="10"/>
  <c r="AD73" i="10"/>
  <c r="W58" i="10"/>
  <c r="AP57" i="10"/>
  <c r="AC52" i="10"/>
  <c r="AS51" i="10"/>
  <c r="AF52" i="10"/>
  <c r="AW51" i="10"/>
  <c r="T53" i="10"/>
  <c r="X52" i="10"/>
  <c r="AL52" i="10"/>
  <c r="AQ52" i="10" s="1"/>
  <c r="AE53" i="10"/>
  <c r="O208" i="9"/>
  <c r="Q206" i="9"/>
  <c r="N208" i="9"/>
  <c r="P206" i="9"/>
  <c r="AT52" i="10" l="1"/>
  <c r="AU52" i="10"/>
  <c r="AZ50" i="10"/>
  <c r="AV52" i="10"/>
  <c r="N102" i="4"/>
  <c r="U101" i="4"/>
  <c r="M97" i="4"/>
  <c r="L97" i="4"/>
  <c r="AB53" i="10" s="1"/>
  <c r="J98" i="4"/>
  <c r="AA54" i="10" s="1"/>
  <c r="V102" i="4"/>
  <c r="AC101" i="4"/>
  <c r="X53" i="10"/>
  <c r="T54" i="10"/>
  <c r="AL53" i="10"/>
  <c r="AQ53" i="10" s="1"/>
  <c r="AC53" i="10"/>
  <c r="AS52" i="10"/>
  <c r="AE54" i="10"/>
  <c r="AF53" i="10"/>
  <c r="AW52" i="10"/>
  <c r="AX51" i="10"/>
  <c r="W59" i="10"/>
  <c r="AP58" i="10"/>
  <c r="AI55" i="10"/>
  <c r="N210" i="9"/>
  <c r="P208" i="9"/>
  <c r="O210" i="9"/>
  <c r="Q208" i="9"/>
  <c r="AT53" i="10" l="1"/>
  <c r="AU53" i="10"/>
  <c r="AV53" i="10"/>
  <c r="AC102" i="4"/>
  <c r="V103" i="4"/>
  <c r="L98" i="4"/>
  <c r="AB54" i="10" s="1"/>
  <c r="J99" i="4"/>
  <c r="AA55" i="10" s="1"/>
  <c r="M98" i="4"/>
  <c r="U102" i="4"/>
  <c r="N103" i="4"/>
  <c r="AI56" i="10"/>
  <c r="BA51" i="10"/>
  <c r="AZ51" i="10"/>
  <c r="AV54" i="10"/>
  <c r="AE55" i="10"/>
  <c r="W60" i="10"/>
  <c r="AP59" i="10"/>
  <c r="AX52" i="10"/>
  <c r="T55" i="10"/>
  <c r="X54" i="10"/>
  <c r="AL54" i="10"/>
  <c r="AQ54" i="10" s="1"/>
  <c r="AC54" i="10"/>
  <c r="AS53" i="10"/>
  <c r="AF54" i="10"/>
  <c r="AW53" i="10"/>
  <c r="O212" i="9"/>
  <c r="Q210" i="9"/>
  <c r="N212" i="9"/>
  <c r="P210" i="9"/>
  <c r="AT54" i="10" l="1"/>
  <c r="AU54" i="10"/>
  <c r="AX53" i="10"/>
  <c r="BA53" i="10" s="1"/>
  <c r="J100" i="4"/>
  <c r="AA56" i="10" s="1"/>
  <c r="L99" i="4"/>
  <c r="AB55" i="10" s="1"/>
  <c r="M99" i="4"/>
  <c r="U103" i="4"/>
  <c r="N104" i="4"/>
  <c r="AC103" i="4"/>
  <c r="V104" i="4"/>
  <c r="AF55" i="10"/>
  <c r="AW54" i="10"/>
  <c r="W61" i="10"/>
  <c r="AP60" i="10"/>
  <c r="X55" i="10"/>
  <c r="T56" i="10"/>
  <c r="AL55" i="10"/>
  <c r="AQ55" i="10" s="1"/>
  <c r="AE56" i="10"/>
  <c r="AV55" i="10"/>
  <c r="AS54" i="10"/>
  <c r="AC55" i="10"/>
  <c r="AZ52" i="10"/>
  <c r="BA52" i="10"/>
  <c r="AI57" i="10"/>
  <c r="N214" i="9"/>
  <c r="P212" i="9"/>
  <c r="O214" i="9"/>
  <c r="Q212" i="9"/>
  <c r="AT55" i="10" l="1"/>
  <c r="AU55" i="10"/>
  <c r="AZ53" i="10"/>
  <c r="AX54" i="10"/>
  <c r="AZ54" i="10" s="1"/>
  <c r="V105" i="4"/>
  <c r="AC104" i="4"/>
  <c r="N105" i="4"/>
  <c r="U104" i="4"/>
  <c r="J101" i="4"/>
  <c r="AA57" i="10" s="1"/>
  <c r="M100" i="4"/>
  <c r="L100" i="4"/>
  <c r="AB56" i="10" s="1"/>
  <c r="AV56" i="10" s="1"/>
  <c r="T57" i="10"/>
  <c r="X56" i="10"/>
  <c r="AL56" i="10"/>
  <c r="AQ56" i="10" s="1"/>
  <c r="AI58" i="10"/>
  <c r="AC56" i="10"/>
  <c r="AS55" i="10"/>
  <c r="AE57" i="10"/>
  <c r="W62" i="10"/>
  <c r="AP61" i="10"/>
  <c r="AF56" i="10"/>
  <c r="AW55" i="10"/>
  <c r="O216" i="9"/>
  <c r="Q216" i="9" s="1"/>
  <c r="Q214" i="9"/>
  <c r="N216" i="9"/>
  <c r="P216" i="9" s="1"/>
  <c r="P214" i="9"/>
  <c r="K63" i="9" l="1"/>
  <c r="AT56" i="10"/>
  <c r="AU56" i="10"/>
  <c r="BA54" i="10"/>
  <c r="N106" i="4"/>
  <c r="U105" i="4"/>
  <c r="M101" i="4"/>
  <c r="J102" i="4"/>
  <c r="AA58" i="10" s="1"/>
  <c r="L101" i="4"/>
  <c r="AB57" i="10" s="1"/>
  <c r="AV57" i="10" s="1"/>
  <c r="V106" i="4"/>
  <c r="AC105" i="4"/>
  <c r="AX55" i="10"/>
  <c r="AI59" i="10"/>
  <c r="AF57" i="10"/>
  <c r="AW56" i="10"/>
  <c r="AE58" i="10"/>
  <c r="AS56" i="10"/>
  <c r="AC57" i="10"/>
  <c r="W63" i="10"/>
  <c r="AP62" i="10"/>
  <c r="X57" i="10"/>
  <c r="T58" i="10"/>
  <c r="AL57" i="10"/>
  <c r="AQ57" i="10" s="1"/>
  <c r="K64" i="9" l="1"/>
  <c r="AT57" i="10"/>
  <c r="AU57" i="10"/>
  <c r="Q63" i="9"/>
  <c r="U63" i="9" s="1"/>
  <c r="S63" i="9"/>
  <c r="W63" i="9" s="1"/>
  <c r="AX56" i="10"/>
  <c r="BA56" i="10" s="1"/>
  <c r="M102" i="4"/>
  <c r="L102" i="4"/>
  <c r="AB58" i="10" s="1"/>
  <c r="J103" i="4"/>
  <c r="AA59" i="10" s="1"/>
  <c r="AC106" i="4"/>
  <c r="V107" i="4"/>
  <c r="U106" i="4"/>
  <c r="N107" i="4"/>
  <c r="AF58" i="10"/>
  <c r="AW57" i="10"/>
  <c r="W64" i="10"/>
  <c r="AP63" i="10"/>
  <c r="AI60" i="10"/>
  <c r="T59" i="10"/>
  <c r="X58" i="10"/>
  <c r="AL58" i="10"/>
  <c r="AQ58" i="10" s="1"/>
  <c r="AC58" i="10"/>
  <c r="AS57" i="10"/>
  <c r="AE59" i="10"/>
  <c r="BA55" i="10"/>
  <c r="AZ55" i="10"/>
  <c r="K65" i="9" l="1"/>
  <c r="AT58" i="10"/>
  <c r="AU58" i="10"/>
  <c r="AV58" i="10"/>
  <c r="S64" i="9"/>
  <c r="W64" i="9" s="1"/>
  <c r="Q64" i="9"/>
  <c r="U64" i="9" s="1"/>
  <c r="AZ56" i="10"/>
  <c r="AX57" i="10"/>
  <c r="AZ57" i="10" s="1"/>
  <c r="U107" i="4"/>
  <c r="N108" i="4"/>
  <c r="M103" i="4"/>
  <c r="L103" i="4"/>
  <c r="AB59" i="10" s="1"/>
  <c r="J104" i="4"/>
  <c r="AA60" i="10" s="1"/>
  <c r="AC107" i="4"/>
  <c r="V108" i="4"/>
  <c r="AE60" i="10"/>
  <c r="AS58" i="10"/>
  <c r="AC59" i="10"/>
  <c r="AI61" i="10"/>
  <c r="AF59" i="10"/>
  <c r="AW58" i="10"/>
  <c r="X59" i="10"/>
  <c r="T60" i="10"/>
  <c r="AL59" i="10"/>
  <c r="AQ59" i="10" s="1"/>
  <c r="W65" i="10"/>
  <c r="AP64" i="10"/>
  <c r="BA57" i="10" l="1"/>
  <c r="K66" i="9"/>
  <c r="AT59" i="10"/>
  <c r="AU59" i="10"/>
  <c r="AV59" i="10"/>
  <c r="Q65" i="9"/>
  <c r="U65" i="9" s="1"/>
  <c r="S65" i="9"/>
  <c r="W65" i="9" s="1"/>
  <c r="AX58" i="10"/>
  <c r="AZ58" i="10" s="1"/>
  <c r="V109" i="4"/>
  <c r="AC108" i="4"/>
  <c r="N109" i="4"/>
  <c r="U108" i="4"/>
  <c r="L104" i="4"/>
  <c r="AB60" i="10" s="1"/>
  <c r="AV60" i="10" s="1"/>
  <c r="J105" i="4"/>
  <c r="AA61" i="10" s="1"/>
  <c r="M104" i="4"/>
  <c r="AW59" i="10"/>
  <c r="AF60" i="10"/>
  <c r="W66" i="10"/>
  <c r="AP65" i="10"/>
  <c r="AI62" i="10"/>
  <c r="T61" i="10"/>
  <c r="X60" i="10"/>
  <c r="AL60" i="10"/>
  <c r="AQ60" i="10" s="1"/>
  <c r="AC60" i="10"/>
  <c r="AS59" i="10"/>
  <c r="AE61" i="10"/>
  <c r="K67" i="9" l="1"/>
  <c r="AT60" i="10"/>
  <c r="AU60" i="10"/>
  <c r="S66" i="9"/>
  <c r="W66" i="9" s="1"/>
  <c r="Q66" i="9"/>
  <c r="U66" i="9" s="1"/>
  <c r="BA58" i="10"/>
  <c r="AX59" i="10"/>
  <c r="BA59" i="10" s="1"/>
  <c r="N110" i="4"/>
  <c r="U109" i="4"/>
  <c r="J106" i="4"/>
  <c r="AA62" i="10" s="1"/>
  <c r="L105" i="4"/>
  <c r="AB61" i="10" s="1"/>
  <c r="AV61" i="10" s="1"/>
  <c r="M105" i="4"/>
  <c r="V110" i="4"/>
  <c r="AC109" i="4"/>
  <c r="AE62" i="10"/>
  <c r="AS60" i="10"/>
  <c r="AC61" i="10"/>
  <c r="AI63" i="10"/>
  <c r="AF61" i="10"/>
  <c r="AW60" i="10"/>
  <c r="T62" i="10"/>
  <c r="X61" i="10"/>
  <c r="AL61" i="10"/>
  <c r="AQ61" i="10" s="1"/>
  <c r="W67" i="10"/>
  <c r="K68" i="9" l="1"/>
  <c r="AT61" i="10"/>
  <c r="AU61" i="10"/>
  <c r="Q67" i="9"/>
  <c r="U67" i="9" s="1"/>
  <c r="S67" i="9"/>
  <c r="W67" i="9" s="1"/>
  <c r="AZ59" i="10"/>
  <c r="AC110" i="4"/>
  <c r="V111" i="4"/>
  <c r="M106" i="4"/>
  <c r="L106" i="4"/>
  <c r="AB62" i="10" s="1"/>
  <c r="J107" i="4"/>
  <c r="AA63" i="10" s="1"/>
  <c r="U110" i="4"/>
  <c r="N111" i="4"/>
  <c r="X62" i="10"/>
  <c r="T63" i="10"/>
  <c r="AL62" i="10"/>
  <c r="AQ62" i="10" s="1"/>
  <c r="W68" i="10"/>
  <c r="AX60" i="10"/>
  <c r="AF62" i="10"/>
  <c r="AW61" i="10"/>
  <c r="AI64" i="10"/>
  <c r="AC62" i="10"/>
  <c r="AS61" i="10"/>
  <c r="AE63" i="10"/>
  <c r="AV62" i="10"/>
  <c r="K69" i="9" l="1"/>
  <c r="AT62" i="10"/>
  <c r="AU62" i="10"/>
  <c r="S68" i="9"/>
  <c r="W68" i="9" s="1"/>
  <c r="Q68" i="9"/>
  <c r="U68" i="9" s="1"/>
  <c r="U111" i="4"/>
  <c r="N112" i="4"/>
  <c r="AC111" i="4"/>
  <c r="V112" i="4"/>
  <c r="M107" i="4"/>
  <c r="L107" i="4"/>
  <c r="AB63" i="10" s="1"/>
  <c r="AV63" i="10" s="1"/>
  <c r="J108" i="4"/>
  <c r="AA64" i="10" s="1"/>
  <c r="W69" i="10"/>
  <c r="AC63" i="10"/>
  <c r="AS62" i="10"/>
  <c r="AF63" i="10"/>
  <c r="AW62" i="10"/>
  <c r="AE64" i="10"/>
  <c r="AI65" i="10"/>
  <c r="AZ60" i="10"/>
  <c r="BA60" i="10"/>
  <c r="X63" i="10"/>
  <c r="T64" i="10"/>
  <c r="AL63" i="10"/>
  <c r="AQ63" i="10" s="1"/>
  <c r="AX61" i="10"/>
  <c r="K70" i="9" l="1"/>
  <c r="AT63" i="10"/>
  <c r="AU63" i="10"/>
  <c r="S69" i="9"/>
  <c r="W69" i="9" s="1"/>
  <c r="Q69" i="9"/>
  <c r="U69" i="9" s="1"/>
  <c r="L108" i="4"/>
  <c r="AB64" i="10" s="1"/>
  <c r="J109" i="4"/>
  <c r="AA65" i="10" s="1"/>
  <c r="M108" i="4"/>
  <c r="V113" i="4"/>
  <c r="AC112" i="4"/>
  <c r="N113" i="4"/>
  <c r="U112" i="4"/>
  <c r="AX62" i="10"/>
  <c r="X64" i="10"/>
  <c r="T65" i="10"/>
  <c r="AL64" i="10"/>
  <c r="AQ64" i="10" s="1"/>
  <c r="AC64" i="10"/>
  <c r="AS63" i="10"/>
  <c r="AI66" i="10"/>
  <c r="AF64" i="10"/>
  <c r="AW63" i="10"/>
  <c r="BA61" i="10"/>
  <c r="AZ61" i="10"/>
  <c r="AE65" i="10"/>
  <c r="AV64" i="10"/>
  <c r="W70" i="10"/>
  <c r="K71" i="9" l="1"/>
  <c r="AT64" i="10"/>
  <c r="AU64" i="10"/>
  <c r="S70" i="9"/>
  <c r="W70" i="9" s="1"/>
  <c r="Q70" i="9"/>
  <c r="U70" i="9" s="1"/>
  <c r="N114" i="4"/>
  <c r="U113" i="4"/>
  <c r="J110" i="4"/>
  <c r="AA66" i="10" s="1"/>
  <c r="L109" i="4"/>
  <c r="AB65" i="10" s="1"/>
  <c r="AV65" i="10" s="1"/>
  <c r="M109" i="4"/>
  <c r="V114" i="4"/>
  <c r="AC113" i="4"/>
  <c r="W71" i="10"/>
  <c r="AI67" i="10"/>
  <c r="AX63" i="10"/>
  <c r="X65" i="10"/>
  <c r="AL65" i="10"/>
  <c r="AQ65" i="10" s="1"/>
  <c r="AE66" i="10"/>
  <c r="AW64" i="10"/>
  <c r="AF65" i="10"/>
  <c r="AC65" i="10"/>
  <c r="AS64" i="10"/>
  <c r="BA62" i="10"/>
  <c r="AZ62" i="10"/>
  <c r="AX64" i="10" l="1"/>
  <c r="BA64" i="10" s="1"/>
  <c r="Q71" i="9"/>
  <c r="U71" i="9" s="1"/>
  <c r="S71" i="9"/>
  <c r="W71" i="9" s="1"/>
  <c r="K72" i="9"/>
  <c r="AT65" i="10"/>
  <c r="AU65" i="10"/>
  <c r="M110" i="4"/>
  <c r="J111" i="4"/>
  <c r="AA67" i="10" s="1"/>
  <c r="L110" i="4"/>
  <c r="AB66" i="10" s="1"/>
  <c r="AC114" i="4"/>
  <c r="V115" i="4"/>
  <c r="U114" i="4"/>
  <c r="N115" i="4"/>
  <c r="AS65" i="10"/>
  <c r="AC66" i="10"/>
  <c r="AE67" i="10"/>
  <c r="AI68" i="10"/>
  <c r="AF66" i="10"/>
  <c r="AW65" i="10"/>
  <c r="AZ63" i="10"/>
  <c r="BA63" i="10"/>
  <c r="W72" i="10"/>
  <c r="K73" i="9" l="1"/>
  <c r="AT66" i="10"/>
  <c r="AU66" i="10"/>
  <c r="S72" i="9"/>
  <c r="W72" i="9" s="1"/>
  <c r="Q72" i="9"/>
  <c r="U72" i="9" s="1"/>
  <c r="AZ64" i="10"/>
  <c r="AV66" i="10"/>
  <c r="U115" i="4"/>
  <c r="N116" i="4"/>
  <c r="M111" i="4"/>
  <c r="L111" i="4"/>
  <c r="AB67" i="10" s="1"/>
  <c r="J112" i="4"/>
  <c r="AA68" i="10" s="1"/>
  <c r="AC115" i="4"/>
  <c r="V116" i="4"/>
  <c r="AV67" i="10"/>
  <c r="AE68" i="10"/>
  <c r="AC67" i="10"/>
  <c r="AS66" i="10"/>
  <c r="AF67" i="10"/>
  <c r="AW66" i="10"/>
  <c r="AI69" i="10"/>
  <c r="AX65" i="10"/>
  <c r="S73" i="9" l="1"/>
  <c r="Q73" i="9"/>
  <c r="K74" i="9"/>
  <c r="AT67" i="10"/>
  <c r="AU67" i="10"/>
  <c r="AX66" i="10"/>
  <c r="N117" i="4"/>
  <c r="U116" i="4"/>
  <c r="V117" i="4"/>
  <c r="AC116" i="4"/>
  <c r="J113" i="4"/>
  <c r="AA69" i="10" s="1"/>
  <c r="AI70" i="10"/>
  <c r="AC68" i="10"/>
  <c r="AS67" i="10"/>
  <c r="AE69" i="10"/>
  <c r="BA65" i="10"/>
  <c r="AZ65" i="10"/>
  <c r="AF68" i="10"/>
  <c r="AW67" i="10"/>
  <c r="P74" i="9" l="1"/>
  <c r="Q74" i="9"/>
  <c r="S74" i="9"/>
  <c r="V118" i="4"/>
  <c r="AC117" i="4"/>
  <c r="J114" i="4"/>
  <c r="AA70" i="10" s="1"/>
  <c r="N118" i="4"/>
  <c r="U117" i="4"/>
  <c r="AF69" i="10"/>
  <c r="AE70" i="10"/>
  <c r="AX67" i="10"/>
  <c r="AI71" i="10"/>
  <c r="AC69" i="10"/>
  <c r="J115" i="4" l="1"/>
  <c r="AA71" i="10" s="1"/>
  <c r="U118" i="4"/>
  <c r="N119" i="4"/>
  <c r="AC118" i="4"/>
  <c r="V119" i="4"/>
  <c r="AC70" i="10"/>
  <c r="AE71" i="10"/>
  <c r="AI72" i="10"/>
  <c r="AF70" i="10"/>
  <c r="AC119" i="4" l="1"/>
  <c r="V120" i="4"/>
  <c r="J116" i="4"/>
  <c r="AA72" i="10" s="1"/>
  <c r="U119" i="4"/>
  <c r="N120" i="4"/>
  <c r="AC71" i="10"/>
  <c r="AF71" i="10"/>
  <c r="AI73" i="10"/>
  <c r="AE72" i="10"/>
  <c r="N121" i="4" l="1"/>
  <c r="U120" i="4"/>
  <c r="V121" i="4"/>
  <c r="AC120" i="4"/>
  <c r="AE73" i="10"/>
  <c r="AC72" i="10"/>
  <c r="AF72" i="10"/>
  <c r="V122" i="4" l="1"/>
  <c r="AC121" i="4"/>
  <c r="N122" i="4"/>
  <c r="U121" i="4"/>
  <c r="AF73" i="10"/>
  <c r="AC73" i="10"/>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T73" i="9" l="1"/>
  <c r="P82" i="9" l="1"/>
  <c r="S82" i="9"/>
  <c r="Q82" i="9"/>
  <c r="S83" i="9" l="1"/>
  <c r="Q83" i="9"/>
  <c r="P83" i="9"/>
  <c r="S264" i="9"/>
  <c r="P264" i="9"/>
  <c r="Q264" i="9"/>
  <c r="S84" i="9" l="1"/>
  <c r="P84" i="9"/>
  <c r="Q84" i="9"/>
  <c r="S196" i="9"/>
  <c r="P196" i="9"/>
  <c r="Q196" i="9"/>
  <c r="S120" i="9"/>
  <c r="Q120" i="9"/>
  <c r="P120" i="9"/>
  <c r="P265" i="9"/>
  <c r="S265" i="9"/>
  <c r="Q265" i="9"/>
  <c r="P197" i="9" l="1"/>
  <c r="S197" i="9"/>
  <c r="Q197" i="9"/>
  <c r="S86" i="9"/>
  <c r="Q86" i="9"/>
  <c r="P86" i="9"/>
  <c r="S121" i="9"/>
  <c r="Q121" i="9"/>
  <c r="P121" i="9"/>
  <c r="S85" i="9"/>
  <c r="P85" i="9"/>
  <c r="Q85" i="9"/>
  <c r="S122" i="9" l="1"/>
  <c r="P122" i="9"/>
  <c r="Q122" i="9"/>
  <c r="Q87" i="9"/>
  <c r="S87" i="9"/>
  <c r="P87" i="9"/>
  <c r="S256" i="9"/>
  <c r="P256" i="9"/>
  <c r="Q256" i="9"/>
  <c r="P257" i="9" l="1"/>
  <c r="Q257" i="9"/>
  <c r="S257" i="9"/>
  <c r="P123" i="9"/>
  <c r="S123" i="9"/>
  <c r="Q123" i="9"/>
  <c r="S88" i="9"/>
  <c r="Q88" i="9"/>
  <c r="P88" i="9"/>
  <c r="S124" i="9" l="1"/>
  <c r="Q124" i="9"/>
  <c r="P124" i="9"/>
  <c r="P89" i="9"/>
  <c r="Q89" i="9"/>
  <c r="S89" i="9"/>
  <c r="S258" i="9"/>
  <c r="P258" i="9"/>
  <c r="Q258" i="9"/>
  <c r="P259" i="9" l="1"/>
  <c r="Q259" i="9"/>
  <c r="S259" i="9"/>
  <c r="P125" i="9"/>
  <c r="S125" i="9"/>
  <c r="Q125" i="9"/>
  <c r="P90" i="9"/>
  <c r="S90" i="9"/>
  <c r="Q90" i="9"/>
  <c r="S260" i="9" l="1"/>
  <c r="Q260" i="9"/>
  <c r="P260" i="9"/>
  <c r="S126" i="9"/>
  <c r="Q126" i="9"/>
  <c r="P126" i="9"/>
  <c r="P91" i="9"/>
  <c r="S91" i="9"/>
  <c r="Q91" i="9"/>
  <c r="P127" i="9" l="1"/>
  <c r="S127" i="9"/>
  <c r="Q127" i="9"/>
  <c r="P261" i="9"/>
  <c r="Q261" i="9"/>
  <c r="S261" i="9"/>
  <c r="P129" i="9"/>
  <c r="Q129" i="9"/>
  <c r="S129" i="9"/>
  <c r="P135" i="9"/>
  <c r="S135" i="9"/>
  <c r="Q135" i="9"/>
  <c r="P92" i="9"/>
  <c r="S92" i="9"/>
  <c r="Q92" i="9"/>
  <c r="P263" i="9" l="1"/>
  <c r="S263" i="9"/>
  <c r="Q263" i="9"/>
  <c r="S130" i="9"/>
  <c r="Q130" i="9"/>
  <c r="P130" i="9"/>
  <c r="S262" i="9"/>
  <c r="P262" i="9"/>
  <c r="Q262" i="9"/>
  <c r="P131" i="9" l="1"/>
  <c r="S131" i="9"/>
  <c r="Q131" i="9"/>
  <c r="S132" i="9" l="1"/>
  <c r="P132" i="9"/>
  <c r="Q132" i="9"/>
  <c r="P133" i="9" l="1"/>
  <c r="S133" i="9"/>
  <c r="Q133" i="9"/>
  <c r="S134" i="9" l="1"/>
  <c r="P134" i="9"/>
  <c r="Q134" i="9"/>
  <c r="S136" i="9" l="1"/>
  <c r="P136" i="9"/>
  <c r="Q136" i="9"/>
  <c r="P137" i="9" l="1"/>
  <c r="S137" i="9"/>
  <c r="Q137" i="9"/>
  <c r="P145" i="9" l="1"/>
  <c r="S145" i="9"/>
  <c r="Q145" i="9"/>
  <c r="P139" i="9"/>
  <c r="Q139" i="9"/>
  <c r="S139" i="9"/>
  <c r="S140" i="9" l="1"/>
  <c r="Q140" i="9"/>
  <c r="P140" i="9"/>
  <c r="S146" i="9"/>
  <c r="Q146" i="9"/>
  <c r="P146" i="9"/>
  <c r="P147" i="9" l="1"/>
  <c r="S147" i="9"/>
  <c r="Q147" i="9"/>
  <c r="P141" i="9"/>
  <c r="S141" i="9"/>
  <c r="Q141" i="9"/>
  <c r="S142" i="9" l="1"/>
  <c r="Q142" i="9"/>
  <c r="P142" i="9"/>
  <c r="P143" i="9" l="1"/>
  <c r="S143" i="9"/>
  <c r="Q143" i="9"/>
  <c r="S144" i="9" l="1"/>
  <c r="P144" i="9"/>
  <c r="Q144" i="9"/>
  <c r="P163" i="9" l="1"/>
  <c r="S163" i="9"/>
  <c r="Q163" i="9"/>
  <c r="S162" i="9" l="1"/>
  <c r="Q162" i="9"/>
  <c r="P162" i="9"/>
  <c r="S188" i="9" l="1"/>
  <c r="P188" i="9"/>
  <c r="Q188" i="9"/>
  <c r="S154" i="9" l="1"/>
  <c r="P154" i="9"/>
  <c r="Q154" i="9"/>
  <c r="P189" i="9"/>
  <c r="S189" i="9"/>
  <c r="Q189" i="9"/>
  <c r="S190" i="9" l="1"/>
  <c r="P190" i="9"/>
  <c r="Q190" i="9"/>
  <c r="Q155" i="9"/>
  <c r="S155" i="9"/>
  <c r="P155" i="9"/>
  <c r="P191" i="9" l="1"/>
  <c r="Q191" i="9"/>
  <c r="S191" i="9"/>
  <c r="S156" i="9"/>
  <c r="Q156" i="9"/>
  <c r="P156" i="9"/>
  <c r="P157" i="9" l="1"/>
  <c r="S157" i="9"/>
  <c r="Q157" i="9"/>
  <c r="S192" i="9"/>
  <c r="P192" i="9"/>
  <c r="Q192" i="9"/>
  <c r="S158" i="9" l="1"/>
  <c r="Q158" i="9"/>
  <c r="P158" i="9"/>
  <c r="P193" i="9"/>
  <c r="S193" i="9"/>
  <c r="Q193" i="9"/>
  <c r="S194" i="9" l="1"/>
  <c r="P194" i="9"/>
  <c r="Q194" i="9"/>
  <c r="P159" i="9"/>
  <c r="Q159" i="9"/>
  <c r="S159" i="9"/>
  <c r="P195" i="9"/>
  <c r="Q195" i="9"/>
  <c r="S195" i="9"/>
  <c r="S160" i="9" l="1"/>
  <c r="Q160" i="9"/>
  <c r="P160" i="9"/>
  <c r="P161" i="9"/>
  <c r="Q161" i="9"/>
  <c r="S161" i="9"/>
  <c r="P230" i="9" l="1"/>
  <c r="Q230" i="9"/>
  <c r="S230" i="9"/>
  <c r="P231" i="9"/>
  <c r="S231" i="9"/>
  <c r="Q231" i="9"/>
  <c r="P225" i="9" l="1"/>
  <c r="S225" i="9"/>
  <c r="Q225" i="9"/>
  <c r="P226" i="9" l="1"/>
  <c r="S226" i="9"/>
  <c r="Q226" i="9"/>
  <c r="Q224" i="9"/>
  <c r="S224" i="9"/>
  <c r="P224" i="9"/>
  <c r="S222" i="9"/>
  <c r="Q222" i="9"/>
  <c r="P222" i="9"/>
  <c r="Q223" i="9"/>
  <c r="S223" i="9"/>
  <c r="P223" i="9"/>
  <c r="P227" i="9" l="1"/>
  <c r="Q227" i="9"/>
  <c r="S227" i="9"/>
  <c r="P228" i="9" l="1"/>
  <c r="S228" i="9"/>
  <c r="Q228" i="9"/>
  <c r="P229" i="9"/>
  <c r="Q229" i="9"/>
  <c r="S229" i="9"/>
  <c r="P93" i="9" l="1"/>
  <c r="Q93" i="9"/>
  <c r="S93" i="9"/>
  <c r="P105" i="9" l="1"/>
  <c r="Q105" i="9"/>
  <c r="S105" i="9"/>
  <c r="P106" i="9" l="1"/>
  <c r="S106" i="9"/>
  <c r="Q106" i="9"/>
  <c r="P107" i="9" l="1"/>
  <c r="S107" i="9"/>
  <c r="Q107" i="9"/>
  <c r="P108" i="9" l="1"/>
  <c r="S108" i="9"/>
  <c r="Q108" i="9"/>
  <c r="P109" i="9" l="1"/>
  <c r="S109" i="9"/>
  <c r="Q109" i="9"/>
  <c r="P110" i="9" l="1"/>
  <c r="S110" i="9"/>
  <c r="Q110" i="9"/>
  <c r="P111" i="9" l="1"/>
  <c r="S111" i="9"/>
  <c r="Q111" i="9"/>
  <c r="P112" i="9" l="1"/>
  <c r="S112" i="9"/>
  <c r="Q112" i="9"/>
  <c r="P113" i="9" l="1"/>
  <c r="S113" i="9"/>
  <c r="Q113" i="9"/>
  <c r="P95" i="9" l="1"/>
  <c r="Q95" i="9"/>
  <c r="S95" i="9"/>
  <c r="P96" i="9" l="1"/>
  <c r="S96" i="9"/>
  <c r="Q96" i="9"/>
  <c r="P97" i="9"/>
  <c r="Q97" i="9"/>
  <c r="S97" i="9"/>
  <c r="P98" i="9" l="1"/>
  <c r="Q98" i="9"/>
  <c r="S98" i="9"/>
  <c r="P99" i="9" l="1"/>
  <c r="Q99" i="9"/>
  <c r="S99" i="9"/>
  <c r="P100" i="9" l="1"/>
  <c r="S100" i="9"/>
  <c r="Q100" i="9"/>
  <c r="P101" i="9" l="1"/>
  <c r="Q101" i="9"/>
  <c r="S101" i="9"/>
  <c r="P102" i="9" l="1"/>
  <c r="S102" i="9"/>
  <c r="Q102" i="9"/>
  <c r="P103" i="9" l="1"/>
  <c r="S103" i="9"/>
  <c r="Q103" i="9"/>
  <c r="G136" i="11" l="1"/>
  <c r="H136" i="11" s="1"/>
  <c r="G135" i="16"/>
  <c r="H135" i="16" s="1"/>
  <c r="D13" i="19"/>
  <c r="D12" i="19"/>
  <c r="E10" i="19"/>
  <c r="D10" i="19"/>
  <c r="C10" i="19"/>
  <c r="E9" i="19"/>
  <c r="D9" i="19"/>
  <c r="C9" i="19"/>
  <c r="E8" i="19"/>
  <c r="D8" i="19"/>
  <c r="C8" i="19"/>
  <c r="E7" i="19"/>
  <c r="D7" i="19"/>
  <c r="C7" i="19"/>
  <c r="E6" i="19"/>
  <c r="D6" i="19"/>
  <c r="C6" i="19"/>
  <c r="E5" i="19"/>
  <c r="D5" i="19"/>
  <c r="C5" i="19"/>
  <c r="E4" i="19"/>
  <c r="D4" i="19"/>
  <c r="C4" i="19"/>
  <c r="E3" i="19"/>
  <c r="C3" i="19"/>
  <c r="D13" i="18"/>
  <c r="D12" i="18"/>
  <c r="E10" i="18"/>
  <c r="D10" i="18"/>
  <c r="C10" i="18"/>
  <c r="E9" i="18"/>
  <c r="D9" i="18"/>
  <c r="C9" i="18"/>
  <c r="E8" i="18"/>
  <c r="D8" i="18"/>
  <c r="C8" i="18"/>
  <c r="E7" i="18"/>
  <c r="D7" i="18"/>
  <c r="C7" i="18"/>
  <c r="E6" i="18"/>
  <c r="D6" i="18"/>
  <c r="C6" i="18"/>
  <c r="E5" i="18"/>
  <c r="D5" i="18"/>
  <c r="C5" i="18"/>
  <c r="E4" i="18"/>
  <c r="D4" i="18"/>
  <c r="C4" i="18"/>
  <c r="E3" i="18"/>
  <c r="C3" i="18"/>
  <c r="C85" i="17"/>
  <c r="C84" i="17"/>
  <c r="C83" i="17"/>
  <c r="C85" i="16"/>
  <c r="C84" i="16"/>
  <c r="C83" i="16"/>
  <c r="C85" i="11"/>
  <c r="C84" i="11"/>
  <c r="L27" i="12"/>
  <c r="C86" i="11"/>
  <c r="L25" i="12"/>
  <c r="L26" i="12"/>
  <c r="L17" i="12"/>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89" i="17"/>
  <c r="J190" i="17" s="1"/>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149" i="17"/>
  <c r="J191" i="11"/>
  <c r="J192" i="11" s="1"/>
  <c r="J193" i="11" s="1"/>
  <c r="J194" i="11" s="1"/>
  <c r="J195" i="11" s="1"/>
  <c r="J196" i="11" s="1"/>
  <c r="J197" i="11" s="1"/>
  <c r="J198" i="11" s="1"/>
  <c r="J199" i="11" s="1"/>
  <c r="J200" i="11" s="1"/>
  <c r="J201" i="11" s="1"/>
  <c r="J202" i="11" s="1"/>
  <c r="J203" i="11" s="1"/>
  <c r="J204" i="11" s="1"/>
  <c r="J205" i="11" s="1"/>
  <c r="J206" i="11" s="1"/>
  <c r="J207" i="11" s="1"/>
  <c r="J208" i="11" s="1"/>
  <c r="J209" i="11" s="1"/>
  <c r="J210" i="11" s="1"/>
  <c r="J150" i="17" l="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W98" i="16"/>
  <c r="W99" i="16" s="1"/>
  <c r="W100" i="16"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6" i="17" l="1"/>
  <c r="N181" i="17"/>
  <c r="G175" i="17"/>
  <c r="H175" i="17" s="1"/>
  <c r="N187" i="17" l="1"/>
  <c r="N188" i="17" l="1"/>
  <c r="J189" i="16"/>
  <c r="J190" i="16" s="1"/>
  <c r="J191" i="16" s="1"/>
  <c r="J149" i="16"/>
  <c r="N186" i="16"/>
  <c r="N187" i="16" s="1"/>
  <c r="N181" i="16"/>
  <c r="G175" i="16"/>
  <c r="H175" i="16" s="1"/>
  <c r="N187" i="11"/>
  <c r="N188" i="11" s="1"/>
  <c r="N182" i="11"/>
  <c r="G176" i="11"/>
  <c r="H176" i="11" s="1"/>
  <c r="N189" i="17" l="1"/>
  <c r="J150" i="16"/>
  <c r="J151" i="16" s="1"/>
  <c r="J152" i="16" s="1"/>
  <c r="J153" i="16" s="1"/>
  <c r="J154" i="16" s="1"/>
  <c r="J155" i="16" s="1"/>
  <c r="J156" i="16" s="1"/>
  <c r="J157" i="16" s="1"/>
  <c r="J158" i="16" s="1"/>
  <c r="J159" i="16" s="1"/>
  <c r="J160" i="16" s="1"/>
  <c r="J161" i="16" s="1"/>
  <c r="J162" i="16" s="1"/>
  <c r="J163" i="16" s="1"/>
  <c r="J164" i="16" s="1"/>
  <c r="J165" i="16" s="1"/>
  <c r="J166" i="16" s="1"/>
  <c r="J167" i="16" s="1"/>
  <c r="J168" i="16" s="1"/>
  <c r="J169" i="16" s="1"/>
  <c r="J192" i="16"/>
  <c r="J193" i="16" s="1"/>
  <c r="N188" i="16"/>
  <c r="N189" i="11"/>
  <c r="N190" i="17" l="1"/>
  <c r="N189" i="16"/>
  <c r="J194" i="16"/>
  <c r="N190" i="11"/>
  <c r="N191" i="17" l="1"/>
  <c r="N190" i="16"/>
  <c r="J195" i="16"/>
  <c r="N191" i="11"/>
  <c r="N192" i="17" l="1"/>
  <c r="J196" i="16"/>
  <c r="N191" i="16"/>
  <c r="N192" i="11"/>
  <c r="N193" i="17" l="1"/>
  <c r="N192" i="16"/>
  <c r="J197" i="16"/>
  <c r="N193" i="11"/>
  <c r="H46" i="11"/>
  <c r="H47" i="11" s="1"/>
  <c r="H46" i="16"/>
  <c r="H47" i="16" s="1"/>
  <c r="G37" i="16"/>
  <c r="F37" i="16"/>
  <c r="E37" i="16"/>
  <c r="N194" i="17" l="1"/>
  <c r="N193" i="16"/>
  <c r="J198" i="16"/>
  <c r="N194" i="11"/>
  <c r="N195" i="17" l="1"/>
  <c r="N194" i="16"/>
  <c r="J199" i="16"/>
  <c r="N195" i="11"/>
  <c r="N196" i="17" l="1"/>
  <c r="N195" i="16"/>
  <c r="J200" i="16"/>
  <c r="N196" i="11"/>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AT29"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09" i="17"/>
  <c r="E109" i="17"/>
  <c r="AI88" i="19" l="1"/>
  <c r="Y88" i="19"/>
  <c r="AI96" i="19"/>
  <c r="Y96" i="19"/>
  <c r="AI104" i="19"/>
  <c r="Y104" i="19"/>
  <c r="AI89" i="19"/>
  <c r="Y89" i="19"/>
  <c r="AI93" i="19"/>
  <c r="Y93" i="19"/>
  <c r="AI97" i="19"/>
  <c r="Y97" i="19"/>
  <c r="AI101" i="19"/>
  <c r="Y101" i="19"/>
  <c r="AI105" i="19"/>
  <c r="Y105" i="19"/>
  <c r="AI109" i="19"/>
  <c r="Y109" i="19"/>
  <c r="AI113" i="19"/>
  <c r="Y113" i="19"/>
  <c r="AI100" i="19"/>
  <c r="Y100" i="19"/>
  <c r="AI108" i="19"/>
  <c r="Y108" i="19"/>
  <c r="AI112" i="19"/>
  <c r="Y112" i="19"/>
  <c r="Y90" i="19"/>
  <c r="AI90" i="19"/>
  <c r="Y102" i="19"/>
  <c r="AI102" i="19"/>
  <c r="AI92" i="19"/>
  <c r="Y92" i="19"/>
  <c r="Y94" i="19"/>
  <c r="AI94" i="19"/>
  <c r="AI98" i="19"/>
  <c r="Y98" i="19"/>
  <c r="Y106" i="19"/>
  <c r="AI106" i="19"/>
  <c r="Y110" i="19"/>
  <c r="AI110" i="19"/>
  <c r="AI114" i="19"/>
  <c r="Y114" i="19"/>
  <c r="AI87" i="19"/>
  <c r="Y87" i="19"/>
  <c r="Y91" i="19"/>
  <c r="AI91" i="19"/>
  <c r="Y95" i="19"/>
  <c r="AI95" i="19"/>
  <c r="Y99" i="19"/>
  <c r="AI99" i="19"/>
  <c r="Y103" i="19"/>
  <c r="AI103" i="19"/>
  <c r="Y107" i="19"/>
  <c r="AI107" i="19"/>
  <c r="Y111" i="19"/>
  <c r="AI111" i="19"/>
  <c r="AJ117" i="19"/>
  <c r="AJ113" i="19"/>
  <c r="AJ109" i="19"/>
  <c r="AJ105" i="19"/>
  <c r="AJ101" i="19"/>
  <c r="AJ97" i="19"/>
  <c r="AJ93" i="19"/>
  <c r="AJ89" i="19"/>
  <c r="AJ85" i="19"/>
  <c r="AJ81" i="19"/>
  <c r="AJ77" i="19"/>
  <c r="AJ73" i="19"/>
  <c r="AJ116" i="19"/>
  <c r="AJ112" i="19"/>
  <c r="AJ108" i="19"/>
  <c r="AJ104" i="19"/>
  <c r="AJ100" i="19"/>
  <c r="AJ96" i="19"/>
  <c r="AJ92" i="19"/>
  <c r="AJ88" i="19"/>
  <c r="AJ84" i="19"/>
  <c r="AJ80" i="19"/>
  <c r="AJ76" i="19"/>
  <c r="AJ118" i="19"/>
  <c r="AJ114" i="19"/>
  <c r="AJ110" i="19"/>
  <c r="AJ106" i="19"/>
  <c r="AJ102" i="19"/>
  <c r="AJ98" i="19"/>
  <c r="AJ94" i="19"/>
  <c r="AJ90" i="19"/>
  <c r="AJ86" i="19"/>
  <c r="AJ82" i="19"/>
  <c r="AJ78" i="19"/>
  <c r="AJ74" i="19"/>
  <c r="AJ115" i="19"/>
  <c r="AJ99" i="19"/>
  <c r="AJ83" i="19"/>
  <c r="AJ70" i="19"/>
  <c r="AJ66" i="19"/>
  <c r="AJ62" i="19"/>
  <c r="AJ58" i="19"/>
  <c r="AJ54" i="19"/>
  <c r="AJ50" i="19"/>
  <c r="AJ46" i="19"/>
  <c r="AJ42" i="19"/>
  <c r="AJ119" i="19"/>
  <c r="AJ103" i="19"/>
  <c r="AJ87" i="19"/>
  <c r="AJ69" i="19"/>
  <c r="AJ65" i="19"/>
  <c r="AJ61" i="19"/>
  <c r="AJ57" i="19"/>
  <c r="AJ53" i="19"/>
  <c r="AJ49" i="19"/>
  <c r="AJ45" i="19"/>
  <c r="AJ41" i="19"/>
  <c r="AJ107" i="19"/>
  <c r="AJ91" i="19"/>
  <c r="AJ75" i="19"/>
  <c r="AJ68" i="19"/>
  <c r="AJ64" i="19"/>
  <c r="AJ60" i="19"/>
  <c r="AJ56" i="19"/>
  <c r="AJ52" i="19"/>
  <c r="AJ48" i="19"/>
  <c r="AJ44" i="19"/>
  <c r="AJ40" i="19"/>
  <c r="AJ111" i="19"/>
  <c r="AJ59" i="19"/>
  <c r="AJ43" i="19"/>
  <c r="AJ39" i="19"/>
  <c r="AJ35" i="19"/>
  <c r="AJ31" i="19"/>
  <c r="AJ27" i="19"/>
  <c r="AJ23" i="19"/>
  <c r="AJ19" i="19"/>
  <c r="AJ95" i="19"/>
  <c r="AJ55" i="19"/>
  <c r="AJ36" i="19"/>
  <c r="AJ63" i="19"/>
  <c r="AJ47" i="19"/>
  <c r="AJ38" i="19"/>
  <c r="AJ34" i="19"/>
  <c r="AJ30" i="19"/>
  <c r="AJ26" i="19"/>
  <c r="AJ22" i="19"/>
  <c r="AJ71" i="19"/>
  <c r="AJ32" i="19"/>
  <c r="AJ28" i="19"/>
  <c r="AJ79" i="19"/>
  <c r="AJ67" i="19"/>
  <c r="AJ51" i="19"/>
  <c r="AJ37" i="19"/>
  <c r="AJ33" i="19"/>
  <c r="AJ29" i="19"/>
  <c r="AJ25" i="19"/>
  <c r="AJ21" i="19"/>
  <c r="AJ72" i="19"/>
  <c r="AJ24" i="19"/>
  <c r="AJ20" i="19"/>
  <c r="AU29" i="19"/>
  <c r="N197" i="17"/>
  <c r="J201" i="16"/>
  <c r="N196" i="16"/>
  <c r="N197" i="11"/>
  <c r="Z119" i="19"/>
  <c r="Z115" i="19"/>
  <c r="Z111" i="19"/>
  <c r="Z116" i="19"/>
  <c r="Z112" i="19"/>
  <c r="Z117" i="19"/>
  <c r="Z113" i="19"/>
  <c r="Z109" i="19"/>
  <c r="Z110" i="19"/>
  <c r="Z107" i="19"/>
  <c r="Z103" i="19"/>
  <c r="Z108" i="19"/>
  <c r="Z104" i="19"/>
  <c r="Z118" i="19"/>
  <c r="Z114" i="19"/>
  <c r="Z105" i="19"/>
  <c r="Z106" i="19"/>
  <c r="Z98" i="19"/>
  <c r="Z99" i="19"/>
  <c r="Z102" i="19"/>
  <c r="Z100" i="19"/>
  <c r="Z96" i="19"/>
  <c r="Z101" i="19"/>
  <c r="Z97" i="19"/>
  <c r="Z95" i="19"/>
  <c r="Z91" i="19"/>
  <c r="Z87" i="19"/>
  <c r="Z85" i="19"/>
  <c r="Z83" i="19"/>
  <c r="Z81" i="19"/>
  <c r="Z92" i="19"/>
  <c r="Z88" i="19"/>
  <c r="Z93" i="19"/>
  <c r="Z89" i="19"/>
  <c r="Z86" i="19"/>
  <c r="Z84" i="19"/>
  <c r="Z82" i="19"/>
  <c r="Z68" i="19"/>
  <c r="Z94" i="19"/>
  <c r="Z90" i="19"/>
  <c r="Z80" i="19"/>
  <c r="Z78" i="19"/>
  <c r="Z74" i="19"/>
  <c r="Z70" i="19"/>
  <c r="Z66" i="19"/>
  <c r="Z75" i="19"/>
  <c r="Z71" i="19"/>
  <c r="Z67" i="19"/>
  <c r="Z64" i="19"/>
  <c r="Z62" i="19"/>
  <c r="Z60" i="19"/>
  <c r="Z58" i="19"/>
  <c r="Z76" i="19"/>
  <c r="Z56" i="19"/>
  <c r="Z55" i="19"/>
  <c r="Z53" i="19"/>
  <c r="Z51" i="19"/>
  <c r="Z49" i="19"/>
  <c r="Z47" i="19"/>
  <c r="Z45" i="19"/>
  <c r="Z43" i="19"/>
  <c r="Z41" i="19"/>
  <c r="Z39" i="19"/>
  <c r="Z37" i="19"/>
  <c r="Z35" i="19"/>
  <c r="Z33" i="19"/>
  <c r="Z31" i="19"/>
  <c r="Z79" i="19"/>
  <c r="Z77" i="19"/>
  <c r="Z69" i="19"/>
  <c r="Z73" i="19"/>
  <c r="Z72" i="19"/>
  <c r="Z61" i="19"/>
  <c r="Z54" i="19"/>
  <c r="Z52" i="19"/>
  <c r="Z50" i="19"/>
  <c r="Z48" i="19"/>
  <c r="Z46" i="19"/>
  <c r="Z44" i="19"/>
  <c r="Z42" i="19"/>
  <c r="Z40" i="19"/>
  <c r="Z38" i="19"/>
  <c r="Z36" i="19"/>
  <c r="Z34" i="19"/>
  <c r="Z32" i="19"/>
  <c r="Z30" i="19"/>
  <c r="Z28" i="19"/>
  <c r="Z26" i="19"/>
  <c r="Z24" i="19"/>
  <c r="Z22" i="19"/>
  <c r="Z20" i="19"/>
  <c r="Z63" i="19"/>
  <c r="Z65" i="19"/>
  <c r="Z57" i="19"/>
  <c r="AT19" i="19"/>
  <c r="AU19" i="19" s="1"/>
  <c r="AT21" i="19"/>
  <c r="AU21" i="19" s="1"/>
  <c r="AT23" i="19"/>
  <c r="AU23" i="19" s="1"/>
  <c r="AT25" i="19"/>
  <c r="AU25" i="19" s="1"/>
  <c r="AT27" i="19"/>
  <c r="AU27" i="19" s="1"/>
  <c r="AT115" i="19"/>
  <c r="AT111" i="19"/>
  <c r="AT116" i="19"/>
  <c r="AT112" i="19"/>
  <c r="AT117" i="19"/>
  <c r="AT113" i="19"/>
  <c r="AT109" i="19"/>
  <c r="AT107" i="19"/>
  <c r="AT103" i="19"/>
  <c r="AT110" i="19"/>
  <c r="AT108" i="19"/>
  <c r="AT104" i="19"/>
  <c r="AT105" i="19"/>
  <c r="AT118" i="19"/>
  <c r="AT98" i="19"/>
  <c r="AT119" i="19"/>
  <c r="AT114" i="19"/>
  <c r="AT106" i="19"/>
  <c r="AT102" i="19"/>
  <c r="AT101" i="19"/>
  <c r="AT99" i="19"/>
  <c r="AT95" i="19"/>
  <c r="AT100" i="19"/>
  <c r="AT96" i="19"/>
  <c r="AT91" i="19"/>
  <c r="AT87" i="19"/>
  <c r="AT92" i="19"/>
  <c r="AT88" i="19"/>
  <c r="AT85" i="19"/>
  <c r="AU85" i="19" s="1"/>
  <c r="AT83" i="19"/>
  <c r="AU83" i="19" s="1"/>
  <c r="AT81" i="19"/>
  <c r="AU81" i="19" s="1"/>
  <c r="AT97" i="19"/>
  <c r="AT93" i="19"/>
  <c r="AT89" i="19"/>
  <c r="AT90" i="19"/>
  <c r="AT80" i="19"/>
  <c r="AU80" i="19" s="1"/>
  <c r="AT78" i="19"/>
  <c r="AU78" i="19" s="1"/>
  <c r="AT76" i="19"/>
  <c r="AU76" i="19" s="1"/>
  <c r="AT74" i="19"/>
  <c r="AU74" i="19" s="1"/>
  <c r="AT72" i="19"/>
  <c r="AU72" i="19" s="1"/>
  <c r="AT70" i="19"/>
  <c r="AU70" i="19" s="1"/>
  <c r="AT68" i="19"/>
  <c r="AT86" i="19"/>
  <c r="AU86" i="19" s="1"/>
  <c r="AT84" i="19"/>
  <c r="AU84" i="19" s="1"/>
  <c r="AT82" i="19"/>
  <c r="AU82" i="19" s="1"/>
  <c r="AT79" i="19"/>
  <c r="AU79" i="19" s="1"/>
  <c r="AT77" i="19"/>
  <c r="AU77" i="19" s="1"/>
  <c r="AT75" i="19"/>
  <c r="AU75" i="19" s="1"/>
  <c r="AT73" i="19"/>
  <c r="AU73" i="19" s="1"/>
  <c r="AT71" i="19"/>
  <c r="AU71" i="19" s="1"/>
  <c r="AT69" i="19"/>
  <c r="AU69" i="19" s="1"/>
  <c r="AT66" i="19"/>
  <c r="AT63" i="19"/>
  <c r="AU63" i="19" s="1"/>
  <c r="AT61" i="19"/>
  <c r="AU61" i="19" s="1"/>
  <c r="AT59" i="19"/>
  <c r="AU59" i="19" s="1"/>
  <c r="AT57" i="19"/>
  <c r="AU57" i="19" s="1"/>
  <c r="AT55" i="19"/>
  <c r="AU55" i="19" s="1"/>
  <c r="AT67" i="19"/>
  <c r="AT64" i="19"/>
  <c r="AU64" i="19" s="1"/>
  <c r="AT62" i="19"/>
  <c r="AU62" i="19" s="1"/>
  <c r="AT60" i="19"/>
  <c r="AU60" i="19" s="1"/>
  <c r="AT58" i="19"/>
  <c r="AU58"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65" i="19"/>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30" i="19"/>
  <c r="AU30" i="19" s="1"/>
  <c r="AT28" i="19"/>
  <c r="AU28" i="19" s="1"/>
  <c r="AT26" i="19"/>
  <c r="AU26" i="19" s="1"/>
  <c r="AT24" i="19"/>
  <c r="AU24" i="19" s="1"/>
  <c r="AT22" i="19"/>
  <c r="AU22" i="19" s="1"/>
  <c r="AT20" i="19"/>
  <c r="AU20" i="19" s="1"/>
  <c r="AT94" i="19"/>
  <c r="AT56" i="19"/>
  <c r="AU56" i="19" s="1"/>
  <c r="Z59" i="19"/>
  <c r="Z19" i="19"/>
  <c r="Z21" i="19"/>
  <c r="Z23" i="19"/>
  <c r="Z25" i="19"/>
  <c r="Z27" i="19"/>
  <c r="Z29" i="19"/>
  <c r="Y206" i="7"/>
  <c r="H46" i="17"/>
  <c r="H47" i="17" s="1"/>
  <c r="M206" i="7" s="1"/>
  <c r="S286" i="1" l="1"/>
  <c r="N198" i="17"/>
  <c r="N197" i="16"/>
  <c r="J202" i="16"/>
  <c r="N198" i="11"/>
  <c r="Y207" i="7"/>
  <c r="M207" i="7"/>
  <c r="J23" i="8"/>
  <c r="J24" i="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AT78" i="18"/>
  <c r="Z50"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19" i="18" l="1"/>
  <c r="AI119" i="18"/>
  <c r="Y115" i="18"/>
  <c r="AI115" i="18"/>
  <c r="Y111" i="18"/>
  <c r="AI111" i="18"/>
  <c r="Y107" i="18"/>
  <c r="AI107" i="18"/>
  <c r="Y103" i="18"/>
  <c r="AI103" i="18"/>
  <c r="Y99" i="18"/>
  <c r="AI99" i="18"/>
  <c r="Y95" i="18"/>
  <c r="AI95" i="18"/>
  <c r="Y91" i="18"/>
  <c r="AI91" i="18"/>
  <c r="Y87" i="18"/>
  <c r="AI87"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8"/>
  <c r="AI116" i="18"/>
  <c r="Y112" i="18"/>
  <c r="AI112" i="18"/>
  <c r="Y108" i="18"/>
  <c r="AI108" i="18"/>
  <c r="Y104" i="18"/>
  <c r="AI104" i="18"/>
  <c r="Y100" i="18"/>
  <c r="AI100" i="18"/>
  <c r="Y96" i="18"/>
  <c r="AI96" i="18"/>
  <c r="Y92" i="18"/>
  <c r="AI92" i="18"/>
  <c r="Y88" i="18"/>
  <c r="AI88" i="18"/>
  <c r="Y115" i="19"/>
  <c r="AI115" i="19"/>
  <c r="S287" i="1"/>
  <c r="Z61" i="18"/>
  <c r="Z71" i="18"/>
  <c r="AU78" i="18"/>
  <c r="Z20" i="18"/>
  <c r="AT65" i="18"/>
  <c r="AJ117" i="18"/>
  <c r="AJ113" i="18"/>
  <c r="AJ109" i="18"/>
  <c r="AJ105" i="18"/>
  <c r="AJ101" i="18"/>
  <c r="AJ97" i="18"/>
  <c r="AJ93" i="18"/>
  <c r="AJ89" i="18"/>
  <c r="AJ85" i="18"/>
  <c r="AJ81" i="18"/>
  <c r="AJ77" i="18"/>
  <c r="AJ73" i="18"/>
  <c r="AJ116" i="18"/>
  <c r="AJ112" i="18"/>
  <c r="AJ108" i="18"/>
  <c r="AJ104" i="18"/>
  <c r="AJ100" i="18"/>
  <c r="AJ96" i="18"/>
  <c r="AJ92" i="18"/>
  <c r="AJ88" i="18"/>
  <c r="AJ84" i="18"/>
  <c r="AJ80" i="18"/>
  <c r="AJ76" i="18"/>
  <c r="AJ119" i="18"/>
  <c r="AJ115" i="18"/>
  <c r="AJ111" i="18"/>
  <c r="AJ107" i="18"/>
  <c r="AJ103" i="18"/>
  <c r="AJ99" i="18"/>
  <c r="AJ95" i="18"/>
  <c r="AJ91" i="18"/>
  <c r="AJ87" i="18"/>
  <c r="AJ83" i="18"/>
  <c r="AJ79" i="18"/>
  <c r="AJ75" i="18"/>
  <c r="AJ118" i="18"/>
  <c r="AJ102" i="18"/>
  <c r="AJ86" i="18"/>
  <c r="AJ72" i="18"/>
  <c r="AJ71" i="18"/>
  <c r="AJ67" i="18"/>
  <c r="AJ63" i="18"/>
  <c r="AJ59" i="18"/>
  <c r="AJ55" i="18"/>
  <c r="AJ51" i="18"/>
  <c r="AJ47" i="18"/>
  <c r="AJ43" i="18"/>
  <c r="AJ106" i="18"/>
  <c r="AJ90" i="18"/>
  <c r="AJ74" i="18"/>
  <c r="AJ70" i="18"/>
  <c r="AJ66" i="18"/>
  <c r="AJ62" i="18"/>
  <c r="AJ58" i="18"/>
  <c r="AJ54" i="18"/>
  <c r="AJ50" i="18"/>
  <c r="AJ46" i="18"/>
  <c r="AJ42" i="18"/>
  <c r="AJ36" i="18"/>
  <c r="AJ32" i="18"/>
  <c r="AJ28" i="18"/>
  <c r="AJ24" i="18"/>
  <c r="AJ20" i="18"/>
  <c r="AJ110" i="18"/>
  <c r="AJ98" i="18"/>
  <c r="AJ78" i="18"/>
  <c r="AJ69" i="18"/>
  <c r="AJ64" i="18"/>
  <c r="AJ61" i="18"/>
  <c r="AJ56" i="18"/>
  <c r="AJ53" i="18"/>
  <c r="AJ48" i="18"/>
  <c r="AJ45" i="18"/>
  <c r="AJ40" i="18"/>
  <c r="AJ39" i="18"/>
  <c r="AJ35" i="18"/>
  <c r="AJ31" i="18"/>
  <c r="AJ27" i="18"/>
  <c r="AJ23" i="18"/>
  <c r="AJ38" i="18"/>
  <c r="AJ34" i="18"/>
  <c r="AJ30" i="18"/>
  <c r="AJ26" i="18"/>
  <c r="AJ22" i="18"/>
  <c r="AJ94" i="18"/>
  <c r="AJ60" i="18"/>
  <c r="AJ57" i="18"/>
  <c r="AJ25" i="18"/>
  <c r="AJ19" i="18"/>
  <c r="AJ52" i="18"/>
  <c r="AJ68" i="18"/>
  <c r="AJ65" i="18"/>
  <c r="AJ29" i="18"/>
  <c r="AJ21" i="18"/>
  <c r="AJ114" i="18"/>
  <c r="AJ82" i="18"/>
  <c r="AJ44" i="18"/>
  <c r="AJ41" i="18"/>
  <c r="AJ33" i="18"/>
  <c r="AJ49" i="18"/>
  <c r="AJ37" i="18"/>
  <c r="Z26" i="18"/>
  <c r="Z58" i="18"/>
  <c r="Z22" i="18"/>
  <c r="Z42" i="18"/>
  <c r="Z24" i="18"/>
  <c r="Z34" i="18"/>
  <c r="N199" i="17"/>
  <c r="J203" i="16"/>
  <c r="N198" i="16"/>
  <c r="N199" i="11"/>
  <c r="M208" i="7"/>
  <c r="Y208" i="7"/>
  <c r="Z119" i="18"/>
  <c r="Z115" i="18"/>
  <c r="Z111" i="18"/>
  <c r="Z116" i="18"/>
  <c r="Z112" i="18"/>
  <c r="Z117" i="18"/>
  <c r="Z113" i="18"/>
  <c r="Z118" i="18"/>
  <c r="Z107" i="18"/>
  <c r="Z108" i="18"/>
  <c r="Z109" i="18"/>
  <c r="Z105" i="18"/>
  <c r="Z103" i="18"/>
  <c r="Z99" i="18"/>
  <c r="Z110" i="18"/>
  <c r="Z104" i="18"/>
  <c r="Z100" i="18"/>
  <c r="Z114" i="18"/>
  <c r="Z106" i="18"/>
  <c r="Z101" i="18"/>
  <c r="Z98" i="18"/>
  <c r="Z95" i="18"/>
  <c r="Z93" i="18"/>
  <c r="Z91" i="18"/>
  <c r="Z89" i="18"/>
  <c r="Z87" i="18"/>
  <c r="Z85" i="18"/>
  <c r="Z96" i="18"/>
  <c r="Z94" i="18"/>
  <c r="Z92" i="18"/>
  <c r="Z90" i="18"/>
  <c r="Z88" i="18"/>
  <c r="Z86" i="18"/>
  <c r="Z83" i="18"/>
  <c r="Z81" i="18"/>
  <c r="Z79" i="18"/>
  <c r="Z77" i="18"/>
  <c r="Z75" i="18"/>
  <c r="Z73" i="18"/>
  <c r="Z97" i="18"/>
  <c r="Z84" i="18"/>
  <c r="Z82" i="18"/>
  <c r="Z80" i="18"/>
  <c r="Z78" i="18"/>
  <c r="Z76" i="18"/>
  <c r="Z74" i="18"/>
  <c r="Z72" i="18"/>
  <c r="Z102" i="18"/>
  <c r="Z66" i="18"/>
  <c r="Z70" i="18"/>
  <c r="Z67" i="18"/>
  <c r="Z64" i="18"/>
  <c r="Z62" i="18"/>
  <c r="Z60" i="18"/>
  <c r="Z68" i="18"/>
  <c r="Z69" i="18"/>
  <c r="Z59" i="18"/>
  <c r="Z65" i="18"/>
  <c r="Z57" i="18"/>
  <c r="Z55" i="18"/>
  <c r="Z53" i="18"/>
  <c r="Z51" i="18"/>
  <c r="Z49" i="18"/>
  <c r="Z47" i="18"/>
  <c r="Z45" i="18"/>
  <c r="Z43" i="18"/>
  <c r="Z41" i="18"/>
  <c r="Z39" i="18"/>
  <c r="Z37" i="18"/>
  <c r="Z35" i="18"/>
  <c r="Z33" i="18"/>
  <c r="Z31" i="18"/>
  <c r="Z29" i="18"/>
  <c r="Z27" i="18"/>
  <c r="Z63" i="18"/>
  <c r="AT19" i="18"/>
  <c r="AU19" i="18" s="1"/>
  <c r="AT21" i="18"/>
  <c r="AU21" i="18" s="1"/>
  <c r="AT23" i="18"/>
  <c r="AU23" i="18" s="1"/>
  <c r="AT25" i="18"/>
  <c r="AU25" i="18" s="1"/>
  <c r="Z28" i="18"/>
  <c r="Z36" i="18"/>
  <c r="Z44" i="18"/>
  <c r="Z52" i="18"/>
  <c r="AT115" i="18"/>
  <c r="AT111" i="18"/>
  <c r="AT116" i="18"/>
  <c r="AT112" i="18"/>
  <c r="AT117" i="18"/>
  <c r="AT113" i="18"/>
  <c r="AT107" i="18"/>
  <c r="AT114" i="18"/>
  <c r="AT108" i="18"/>
  <c r="AT118" i="18"/>
  <c r="AT109" i="18"/>
  <c r="AT105" i="18"/>
  <c r="AT106" i="18"/>
  <c r="AT103" i="18"/>
  <c r="AT99" i="18"/>
  <c r="AT119" i="18"/>
  <c r="AT104" i="18"/>
  <c r="AT100" i="18"/>
  <c r="AT101" i="18"/>
  <c r="AT110" i="18"/>
  <c r="AT98" i="18"/>
  <c r="AT102" i="18"/>
  <c r="AT95" i="18"/>
  <c r="AT93" i="18"/>
  <c r="AT91" i="18"/>
  <c r="AT89" i="18"/>
  <c r="AT87" i="18"/>
  <c r="AT85" i="18"/>
  <c r="AU85" i="18" s="1"/>
  <c r="AT96" i="18"/>
  <c r="AT97" i="18"/>
  <c r="AT94" i="18"/>
  <c r="AT92" i="18"/>
  <c r="AT90" i="18"/>
  <c r="AT88" i="18"/>
  <c r="AT86" i="18"/>
  <c r="AU86" i="18" s="1"/>
  <c r="AT83" i="18"/>
  <c r="AU83" i="18" s="1"/>
  <c r="AT81" i="18"/>
  <c r="AU81" i="18" s="1"/>
  <c r="AT79" i="18"/>
  <c r="AU79" i="18" s="1"/>
  <c r="AT77" i="18"/>
  <c r="AU77" i="18" s="1"/>
  <c r="AT75" i="18"/>
  <c r="AU75" i="18" s="1"/>
  <c r="AT73" i="18"/>
  <c r="AU73" i="18" s="1"/>
  <c r="AT84" i="18"/>
  <c r="AU84" i="18" s="1"/>
  <c r="AT72" i="18"/>
  <c r="AU72" i="18" s="1"/>
  <c r="AT71" i="18"/>
  <c r="AU71" i="18" s="1"/>
  <c r="AT69" i="18"/>
  <c r="AU69" i="18" s="1"/>
  <c r="AT66" i="18"/>
  <c r="AT63" i="18"/>
  <c r="AU63" i="18" s="1"/>
  <c r="AT61" i="18"/>
  <c r="AU61" i="18" s="1"/>
  <c r="AT59" i="18"/>
  <c r="AU59" i="18" s="1"/>
  <c r="AT74" i="18"/>
  <c r="AU74" i="18" s="1"/>
  <c r="AT67" i="18"/>
  <c r="AT76" i="18"/>
  <c r="AU76" i="18" s="1"/>
  <c r="AT70" i="18"/>
  <c r="AU70" i="18" s="1"/>
  <c r="AT68" i="18"/>
  <c r="AT64" i="18"/>
  <c r="AU64" i="18" s="1"/>
  <c r="AT62" i="18"/>
  <c r="AU62" i="18" s="1"/>
  <c r="AT60" i="18"/>
  <c r="AU60"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27" i="18"/>
  <c r="AU27" i="18" s="1"/>
  <c r="Z19" i="18"/>
  <c r="Z21" i="18"/>
  <c r="Z23" i="18"/>
  <c r="Z25" i="18"/>
  <c r="Z30" i="18"/>
  <c r="Z38" i="18"/>
  <c r="Z46" i="18"/>
  <c r="Z54" i="18"/>
  <c r="AT80" i="18"/>
  <c r="AU80" i="18" s="1"/>
  <c r="AT20" i="18"/>
  <c r="AU20" i="18" s="1"/>
  <c r="AT22" i="18"/>
  <c r="AU22" i="18" s="1"/>
  <c r="AT24" i="18"/>
  <c r="AU24" i="18" s="1"/>
  <c r="AT26" i="18"/>
  <c r="AU26" i="18" s="1"/>
  <c r="Z32" i="18"/>
  <c r="Z40" i="18"/>
  <c r="Z48" i="18"/>
  <c r="Z56" i="18"/>
  <c r="AT82" i="18"/>
  <c r="AU82" i="18" s="1"/>
  <c r="N146" i="17"/>
  <c r="N141" i="17"/>
  <c r="G135" i="17"/>
  <c r="H135" i="17" s="1"/>
  <c r="O109" i="17"/>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N109" i="17"/>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M109" i="17"/>
  <c r="M110" i="17" s="1"/>
  <c r="L109" i="17"/>
  <c r="W106" i="17"/>
  <c r="W107" i="17" s="1"/>
  <c r="W108" i="17" s="1"/>
  <c r="W109" i="17" s="1"/>
  <c r="G96" i="17"/>
  <c r="D27" i="17"/>
  <c r="G26" i="17"/>
  <c r="W101" i="17" s="1"/>
  <c r="F26" i="17"/>
  <c r="H26" i="17" s="1"/>
  <c r="D26" i="17"/>
  <c r="H20" i="17"/>
  <c r="F20" i="17"/>
  <c r="E20" i="17"/>
  <c r="D20" i="17"/>
  <c r="M111" i="17" s="1"/>
  <c r="C20" i="17"/>
  <c r="L111" i="17" s="1"/>
  <c r="H13" i="17"/>
  <c r="G13" i="17"/>
  <c r="E13" i="17"/>
  <c r="D13" i="17"/>
  <c r="C13" i="17"/>
  <c r="B13" i="17"/>
  <c r="D11" i="17"/>
  <c r="E10" i="17"/>
  <c r="F6" i="17"/>
  <c r="H6" i="17" s="1"/>
  <c r="E6" i="17"/>
  <c r="G6" i="17" s="1"/>
  <c r="D6" i="17"/>
  <c r="F5" i="17"/>
  <c r="H5" i="17" s="1"/>
  <c r="E5" i="17"/>
  <c r="G5" i="17" s="1"/>
  <c r="D5" i="17"/>
  <c r="F4" i="17"/>
  <c r="H4" i="17" s="1"/>
  <c r="E4" i="17"/>
  <c r="G4" i="17" s="1"/>
  <c r="D4" i="17"/>
  <c r="E28" i="6"/>
  <c r="F28" i="6"/>
  <c r="AI116" i="19" l="1"/>
  <c r="Y116" i="19"/>
  <c r="S288" i="1"/>
  <c r="N200" i="17"/>
  <c r="N199" i="16"/>
  <c r="J204" i="16"/>
  <c r="N200" i="11"/>
  <c r="Y209" i="7"/>
  <c r="M209" i="7"/>
  <c r="E110" i="17"/>
  <c r="C206" i="7"/>
  <c r="M112" i="17"/>
  <c r="M113" i="17" s="1"/>
  <c r="M114" i="17" s="1"/>
  <c r="M115" i="17" s="1"/>
  <c r="M116" i="17" s="1"/>
  <c r="M117" i="17" s="1"/>
  <c r="M118" i="17" s="1"/>
  <c r="M119" i="17" s="1"/>
  <c r="M120" i="17" s="1"/>
  <c r="M121" i="17" s="1"/>
  <c r="M122" i="17" s="1"/>
  <c r="M123" i="17" s="1"/>
  <c r="M124" i="17" s="1"/>
  <c r="M125" i="17" s="1"/>
  <c r="M126" i="17" s="1"/>
  <c r="M127" i="17" s="1"/>
  <c r="M128" i="17" s="1"/>
  <c r="M129" i="17" s="1"/>
  <c r="W110" i="17"/>
  <c r="L110" i="17"/>
  <c r="L112" i="17" s="1"/>
  <c r="L113" i="17" s="1"/>
  <c r="L114" i="17" s="1"/>
  <c r="L115" i="17" s="1"/>
  <c r="L116" i="17" s="1"/>
  <c r="L117" i="17" s="1"/>
  <c r="L118" i="17" s="1"/>
  <c r="L119" i="17" s="1"/>
  <c r="L120" i="17" s="1"/>
  <c r="L121" i="17" s="1"/>
  <c r="L122" i="17" s="1"/>
  <c r="L123" i="17" s="1"/>
  <c r="L124" i="17" s="1"/>
  <c r="L125" i="17" s="1"/>
  <c r="L126" i="17" s="1"/>
  <c r="L127" i="17" s="1"/>
  <c r="L128" i="17" s="1"/>
  <c r="L129" i="17" s="1"/>
  <c r="N147"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6" i="16"/>
  <c r="Y158" i="7"/>
  <c r="M158" i="7"/>
  <c r="G97" i="11"/>
  <c r="AI117" i="19" l="1"/>
  <c r="Y117" i="19"/>
  <c r="S289" i="1"/>
  <c r="N201" i="17"/>
  <c r="J205" i="16"/>
  <c r="N200" i="16"/>
  <c r="N201" i="11"/>
  <c r="Y210" i="7"/>
  <c r="M210" i="7"/>
  <c r="E111" i="17"/>
  <c r="C207" i="7"/>
  <c r="N148" i="17"/>
  <c r="W111" i="17"/>
  <c r="Y118" i="19" l="1"/>
  <c r="AI118" i="19"/>
  <c r="S290" i="1"/>
  <c r="N202" i="17"/>
  <c r="J206" i="16"/>
  <c r="N201" i="16"/>
  <c r="N202" i="11"/>
  <c r="M211" i="7"/>
  <c r="Y211" i="7"/>
  <c r="E112" i="17"/>
  <c r="C208" i="7"/>
  <c r="W112" i="17"/>
  <c r="N149" i="17"/>
  <c r="Y119" i="19" l="1"/>
  <c r="AI119" i="19"/>
  <c r="S291" i="1"/>
  <c r="N203" i="17"/>
  <c r="J207" i="16"/>
  <c r="N202" i="16"/>
  <c r="N203" i="11"/>
  <c r="Y212" i="7"/>
  <c r="M212" i="7"/>
  <c r="E113" i="17"/>
  <c r="C209" i="7"/>
  <c r="W113" i="17"/>
  <c r="N150" i="17"/>
  <c r="E109" i="16"/>
  <c r="C172" i="7" s="1"/>
  <c r="N141" i="16"/>
  <c r="W101" i="16"/>
  <c r="M109" i="16"/>
  <c r="N109" i="16"/>
  <c r="O109" i="16"/>
  <c r="L109" i="16"/>
  <c r="N146" i="16"/>
  <c r="N147" i="16" s="1"/>
  <c r="N148" i="16" s="1"/>
  <c r="N149" i="16" s="1"/>
  <c r="N150" i="16" s="1"/>
  <c r="W106"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4" i="17" l="1"/>
  <c r="N203" i="16"/>
  <c r="J208" i="16"/>
  <c r="N204" i="11"/>
  <c r="E110" i="16"/>
  <c r="M213" i="7"/>
  <c r="Y213" i="7"/>
  <c r="E114" i="17"/>
  <c r="C210" i="7"/>
  <c r="W114" i="17"/>
  <c r="N151" i="17"/>
  <c r="M110" i="16"/>
  <c r="M111" i="16" s="1"/>
  <c r="N110" i="16"/>
  <c r="N111" i="16" s="1"/>
  <c r="N112" i="16" s="1"/>
  <c r="N113" i="16" s="1"/>
  <c r="N114" i="16" s="1"/>
  <c r="N115" i="16" s="1"/>
  <c r="N116" i="16" s="1"/>
  <c r="N117" i="16" s="1"/>
  <c r="N118" i="16" s="1"/>
  <c r="N119" i="16" s="1"/>
  <c r="N120" i="16" s="1"/>
  <c r="N121" i="16" s="1"/>
  <c r="N122" i="16" s="1"/>
  <c r="N123" i="16" s="1"/>
  <c r="N124" i="16" s="1"/>
  <c r="N125" i="16" s="1"/>
  <c r="N126" i="16" s="1"/>
  <c r="N127" i="16" s="1"/>
  <c r="N128" i="16" s="1"/>
  <c r="N129" i="16" s="1"/>
  <c r="O110" i="16"/>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W107" i="16"/>
  <c r="N151" i="16"/>
  <c r="N205" i="17" l="1"/>
  <c r="J209" i="16"/>
  <c r="N204" i="16"/>
  <c r="N205" i="11"/>
  <c r="C173" i="7"/>
  <c r="E111" i="16"/>
  <c r="Y214" i="7"/>
  <c r="M214" i="7"/>
  <c r="E115" i="17"/>
  <c r="C211" i="7"/>
  <c r="N152" i="17"/>
  <c r="W115" i="17"/>
  <c r="M112" i="16"/>
  <c r="W108" i="16"/>
  <c r="L110" i="16"/>
  <c r="N152" i="16"/>
  <c r="N206" i="17" l="1"/>
  <c r="N205" i="16"/>
  <c r="N206" i="11"/>
  <c r="C174" i="7"/>
  <c r="E112" i="16"/>
  <c r="M215" i="7"/>
  <c r="Y215" i="7"/>
  <c r="E116" i="17"/>
  <c r="C212" i="7"/>
  <c r="N153" i="17"/>
  <c r="W116" i="17"/>
  <c r="L111" i="16"/>
  <c r="N153" i="16"/>
  <c r="M113" i="16"/>
  <c r="W109" i="16"/>
  <c r="N207" i="17" l="1"/>
  <c r="N206" i="16"/>
  <c r="N207" i="11"/>
  <c r="E113" i="16"/>
  <c r="C175" i="7"/>
  <c r="Y216" i="7"/>
  <c r="M216" i="7"/>
  <c r="E117" i="17"/>
  <c r="C213" i="7"/>
  <c r="W117" i="17"/>
  <c r="N154" i="17"/>
  <c r="W110" i="16"/>
  <c r="M114" i="16"/>
  <c r="N154" i="16"/>
  <c r="L112" i="16"/>
  <c r="N208" i="17" l="1"/>
  <c r="N207" i="16"/>
  <c r="N208" i="11"/>
  <c r="E114" i="16"/>
  <c r="C176" i="7"/>
  <c r="M217" i="7"/>
  <c r="Y217" i="7"/>
  <c r="E118" i="17"/>
  <c r="C214" i="7"/>
  <c r="N155" i="17"/>
  <c r="W118" i="17"/>
  <c r="N155" i="16"/>
  <c r="M115" i="16"/>
  <c r="W111" i="16"/>
  <c r="L113" i="16"/>
  <c r="N209" i="17" l="1"/>
  <c r="N208" i="16"/>
  <c r="N209" i="11"/>
  <c r="E115" i="16"/>
  <c r="C177" i="7"/>
  <c r="Y218" i="7"/>
  <c r="M218" i="7"/>
  <c r="E119" i="17"/>
  <c r="C215" i="7"/>
  <c r="W119" i="17"/>
  <c r="N156" i="17"/>
  <c r="L114" i="16"/>
  <c r="M116" i="16"/>
  <c r="W112" i="16"/>
  <c r="N156" i="16"/>
  <c r="N209" i="16" l="1"/>
  <c r="N210" i="11"/>
  <c r="E116" i="16"/>
  <c r="C178" i="7"/>
  <c r="Y219" i="7"/>
  <c r="M219" i="7"/>
  <c r="E120" i="17"/>
  <c r="C216" i="7"/>
  <c r="W120" i="17"/>
  <c r="N157" i="17"/>
  <c r="M117" i="16"/>
  <c r="N157" i="16"/>
  <c r="L115" i="16"/>
  <c r="W113" i="16"/>
  <c r="E117" i="16" l="1"/>
  <c r="C179" i="7"/>
  <c r="Y220" i="7"/>
  <c r="M220" i="7"/>
  <c r="E121" i="17"/>
  <c r="C217" i="7"/>
  <c r="N158" i="17"/>
  <c r="W121" i="17"/>
  <c r="W114" i="16"/>
  <c r="L116" i="16"/>
  <c r="M118" i="16"/>
  <c r="N158" i="16"/>
  <c r="E118" i="16" l="1"/>
  <c r="C180" i="7"/>
  <c r="Y221" i="7"/>
  <c r="M221" i="7"/>
  <c r="E122" i="17"/>
  <c r="C218" i="7"/>
  <c r="N159" i="17"/>
  <c r="W122" i="17"/>
  <c r="M119" i="16"/>
  <c r="L117" i="16"/>
  <c r="W115" i="16"/>
  <c r="N159" i="16"/>
  <c r="E119" i="16" l="1"/>
  <c r="C181" i="7"/>
  <c r="M222" i="7"/>
  <c r="Y222" i="7"/>
  <c r="E123" i="17"/>
  <c r="C219" i="7"/>
  <c r="W123" i="17"/>
  <c r="N160" i="17"/>
  <c r="L118" i="16"/>
  <c r="W116" i="16"/>
  <c r="M120" i="16"/>
  <c r="N160" i="16"/>
  <c r="E120" i="16" l="1"/>
  <c r="C182" i="7"/>
  <c r="Y223" i="7"/>
  <c r="M223" i="7"/>
  <c r="E124" i="17"/>
  <c r="C220" i="7"/>
  <c r="W124" i="17"/>
  <c r="N161" i="17"/>
  <c r="M121" i="16"/>
  <c r="N161" i="16"/>
  <c r="W117" i="16"/>
  <c r="L119" i="16"/>
  <c r="E121" i="16" l="1"/>
  <c r="C183" i="7"/>
  <c r="Y224" i="7"/>
  <c r="M224" i="7"/>
  <c r="E125" i="17"/>
  <c r="C221" i="7"/>
  <c r="N162" i="17"/>
  <c r="W125" i="17"/>
  <c r="M122" i="16"/>
  <c r="L120" i="16"/>
  <c r="W118" i="16"/>
  <c r="N162" i="16"/>
  <c r="E122" i="16" l="1"/>
  <c r="C184" i="7"/>
  <c r="Y225" i="7"/>
  <c r="M225" i="7"/>
  <c r="E126" i="17"/>
  <c r="C222" i="7"/>
  <c r="W126" i="17"/>
  <c r="N163" i="17"/>
  <c r="N163" i="16"/>
  <c r="W119" i="16"/>
  <c r="M123" i="16"/>
  <c r="L121" i="16"/>
  <c r="E123" i="16" l="1"/>
  <c r="C185" i="7"/>
  <c r="M226" i="7"/>
  <c r="Y226" i="7"/>
  <c r="E127" i="17"/>
  <c r="C223" i="7"/>
  <c r="N164" i="17"/>
  <c r="W127" i="17"/>
  <c r="N164" i="16"/>
  <c r="M124" i="16"/>
  <c r="L122" i="16"/>
  <c r="W120" i="16"/>
  <c r="E124" i="16" l="1"/>
  <c r="C186" i="7"/>
  <c r="E128" i="17"/>
  <c r="C224" i="7"/>
  <c r="W128" i="17"/>
  <c r="N165" i="17"/>
  <c r="L123" i="16"/>
  <c r="M125" i="16"/>
  <c r="W121" i="16"/>
  <c r="N165" i="16"/>
  <c r="E125" i="16" l="1"/>
  <c r="C187" i="7"/>
  <c r="E129" i="17"/>
  <c r="C226" i="7" s="1"/>
  <c r="C225" i="7"/>
  <c r="N166" i="17"/>
  <c r="W129" i="17"/>
  <c r="N166" i="16"/>
  <c r="W122" i="16"/>
  <c r="M126" i="16"/>
  <c r="L124" i="16"/>
  <c r="E126" i="16" l="1"/>
  <c r="C188" i="7"/>
  <c r="N167" i="17"/>
  <c r="W123" i="16"/>
  <c r="N167" i="16"/>
  <c r="L125" i="16"/>
  <c r="M127" i="16"/>
  <c r="E127" i="16" l="1"/>
  <c r="C189" i="7"/>
  <c r="N168" i="17"/>
  <c r="M128" i="16"/>
  <c r="L126" i="16"/>
  <c r="N168" i="16"/>
  <c r="W124" i="16"/>
  <c r="E128" i="16" l="1"/>
  <c r="C190" i="7"/>
  <c r="N169" i="17"/>
  <c r="L127" i="16"/>
  <c r="N169" i="16"/>
  <c r="W125" i="16"/>
  <c r="M129" i="16"/>
  <c r="E129" i="16" l="1"/>
  <c r="C192" i="7" s="1"/>
  <c r="C191" i="7"/>
  <c r="W126" i="16"/>
  <c r="L128" i="16"/>
  <c r="L129" i="16" l="1"/>
  <c r="W127" i="16"/>
  <c r="W128" i="16" l="1"/>
  <c r="W129" i="16" l="1"/>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L19" i="12" s="1"/>
  <c r="M12" i="12"/>
  <c r="M19" i="12" s="1"/>
  <c r="K12" i="12"/>
  <c r="K19" i="12" s="1"/>
  <c r="K23" i="12" s="1"/>
  <c r="K26" i="12" s="1"/>
  <c r="N12" i="12"/>
  <c r="N25" i="12"/>
  <c r="N26" i="12"/>
  <c r="K16" i="12"/>
  <c r="O16" i="12"/>
  <c r="J8" i="12"/>
  <c r="P6" i="12"/>
  <c r="J21" i="12"/>
  <c r="N22" i="12" s="1"/>
  <c r="K22" i="12"/>
  <c r="O22" i="12"/>
  <c r="N19" i="12"/>
  <c r="N23" i="12" s="1"/>
  <c r="L22" i="12"/>
  <c r="O19" i="12"/>
  <c r="M22" i="12"/>
  <c r="D12" i="3" l="1"/>
  <c r="J22" i="12"/>
  <c r="M23" i="12"/>
  <c r="L23" i="12"/>
  <c r="D13" i="3" s="1"/>
  <c r="O23" i="12"/>
  <c r="G37" i="4" l="1"/>
  <c r="G12" i="16" s="1"/>
  <c r="O26" i="12"/>
  <c r="N17" i="12"/>
  <c r="O17" i="12"/>
  <c r="K17" i="12"/>
  <c r="M17" i="12"/>
  <c r="G12" i="17" l="1"/>
  <c r="D47" i="13"/>
  <c r="E47" i="13"/>
  <c r="F47" i="13"/>
  <c r="G47" i="13"/>
  <c r="C47" i="13"/>
  <c r="B35" i="4"/>
  <c r="D11" i="11"/>
  <c r="D37" i="4"/>
  <c r="G12" i="11"/>
  <c r="N142" i="11"/>
  <c r="N147" i="11"/>
  <c r="N148" i="11" s="1"/>
  <c r="N149" i="11" s="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12" i="11" l="1"/>
  <c r="D12" i="17"/>
  <c r="D12" i="16"/>
  <c r="B10" i="17"/>
  <c r="B10" i="16"/>
  <c r="N150" i="11"/>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N151" i="11"/>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N152" i="11"/>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2" i="4"/>
  <c r="C41" i="4"/>
  <c r="F35" i="16" l="1"/>
  <c r="F36" i="16" s="1"/>
  <c r="F35" i="17"/>
  <c r="F36" i="17" s="1"/>
  <c r="AI83" i="19"/>
  <c r="AI83" i="18"/>
  <c r="AI83" i="3"/>
  <c r="Y83" i="19"/>
  <c r="Y83" i="18"/>
  <c r="AI77" i="18"/>
  <c r="AI77" i="19"/>
  <c r="AI77" i="3"/>
  <c r="Y77" i="19"/>
  <c r="Y77" i="18"/>
  <c r="AI20" i="19"/>
  <c r="AI20" i="18"/>
  <c r="AI20" i="3"/>
  <c r="Y20" i="19"/>
  <c r="Y20" i="18"/>
  <c r="AI19" i="18"/>
  <c r="AI19" i="19"/>
  <c r="AI19" i="3"/>
  <c r="Y19" i="3"/>
  <c r="Y19" i="19"/>
  <c r="Y19" i="18"/>
  <c r="AI82" i="19"/>
  <c r="AI82" i="18"/>
  <c r="AI82" i="3"/>
  <c r="Y82" i="19"/>
  <c r="Y82" i="18"/>
  <c r="AI78" i="19"/>
  <c r="AI78" i="18"/>
  <c r="AI78" i="3"/>
  <c r="Y78" i="19"/>
  <c r="Y78" i="18"/>
  <c r="AI74" i="19"/>
  <c r="AI74" i="18"/>
  <c r="AI74" i="3"/>
  <c r="Y74" i="19"/>
  <c r="Y74" i="18"/>
  <c r="AI72" i="18"/>
  <c r="AI72" i="19"/>
  <c r="AI72" i="3"/>
  <c r="Y72" i="19"/>
  <c r="Y72" i="18"/>
  <c r="AI70" i="19"/>
  <c r="AI70" i="18"/>
  <c r="AI70" i="3"/>
  <c r="Y70" i="19"/>
  <c r="Y70" i="18"/>
  <c r="G35" i="16"/>
  <c r="G36" i="16" s="1"/>
  <c r="G35" i="17"/>
  <c r="G36" i="17" s="1"/>
  <c r="AI67" i="19"/>
  <c r="AI67" i="18"/>
  <c r="AI67" i="3"/>
  <c r="Y67" i="19"/>
  <c r="Y67" i="18"/>
  <c r="AI65" i="18"/>
  <c r="AI65" i="19"/>
  <c r="AI65" i="3"/>
  <c r="Y65" i="19"/>
  <c r="Y65" i="18"/>
  <c r="AI63" i="19"/>
  <c r="AI63" i="18"/>
  <c r="AI63" i="3"/>
  <c r="Y63" i="19"/>
  <c r="Y63" i="18"/>
  <c r="AI61" i="19"/>
  <c r="AI61" i="18"/>
  <c r="AI61" i="3"/>
  <c r="Y61" i="19"/>
  <c r="Y61" i="18"/>
  <c r="AI59" i="18"/>
  <c r="AI59" i="19"/>
  <c r="AI59" i="3"/>
  <c r="Y59" i="19"/>
  <c r="Y59" i="18"/>
  <c r="AI57" i="18"/>
  <c r="AI57" i="19"/>
  <c r="AI57" i="3"/>
  <c r="Y57" i="19"/>
  <c r="Y57" i="18"/>
  <c r="AI55" i="19"/>
  <c r="AI55" i="18"/>
  <c r="AI55" i="3"/>
  <c r="Y55" i="19"/>
  <c r="Y55" i="18"/>
  <c r="AI53" i="19"/>
  <c r="AI53" i="18"/>
  <c r="AI53" i="3"/>
  <c r="Y53" i="19"/>
  <c r="Y53" i="18"/>
  <c r="AI51" i="18"/>
  <c r="AI51" i="19"/>
  <c r="AI51" i="3"/>
  <c r="Y51" i="19"/>
  <c r="Y51" i="18"/>
  <c r="AI49" i="18"/>
  <c r="AI49" i="19"/>
  <c r="AI49" i="3"/>
  <c r="Y49" i="19"/>
  <c r="Y49" i="18"/>
  <c r="AI47" i="19"/>
  <c r="AI47" i="18"/>
  <c r="AI47" i="3"/>
  <c r="Y47" i="19"/>
  <c r="Y47" i="18"/>
  <c r="AI45" i="18"/>
  <c r="AI45" i="19"/>
  <c r="AI45" i="3"/>
  <c r="Y45" i="19"/>
  <c r="Y45" i="18"/>
  <c r="AI43" i="19"/>
  <c r="AI43" i="18"/>
  <c r="AI43" i="3"/>
  <c r="Y43" i="19"/>
  <c r="Y43" i="18"/>
  <c r="AI41" i="19"/>
  <c r="AI41" i="18"/>
  <c r="AI41" i="3"/>
  <c r="Y41" i="19"/>
  <c r="Y41" i="18"/>
  <c r="AI39" i="18"/>
  <c r="AI39" i="19"/>
  <c r="AI39" i="3"/>
  <c r="Y39" i="19"/>
  <c r="Y39" i="18"/>
  <c r="AI37" i="18"/>
  <c r="AI37" i="19"/>
  <c r="AI37" i="3"/>
  <c r="Y37" i="19"/>
  <c r="Y37" i="18"/>
  <c r="AI35" i="19"/>
  <c r="AI35" i="18"/>
  <c r="AI35" i="3"/>
  <c r="Y35" i="19"/>
  <c r="Y35" i="18"/>
  <c r="AI33" i="19"/>
  <c r="AI33" i="18"/>
  <c r="AI33" i="3"/>
  <c r="Y33" i="19"/>
  <c r="Y33" i="18"/>
  <c r="AI31" i="19"/>
  <c r="AI31" i="18"/>
  <c r="AI31" i="3"/>
  <c r="Y31" i="19"/>
  <c r="Y31" i="18"/>
  <c r="AI29" i="18"/>
  <c r="AI29" i="19"/>
  <c r="AI29" i="3"/>
  <c r="Y29" i="19"/>
  <c r="Y29" i="18"/>
  <c r="AI27" i="19"/>
  <c r="AI27" i="18"/>
  <c r="AI27" i="3"/>
  <c r="Y27" i="19"/>
  <c r="Y27" i="18"/>
  <c r="AI25" i="18"/>
  <c r="AI25" i="19"/>
  <c r="AI25" i="3"/>
  <c r="Y25" i="19"/>
  <c r="Y25" i="18"/>
  <c r="AI23" i="19"/>
  <c r="AI23" i="18"/>
  <c r="AI23" i="3"/>
  <c r="Y23" i="19"/>
  <c r="Y23" i="18"/>
  <c r="AI21" i="18"/>
  <c r="AI21" i="19"/>
  <c r="AI21" i="3"/>
  <c r="Y21" i="19"/>
  <c r="Y21" i="18"/>
  <c r="R122" i="1"/>
  <c r="E35" i="16"/>
  <c r="E35" i="17"/>
  <c r="O19" i="19"/>
  <c r="O19" i="18"/>
  <c r="AI86" i="19"/>
  <c r="AI86" i="18"/>
  <c r="AI86" i="3"/>
  <c r="Y86" i="19"/>
  <c r="Y86" i="18"/>
  <c r="AI84" i="18"/>
  <c r="AI84" i="19"/>
  <c r="AI84" i="3"/>
  <c r="Y84" i="19"/>
  <c r="Y84" i="18"/>
  <c r="AI80" i="18"/>
  <c r="AI80" i="19"/>
  <c r="AI80" i="3"/>
  <c r="Y80" i="19"/>
  <c r="Y80" i="18"/>
  <c r="AI76" i="18"/>
  <c r="AI76" i="19"/>
  <c r="AI76" i="3"/>
  <c r="Y76" i="19"/>
  <c r="Y76" i="18"/>
  <c r="AI68" i="18"/>
  <c r="AI68" i="19"/>
  <c r="AI68" i="3"/>
  <c r="Y68" i="19"/>
  <c r="Y68"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5" i="19"/>
  <c r="AI85" i="18"/>
  <c r="AI85" i="3"/>
  <c r="Y85" i="19"/>
  <c r="Y85" i="18"/>
  <c r="AI81" i="18"/>
  <c r="AI81" i="19"/>
  <c r="AI81" i="3"/>
  <c r="Y81" i="19"/>
  <c r="Y81" i="18"/>
  <c r="AI79" i="19"/>
  <c r="AI79" i="18"/>
  <c r="AI79" i="3"/>
  <c r="Y79" i="19"/>
  <c r="Y79" i="18"/>
  <c r="AI75" i="19"/>
  <c r="AI75" i="18"/>
  <c r="AI75" i="3"/>
  <c r="Y75" i="19"/>
  <c r="Y75" i="18"/>
  <c r="AI73" i="19"/>
  <c r="AI73" i="18"/>
  <c r="AI73" i="3"/>
  <c r="Y73" i="19"/>
  <c r="Y73" i="18"/>
  <c r="AI71" i="19"/>
  <c r="AI71" i="18"/>
  <c r="AI71" i="3"/>
  <c r="Y71" i="19"/>
  <c r="Y71" i="18"/>
  <c r="AI69" i="18"/>
  <c r="AI69" i="19"/>
  <c r="Y69" i="3"/>
  <c r="AI69" i="3"/>
  <c r="Y69" i="19"/>
  <c r="Y69" i="18"/>
  <c r="AI66" i="19"/>
  <c r="AI66" i="18"/>
  <c r="AI66" i="3"/>
  <c r="Y66" i="19"/>
  <c r="Y66" i="18"/>
  <c r="AI64" i="18"/>
  <c r="AI64" i="19"/>
  <c r="AI64" i="3"/>
  <c r="Y64" i="19"/>
  <c r="Y64" i="18"/>
  <c r="AI62" i="19"/>
  <c r="AI62" i="18"/>
  <c r="AI62" i="3"/>
  <c r="Y62" i="19"/>
  <c r="Y62" i="18"/>
  <c r="AI60" i="18"/>
  <c r="AI60" i="19"/>
  <c r="AI60" i="3"/>
  <c r="Y60" i="19"/>
  <c r="Y60" i="18"/>
  <c r="AI58" i="19"/>
  <c r="AI58" i="18"/>
  <c r="AI58" i="3"/>
  <c r="Y58" i="19"/>
  <c r="Y58" i="18"/>
  <c r="AI56" i="18"/>
  <c r="AI56" i="19"/>
  <c r="AI56" i="3"/>
  <c r="Y56" i="19"/>
  <c r="Y56" i="18"/>
  <c r="AI54" i="19"/>
  <c r="AI54" i="18"/>
  <c r="AI54" i="3"/>
  <c r="Y54" i="19"/>
  <c r="Y54" i="18"/>
  <c r="AI52" i="18"/>
  <c r="AI52" i="19"/>
  <c r="AI52" i="3"/>
  <c r="Y52" i="19"/>
  <c r="Y52" i="18"/>
  <c r="AI50" i="19"/>
  <c r="AI50" i="18"/>
  <c r="AI50" i="3"/>
  <c r="Y50" i="19"/>
  <c r="Y50" i="18"/>
  <c r="AI48" i="18"/>
  <c r="AI48" i="19"/>
  <c r="AI48" i="3"/>
  <c r="Y48" i="19"/>
  <c r="Y48" i="18"/>
  <c r="AI46" i="19"/>
  <c r="AI46" i="18"/>
  <c r="AI46" i="3"/>
  <c r="Y46" i="19"/>
  <c r="Y46" i="18"/>
  <c r="AI44" i="18"/>
  <c r="AI44" i="19"/>
  <c r="AI44" i="3"/>
  <c r="Y44" i="19"/>
  <c r="Y44" i="18"/>
  <c r="AI42" i="19"/>
  <c r="AI42" i="18"/>
  <c r="AI42" i="3"/>
  <c r="Y42" i="19"/>
  <c r="Y42" i="18"/>
  <c r="AI40" i="18"/>
  <c r="AI40" i="19"/>
  <c r="AI40" i="3"/>
  <c r="Y40" i="19"/>
  <c r="Y40" i="18"/>
  <c r="AI38" i="19"/>
  <c r="AI38" i="18"/>
  <c r="AI38" i="3"/>
  <c r="Y38" i="19"/>
  <c r="Y38" i="18"/>
  <c r="AI36" i="18"/>
  <c r="AI36" i="19"/>
  <c r="AI36" i="3"/>
  <c r="Y36" i="19"/>
  <c r="Y36" i="18"/>
  <c r="AI34" i="19"/>
  <c r="AI34" i="18"/>
  <c r="AI34" i="3"/>
  <c r="Y34" i="19"/>
  <c r="Y34" i="18"/>
  <c r="AI32" i="18"/>
  <c r="AI32" i="19"/>
  <c r="AI32" i="3"/>
  <c r="Y32" i="19"/>
  <c r="Y32" i="18"/>
  <c r="AI30" i="19"/>
  <c r="AI30" i="18"/>
  <c r="AI30" i="3"/>
  <c r="Y30" i="19"/>
  <c r="Y30" i="18"/>
  <c r="AI28" i="19"/>
  <c r="AI28" i="18"/>
  <c r="AI28" i="3"/>
  <c r="Y28" i="19"/>
  <c r="Y28" i="18"/>
  <c r="AI26" i="19"/>
  <c r="AI26" i="18"/>
  <c r="AI26" i="3"/>
  <c r="Y26" i="19"/>
  <c r="Y26" i="18"/>
  <c r="AI24" i="19"/>
  <c r="AI24" i="18"/>
  <c r="AI24" i="3"/>
  <c r="Y24" i="19"/>
  <c r="Y24" i="18"/>
  <c r="AI22" i="19"/>
  <c r="AI22" i="18"/>
  <c r="AI22" i="3"/>
  <c r="Y22" i="19"/>
  <c r="Y22" i="18"/>
  <c r="AI117" i="3"/>
  <c r="AI115" i="3"/>
  <c r="AI113" i="3"/>
  <c r="AI111" i="3"/>
  <c r="AI109" i="3"/>
  <c r="AI107" i="3"/>
  <c r="AI105" i="3"/>
  <c r="AI103" i="3"/>
  <c r="AI101" i="3"/>
  <c r="AI99" i="3"/>
  <c r="AI97" i="3"/>
  <c r="AI95" i="3"/>
  <c r="AI93" i="3"/>
  <c r="AI91" i="3"/>
  <c r="AI89" i="3"/>
  <c r="AI118" i="3"/>
  <c r="AI116" i="3"/>
  <c r="AI114" i="3"/>
  <c r="AI112" i="3"/>
  <c r="AI110" i="3"/>
  <c r="AI108" i="3"/>
  <c r="AI106" i="3"/>
  <c r="AI104" i="3"/>
  <c r="AI102" i="3"/>
  <c r="AI100" i="3"/>
  <c r="AI98" i="3"/>
  <c r="AI96" i="3"/>
  <c r="AI94" i="3"/>
  <c r="AI92" i="3"/>
  <c r="AI90" i="3"/>
  <c r="AI88" i="3"/>
  <c r="AI119"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N153" i="11"/>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0" i="19"/>
  <c r="O20"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4" i="11"/>
  <c r="W115" i="11"/>
  <c r="K34" i="13"/>
  <c r="H35" i="13"/>
  <c r="F52" i="4"/>
  <c r="C58" i="7"/>
  <c r="G52" i="4"/>
  <c r="D58" i="7"/>
  <c r="H123" i="1"/>
  <c r="C124" i="1"/>
  <c r="R123" i="1"/>
  <c r="I38" i="4"/>
  <c r="F38" i="4"/>
  <c r="O21" i="19" l="1"/>
  <c r="O21" i="18"/>
  <c r="F13" i="17"/>
  <c r="F13" i="16"/>
  <c r="F13" i="11"/>
  <c r="I13" i="11"/>
  <c r="I13" i="17"/>
  <c r="I13" i="16"/>
  <c r="D221" i="1"/>
  <c r="D39" i="11"/>
  <c r="B191" i="1"/>
  <c r="B225" i="1"/>
  <c r="B260" i="1" s="1"/>
  <c r="N155" i="11"/>
  <c r="D39" i="13"/>
  <c r="D44" i="13" s="1"/>
  <c r="W116" i="11"/>
  <c r="G53" i="4"/>
  <c r="D59" i="7"/>
  <c r="F53" i="4"/>
  <c r="C59" i="7"/>
  <c r="C125" i="1"/>
  <c r="R124" i="1"/>
  <c r="H124" i="1"/>
  <c r="G36" i="4"/>
  <c r="H36" i="4"/>
  <c r="D35" i="4"/>
  <c r="O22" i="19" l="1"/>
  <c r="O22" i="18"/>
  <c r="N189" i="1"/>
  <c r="S189" i="1"/>
  <c r="D10" i="11"/>
  <c r="D10" i="17"/>
  <c r="D10" i="16"/>
  <c r="H11" i="11"/>
  <c r="H11" i="17"/>
  <c r="H11" i="16"/>
  <c r="G11" i="11"/>
  <c r="G11" i="17"/>
  <c r="G11" i="16"/>
  <c r="B192" i="1"/>
  <c r="B226" i="1"/>
  <c r="B261" i="1" s="1"/>
  <c r="N156" i="11"/>
  <c r="G48" i="13"/>
  <c r="D48" i="13" s="1"/>
  <c r="D49" i="13" s="1"/>
  <c r="W117" i="11"/>
  <c r="F54" i="4"/>
  <c r="C60" i="7"/>
  <c r="G54" i="4"/>
  <c r="D60" i="7"/>
  <c r="H125" i="1"/>
  <c r="C126" i="1"/>
  <c r="R125" i="1"/>
  <c r="I36" i="4"/>
  <c r="H35" i="4" l="1"/>
  <c r="O23" i="19"/>
  <c r="O23" i="18"/>
  <c r="AI87" i="3"/>
  <c r="F17" i="17"/>
  <c r="F17" i="16"/>
  <c r="H10" i="17"/>
  <c r="H10" i="16"/>
  <c r="E17" i="17"/>
  <c r="E17" i="16"/>
  <c r="G17" i="17"/>
  <c r="G17" i="16"/>
  <c r="C17" i="17"/>
  <c r="C17" i="16"/>
  <c r="D17" i="17"/>
  <c r="D17" i="16"/>
  <c r="C38" i="13"/>
  <c r="I11" i="11"/>
  <c r="I11" i="17"/>
  <c r="I11" i="16"/>
  <c r="B193" i="1"/>
  <c r="B227" i="1"/>
  <c r="B262" i="1" s="1"/>
  <c r="N157" i="11"/>
  <c r="G53" i="13"/>
  <c r="G17" i="11"/>
  <c r="C17" i="11"/>
  <c r="F17" i="11"/>
  <c r="E17" i="11"/>
  <c r="D17" i="11"/>
  <c r="D51" i="13"/>
  <c r="H48" i="13"/>
  <c r="W118" i="11"/>
  <c r="I19" i="3"/>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G55" i="4"/>
  <c r="D61" i="7"/>
  <c r="F55" i="4"/>
  <c r="C61" i="7"/>
  <c r="C127" i="1"/>
  <c r="R126" i="1"/>
  <c r="H126" i="1"/>
  <c r="G35" i="4"/>
  <c r="G19" i="3"/>
  <c r="G20" i="3" s="1"/>
  <c r="G21" i="3" s="1"/>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H19" i="3"/>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F19" i="3"/>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J19" i="3"/>
  <c r="J20" i="3" s="1"/>
  <c r="J21" i="3" s="1"/>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O24" i="19" l="1"/>
  <c r="O24" i="18"/>
  <c r="F38" i="13"/>
  <c r="F39" i="13" s="1"/>
  <c r="C39" i="13" s="1"/>
  <c r="C40" i="13" s="1"/>
  <c r="C41" i="13"/>
  <c r="J19" i="19"/>
  <c r="J20" i="19" s="1"/>
  <c r="J21" i="19" s="1"/>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19" i="18"/>
  <c r="J20" i="18" s="1"/>
  <c r="J21" i="18" s="1"/>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F19" i="19"/>
  <c r="F20" i="19" s="1"/>
  <c r="F21" i="19" s="1"/>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19" i="18"/>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C18" i="16"/>
  <c r="L96" i="16"/>
  <c r="N96" i="17"/>
  <c r="E18" i="17"/>
  <c r="F18" i="17"/>
  <c r="O96" i="17"/>
  <c r="M96" i="17"/>
  <c r="D18" i="17"/>
  <c r="P96" i="17"/>
  <c r="G18" i="17"/>
  <c r="G19" i="17" s="1"/>
  <c r="N96" i="16"/>
  <c r="E18" i="16"/>
  <c r="O96" i="16"/>
  <c r="F18" i="16"/>
  <c r="H19" i="19"/>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19" i="18"/>
  <c r="H20" i="18" s="1"/>
  <c r="H21" i="18" s="1"/>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G19" i="19"/>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19" i="18"/>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L96" i="17"/>
  <c r="C18" i="17"/>
  <c r="E19" i="19"/>
  <c r="E19" i="18"/>
  <c r="K19" i="19"/>
  <c r="K20" i="19" s="1"/>
  <c r="K21" i="19" s="1"/>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19" i="18"/>
  <c r="K20" i="18" s="1"/>
  <c r="K21" i="18" s="1"/>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G10" i="17"/>
  <c r="G10" i="16"/>
  <c r="I19" i="19"/>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19" i="18"/>
  <c r="I20" i="18" s="1"/>
  <c r="I21" i="18" s="1"/>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D18" i="16"/>
  <c r="M96" i="16"/>
  <c r="G18" i="16"/>
  <c r="G19" i="16" s="1"/>
  <c r="P96" i="16"/>
  <c r="B194" i="1"/>
  <c r="B228" i="1"/>
  <c r="B263" i="1" s="1"/>
  <c r="N158" i="1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19" i="3"/>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s="1"/>
  <c r="E52" i="3" s="1"/>
  <c r="E53" i="3" s="1"/>
  <c r="E54" i="3" s="1"/>
  <c r="E55" i="3" s="1"/>
  <c r="E56" i="3" s="1"/>
  <c r="E57" i="3" s="1"/>
  <c r="E58" i="3" s="1"/>
  <c r="E59" i="3" s="1"/>
  <c r="E60" i="3" s="1"/>
  <c r="E61" i="3" s="1"/>
  <c r="E62" i="3" s="1"/>
  <c r="E63" i="3" s="1"/>
  <c r="E64" i="3" s="1"/>
  <c r="E65" i="3" s="1"/>
  <c r="E66" i="3" s="1"/>
  <c r="E67" i="3" s="1"/>
  <c r="E68" i="3" s="1"/>
  <c r="E69" i="3" s="1"/>
  <c r="F56" i="4"/>
  <c r="C62" i="7"/>
  <c r="G56" i="4"/>
  <c r="D62" i="7"/>
  <c r="H127" i="1"/>
  <c r="C128" i="1"/>
  <c r="R127" i="1"/>
  <c r="K19" i="3"/>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I35" i="4"/>
  <c r="E70" i="3" l="1"/>
  <c r="E71" i="3" s="1"/>
  <c r="E72" i="3" s="1"/>
  <c r="E73" i="3" s="1"/>
  <c r="E74" i="3" s="1"/>
  <c r="E75" i="3" s="1"/>
  <c r="E76" i="3" s="1"/>
  <c r="E77" i="3" s="1"/>
  <c r="E78" i="3" s="1"/>
  <c r="E79" i="3" s="1"/>
  <c r="E80" i="3" s="1"/>
  <c r="E81" i="3" s="1"/>
  <c r="E82" i="3" s="1"/>
  <c r="E83" i="3" s="1"/>
  <c r="E84" i="3" s="1"/>
  <c r="E85" i="3" s="1"/>
  <c r="E86" i="3" s="1"/>
  <c r="P69" i="3"/>
  <c r="O25" i="19"/>
  <c r="O25" i="18"/>
  <c r="C42" i="13"/>
  <c r="C43" i="13" s="1"/>
  <c r="F44" i="13" s="1"/>
  <c r="C44" i="13" s="1"/>
  <c r="P109" i="17"/>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G20" i="17"/>
  <c r="I10" i="11"/>
  <c r="I10" i="17"/>
  <c r="I10" i="16"/>
  <c r="E20" i="19"/>
  <c r="P19" i="19"/>
  <c r="L19" i="19"/>
  <c r="G20" i="16"/>
  <c r="P109" i="16"/>
  <c r="L19" i="18"/>
  <c r="P19" i="18"/>
  <c r="E20" i="18"/>
  <c r="B195" i="1"/>
  <c r="B229" i="1"/>
  <c r="B264" i="1" s="1"/>
  <c r="N159" i="1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P19" i="3"/>
  <c r="O26" i="19" l="1"/>
  <c r="O26" i="18"/>
  <c r="P110" i="16"/>
  <c r="P111" i="16" s="1"/>
  <c r="P112" i="16" s="1"/>
  <c r="P113" i="16" s="1"/>
  <c r="P114" i="16" s="1"/>
  <c r="P115" i="16" s="1"/>
  <c r="P116" i="16" s="1"/>
  <c r="P117" i="16" s="1"/>
  <c r="P118" i="16" s="1"/>
  <c r="P119" i="16" s="1"/>
  <c r="P120" i="16" s="1"/>
  <c r="P121" i="16" s="1"/>
  <c r="P122" i="16" s="1"/>
  <c r="P123" i="16" s="1"/>
  <c r="P124" i="16" s="1"/>
  <c r="P125" i="16" s="1"/>
  <c r="P126" i="16" s="1"/>
  <c r="P127" i="16" s="1"/>
  <c r="P128" i="16" s="1"/>
  <c r="P129" i="16" s="1"/>
  <c r="E21" i="19"/>
  <c r="P20" i="19"/>
  <c r="L20" i="19"/>
  <c r="E21" i="18"/>
  <c r="P20" i="18"/>
  <c r="L20" i="18"/>
  <c r="B196" i="1"/>
  <c r="B230" i="1"/>
  <c r="B265" i="1" s="1"/>
  <c r="N160" i="11"/>
  <c r="M119" i="11"/>
  <c r="N119" i="11"/>
  <c r="L118" i="11"/>
  <c r="P120" i="11"/>
  <c r="O119" i="11"/>
  <c r="W121" i="11"/>
  <c r="G58" i="4"/>
  <c r="D64" i="7"/>
  <c r="F58" i="4"/>
  <c r="C64" i="7"/>
  <c r="H129" i="1"/>
  <c r="C130" i="1"/>
  <c r="R129" i="1"/>
  <c r="O27" i="19" l="1"/>
  <c r="O27" i="18"/>
  <c r="L21" i="18"/>
  <c r="E22" i="18"/>
  <c r="P21" i="18"/>
  <c r="E22" i="19"/>
  <c r="L21" i="19"/>
  <c r="P21" i="19"/>
  <c r="B197" i="1"/>
  <c r="B231" i="1"/>
  <c r="B266" i="1" s="1"/>
  <c r="N161" i="11"/>
  <c r="O120" i="11"/>
  <c r="N120" i="11"/>
  <c r="P121" i="11"/>
  <c r="L119" i="11"/>
  <c r="M120" i="11"/>
  <c r="W122" i="11"/>
  <c r="F59" i="4"/>
  <c r="C65" i="7"/>
  <c r="G59" i="4"/>
  <c r="D65" i="7"/>
  <c r="C131" i="1"/>
  <c r="R130" i="1"/>
  <c r="H130" i="1"/>
  <c r="O28" i="19" l="1"/>
  <c r="O28" i="18"/>
  <c r="P22" i="18"/>
  <c r="L22" i="18"/>
  <c r="E23" i="18"/>
  <c r="E23" i="19"/>
  <c r="P22" i="19"/>
  <c r="L22" i="19"/>
  <c r="B198" i="1"/>
  <c r="B232" i="1"/>
  <c r="B267" i="1" s="1"/>
  <c r="N162" i="11"/>
  <c r="P122" i="11"/>
  <c r="M121" i="11"/>
  <c r="L120" i="11"/>
  <c r="N121" i="11"/>
  <c r="O121" i="11"/>
  <c r="W123" i="11"/>
  <c r="G60" i="4"/>
  <c r="D66" i="7"/>
  <c r="F60" i="4"/>
  <c r="C66" i="7"/>
  <c r="H131" i="1"/>
  <c r="C132" i="1"/>
  <c r="R131" i="1"/>
  <c r="O29" i="19" l="1"/>
  <c r="O29" i="18"/>
  <c r="L23" i="18"/>
  <c r="E24" i="18"/>
  <c r="P23" i="18"/>
  <c r="L23" i="19"/>
  <c r="E24" i="19"/>
  <c r="P23" i="19"/>
  <c r="B199" i="1"/>
  <c r="B233" i="1"/>
  <c r="B268" i="1" s="1"/>
  <c r="N163" i="11"/>
  <c r="O122" i="11"/>
  <c r="N122" i="11"/>
  <c r="M122" i="11"/>
  <c r="L121" i="11"/>
  <c r="P123" i="11"/>
  <c r="W124" i="11"/>
  <c r="F61" i="4"/>
  <c r="C67" i="7"/>
  <c r="G61" i="4"/>
  <c r="D67" i="7"/>
  <c r="C133" i="1"/>
  <c r="R132" i="1"/>
  <c r="H132" i="1"/>
  <c r="O30" i="19" l="1"/>
  <c r="O30" i="18"/>
  <c r="L24" i="19"/>
  <c r="E25" i="19"/>
  <c r="P24" i="19"/>
  <c r="L24" i="18"/>
  <c r="E25" i="18"/>
  <c r="P24" i="18"/>
  <c r="B200" i="1"/>
  <c r="B234" i="1"/>
  <c r="B269" i="1" s="1"/>
  <c r="N164" i="11"/>
  <c r="N123" i="11"/>
  <c r="M123" i="11"/>
  <c r="O123" i="11"/>
  <c r="L122" i="11"/>
  <c r="P124" i="11"/>
  <c r="W125" i="11"/>
  <c r="G62" i="4"/>
  <c r="D68" i="7"/>
  <c r="F62" i="4"/>
  <c r="C68" i="7"/>
  <c r="H133" i="1"/>
  <c r="C134" i="1"/>
  <c r="R133" i="1"/>
  <c r="O31" i="19" l="1"/>
  <c r="O31" i="18"/>
  <c r="L25" i="19"/>
  <c r="P25" i="19"/>
  <c r="E26" i="19"/>
  <c r="L25" i="18"/>
  <c r="E26" i="18"/>
  <c r="P25" i="18"/>
  <c r="B201" i="1"/>
  <c r="B235" i="1"/>
  <c r="B270" i="1" s="1"/>
  <c r="N165" i="11"/>
  <c r="L123" i="11"/>
  <c r="M124" i="11"/>
  <c r="P125" i="11"/>
  <c r="O124" i="11"/>
  <c r="N124" i="11"/>
  <c r="W126" i="11"/>
  <c r="F63" i="4"/>
  <c r="C69" i="7"/>
  <c r="G63" i="4"/>
  <c r="D69" i="7"/>
  <c r="C135" i="1"/>
  <c r="R134" i="1"/>
  <c r="H134" i="1"/>
  <c r="O32" i="19" l="1"/>
  <c r="O32" i="18"/>
  <c r="E27" i="18"/>
  <c r="P26" i="18"/>
  <c r="L26" i="18"/>
  <c r="L26" i="19"/>
  <c r="E27" i="19"/>
  <c r="P26" i="19"/>
  <c r="E189" i="1"/>
  <c r="E190" i="1" s="1"/>
  <c r="B236" i="1"/>
  <c r="B202" i="1"/>
  <c r="G189" i="1"/>
  <c r="G190" i="1" s="1"/>
  <c r="G191" i="1" s="1"/>
  <c r="G192" i="1" s="1"/>
  <c r="G193" i="1" s="1"/>
  <c r="G194" i="1" s="1"/>
  <c r="G195" i="1" s="1"/>
  <c r="G196" i="1" s="1"/>
  <c r="G197" i="1" s="1"/>
  <c r="G198" i="1" s="1"/>
  <c r="G199" i="1" s="1"/>
  <c r="G200" i="1" s="1"/>
  <c r="F189" i="1"/>
  <c r="N166" i="11"/>
  <c r="M125" i="11"/>
  <c r="N125" i="11"/>
  <c r="P126" i="11"/>
  <c r="L124" i="11"/>
  <c r="O125" i="11"/>
  <c r="W127" i="11"/>
  <c r="G64" i="4"/>
  <c r="D70" i="7"/>
  <c r="F64" i="4"/>
  <c r="C70" i="7"/>
  <c r="H135" i="1"/>
  <c r="C136" i="1"/>
  <c r="R135" i="1"/>
  <c r="O33" i="19" l="1"/>
  <c r="O33" i="18"/>
  <c r="L27" i="19"/>
  <c r="P27" i="19"/>
  <c r="E28" i="19"/>
  <c r="P27" i="18"/>
  <c r="E28" i="18"/>
  <c r="L27"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7" i="11"/>
  <c r="L125" i="11"/>
  <c r="N126" i="11"/>
  <c r="O126" i="11"/>
  <c r="P127" i="11"/>
  <c r="M126" i="11"/>
  <c r="W128" i="11"/>
  <c r="F65" i="4"/>
  <c r="C71" i="7"/>
  <c r="G65" i="4"/>
  <c r="D71" i="7"/>
  <c r="C137" i="1"/>
  <c r="R136" i="1"/>
  <c r="H136" i="1"/>
  <c r="B10" i="11"/>
  <c r="O34" i="19" l="1"/>
  <c r="O34" i="18"/>
  <c r="E29" i="19"/>
  <c r="P28" i="19"/>
  <c r="L28" i="19"/>
  <c r="E29" i="18"/>
  <c r="P28" i="18"/>
  <c r="L28" i="18"/>
  <c r="R190" i="1"/>
  <c r="O88"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7" i="3"/>
  <c r="R224" i="1"/>
  <c r="H224" i="1"/>
  <c r="E225" i="1"/>
  <c r="H191" i="1"/>
  <c r="R191" i="1"/>
  <c r="E192" i="1"/>
  <c r="B204" i="1"/>
  <c r="B238" i="1"/>
  <c r="B273" i="1" s="1"/>
  <c r="H190" i="1"/>
  <c r="N168" i="11"/>
  <c r="N127" i="11"/>
  <c r="M127" i="11"/>
  <c r="O127" i="11"/>
  <c r="P128" i="11"/>
  <c r="L126" i="11"/>
  <c r="W129" i="11"/>
  <c r="G66" i="4"/>
  <c r="D72" i="7"/>
  <c r="F66" i="4"/>
  <c r="C72" i="7"/>
  <c r="H137" i="1"/>
  <c r="C138" i="1"/>
  <c r="R137" i="1"/>
  <c r="C35" i="4"/>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O35" i="19" l="1"/>
  <c r="O35" i="18"/>
  <c r="J11" i="12"/>
  <c r="P29" i="18"/>
  <c r="L29" i="18"/>
  <c r="E30" i="18"/>
  <c r="P29" i="19"/>
  <c r="E30" i="19"/>
  <c r="L29" i="19"/>
  <c r="C10" i="11"/>
  <c r="C10" i="17"/>
  <c r="C10" i="16"/>
  <c r="F35" i="4"/>
  <c r="O87" i="18"/>
  <c r="O89" i="3"/>
  <c r="R225" i="1"/>
  <c r="H225" i="1"/>
  <c r="E226" i="1"/>
  <c r="B205" i="1"/>
  <c r="B239" i="1"/>
  <c r="B274" i="1" s="1"/>
  <c r="H192" i="1"/>
  <c r="R192" i="1"/>
  <c r="E193" i="1"/>
  <c r="N169" i="11"/>
  <c r="J59" i="12"/>
  <c r="K72" i="12"/>
  <c r="P129" i="11"/>
  <c r="M128" i="11"/>
  <c r="L127" i="11"/>
  <c r="O128" i="11"/>
  <c r="N128" i="11"/>
  <c r="W130" i="11"/>
  <c r="F67" i="4"/>
  <c r="C73" i="7"/>
  <c r="G67" i="4"/>
  <c r="D73" i="7"/>
  <c r="C139" i="1"/>
  <c r="R138" i="1"/>
  <c r="H138" i="1"/>
  <c r="L45" i="12"/>
  <c r="L72" i="12" s="1"/>
  <c r="J58" i="12"/>
  <c r="J45" i="12"/>
  <c r="N45" i="12"/>
  <c r="J53" i="12"/>
  <c r="O45" i="12"/>
  <c r="O36" i="19" l="1"/>
  <c r="O36" i="18"/>
  <c r="L30" i="19"/>
  <c r="E31" i="19"/>
  <c r="P30" i="19"/>
  <c r="F10" i="17"/>
  <c r="F10" i="16"/>
  <c r="F10" i="11"/>
  <c r="P30" i="18"/>
  <c r="E31" i="18"/>
  <c r="L30" i="18"/>
  <c r="O88" i="18"/>
  <c r="R226" i="1"/>
  <c r="E227" i="1"/>
  <c r="H226" i="1"/>
  <c r="O90" i="3"/>
  <c r="R193" i="1"/>
  <c r="H193" i="1"/>
  <c r="E194" i="1"/>
  <c r="B206" i="1"/>
  <c r="B240" i="1"/>
  <c r="B275" i="1" s="1"/>
  <c r="N170" i="11"/>
  <c r="O129" i="11"/>
  <c r="M129" i="11"/>
  <c r="N129" i="11"/>
  <c r="L128" i="11"/>
  <c r="P130" i="11"/>
  <c r="G68" i="4"/>
  <c r="D74" i="7"/>
  <c r="F68" i="4"/>
  <c r="C74" i="7"/>
  <c r="H139" i="1"/>
  <c r="C140" i="1"/>
  <c r="R139" i="1"/>
  <c r="P8" i="12"/>
  <c r="C4" i="4"/>
  <c r="J46" i="12"/>
  <c r="O72" i="12"/>
  <c r="J61" i="12"/>
  <c r="J14" i="12" s="1"/>
  <c r="N72" i="12"/>
  <c r="J50" i="12"/>
  <c r="J9" i="12" s="1"/>
  <c r="J48" i="12"/>
  <c r="J72" i="12" s="1"/>
  <c r="J57" i="12"/>
  <c r="J15" i="12" s="1"/>
  <c r="H25" i="8" l="1"/>
  <c r="O37" i="19"/>
  <c r="O37" i="18"/>
  <c r="L31" i="19"/>
  <c r="E32" i="19"/>
  <c r="P31" i="19"/>
  <c r="E32" i="18"/>
  <c r="P31" i="18"/>
  <c r="L31" i="18"/>
  <c r="H97" i="11"/>
  <c r="H96" i="17"/>
  <c r="H96" i="16"/>
  <c r="O89" i="18"/>
  <c r="O91" i="3"/>
  <c r="R227" i="1"/>
  <c r="E228" i="1"/>
  <c r="H227" i="1"/>
  <c r="H194" i="1"/>
  <c r="R194" i="1"/>
  <c r="E195" i="1"/>
  <c r="B207" i="1"/>
  <c r="B241" i="1"/>
  <c r="B276" i="1" s="1"/>
  <c r="J16" i="12"/>
  <c r="J10" i="12"/>
  <c r="M130" i="11"/>
  <c r="L129" i="11"/>
  <c r="N130" i="11"/>
  <c r="O130" i="11"/>
  <c r="F69" i="4"/>
  <c r="C75" i="7"/>
  <c r="G69" i="4"/>
  <c r="D75" i="7"/>
  <c r="C141" i="1"/>
  <c r="R140" i="1"/>
  <c r="H140" i="1"/>
  <c r="Q97" i="11" l="1"/>
  <c r="S97" i="11"/>
  <c r="D117" i="4"/>
  <c r="O38" i="19"/>
  <c r="O38" i="18"/>
  <c r="J97" i="11"/>
  <c r="J110" i="11" s="1"/>
  <c r="U97" i="11"/>
  <c r="T97" i="11"/>
  <c r="J12" i="12"/>
  <c r="J19" i="12" s="1"/>
  <c r="X97" i="11"/>
  <c r="R97" i="11"/>
  <c r="J96" i="16"/>
  <c r="H26" i="8"/>
  <c r="E33" i="18"/>
  <c r="L32" i="18"/>
  <c r="P32" i="18"/>
  <c r="E33" i="19"/>
  <c r="L32" i="19"/>
  <c r="P32" i="19"/>
  <c r="C19" i="19"/>
  <c r="N19" i="19" s="1"/>
  <c r="Q19" i="19" s="1"/>
  <c r="C19" i="18"/>
  <c r="N19" i="18" s="1"/>
  <c r="Q19" i="18" s="1"/>
  <c r="X96" i="17"/>
  <c r="Q96" i="17"/>
  <c r="J96" i="17"/>
  <c r="R96" i="17"/>
  <c r="S96" i="17"/>
  <c r="U96" i="17"/>
  <c r="T96" i="17"/>
  <c r="S96" i="16"/>
  <c r="X96" i="16"/>
  <c r="R96" i="16"/>
  <c r="Q96" i="16"/>
  <c r="T96" i="16"/>
  <c r="U96" i="16"/>
  <c r="O90" i="18"/>
  <c r="O92" i="3"/>
  <c r="E229" i="1"/>
  <c r="R228" i="1"/>
  <c r="H228" i="1"/>
  <c r="B208" i="1"/>
  <c r="B242" i="1"/>
  <c r="B277" i="1" s="1"/>
  <c r="R195" i="1"/>
  <c r="H195" i="1"/>
  <c r="E196" i="1"/>
  <c r="D97" i="11"/>
  <c r="L130" i="11"/>
  <c r="G70" i="4"/>
  <c r="D76" i="7"/>
  <c r="F70" i="4"/>
  <c r="C76" i="7"/>
  <c r="H141" i="1"/>
  <c r="C142" i="1"/>
  <c r="R141" i="1"/>
  <c r="H27" i="8"/>
  <c r="V97" i="11" l="1"/>
  <c r="J127" i="11"/>
  <c r="J117" i="11"/>
  <c r="K97" i="11"/>
  <c r="K25" i="12"/>
  <c r="O25" i="12"/>
  <c r="L20" i="12"/>
  <c r="J25" i="12"/>
  <c r="J17" i="12"/>
  <c r="H17" i="16"/>
  <c r="H17" i="17"/>
  <c r="O39" i="19"/>
  <c r="O39" i="18"/>
  <c r="J23" i="12"/>
  <c r="K20" i="12"/>
  <c r="M20" i="12"/>
  <c r="O20" i="12"/>
  <c r="C36" i="4" s="1"/>
  <c r="C11" i="16" s="1"/>
  <c r="N20" i="12"/>
  <c r="E117" i="4"/>
  <c r="D96" i="17"/>
  <c r="D136" i="17"/>
  <c r="D136" i="16"/>
  <c r="D96" i="16"/>
  <c r="D137" i="11"/>
  <c r="J100" i="17"/>
  <c r="J99" i="17"/>
  <c r="J98" i="17"/>
  <c r="J97" i="17"/>
  <c r="J101" i="16"/>
  <c r="K101" i="16" s="1"/>
  <c r="J98" i="16"/>
  <c r="J106" i="16"/>
  <c r="K106" i="16" s="1"/>
  <c r="J99" i="16"/>
  <c r="J97" i="16"/>
  <c r="K97" i="16" s="1"/>
  <c r="J100" i="16"/>
  <c r="J111" i="16"/>
  <c r="J112" i="16" s="1"/>
  <c r="J113" i="16" s="1"/>
  <c r="J114" i="16" s="1"/>
  <c r="J115" i="16" s="1"/>
  <c r="J116" i="16" s="1"/>
  <c r="J117" i="16" s="1"/>
  <c r="J118" i="16" s="1"/>
  <c r="J119" i="16" s="1"/>
  <c r="J120" i="16" s="1"/>
  <c r="J121" i="16" s="1"/>
  <c r="J122" i="16" s="1"/>
  <c r="J123" i="16" s="1"/>
  <c r="J124" i="16" s="1"/>
  <c r="J125" i="16" s="1"/>
  <c r="J126" i="16" s="1"/>
  <c r="J127" i="16" s="1"/>
  <c r="J128" i="16" s="1"/>
  <c r="J129" i="16" s="1"/>
  <c r="J101" i="17"/>
  <c r="K101" i="17" s="1"/>
  <c r="J111" i="17"/>
  <c r="K111" i="17" s="1"/>
  <c r="J106" i="17"/>
  <c r="K106" i="17" s="1"/>
  <c r="V96" i="17"/>
  <c r="E34" i="19"/>
  <c r="P33" i="19"/>
  <c r="L33" i="19"/>
  <c r="P33" i="18"/>
  <c r="L33" i="18"/>
  <c r="E34" i="18"/>
  <c r="K96" i="16"/>
  <c r="V96" i="16"/>
  <c r="Y96" i="16" s="1"/>
  <c r="Z96" i="16" s="1"/>
  <c r="K96" i="17"/>
  <c r="O91" i="18"/>
  <c r="O93" i="3"/>
  <c r="E230" i="1"/>
  <c r="R229" i="1"/>
  <c r="H229" i="1"/>
  <c r="H196" i="1"/>
  <c r="R196" i="1"/>
  <c r="E197" i="1"/>
  <c r="B209" i="1"/>
  <c r="B243" i="1"/>
  <c r="B278" i="1" s="1"/>
  <c r="Y97" i="11"/>
  <c r="O18" i="12"/>
  <c r="K18" i="12"/>
  <c r="N18" i="12"/>
  <c r="L18" i="12"/>
  <c r="M18" i="12"/>
  <c r="O24" i="12"/>
  <c r="C37" i="4" s="1"/>
  <c r="M24" i="12"/>
  <c r="E36" i="4"/>
  <c r="J128" i="11"/>
  <c r="F71" i="4"/>
  <c r="C77" i="7"/>
  <c r="G71" i="4"/>
  <c r="D77" i="7"/>
  <c r="C143" i="1"/>
  <c r="R142" i="1"/>
  <c r="H142" i="1"/>
  <c r="BX96" i="17" l="1"/>
  <c r="BX97" i="11"/>
  <c r="BX96" i="16"/>
  <c r="AA97" i="11"/>
  <c r="J26" i="12"/>
  <c r="L24" i="12"/>
  <c r="B37" i="4" s="1"/>
  <c r="N24" i="12"/>
  <c r="J24" i="12" s="1"/>
  <c r="K24" i="12"/>
  <c r="B36" i="4"/>
  <c r="C11" i="17"/>
  <c r="C11" i="11"/>
  <c r="J20" i="12"/>
  <c r="D176" i="17"/>
  <c r="D176" i="16"/>
  <c r="D177" i="11"/>
  <c r="O40" i="19"/>
  <c r="O40" i="18"/>
  <c r="J136" i="17"/>
  <c r="J176" i="17"/>
  <c r="H18" i="17"/>
  <c r="J176" i="16"/>
  <c r="J136" i="16"/>
  <c r="H18" i="16"/>
  <c r="K116" i="16"/>
  <c r="K112" i="16"/>
  <c r="K119" i="16"/>
  <c r="K114" i="16"/>
  <c r="K111" i="16"/>
  <c r="K121" i="16"/>
  <c r="K117" i="16"/>
  <c r="K113" i="16"/>
  <c r="K120" i="16"/>
  <c r="K118" i="16"/>
  <c r="K115" i="16"/>
  <c r="H28" i="8"/>
  <c r="P34" i="18"/>
  <c r="L34" i="18"/>
  <c r="E35" i="18"/>
  <c r="J112" i="17"/>
  <c r="AA96" i="16"/>
  <c r="AB96" i="16" s="1"/>
  <c r="P34" i="19"/>
  <c r="E35" i="19"/>
  <c r="L34" i="19"/>
  <c r="Y96" i="17"/>
  <c r="Z96" i="17" s="1"/>
  <c r="C12" i="11"/>
  <c r="C12" i="17"/>
  <c r="C12" i="16"/>
  <c r="E11" i="17"/>
  <c r="E11" i="16"/>
  <c r="O92" i="18"/>
  <c r="O94" i="3"/>
  <c r="E231" i="1"/>
  <c r="R230" i="1"/>
  <c r="H230" i="1"/>
  <c r="B210" i="1"/>
  <c r="B244" i="1"/>
  <c r="B279" i="1" s="1"/>
  <c r="R197" i="1"/>
  <c r="H197" i="1"/>
  <c r="E198" i="1"/>
  <c r="Z97" i="11"/>
  <c r="E37" i="4"/>
  <c r="E11" i="11"/>
  <c r="J18" i="12"/>
  <c r="J129" i="11"/>
  <c r="G72" i="4"/>
  <c r="D78" i="7"/>
  <c r="F72" i="4"/>
  <c r="C78" i="7"/>
  <c r="H143" i="1"/>
  <c r="C144" i="1"/>
  <c r="R143" i="1"/>
  <c r="CA97" i="11" l="1"/>
  <c r="CA96" i="16"/>
  <c r="CA96" i="17"/>
  <c r="B11" i="17"/>
  <c r="B11" i="11"/>
  <c r="B11" i="16"/>
  <c r="O41" i="19"/>
  <c r="O41" i="18"/>
  <c r="F36" i="4"/>
  <c r="F11" i="11" s="1"/>
  <c r="AE96" i="16"/>
  <c r="AD96" i="16"/>
  <c r="AC96" i="16"/>
  <c r="AJ96" i="16"/>
  <c r="AI96" i="16"/>
  <c r="AH96" i="16"/>
  <c r="P35" i="18"/>
  <c r="L35" i="18"/>
  <c r="E36" i="18"/>
  <c r="J113" i="17"/>
  <c r="K112" i="17"/>
  <c r="H29" i="8"/>
  <c r="E36" i="19"/>
  <c r="P35" i="19"/>
  <c r="L35" i="19"/>
  <c r="AA96" i="17"/>
  <c r="AB96" i="17" s="1"/>
  <c r="F11" i="17"/>
  <c r="F11" i="16"/>
  <c r="B12" i="17"/>
  <c r="B12" i="16"/>
  <c r="E12" i="11"/>
  <c r="E12" i="17"/>
  <c r="E12" i="16"/>
  <c r="O93" i="18"/>
  <c r="O95" i="3"/>
  <c r="E232" i="1"/>
  <c r="R231" i="1"/>
  <c r="H231" i="1"/>
  <c r="H198" i="1"/>
  <c r="R198" i="1"/>
  <c r="E199" i="1"/>
  <c r="B211" i="1"/>
  <c r="B245" i="1"/>
  <c r="B280" i="1" s="1"/>
  <c r="AB97" i="11"/>
  <c r="B12" i="11"/>
  <c r="F37" i="4"/>
  <c r="J130" i="11"/>
  <c r="F73" i="4"/>
  <c r="C79" i="7"/>
  <c r="G73" i="4"/>
  <c r="D79" i="7"/>
  <c r="C145" i="1"/>
  <c r="R144" i="1"/>
  <c r="H144" i="1"/>
  <c r="CK96" i="16" l="1"/>
  <c r="CG96" i="16"/>
  <c r="CB96" i="16"/>
  <c r="CH96" i="16"/>
  <c r="CJ96" i="16"/>
  <c r="CD96" i="16"/>
  <c r="CI96" i="16"/>
  <c r="O42" i="19"/>
  <c r="O42" i="18"/>
  <c r="AE96" i="17"/>
  <c r="AD96" i="17"/>
  <c r="AC96" i="17"/>
  <c r="AI96" i="17"/>
  <c r="AJ96" i="17"/>
  <c r="AH96" i="17"/>
  <c r="AF96" i="16"/>
  <c r="AG96" i="16"/>
  <c r="AK96" i="16" s="1"/>
  <c r="AC97" i="11"/>
  <c r="AE97" i="11"/>
  <c r="AD97" i="11"/>
  <c r="AI97" i="11"/>
  <c r="E37" i="18"/>
  <c r="L36" i="18"/>
  <c r="P36" i="18"/>
  <c r="P36" i="19"/>
  <c r="E37" i="19"/>
  <c r="L36" i="19"/>
  <c r="H30" i="8"/>
  <c r="J114" i="17"/>
  <c r="K113" i="17"/>
  <c r="F12" i="11"/>
  <c r="F12" i="17"/>
  <c r="F12" i="16"/>
  <c r="O94" i="18"/>
  <c r="O96" i="3"/>
  <c r="E233" i="1"/>
  <c r="R232" i="1"/>
  <c r="H232" i="1"/>
  <c r="R199" i="1"/>
  <c r="H199" i="1"/>
  <c r="E200" i="1"/>
  <c r="B212" i="1"/>
  <c r="B246" i="1"/>
  <c r="B281" i="1" s="1"/>
  <c r="AJ97" i="11"/>
  <c r="AH97" i="11"/>
  <c r="H17" i="11"/>
  <c r="J177" i="11" s="1"/>
  <c r="G74" i="4"/>
  <c r="D80" i="7"/>
  <c r="F74" i="4"/>
  <c r="C80" i="7"/>
  <c r="H145" i="1"/>
  <c r="C146" i="1"/>
  <c r="R145" i="1"/>
  <c r="CL96" i="16" l="1"/>
  <c r="CM96" i="16" s="1"/>
  <c r="CJ97" i="11"/>
  <c r="CH97" i="11"/>
  <c r="CI97" i="11"/>
  <c r="CD97" i="11"/>
  <c r="CK97" i="11"/>
  <c r="CG97" i="11"/>
  <c r="CB97" i="11"/>
  <c r="AL96" i="16"/>
  <c r="CJ96" i="17"/>
  <c r="CG96" i="17"/>
  <c r="CK96" i="17"/>
  <c r="CI96" i="17"/>
  <c r="CB96" i="17"/>
  <c r="CH96" i="17"/>
  <c r="CD96" i="17"/>
  <c r="O43" i="19"/>
  <c r="O43" i="18"/>
  <c r="AF96" i="17"/>
  <c r="AG96" i="17"/>
  <c r="AK96" i="17" s="1"/>
  <c r="AF97" i="11"/>
  <c r="AG97" i="11"/>
  <c r="AK97" i="11" s="1"/>
  <c r="AO96" i="16"/>
  <c r="J137" i="11"/>
  <c r="AP96" i="16"/>
  <c r="AN96" i="16"/>
  <c r="L37" i="19"/>
  <c r="P37" i="19"/>
  <c r="E38" i="19"/>
  <c r="J115" i="17"/>
  <c r="K114" i="17"/>
  <c r="H31" i="8"/>
  <c r="AM96" i="16"/>
  <c r="E38" i="18"/>
  <c r="P37" i="18"/>
  <c r="L37" i="18"/>
  <c r="O95" i="18"/>
  <c r="E234" i="1"/>
  <c r="R233" i="1"/>
  <c r="H233" i="1"/>
  <c r="O97" i="3"/>
  <c r="B213" i="1"/>
  <c r="B247" i="1"/>
  <c r="B282" i="1" s="1"/>
  <c r="R200" i="1"/>
  <c r="H200" i="1"/>
  <c r="F75" i="4"/>
  <c r="C81" i="7"/>
  <c r="G75" i="4"/>
  <c r="D81" i="7"/>
  <c r="C147" i="1"/>
  <c r="R146" i="1"/>
  <c r="H146" i="1"/>
  <c r="CL97" i="11" l="1"/>
  <c r="CM97" i="11" s="1"/>
  <c r="CL96" i="17"/>
  <c r="CM96" i="17" s="1"/>
  <c r="O44" i="19"/>
  <c r="O44" i="18"/>
  <c r="AL96" i="17"/>
  <c r="AY96" i="16"/>
  <c r="AZ96" i="16"/>
  <c r="AT96" i="16"/>
  <c r="AR96" i="16"/>
  <c r="BA96" i="16"/>
  <c r="AV96" i="16"/>
  <c r="AW96" i="16"/>
  <c r="AU96" i="16"/>
  <c r="AX96" i="16"/>
  <c r="AS96" i="16"/>
  <c r="AM96" i="17"/>
  <c r="AN96" i="17"/>
  <c r="AO96" i="17"/>
  <c r="AP96" i="17"/>
  <c r="P38" i="19"/>
  <c r="L38" i="19"/>
  <c r="E39" i="19"/>
  <c r="H32" i="8"/>
  <c r="P38" i="18"/>
  <c r="L38" i="18"/>
  <c r="E39" i="18"/>
  <c r="AQ96" i="16"/>
  <c r="BB96" i="16"/>
  <c r="J116" i="17"/>
  <c r="K115" i="17"/>
  <c r="AM97" i="11"/>
  <c r="AR97" i="11" s="1"/>
  <c r="O96" i="18"/>
  <c r="E235" i="1"/>
  <c r="R234" i="1"/>
  <c r="H234" i="1"/>
  <c r="O98" i="3"/>
  <c r="B214" i="1"/>
  <c r="B248" i="1"/>
  <c r="B283" i="1" s="1"/>
  <c r="AP97" i="11"/>
  <c r="AO97" i="11"/>
  <c r="AN97" i="11"/>
  <c r="AL97" i="11"/>
  <c r="G76" i="4"/>
  <c r="D82" i="7"/>
  <c r="F76" i="4"/>
  <c r="C82" i="7"/>
  <c r="H147" i="1"/>
  <c r="C148" i="1"/>
  <c r="R147" i="1"/>
  <c r="H33" i="8"/>
  <c r="O45" i="19" l="1"/>
  <c r="O45" i="18"/>
  <c r="BB96" i="17"/>
  <c r="AZ96" i="17"/>
  <c r="AY96" i="17"/>
  <c r="AT96" i="17"/>
  <c r="BA96" i="17"/>
  <c r="AR96" i="17"/>
  <c r="AU96" i="17"/>
  <c r="AW96" i="17"/>
  <c r="AX96" i="17"/>
  <c r="AS96" i="17"/>
  <c r="AV96" i="17"/>
  <c r="AT97" i="11"/>
  <c r="BA97" i="11"/>
  <c r="AZ97" i="11"/>
  <c r="AY97" i="11"/>
  <c r="BB97" i="11"/>
  <c r="AV97" i="11"/>
  <c r="AS97" i="11"/>
  <c r="AX97" i="11"/>
  <c r="AU97" i="11"/>
  <c r="AW97" i="11"/>
  <c r="AQ96" i="17"/>
  <c r="J117" i="17"/>
  <c r="K116" i="17"/>
  <c r="L39" i="19"/>
  <c r="E40" i="19"/>
  <c r="P39" i="19"/>
  <c r="BC96" i="16"/>
  <c r="BE96" i="16" s="1"/>
  <c r="E40" i="18"/>
  <c r="P39" i="18"/>
  <c r="L39" i="18"/>
  <c r="O97" i="18"/>
  <c r="R235" i="1"/>
  <c r="H235" i="1"/>
  <c r="B215" i="1"/>
  <c r="B249" i="1"/>
  <c r="B284" i="1" s="1"/>
  <c r="AQ97" i="11"/>
  <c r="F77" i="4"/>
  <c r="C83" i="7"/>
  <c r="G77" i="4"/>
  <c r="D83" i="7"/>
  <c r="C149" i="1"/>
  <c r="R148" i="1"/>
  <c r="H148" i="1"/>
  <c r="BJ96" i="16" l="1"/>
  <c r="BI96" i="16"/>
  <c r="BF96" i="16"/>
  <c r="BK96" i="16"/>
  <c r="BH96" i="16"/>
  <c r="BG96" i="16"/>
  <c r="O46" i="19"/>
  <c r="O46" i="18"/>
  <c r="BC96" i="17"/>
  <c r="BD96" i="17" s="1"/>
  <c r="BC97" i="11"/>
  <c r="BE97" i="11" s="1"/>
  <c r="E41" i="18"/>
  <c r="P40" i="18"/>
  <c r="L40" i="18"/>
  <c r="BD96" i="16"/>
  <c r="L40" i="19"/>
  <c r="P40" i="19"/>
  <c r="E41" i="19"/>
  <c r="H34" i="8"/>
  <c r="K122" i="16"/>
  <c r="J118" i="17"/>
  <c r="K117" i="17"/>
  <c r="O98" i="18"/>
  <c r="B216" i="1"/>
  <c r="B250" i="1"/>
  <c r="B285" i="1" s="1"/>
  <c r="G78" i="4"/>
  <c r="D84" i="7"/>
  <c r="F78" i="4"/>
  <c r="C84" i="7"/>
  <c r="H149" i="1"/>
  <c r="C150" i="1"/>
  <c r="R149" i="1"/>
  <c r="E4" i="3"/>
  <c r="E5" i="3"/>
  <c r="E7" i="3"/>
  <c r="E3" i="3"/>
  <c r="F100" i="1"/>
  <c r="F99" i="1"/>
  <c r="E99" i="1"/>
  <c r="F97" i="1"/>
  <c r="E97" i="1"/>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C3" i="3"/>
  <c r="D4" i="3"/>
  <c r="D5" i="3"/>
  <c r="D6" i="3"/>
  <c r="D7" i="3"/>
  <c r="D102" i="1"/>
  <c r="E100" i="1"/>
  <c r="C7" i="3"/>
  <c r="C4" i="3"/>
  <c r="C11" i="19" l="1"/>
  <c r="C11" i="18"/>
  <c r="BG97" i="11"/>
  <c r="BI97" i="11"/>
  <c r="BF97" i="11"/>
  <c r="BL96" i="16"/>
  <c r="BJ96" i="17"/>
  <c r="BE96" i="17"/>
  <c r="BJ97" i="11"/>
  <c r="BH96" i="17"/>
  <c r="BH97" i="11"/>
  <c r="BG96" i="17"/>
  <c r="BK96" i="17"/>
  <c r="BF96" i="17"/>
  <c r="BI96" i="17"/>
  <c r="BK97" i="11"/>
  <c r="F101" i="1"/>
  <c r="D9" i="3"/>
  <c r="E6" i="3"/>
  <c r="O47" i="19"/>
  <c r="O47" i="18"/>
  <c r="D8" i="3"/>
  <c r="E8" i="3"/>
  <c r="AJ117" i="3"/>
  <c r="AJ113" i="3"/>
  <c r="AJ109" i="3"/>
  <c r="AJ105" i="3"/>
  <c r="AJ101" i="3"/>
  <c r="AJ97" i="3"/>
  <c r="AJ93" i="3"/>
  <c r="AJ89" i="3"/>
  <c r="AJ85" i="3"/>
  <c r="AJ81" i="3"/>
  <c r="AJ77" i="3"/>
  <c r="AJ73" i="3"/>
  <c r="AJ116" i="3"/>
  <c r="AJ112" i="3"/>
  <c r="AJ108" i="3"/>
  <c r="AJ104" i="3"/>
  <c r="AJ100" i="3"/>
  <c r="AJ96" i="3"/>
  <c r="AJ92" i="3"/>
  <c r="AJ88" i="3"/>
  <c r="AJ84" i="3"/>
  <c r="AJ80" i="3"/>
  <c r="AJ76" i="3"/>
  <c r="AJ119" i="3"/>
  <c r="AJ115" i="3"/>
  <c r="AJ111" i="3"/>
  <c r="AJ107" i="3"/>
  <c r="AJ103" i="3"/>
  <c r="AJ99" i="3"/>
  <c r="AJ95" i="3"/>
  <c r="AJ91" i="3"/>
  <c r="AJ87" i="3"/>
  <c r="AJ83" i="3"/>
  <c r="AJ79" i="3"/>
  <c r="AJ75" i="3"/>
  <c r="AJ118" i="3"/>
  <c r="AJ102" i="3"/>
  <c r="AJ86" i="3"/>
  <c r="AJ69" i="3"/>
  <c r="AJ65" i="3"/>
  <c r="AJ61" i="3"/>
  <c r="AJ57" i="3"/>
  <c r="AJ53" i="3"/>
  <c r="AJ49" i="3"/>
  <c r="AJ45" i="3"/>
  <c r="AJ106" i="3"/>
  <c r="AJ90" i="3"/>
  <c r="AJ74" i="3"/>
  <c r="AJ68" i="3"/>
  <c r="AJ64" i="3"/>
  <c r="AJ60" i="3"/>
  <c r="AJ56" i="3"/>
  <c r="AJ52" i="3"/>
  <c r="AJ48" i="3"/>
  <c r="AJ44" i="3"/>
  <c r="AJ110" i="3"/>
  <c r="AJ94" i="3"/>
  <c r="AJ78" i="3"/>
  <c r="AJ71" i="3"/>
  <c r="AJ67" i="3"/>
  <c r="AJ63" i="3"/>
  <c r="AJ59" i="3"/>
  <c r="AJ55" i="3"/>
  <c r="AJ51" i="3"/>
  <c r="AJ47" i="3"/>
  <c r="AJ43" i="3"/>
  <c r="AJ82" i="3"/>
  <c r="AJ62" i="3"/>
  <c r="AJ46" i="3"/>
  <c r="AJ39" i="3"/>
  <c r="AJ35" i="3"/>
  <c r="AJ31" i="3"/>
  <c r="AJ27" i="3"/>
  <c r="AJ23" i="3"/>
  <c r="AJ19" i="3"/>
  <c r="AJ58" i="3"/>
  <c r="AJ32" i="3"/>
  <c r="AJ98" i="3"/>
  <c r="AJ66" i="3"/>
  <c r="AJ50" i="3"/>
  <c r="AJ38" i="3"/>
  <c r="AJ34" i="3"/>
  <c r="AJ30" i="3"/>
  <c r="AJ26" i="3"/>
  <c r="AJ22" i="3"/>
  <c r="AJ72" i="3"/>
  <c r="AJ28" i="3"/>
  <c r="AJ24" i="3"/>
  <c r="AJ114" i="3"/>
  <c r="AJ70" i="3"/>
  <c r="AJ54" i="3"/>
  <c r="AJ41" i="3"/>
  <c r="AJ37" i="3"/>
  <c r="AJ33" i="3"/>
  <c r="AJ29" i="3"/>
  <c r="AJ25" i="3"/>
  <c r="AJ21" i="3"/>
  <c r="AJ42" i="3"/>
  <c r="AJ40" i="3"/>
  <c r="AJ36" i="3"/>
  <c r="AJ20" i="3"/>
  <c r="BD97" i="11"/>
  <c r="H35" i="8"/>
  <c r="J119" i="17"/>
  <c r="K118" i="17"/>
  <c r="K123" i="16"/>
  <c r="L41" i="18"/>
  <c r="E42" i="18"/>
  <c r="P41" i="18"/>
  <c r="E42" i="19"/>
  <c r="P41" i="19"/>
  <c r="L41" i="19"/>
  <c r="E102" i="1"/>
  <c r="B217" i="1"/>
  <c r="B251" i="1"/>
  <c r="B286" i="1" s="1"/>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AT20" i="3"/>
  <c r="AT24" i="3"/>
  <c r="AT28" i="3"/>
  <c r="AT32" i="3"/>
  <c r="AT36" i="3"/>
  <c r="AT40" i="3"/>
  <c r="AT44" i="3"/>
  <c r="AT48" i="3"/>
  <c r="AT52" i="3"/>
  <c r="AT56" i="3"/>
  <c r="AT60" i="3"/>
  <c r="AT64" i="3"/>
  <c r="AT68" i="3"/>
  <c r="AT72" i="3"/>
  <c r="AT76" i="3"/>
  <c r="AT80" i="3"/>
  <c r="AT84" i="3"/>
  <c r="AT88" i="3"/>
  <c r="AT92" i="3"/>
  <c r="AT96" i="3"/>
  <c r="AT100" i="3"/>
  <c r="AT104" i="3"/>
  <c r="AT108" i="3"/>
  <c r="AT112" i="3"/>
  <c r="AT116" i="3"/>
  <c r="AT19"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F79" i="4"/>
  <c r="C85" i="7"/>
  <c r="G79" i="4"/>
  <c r="D85" i="7"/>
  <c r="C151" i="1"/>
  <c r="R150" i="1"/>
  <c r="H150" i="1"/>
  <c r="E101" i="1"/>
  <c r="E9" i="3"/>
  <c r="Z22" i="3"/>
  <c r="Z73" i="3"/>
  <c r="Z53" i="3"/>
  <c r="Z117" i="3"/>
  <c r="Z33" i="3"/>
  <c r="Z97" i="3"/>
  <c r="Z113" i="3"/>
  <c r="Z89" i="3"/>
  <c r="Z69" i="3"/>
  <c r="Z49" i="3"/>
  <c r="Z25" i="3"/>
  <c r="Z105" i="3"/>
  <c r="Z85" i="3"/>
  <c r="Z65" i="3"/>
  <c r="Z41" i="3"/>
  <c r="Z21" i="3"/>
  <c r="Z101" i="3"/>
  <c r="Z81" i="3"/>
  <c r="Z57" i="3"/>
  <c r="Z37" i="3"/>
  <c r="Z109" i="3"/>
  <c r="Z93" i="3"/>
  <c r="Z77" i="3"/>
  <c r="Z61" i="3"/>
  <c r="Z45" i="3"/>
  <c r="Z29" i="3"/>
  <c r="Z19" i="3"/>
  <c r="Z116" i="3"/>
  <c r="Z112" i="3"/>
  <c r="Z108" i="3"/>
  <c r="Z104" i="3"/>
  <c r="Z100" i="3"/>
  <c r="Z96" i="3"/>
  <c r="Z92" i="3"/>
  <c r="Z88" i="3"/>
  <c r="Z84" i="3"/>
  <c r="Z80" i="3"/>
  <c r="Z76" i="3"/>
  <c r="Z72" i="3"/>
  <c r="Z68" i="3"/>
  <c r="Z64" i="3"/>
  <c r="Z60" i="3"/>
  <c r="Z56" i="3"/>
  <c r="Z52" i="3"/>
  <c r="Z48" i="3"/>
  <c r="Z44" i="3"/>
  <c r="Z40" i="3"/>
  <c r="Z36" i="3"/>
  <c r="Z32" i="3"/>
  <c r="Z28" i="3"/>
  <c r="Z24" i="3"/>
  <c r="Z20" i="3"/>
  <c r="Z119" i="3"/>
  <c r="Z115" i="3"/>
  <c r="Z111" i="3"/>
  <c r="Z107" i="3"/>
  <c r="Z103" i="3"/>
  <c r="Z99" i="3"/>
  <c r="Z95" i="3"/>
  <c r="Z91" i="3"/>
  <c r="Z87" i="3"/>
  <c r="Z83" i="3"/>
  <c r="Z79" i="3"/>
  <c r="Z75" i="3"/>
  <c r="Z71" i="3"/>
  <c r="Z67" i="3"/>
  <c r="Z63" i="3"/>
  <c r="Z59" i="3"/>
  <c r="Z55" i="3"/>
  <c r="Z51" i="3"/>
  <c r="Z47" i="3"/>
  <c r="Z43" i="3"/>
  <c r="Z39" i="3"/>
  <c r="Z35" i="3"/>
  <c r="Z31" i="3"/>
  <c r="Z27" i="3"/>
  <c r="Z23" i="3"/>
  <c r="Z118" i="3"/>
  <c r="Z114" i="3"/>
  <c r="Z110" i="3"/>
  <c r="Z106" i="3"/>
  <c r="Z102" i="3"/>
  <c r="Z98" i="3"/>
  <c r="Z94" i="3"/>
  <c r="Z90" i="3"/>
  <c r="Z86" i="3"/>
  <c r="Z82" i="3"/>
  <c r="Z78" i="3"/>
  <c r="Z74" i="3"/>
  <c r="Z70" i="3"/>
  <c r="Z66" i="3"/>
  <c r="Z62" i="3"/>
  <c r="Z58" i="3"/>
  <c r="Z54" i="3"/>
  <c r="Z50" i="3"/>
  <c r="Z46" i="3"/>
  <c r="Z42" i="3"/>
  <c r="Z38" i="3"/>
  <c r="Z34" i="3"/>
  <c r="Z30" i="3"/>
  <c r="Z26" i="3"/>
  <c r="F102" i="1" l="1"/>
  <c r="D11" i="19"/>
  <c r="D11" i="18"/>
  <c r="BL96" i="17"/>
  <c r="BL97" i="11"/>
  <c r="D10" i="3"/>
  <c r="E10" i="3"/>
  <c r="O48" i="19"/>
  <c r="O48" i="18"/>
  <c r="D11" i="3"/>
  <c r="H36" i="8"/>
  <c r="K124" i="16"/>
  <c r="L42" i="19"/>
  <c r="E43" i="19"/>
  <c r="P42" i="19"/>
  <c r="L42" i="18"/>
  <c r="E43" i="18"/>
  <c r="P42" i="18"/>
  <c r="J120" i="17"/>
  <c r="K119" i="17"/>
  <c r="E11" i="3"/>
  <c r="B218" i="1"/>
  <c r="B252" i="1"/>
  <c r="B287" i="1" s="1"/>
  <c r="G80" i="4"/>
  <c r="D86" i="7"/>
  <c r="F80" i="4"/>
  <c r="C86" i="7"/>
  <c r="H151" i="1"/>
  <c r="C152" i="1"/>
  <c r="R151" i="1"/>
  <c r="H37" i="8"/>
  <c r="E11" i="19" l="1"/>
  <c r="E11" i="18"/>
  <c r="AV28" i="18"/>
  <c r="AV30" i="18"/>
  <c r="AV46" i="18"/>
  <c r="AV61" i="18"/>
  <c r="AV75" i="18"/>
  <c r="AV85" i="18"/>
  <c r="AV22" i="18"/>
  <c r="AV36" i="18"/>
  <c r="AV81" i="18"/>
  <c r="AV32" i="18"/>
  <c r="AV48" i="18"/>
  <c r="AV72" i="18"/>
  <c r="AV86" i="18"/>
  <c r="AV27" i="18"/>
  <c r="AV44" i="18"/>
  <c r="AV73" i="18"/>
  <c r="AV82" i="18"/>
  <c r="AV80" i="18"/>
  <c r="AV42" i="18"/>
  <c r="AV55" i="18"/>
  <c r="AV21" i="18"/>
  <c r="AV60" i="18"/>
  <c r="AV19" i="18"/>
  <c r="AX19" i="18" s="1"/>
  <c r="AV33" i="18"/>
  <c r="AV70" i="18"/>
  <c r="AV45" i="18"/>
  <c r="AV31" i="18"/>
  <c r="AV41" i="18"/>
  <c r="AV84" i="18"/>
  <c r="AV43" i="18"/>
  <c r="AV37" i="18"/>
  <c r="AV53" i="18"/>
  <c r="AV23" i="18"/>
  <c r="AV35" i="18"/>
  <c r="AV39" i="18"/>
  <c r="AV51" i="18"/>
  <c r="AV49" i="18"/>
  <c r="AV25" i="18"/>
  <c r="AV62" i="18"/>
  <c r="AV47" i="18"/>
  <c r="AV64" i="18"/>
  <c r="AV58" i="18"/>
  <c r="AV78" i="18"/>
  <c r="AV52" i="18"/>
  <c r="AV69" i="18"/>
  <c r="AV20" i="18"/>
  <c r="AV38" i="18"/>
  <c r="AV54" i="18"/>
  <c r="AV76" i="18"/>
  <c r="AV71" i="18"/>
  <c r="AV83" i="18"/>
  <c r="AV59" i="18"/>
  <c r="AV26" i="18"/>
  <c r="AV40" i="18"/>
  <c r="AV56" i="18"/>
  <c r="AV63" i="18"/>
  <c r="AV77" i="18"/>
  <c r="AW19" i="18"/>
  <c r="AY19" i="18" s="1"/>
  <c r="AZ19" i="18" s="1"/>
  <c r="AV24" i="18"/>
  <c r="AV34" i="18"/>
  <c r="AV50" i="18"/>
  <c r="AV74" i="18"/>
  <c r="AV79" i="18"/>
  <c r="AV29" i="18"/>
  <c r="AV57" i="18"/>
  <c r="O49" i="19"/>
  <c r="O49" i="18"/>
  <c r="AV52" i="19"/>
  <c r="AV55" i="19"/>
  <c r="AV30" i="19"/>
  <c r="AV25" i="19"/>
  <c r="AV40" i="19"/>
  <c r="AV59" i="19"/>
  <c r="AV23" i="19"/>
  <c r="AV82" i="19"/>
  <c r="AV85" i="19"/>
  <c r="AV46" i="19"/>
  <c r="AV84" i="19"/>
  <c r="AV42" i="19"/>
  <c r="AV61" i="19"/>
  <c r="AV83" i="19"/>
  <c r="AV29" i="19"/>
  <c r="AV49" i="19"/>
  <c r="AV73" i="19"/>
  <c r="AV62" i="19"/>
  <c r="AV80" i="19"/>
  <c r="AV56" i="19"/>
  <c r="AV45" i="19"/>
  <c r="AV64" i="19"/>
  <c r="AV69" i="19"/>
  <c r="AV20" i="19"/>
  <c r="AV41" i="19"/>
  <c r="AV78" i="19"/>
  <c r="AW19" i="19"/>
  <c r="AY19" i="19" s="1"/>
  <c r="AZ19" i="19" s="1"/>
  <c r="AV35" i="19"/>
  <c r="AV72" i="19"/>
  <c r="AV39" i="19"/>
  <c r="AV58" i="19"/>
  <c r="AV71" i="19"/>
  <c r="AV76" i="19"/>
  <c r="AV36" i="19"/>
  <c r="AV27" i="19"/>
  <c r="AV54" i="19"/>
  <c r="AV32" i="19"/>
  <c r="AV48" i="19"/>
  <c r="AV86" i="19"/>
  <c r="AV81" i="19"/>
  <c r="AV44" i="19"/>
  <c r="AV63" i="19"/>
  <c r="AV19" i="19"/>
  <c r="AX19" i="19" s="1"/>
  <c r="AV38" i="19"/>
  <c r="AV57" i="19"/>
  <c r="AV34" i="19"/>
  <c r="AV50" i="19"/>
  <c r="AV21" i="19"/>
  <c r="AV70" i="19"/>
  <c r="AV75" i="19"/>
  <c r="AV24" i="19"/>
  <c r="AV37" i="19"/>
  <c r="AV53" i="19"/>
  <c r="AV77" i="19"/>
  <c r="AV33" i="19"/>
  <c r="AV22" i="19"/>
  <c r="AV26" i="19"/>
  <c r="AV74" i="19"/>
  <c r="AV60" i="19"/>
  <c r="AV79" i="19"/>
  <c r="AV51" i="19"/>
  <c r="AV31" i="19"/>
  <c r="AV43" i="19"/>
  <c r="AV28" i="19"/>
  <c r="AV47" i="19"/>
  <c r="E44" i="18"/>
  <c r="P43" i="18"/>
  <c r="L43" i="18"/>
  <c r="P43" i="19"/>
  <c r="E44" i="19"/>
  <c r="L43" i="19"/>
  <c r="J121" i="17"/>
  <c r="K120" i="17"/>
  <c r="K125" i="16"/>
  <c r="B219" i="1"/>
  <c r="B253" i="1"/>
  <c r="B288" i="1" s="1"/>
  <c r="F81" i="4"/>
  <c r="C87" i="7"/>
  <c r="G81" i="4"/>
  <c r="D87" i="7"/>
  <c r="C153" i="1"/>
  <c r="R152" i="1"/>
  <c r="H152" i="1"/>
  <c r="BK19" i="18" l="1"/>
  <c r="BD19" i="18"/>
  <c r="BD19" i="19"/>
  <c r="BK19" i="19"/>
  <c r="O50" i="19"/>
  <c r="O50" i="18"/>
  <c r="P44" i="18"/>
  <c r="E45" i="18"/>
  <c r="L44" i="18"/>
  <c r="H38" i="8"/>
  <c r="K126" i="16"/>
  <c r="J122" i="17"/>
  <c r="K121" i="17"/>
  <c r="L44" i="19"/>
  <c r="P44" i="19"/>
  <c r="E45" i="19"/>
  <c r="B220" i="1"/>
  <c r="B254" i="1"/>
  <c r="B289" i="1" s="1"/>
  <c r="G82" i="4"/>
  <c r="D88" i="7"/>
  <c r="F82" i="4"/>
  <c r="C88" i="7"/>
  <c r="H153" i="1"/>
  <c r="C154" i="1"/>
  <c r="R153" i="1"/>
  <c r="O51" i="19" l="1"/>
  <c r="O51" i="18"/>
  <c r="H39" i="8"/>
  <c r="P45" i="19"/>
  <c r="E46" i="19"/>
  <c r="L45" i="19"/>
  <c r="J123" i="17"/>
  <c r="K122" i="17"/>
  <c r="K127" i="16"/>
  <c r="E46" i="18"/>
  <c r="L45" i="18"/>
  <c r="P45" i="18"/>
  <c r="B221" i="1"/>
  <c r="B255" i="1"/>
  <c r="B290" i="1" s="1"/>
  <c r="F83" i="4"/>
  <c r="C89" i="7"/>
  <c r="G83" i="4"/>
  <c r="D89" i="7"/>
  <c r="C155" i="1"/>
  <c r="R154" i="1"/>
  <c r="H154" i="1"/>
  <c r="O52" i="19" l="1"/>
  <c r="O52" i="18"/>
  <c r="J124" i="17"/>
  <c r="K123" i="17"/>
  <c r="K128" i="16"/>
  <c r="E47" i="19"/>
  <c r="L46" i="19"/>
  <c r="P46" i="19"/>
  <c r="H40" i="8"/>
  <c r="E47" i="18"/>
  <c r="P46" i="18"/>
  <c r="L46"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O53" i="19" l="1"/>
  <c r="O53" i="18"/>
  <c r="J125" i="17"/>
  <c r="K124" i="17"/>
  <c r="H41" i="8"/>
  <c r="E48" i="18"/>
  <c r="L47" i="18"/>
  <c r="P47" i="18"/>
  <c r="E48" i="19"/>
  <c r="L47" i="19"/>
  <c r="P47" i="19"/>
  <c r="K129" i="16"/>
  <c r="H202" i="1"/>
  <c r="R202" i="1"/>
  <c r="E203" i="1"/>
  <c r="F85" i="4"/>
  <c r="C91" i="7"/>
  <c r="G85" i="4"/>
  <c r="D91" i="7"/>
  <c r="C157" i="1"/>
  <c r="R156" i="1"/>
  <c r="H156" i="1"/>
  <c r="O54" i="19" l="1"/>
  <c r="O54" i="18"/>
  <c r="E49" i="18"/>
  <c r="L48" i="18"/>
  <c r="P48" i="18"/>
  <c r="H42" i="8"/>
  <c r="L48" i="19"/>
  <c r="E49" i="19"/>
  <c r="P48" i="19"/>
  <c r="J126" i="17"/>
  <c r="K125" i="17"/>
  <c r="O100"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O55" i="19" l="1"/>
  <c r="O55" i="18"/>
  <c r="E50" i="19"/>
  <c r="L49" i="19"/>
  <c r="P49" i="19"/>
  <c r="J127" i="17"/>
  <c r="K126" i="17"/>
  <c r="E50" i="18"/>
  <c r="L49" i="18"/>
  <c r="P49" i="18"/>
  <c r="I203" i="7"/>
  <c r="I199" i="7"/>
  <c r="I195" i="7"/>
  <c r="I202" i="7"/>
  <c r="I198" i="7"/>
  <c r="I194" i="7"/>
  <c r="I205" i="7"/>
  <c r="I201" i="7"/>
  <c r="I197" i="7"/>
  <c r="I204" i="7"/>
  <c r="I200" i="7"/>
  <c r="I196" i="7"/>
  <c r="O101"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H44" i="17" l="1"/>
  <c r="H44" i="11"/>
  <c r="H44" i="16"/>
  <c r="L44" i="17"/>
  <c r="L45" i="17" s="1"/>
  <c r="L46" i="17" s="1"/>
  <c r="L47" i="17" s="1"/>
  <c r="P206"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M44" i="11"/>
  <c r="M45" i="11" s="1"/>
  <c r="M46" i="11" s="1"/>
  <c r="M47" i="11" s="1"/>
  <c r="M44" i="16"/>
  <c r="M45" i="16" s="1"/>
  <c r="M46" i="16" s="1"/>
  <c r="M47" i="16" s="1"/>
  <c r="G44" i="17"/>
  <c r="G44" i="16"/>
  <c r="G44" i="11"/>
  <c r="E44" i="17"/>
  <c r="E44" i="16"/>
  <c r="E44" i="11"/>
  <c r="V44" i="17"/>
  <c r="S45" i="17" s="1"/>
  <c r="S46" i="17" s="1"/>
  <c r="S47" i="17" s="1"/>
  <c r="V206" i="7" s="1"/>
  <c r="V44" i="11"/>
  <c r="V44" i="16"/>
  <c r="R44" i="17"/>
  <c r="R45" i="17" s="1"/>
  <c r="R46" i="17" s="1"/>
  <c r="R47" i="17" s="1"/>
  <c r="U206" i="7" s="1"/>
  <c r="R44" i="11"/>
  <c r="R44" i="16"/>
  <c r="U44" i="17"/>
  <c r="U44" i="16"/>
  <c r="U44" i="11"/>
  <c r="S44" i="17"/>
  <c r="S44" i="11"/>
  <c r="S44" i="16"/>
  <c r="T44" i="17"/>
  <c r="T45" i="17" s="1"/>
  <c r="T46" i="17" s="1"/>
  <c r="T47" i="17" s="1"/>
  <c r="T44" i="16"/>
  <c r="T44" i="11"/>
  <c r="O56" i="19"/>
  <c r="O56"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O44" i="16"/>
  <c r="O45" i="16" s="1"/>
  <c r="O46" i="16" s="1"/>
  <c r="O47" i="16" s="1"/>
  <c r="O44" i="11"/>
  <c r="O45" i="11" s="1"/>
  <c r="O46" i="11" s="1"/>
  <c r="O47" i="11" s="1"/>
  <c r="Q44" i="17"/>
  <c r="Q44" i="16"/>
  <c r="Q44" i="11"/>
  <c r="P50" i="18"/>
  <c r="L50" i="18"/>
  <c r="E51" i="18"/>
  <c r="L50" i="19"/>
  <c r="P50" i="19"/>
  <c r="E51" i="19"/>
  <c r="J128" i="17"/>
  <c r="K127" i="17"/>
  <c r="Q207" i="7"/>
  <c r="S207" i="7"/>
  <c r="P207" i="7"/>
  <c r="O102" i="3"/>
  <c r="H205" i="1"/>
  <c r="R205" i="1"/>
  <c r="E206" i="1"/>
  <c r="W44" i="17"/>
  <c r="C45" i="17"/>
  <c r="C46" i="17" s="1"/>
  <c r="C47" i="17" s="1"/>
  <c r="J45" i="17"/>
  <c r="F45" i="17"/>
  <c r="F46" i="17" s="1"/>
  <c r="F47" i="17" s="1"/>
  <c r="K206" i="7" s="1"/>
  <c r="O172" i="7"/>
  <c r="R172" i="7"/>
  <c r="Q172" i="7"/>
  <c r="P172" i="7"/>
  <c r="P173" i="7" s="1"/>
  <c r="G88" i="4"/>
  <c r="D94" i="7"/>
  <c r="F88" i="4"/>
  <c r="C94" i="7"/>
  <c r="C160" i="1"/>
  <c r="R159" i="1"/>
  <c r="H159" i="1"/>
  <c r="B45" i="8"/>
  <c r="C19"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6" i="3"/>
  <c r="AV26" i="3" s="1"/>
  <c r="AU20" i="3"/>
  <c r="AV20"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7" i="3"/>
  <c r="AV27" i="3" s="1"/>
  <c r="AU25" i="3"/>
  <c r="AV25" i="3" s="1"/>
  <c r="AU24" i="3"/>
  <c r="AV24" i="3" s="1"/>
  <c r="AU23" i="3"/>
  <c r="AV23" i="3" s="1"/>
  <c r="AU22" i="3"/>
  <c r="AV22" i="3" s="1"/>
  <c r="AU21" i="3"/>
  <c r="AV21" i="3" s="1"/>
  <c r="AU19" i="3"/>
  <c r="A50" i="4"/>
  <c r="B19" i="3"/>
  <c r="C10" i="8"/>
  <c r="D63" i="1"/>
  <c r="C11" i="8" s="1"/>
  <c r="C5" i="8"/>
  <c r="C9" i="8"/>
  <c r="D58" i="1"/>
  <c r="C6" i="8" s="1"/>
  <c r="C7" i="8"/>
  <c r="B18" i="8"/>
  <c r="C4" i="8"/>
  <c r="B33" i="3"/>
  <c r="O33" i="3"/>
  <c r="D96" i="1"/>
  <c r="D100" i="1"/>
  <c r="B32" i="3"/>
  <c r="O32" i="3"/>
  <c r="B31" i="3"/>
  <c r="B30" i="3"/>
  <c r="O30" i="3"/>
  <c r="B29" i="3"/>
  <c r="O29" i="3"/>
  <c r="B28" i="3"/>
  <c r="O28" i="3"/>
  <c r="B27" i="3"/>
  <c r="B26" i="3"/>
  <c r="O26" i="3"/>
  <c r="B25" i="3"/>
  <c r="O25" i="3"/>
  <c r="B24" i="3"/>
  <c r="O24" i="3"/>
  <c r="B23" i="3"/>
  <c r="O23" i="3"/>
  <c r="B22" i="3"/>
  <c r="O22" i="3"/>
  <c r="B21" i="3"/>
  <c r="O21" i="3"/>
  <c r="B20" i="3"/>
  <c r="O19" i="3"/>
  <c r="C11" i="3"/>
  <c r="B34" i="3"/>
  <c r="O34" i="3"/>
  <c r="B35" i="3"/>
  <c r="B36" i="3"/>
  <c r="O36" i="3"/>
  <c r="B37" i="3"/>
  <c r="O37" i="3"/>
  <c r="B38" i="3"/>
  <c r="O38" i="3"/>
  <c r="B39" i="3"/>
  <c r="B40" i="3"/>
  <c r="O40" i="3"/>
  <c r="B41" i="3"/>
  <c r="O41" i="3"/>
  <c r="B42" i="3"/>
  <c r="O42" i="3"/>
  <c r="B43" i="3"/>
  <c r="B44" i="3"/>
  <c r="O44" i="3"/>
  <c r="B45" i="3"/>
  <c r="O45" i="3"/>
  <c r="B46" i="3"/>
  <c r="O46" i="3"/>
  <c r="B47" i="3"/>
  <c r="O47" i="3"/>
  <c r="B48" i="3"/>
  <c r="O48" i="3"/>
  <c r="B49" i="3"/>
  <c r="O49" i="3"/>
  <c r="B50" i="3"/>
  <c r="O50" i="3"/>
  <c r="B51" i="3"/>
  <c r="O51" i="3"/>
  <c r="B52" i="3"/>
  <c r="O52" i="3"/>
  <c r="B53" i="3"/>
  <c r="O53" i="3"/>
  <c r="B54" i="3"/>
  <c r="O54" i="3"/>
  <c r="B55" i="3"/>
  <c r="O55" i="3"/>
  <c r="B56" i="3"/>
  <c r="O56" i="3"/>
  <c r="B57" i="3"/>
  <c r="B58" i="3"/>
  <c r="B59" i="3"/>
  <c r="B60" i="3"/>
  <c r="B61" i="3"/>
  <c r="B62" i="3"/>
  <c r="B63" i="3"/>
  <c r="B64" i="3"/>
  <c r="B65" i="3"/>
  <c r="B66" i="3"/>
  <c r="B67" i="3"/>
  <c r="B68" i="3"/>
  <c r="B69" i="3"/>
  <c r="B70" i="3"/>
  <c r="B71" i="3"/>
  <c r="B72" i="3"/>
  <c r="B73" i="3"/>
  <c r="B74" i="3"/>
  <c r="B75" i="3"/>
  <c r="B76" i="3"/>
  <c r="B77" i="3"/>
  <c r="B78" i="3"/>
  <c r="B79" i="3"/>
  <c r="B80" i="3"/>
  <c r="B23" i="2"/>
  <c r="B21" i="2"/>
  <c r="D51" i="1"/>
  <c r="C52" i="7" s="1"/>
  <c r="D36" i="1"/>
  <c r="C37" i="7" s="1"/>
  <c r="D37" i="1"/>
  <c r="C38" i="7" s="1"/>
  <c r="D38" i="1"/>
  <c r="C39" i="7" s="1"/>
  <c r="D39" i="1"/>
  <c r="C40" i="7" s="1"/>
  <c r="D40" i="1"/>
  <c r="C41" i="7" s="1"/>
  <c r="D41" i="1"/>
  <c r="C42" i="7" s="1"/>
  <c r="A19" i="19" l="1"/>
  <c r="A6" i="10"/>
  <c r="AK6" i="10" s="1"/>
  <c r="D45" i="17"/>
  <c r="D46" i="17" s="1"/>
  <c r="D47" i="17" s="1"/>
  <c r="I206" i="7" s="1"/>
  <c r="I44" i="17"/>
  <c r="Q45" i="17"/>
  <c r="E45" i="17"/>
  <c r="E46" i="17" s="1"/>
  <c r="E47" i="17" s="1"/>
  <c r="J206" i="7" s="1"/>
  <c r="J207" i="7" s="1"/>
  <c r="P44" i="17"/>
  <c r="U45" i="17"/>
  <c r="U46" i="17" s="1"/>
  <c r="U47" i="17" s="1"/>
  <c r="X206" i="7" s="1"/>
  <c r="S172" i="7"/>
  <c r="O57" i="3"/>
  <c r="O57" i="19"/>
  <c r="O57"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2" i="19"/>
  <c r="P51" i="19"/>
  <c r="L51" i="19"/>
  <c r="J129" i="17"/>
  <c r="K128" i="17"/>
  <c r="L51" i="18"/>
  <c r="P51" i="18"/>
  <c r="E52" i="18"/>
  <c r="I207" i="7"/>
  <c r="P208" i="7"/>
  <c r="R208" i="7"/>
  <c r="X207" i="7"/>
  <c r="W206" i="7"/>
  <c r="U207" i="7"/>
  <c r="Q208" i="7"/>
  <c r="L207" i="7"/>
  <c r="V207" i="7"/>
  <c r="S208" i="7"/>
  <c r="O208" i="7"/>
  <c r="K207" i="7"/>
  <c r="H206" i="7"/>
  <c r="A19" i="18"/>
  <c r="O103" i="3"/>
  <c r="R206" i="1"/>
  <c r="H206" i="1"/>
  <c r="E207" i="1"/>
  <c r="D51" i="17"/>
  <c r="Q46" i="17"/>
  <c r="W45" i="17"/>
  <c r="J46" i="17"/>
  <c r="P45" i="17"/>
  <c r="C19" i="7"/>
  <c r="P158" i="7"/>
  <c r="S158" i="7"/>
  <c r="O158" i="7"/>
  <c r="Q158" i="7"/>
  <c r="R158" i="7"/>
  <c r="Q173" i="7"/>
  <c r="R173" i="7"/>
  <c r="P174" i="7"/>
  <c r="K172" i="7"/>
  <c r="S173" i="7"/>
  <c r="O173" i="7"/>
  <c r="V158" i="7"/>
  <c r="X158" i="7"/>
  <c r="V172" i="7"/>
  <c r="L172" i="7"/>
  <c r="E19" i="7"/>
  <c r="G19" i="7"/>
  <c r="D19" i="7"/>
  <c r="H19" i="7"/>
  <c r="F19" i="7"/>
  <c r="F89" i="4"/>
  <c r="C95" i="7"/>
  <c r="G89" i="4"/>
  <c r="D95" i="7"/>
  <c r="C161" i="1"/>
  <c r="R160" i="1"/>
  <c r="H160" i="1"/>
  <c r="Q19" i="3"/>
  <c r="O43" i="3"/>
  <c r="O39" i="3"/>
  <c r="O35" i="3"/>
  <c r="O27" i="3"/>
  <c r="O31" i="3"/>
  <c r="O20" i="3"/>
  <c r="AW19" i="3"/>
  <c r="AY19" i="3" s="1"/>
  <c r="AZ19" i="3" s="1"/>
  <c r="AV19" i="3"/>
  <c r="AX19"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P41" i="3"/>
  <c r="L42" i="3"/>
  <c r="L38" i="3"/>
  <c r="L37" i="3"/>
  <c r="L25" i="3"/>
  <c r="L32" i="3"/>
  <c r="L33" i="3"/>
  <c r="AD20" i="8"/>
  <c r="M20" i="8"/>
  <c r="W20" i="8"/>
  <c r="L43" i="3"/>
  <c r="A19" i="3"/>
  <c r="A20" i="8"/>
  <c r="L34" i="3"/>
  <c r="L20" i="3"/>
  <c r="P20" i="8"/>
  <c r="L20" i="8"/>
  <c r="V20" i="8"/>
  <c r="AC20" i="8"/>
  <c r="O20" i="8"/>
  <c r="U20" i="8"/>
  <c r="AF20" i="8"/>
  <c r="AB20" i="8"/>
  <c r="L41" i="3"/>
  <c r="P40" i="3"/>
  <c r="P26" i="3"/>
  <c r="N20" i="8"/>
  <c r="X20" i="8"/>
  <c r="T20" i="8"/>
  <c r="AE20" i="8"/>
  <c r="L28" i="3"/>
  <c r="L26" i="3"/>
  <c r="L39" i="3"/>
  <c r="L22" i="3"/>
  <c r="L35" i="3"/>
  <c r="P36" i="3"/>
  <c r="L24" i="3"/>
  <c r="L30" i="3"/>
  <c r="L45" i="3"/>
  <c r="P45" i="3"/>
  <c r="P44" i="3"/>
  <c r="P21" i="3"/>
  <c r="P29" i="3"/>
  <c r="P37" i="3"/>
  <c r="U21" i="8"/>
  <c r="AF21" i="8"/>
  <c r="K20" i="8"/>
  <c r="L21" i="3"/>
  <c r="L19" i="3"/>
  <c r="P23" i="3"/>
  <c r="L23" i="3"/>
  <c r="P25" i="3"/>
  <c r="P27" i="3"/>
  <c r="L27" i="3"/>
  <c r="P31" i="3"/>
  <c r="L31" i="3"/>
  <c r="L29" i="3"/>
  <c r="P22" i="3"/>
  <c r="P30" i="3"/>
  <c r="L44" i="3"/>
  <c r="L40" i="3"/>
  <c r="L36" i="3"/>
  <c r="P42" i="3"/>
  <c r="P38" i="3"/>
  <c r="P34" i="3"/>
  <c r="P43" i="3"/>
  <c r="P39" i="3"/>
  <c r="P35" i="3"/>
  <c r="P20" i="3"/>
  <c r="P24" i="3"/>
  <c r="P28" i="3"/>
  <c r="P32" i="3"/>
  <c r="P33" i="3"/>
  <c r="A57" i="7"/>
  <c r="A51" i="4"/>
  <c r="AD21" i="8"/>
  <c r="W21" i="8"/>
  <c r="S21" i="8"/>
  <c r="P21" i="8"/>
  <c r="L21" i="8"/>
  <c r="AE21" i="8"/>
  <c r="AA21" i="8"/>
  <c r="X21" i="8"/>
  <c r="T21" i="8"/>
  <c r="A20" i="19" l="1"/>
  <c r="A7" i="10"/>
  <c r="AK7" i="10" s="1"/>
  <c r="W158" i="7"/>
  <c r="I45" i="17"/>
  <c r="I47" i="17"/>
  <c r="J172" i="7"/>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0" i="19"/>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20" i="18"/>
  <c r="AX21" i="18" s="1"/>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O58" i="19"/>
  <c r="O58" i="18"/>
  <c r="J46" i="16"/>
  <c r="P45" i="16"/>
  <c r="BK19" i="3"/>
  <c r="BD19" i="3"/>
  <c r="H46" i="8"/>
  <c r="C20" i="19"/>
  <c r="N20" i="19" s="1"/>
  <c r="Q20" i="19" s="1"/>
  <c r="C20" i="18"/>
  <c r="N20" i="18" s="1"/>
  <c r="Q20" i="18" s="1"/>
  <c r="P52" i="18"/>
  <c r="L52" i="18"/>
  <c r="E53" i="18"/>
  <c r="K129" i="17"/>
  <c r="E53" i="19"/>
  <c r="L52" i="19"/>
  <c r="P52" i="19"/>
  <c r="P46" i="17"/>
  <c r="J47" i="17"/>
  <c r="V208" i="7"/>
  <c r="Q209" i="7"/>
  <c r="U208" i="7"/>
  <c r="U209" i="7" s="1"/>
  <c r="W207" i="7"/>
  <c r="S209" i="7"/>
  <c r="L208" i="7"/>
  <c r="R209" i="7"/>
  <c r="W46" i="17"/>
  <c r="Q47" i="17"/>
  <c r="K208" i="7"/>
  <c r="O209" i="7"/>
  <c r="X208" i="7"/>
  <c r="P209" i="7"/>
  <c r="I208" i="7"/>
  <c r="H207" i="7"/>
  <c r="J208" i="7"/>
  <c r="A20" i="18"/>
  <c r="O104" i="3"/>
  <c r="H207" i="1"/>
  <c r="R207" i="1"/>
  <c r="E208" i="1"/>
  <c r="I46" i="17"/>
  <c r="D52" i="17"/>
  <c r="D206" i="7" s="1"/>
  <c r="O174" i="7"/>
  <c r="J173" i="7"/>
  <c r="J158" i="7"/>
  <c r="I173" i="7"/>
  <c r="I158" i="7"/>
  <c r="P175" i="7"/>
  <c r="Q174" i="7"/>
  <c r="L173" i="7"/>
  <c r="L158" i="7"/>
  <c r="K173" i="7"/>
  <c r="R174" i="7"/>
  <c r="U172" i="7"/>
  <c r="U173" i="7" s="1"/>
  <c r="V173" i="7"/>
  <c r="K158" i="7"/>
  <c r="S174" i="7"/>
  <c r="AS158" i="7"/>
  <c r="I19" i="7"/>
  <c r="D51" i="11"/>
  <c r="F130" i="11" s="1"/>
  <c r="D51" i="16"/>
  <c r="H172" i="7"/>
  <c r="G90" i="4"/>
  <c r="D96" i="7"/>
  <c r="F90" i="4"/>
  <c r="C96" i="7"/>
  <c r="AU58" i="3"/>
  <c r="AV58" i="3" s="1"/>
  <c r="O58" i="3"/>
  <c r="C162" i="1"/>
  <c r="H161" i="1"/>
  <c r="R161" i="1"/>
  <c r="B47" i="8"/>
  <c r="AG20" i="8"/>
  <c r="AH20" i="8" s="1"/>
  <c r="AW21" i="3"/>
  <c r="AW24" i="3"/>
  <c r="AW28" i="3"/>
  <c r="AW29" i="3"/>
  <c r="AW27" i="3"/>
  <c r="AW26" i="3"/>
  <c r="AW20" i="3"/>
  <c r="AY20" i="3" s="1"/>
  <c r="AZ20" i="3" s="1"/>
  <c r="AW23" i="3"/>
  <c r="AW22" i="3"/>
  <c r="AW25" i="3"/>
  <c r="AX20" i="3"/>
  <c r="AW30"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0" i="3"/>
  <c r="N20" i="3" s="1"/>
  <c r="Q20" i="3" s="1"/>
  <c r="A58" i="7"/>
  <c r="A52" i="4"/>
  <c r="A20" i="3"/>
  <c r="A21" i="8"/>
  <c r="A21" i="19" l="1"/>
  <c r="A8" i="10"/>
  <c r="AK8" i="10" s="1"/>
  <c r="W46" i="16"/>
  <c r="Q47" i="16"/>
  <c r="W47" i="16" s="1"/>
  <c r="I46" i="11"/>
  <c r="C47" i="11"/>
  <c r="I47" i="11" s="1"/>
  <c r="P46" i="11"/>
  <c r="J47" i="11"/>
  <c r="P47" i="11" s="1"/>
  <c r="H47" i="8"/>
  <c r="AW70" i="18"/>
  <c r="AW25" i="18"/>
  <c r="AY25" i="18" s="1"/>
  <c r="AZ25" i="18" s="1"/>
  <c r="AW29" i="18"/>
  <c r="AY29" i="18" s="1"/>
  <c r="AZ29" i="18" s="1"/>
  <c r="AW45" i="18"/>
  <c r="AY45" i="18" s="1"/>
  <c r="AZ45" i="18" s="1"/>
  <c r="AW62" i="18"/>
  <c r="AY62" i="18" s="1"/>
  <c r="AZ62" i="18" s="1"/>
  <c r="AW31" i="18"/>
  <c r="AY31" i="18" s="1"/>
  <c r="AZ31" i="18" s="1"/>
  <c r="AW47" i="18"/>
  <c r="AY47" i="18" s="1"/>
  <c r="AZ47" i="18" s="1"/>
  <c r="AW64" i="18"/>
  <c r="AY64" i="18" s="1"/>
  <c r="AZ64" i="18" s="1"/>
  <c r="AW41" i="18"/>
  <c r="AY41" i="18" s="1"/>
  <c r="AZ41" i="18" s="1"/>
  <c r="AW57" i="18"/>
  <c r="AY57" i="18" s="1"/>
  <c r="AZ57" i="18" s="1"/>
  <c r="AW58" i="18"/>
  <c r="AY58" i="18" s="1"/>
  <c r="AZ58" i="18" s="1"/>
  <c r="AW84" i="18"/>
  <c r="AW56" i="18"/>
  <c r="AY56" i="18" s="1"/>
  <c r="AZ56" i="18" s="1"/>
  <c r="AW77" i="18"/>
  <c r="AW34" i="18"/>
  <c r="AY34" i="18" s="1"/>
  <c r="AZ34" i="18" s="1"/>
  <c r="AW50" i="18"/>
  <c r="AY50" i="18" s="1"/>
  <c r="AZ50" i="18" s="1"/>
  <c r="AW79" i="18"/>
  <c r="AW46" i="18"/>
  <c r="AY46" i="18" s="1"/>
  <c r="AZ46" i="18" s="1"/>
  <c r="AW75" i="18"/>
  <c r="AW36" i="18"/>
  <c r="AY36" i="18" s="1"/>
  <c r="AZ36" i="18" s="1"/>
  <c r="AW48" i="18"/>
  <c r="AY48" i="18" s="1"/>
  <c r="AZ48" i="18" s="1"/>
  <c r="AW86" i="18"/>
  <c r="AW73" i="18"/>
  <c r="AW42" i="18"/>
  <c r="AY42" i="18" s="1"/>
  <c r="AZ42" i="18" s="1"/>
  <c r="AW52" i="18"/>
  <c r="AY52" i="18" s="1"/>
  <c r="AZ52" i="18" s="1"/>
  <c r="AW69" i="18"/>
  <c r="AW20" i="18"/>
  <c r="AY20" i="18" s="1"/>
  <c r="AZ20" i="18" s="1"/>
  <c r="AW38" i="18"/>
  <c r="AY38" i="18" s="1"/>
  <c r="AZ38" i="18" s="1"/>
  <c r="AW54" i="18"/>
  <c r="AY54" i="18" s="1"/>
  <c r="AZ54" i="18" s="1"/>
  <c r="AW76" i="18"/>
  <c r="AW71" i="18"/>
  <c r="AW83" i="18"/>
  <c r="AW59" i="18"/>
  <c r="AY59" i="18" s="1"/>
  <c r="AZ59" i="18" s="1"/>
  <c r="AW26" i="18"/>
  <c r="AY26" i="18" s="1"/>
  <c r="AZ26" i="18" s="1"/>
  <c r="AW40" i="18"/>
  <c r="AY40" i="18" s="1"/>
  <c r="AZ40" i="18" s="1"/>
  <c r="AW63" i="18"/>
  <c r="AY63" i="18" s="1"/>
  <c r="AZ63" i="18" s="1"/>
  <c r="AW24" i="18"/>
  <c r="AY24" i="18" s="1"/>
  <c r="AZ24" i="18" s="1"/>
  <c r="AW74" i="18"/>
  <c r="AW22" i="18"/>
  <c r="AY22" i="18" s="1"/>
  <c r="AZ22" i="18" s="1"/>
  <c r="AW27" i="18"/>
  <c r="AY27" i="18" s="1"/>
  <c r="AZ27" i="18" s="1"/>
  <c r="AW80" i="18"/>
  <c r="AW78" i="18"/>
  <c r="AW43" i="18"/>
  <c r="AY43" i="18" s="1"/>
  <c r="AZ43" i="18" s="1"/>
  <c r="AW37" i="18"/>
  <c r="AY37" i="18" s="1"/>
  <c r="AZ37" i="18" s="1"/>
  <c r="AW53" i="18"/>
  <c r="AY53" i="18" s="1"/>
  <c r="AZ53" i="18" s="1"/>
  <c r="AW23" i="18"/>
  <c r="AY23" i="18" s="1"/>
  <c r="AZ23" i="18" s="1"/>
  <c r="AW35" i="18"/>
  <c r="AY35" i="18" s="1"/>
  <c r="AZ35" i="18" s="1"/>
  <c r="AW39" i="18"/>
  <c r="AY39" i="18" s="1"/>
  <c r="AZ39" i="18" s="1"/>
  <c r="AW55" i="18"/>
  <c r="AY55" i="18" s="1"/>
  <c r="AZ55" i="18" s="1"/>
  <c r="AW21" i="18"/>
  <c r="AY21" i="18" s="1"/>
  <c r="AZ21" i="18" s="1"/>
  <c r="AW51" i="18"/>
  <c r="AY51" i="18" s="1"/>
  <c r="AZ51" i="18" s="1"/>
  <c r="AW60" i="18"/>
  <c r="AY60" i="18" s="1"/>
  <c r="AZ60" i="18" s="1"/>
  <c r="AW33" i="18"/>
  <c r="AY33" i="18" s="1"/>
  <c r="AZ33" i="18" s="1"/>
  <c r="AW49" i="18"/>
  <c r="AY49" i="18" s="1"/>
  <c r="AZ49" i="18" s="1"/>
  <c r="AW28" i="18"/>
  <c r="AY28" i="18" s="1"/>
  <c r="AZ28" i="18" s="1"/>
  <c r="AW30" i="18"/>
  <c r="AY30" i="18" s="1"/>
  <c r="AZ30" i="18" s="1"/>
  <c r="AW61" i="18"/>
  <c r="AY61" i="18" s="1"/>
  <c r="AZ61" i="18" s="1"/>
  <c r="AW85" i="18"/>
  <c r="AW81" i="18"/>
  <c r="AW32" i="18"/>
  <c r="AY32" i="18" s="1"/>
  <c r="AZ32" i="18" s="1"/>
  <c r="AW72" i="18"/>
  <c r="AW44" i="18"/>
  <c r="AY44" i="18" s="1"/>
  <c r="AZ44" i="18" s="1"/>
  <c r="AW82" i="18"/>
  <c r="S19" i="18"/>
  <c r="U19" i="18" s="1"/>
  <c r="V19" i="18" s="1"/>
  <c r="R19" i="18"/>
  <c r="T19" i="18" s="1"/>
  <c r="O59" i="19"/>
  <c r="O59" i="18"/>
  <c r="J47" i="16"/>
  <c r="P47" i="16" s="1"/>
  <c r="P46" i="16"/>
  <c r="AW29" i="19"/>
  <c r="AY29" i="19" s="1"/>
  <c r="AZ29" i="19" s="1"/>
  <c r="AW70" i="19"/>
  <c r="AW43" i="19"/>
  <c r="AY43" i="19" s="1"/>
  <c r="AZ43" i="19" s="1"/>
  <c r="AW75" i="19"/>
  <c r="AW24" i="19"/>
  <c r="AY24" i="19" s="1"/>
  <c r="AZ24" i="19" s="1"/>
  <c r="AW37" i="19"/>
  <c r="AY37" i="19" s="1"/>
  <c r="AZ37" i="19" s="1"/>
  <c r="AW53" i="19"/>
  <c r="AY53" i="19" s="1"/>
  <c r="AZ53" i="19" s="1"/>
  <c r="AW77" i="19"/>
  <c r="AW74" i="19"/>
  <c r="AW28" i="19"/>
  <c r="AY28" i="19" s="1"/>
  <c r="AZ28" i="19" s="1"/>
  <c r="AW33" i="19"/>
  <c r="AY33" i="19" s="1"/>
  <c r="AZ33" i="19" s="1"/>
  <c r="AW60" i="19"/>
  <c r="AY60" i="19" s="1"/>
  <c r="AZ60" i="19" s="1"/>
  <c r="AW22" i="19"/>
  <c r="AY22" i="19" s="1"/>
  <c r="AZ22" i="19" s="1"/>
  <c r="AW51" i="19"/>
  <c r="AY51" i="19" s="1"/>
  <c r="AZ51" i="19" s="1"/>
  <c r="AW26" i="19"/>
  <c r="AY26" i="19" s="1"/>
  <c r="AZ26" i="19" s="1"/>
  <c r="AW31" i="19"/>
  <c r="AY31" i="19" s="1"/>
  <c r="AZ31" i="19" s="1"/>
  <c r="AW47" i="19"/>
  <c r="AY47" i="19" s="1"/>
  <c r="AZ47" i="19" s="1"/>
  <c r="AW79" i="19"/>
  <c r="AW36" i="19"/>
  <c r="AY36" i="19" s="1"/>
  <c r="AZ36" i="19" s="1"/>
  <c r="AW27" i="19"/>
  <c r="AY27" i="19" s="1"/>
  <c r="AZ27" i="19" s="1"/>
  <c r="AW54" i="19"/>
  <c r="AY54" i="19" s="1"/>
  <c r="AZ54" i="19" s="1"/>
  <c r="AW32" i="19"/>
  <c r="AY32" i="19" s="1"/>
  <c r="AZ32" i="19" s="1"/>
  <c r="AW48" i="19"/>
  <c r="AY48" i="19" s="1"/>
  <c r="AZ48" i="19" s="1"/>
  <c r="AW86" i="19"/>
  <c r="AW81" i="19"/>
  <c r="AW44" i="19"/>
  <c r="AY44" i="19" s="1"/>
  <c r="AZ44" i="19" s="1"/>
  <c r="AW63" i="19"/>
  <c r="AY63" i="19" s="1"/>
  <c r="AZ63" i="19" s="1"/>
  <c r="AW38" i="19"/>
  <c r="AY38" i="19" s="1"/>
  <c r="AZ38" i="19" s="1"/>
  <c r="AW57" i="19"/>
  <c r="AY57" i="19" s="1"/>
  <c r="AZ57" i="19" s="1"/>
  <c r="AW34" i="19"/>
  <c r="AY34" i="19" s="1"/>
  <c r="AZ34" i="19" s="1"/>
  <c r="AW50" i="19"/>
  <c r="AY50" i="19" s="1"/>
  <c r="AZ50" i="19" s="1"/>
  <c r="AW21" i="19"/>
  <c r="AY21" i="19" s="1"/>
  <c r="AZ21" i="19" s="1"/>
  <c r="AW49" i="19"/>
  <c r="AY49" i="19" s="1"/>
  <c r="AZ49" i="19" s="1"/>
  <c r="AW73" i="19"/>
  <c r="AW62" i="19"/>
  <c r="AY62" i="19" s="1"/>
  <c r="AZ62" i="19" s="1"/>
  <c r="AW80" i="19"/>
  <c r="AW56" i="19"/>
  <c r="AY56" i="19" s="1"/>
  <c r="AZ56" i="19" s="1"/>
  <c r="AW45" i="19"/>
  <c r="AY45" i="19" s="1"/>
  <c r="AZ45" i="19" s="1"/>
  <c r="AW64" i="19"/>
  <c r="AY64" i="19" s="1"/>
  <c r="AZ64" i="19" s="1"/>
  <c r="AW69" i="19"/>
  <c r="AW20" i="19"/>
  <c r="AY20" i="19" s="1"/>
  <c r="AZ20" i="19" s="1"/>
  <c r="AW41" i="19"/>
  <c r="AY41" i="19" s="1"/>
  <c r="AZ41" i="19" s="1"/>
  <c r="AW78" i="19"/>
  <c r="AW35" i="19"/>
  <c r="AY35" i="19" s="1"/>
  <c r="AZ35" i="19" s="1"/>
  <c r="AW72" i="19"/>
  <c r="AW39" i="19"/>
  <c r="AY39" i="19" s="1"/>
  <c r="AZ39" i="19" s="1"/>
  <c r="AW58" i="19"/>
  <c r="AY58" i="19" s="1"/>
  <c r="AZ58" i="19" s="1"/>
  <c r="AW71" i="19"/>
  <c r="AW76" i="19"/>
  <c r="AW52" i="19"/>
  <c r="AY52" i="19" s="1"/>
  <c r="AZ52" i="19" s="1"/>
  <c r="AW55" i="19"/>
  <c r="AY55" i="19" s="1"/>
  <c r="AZ55" i="19" s="1"/>
  <c r="AW30" i="19"/>
  <c r="AY30" i="19" s="1"/>
  <c r="AZ30" i="19" s="1"/>
  <c r="AW25" i="19"/>
  <c r="AY25" i="19" s="1"/>
  <c r="AZ25" i="19" s="1"/>
  <c r="AW40" i="19"/>
  <c r="AY40" i="19" s="1"/>
  <c r="AZ40" i="19" s="1"/>
  <c r="AW59" i="19"/>
  <c r="AY59" i="19" s="1"/>
  <c r="AZ59" i="19" s="1"/>
  <c r="AW61" i="19"/>
  <c r="AY61" i="19" s="1"/>
  <c r="AZ61" i="19" s="1"/>
  <c r="AW46" i="19"/>
  <c r="AY46" i="19" s="1"/>
  <c r="AZ46" i="19" s="1"/>
  <c r="AW42" i="19"/>
  <c r="AY42" i="19" s="1"/>
  <c r="AZ42" i="19" s="1"/>
  <c r="AW23" i="19"/>
  <c r="AY23" i="19" s="1"/>
  <c r="AZ23" i="19" s="1"/>
  <c r="AW82" i="19"/>
  <c r="AW83" i="19"/>
  <c r="AW85" i="19"/>
  <c r="AW84" i="19"/>
  <c r="S19" i="19"/>
  <c r="U19" i="19" s="1"/>
  <c r="V19" i="19" s="1"/>
  <c r="R19" i="19"/>
  <c r="T19" i="19" s="1"/>
  <c r="W46" i="11"/>
  <c r="Q47" i="11"/>
  <c r="W47" i="11" s="1"/>
  <c r="C47" i="16"/>
  <c r="I47" i="16" s="1"/>
  <c r="I46" i="16"/>
  <c r="BD20" i="3"/>
  <c r="BK20" i="3"/>
  <c r="S20" i="18"/>
  <c r="U20" i="18" s="1"/>
  <c r="V20" i="18" s="1"/>
  <c r="R20" i="18"/>
  <c r="E54" i="18"/>
  <c r="L53" i="18"/>
  <c r="P53" i="18"/>
  <c r="S20" i="19"/>
  <c r="R20" i="19"/>
  <c r="C21" i="19"/>
  <c r="N21" i="19" s="1"/>
  <c r="Q21" i="19" s="1"/>
  <c r="C21" i="18"/>
  <c r="N21" i="18" s="1"/>
  <c r="Q21" i="18" s="1"/>
  <c r="E54" i="19"/>
  <c r="P53" i="19"/>
  <c r="L53" i="19"/>
  <c r="O210" i="7"/>
  <c r="V209" i="7"/>
  <c r="P210" i="7"/>
  <c r="X209" i="7"/>
  <c r="Q210" i="7"/>
  <c r="K209" i="7"/>
  <c r="S210" i="7"/>
  <c r="W208" i="7"/>
  <c r="N206" i="7"/>
  <c r="P47" i="17"/>
  <c r="J209" i="7"/>
  <c r="H208" i="7"/>
  <c r="I209" i="7"/>
  <c r="T206" i="7"/>
  <c r="W47" i="17"/>
  <c r="R210" i="7"/>
  <c r="L209" i="7"/>
  <c r="U210" i="7"/>
  <c r="A21" i="18"/>
  <c r="O105" i="3"/>
  <c r="R208" i="1"/>
  <c r="H208" i="1"/>
  <c r="E209" i="1"/>
  <c r="F110"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09" i="16" s="1"/>
  <c r="D52" i="11"/>
  <c r="F91" i="4"/>
  <c r="C97" i="7"/>
  <c r="G91" i="4"/>
  <c r="D97" i="7"/>
  <c r="C163" i="1"/>
  <c r="R162" i="1"/>
  <c r="H162" i="1"/>
  <c r="AU59" i="3"/>
  <c r="AV59" i="3" s="1"/>
  <c r="O59" i="3"/>
  <c r="L46" i="3"/>
  <c r="P46" i="3"/>
  <c r="B48" i="8"/>
  <c r="Q21" i="8"/>
  <c r="R21" i="8" s="1"/>
  <c r="AX21" i="3"/>
  <c r="AY22" i="3" s="1"/>
  <c r="AZ22" i="3" s="1"/>
  <c r="AY21" i="3"/>
  <c r="AZ21" i="3" s="1"/>
  <c r="S20" i="3"/>
  <c r="R20" i="3"/>
  <c r="S19" i="3"/>
  <c r="U19" i="3" s="1"/>
  <c r="V19" i="3" s="1"/>
  <c r="R19" i="3"/>
  <c r="T19"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1" i="3"/>
  <c r="N21" i="3" s="1"/>
  <c r="Q21" i="3" s="1"/>
  <c r="AE22" i="8"/>
  <c r="T22" i="8"/>
  <c r="W22" i="8"/>
  <c r="V22" i="8"/>
  <c r="AA22" i="8"/>
  <c r="AB22" i="8"/>
  <c r="L22" i="8"/>
  <c r="AC22" i="8"/>
  <c r="AD22" i="8"/>
  <c r="P22" i="8"/>
  <c r="K22" i="8"/>
  <c r="M22" i="8"/>
  <c r="N22" i="8"/>
  <c r="X22" i="8"/>
  <c r="S22" i="8"/>
  <c r="O22" i="8"/>
  <c r="U22" i="8"/>
  <c r="A59" i="7"/>
  <c r="A53" i="4"/>
  <c r="A22" i="8"/>
  <c r="A21" i="3"/>
  <c r="A22" i="19" l="1"/>
  <c r="A9" i="10"/>
  <c r="AK9" i="10" s="1"/>
  <c r="T20" i="18"/>
  <c r="BK25" i="19"/>
  <c r="BD25" i="19"/>
  <c r="T20" i="19"/>
  <c r="BB19" i="19"/>
  <c r="BI19" i="19"/>
  <c r="BD61" i="19"/>
  <c r="BK61" i="19"/>
  <c r="BD30" i="19"/>
  <c r="BK30" i="19"/>
  <c r="BK35" i="19"/>
  <c r="BD35" i="19"/>
  <c r="BD21" i="19"/>
  <c r="BK21" i="19"/>
  <c r="BK38" i="19"/>
  <c r="BD38" i="19"/>
  <c r="BK27" i="19"/>
  <c r="BD27" i="19"/>
  <c r="BD31" i="19"/>
  <c r="BK31" i="19"/>
  <c r="BK60" i="19"/>
  <c r="BD60" i="19"/>
  <c r="BD61" i="18"/>
  <c r="BK61" i="18"/>
  <c r="BD33" i="18"/>
  <c r="BK33" i="18"/>
  <c r="BD55" i="18"/>
  <c r="BK55" i="18"/>
  <c r="BK53" i="18"/>
  <c r="BD53" i="18"/>
  <c r="BK24" i="18"/>
  <c r="BD24" i="18"/>
  <c r="BK59" i="18"/>
  <c r="BD59" i="18"/>
  <c r="BD54" i="18"/>
  <c r="BK54" i="18"/>
  <c r="BK52" i="18"/>
  <c r="BD52" i="18"/>
  <c r="BK48" i="18"/>
  <c r="BD48" i="18"/>
  <c r="BK56" i="18"/>
  <c r="BD56" i="18"/>
  <c r="BD41" i="18"/>
  <c r="BK41" i="18"/>
  <c r="BD62" i="18"/>
  <c r="BK62" i="18"/>
  <c r="BD20" i="19"/>
  <c r="BK20" i="19"/>
  <c r="O60" i="19"/>
  <c r="O60" i="18"/>
  <c r="U20" i="19"/>
  <c r="V20" i="19" s="1"/>
  <c r="BI20" i="19" s="1"/>
  <c r="BD23" i="19"/>
  <c r="BK23" i="19"/>
  <c r="BK59" i="19"/>
  <c r="BD59" i="19"/>
  <c r="BD55" i="19"/>
  <c r="BK55" i="19"/>
  <c r="BK58" i="19"/>
  <c r="BD58" i="19"/>
  <c r="BD64" i="19"/>
  <c r="BK64" i="19"/>
  <c r="BK62" i="19"/>
  <c r="BD62" i="19"/>
  <c r="BD50" i="19"/>
  <c r="BK50" i="19"/>
  <c r="BD63" i="19"/>
  <c r="BK63" i="19"/>
  <c r="BD48" i="19"/>
  <c r="BK48" i="19"/>
  <c r="BK36" i="19"/>
  <c r="BD36" i="19"/>
  <c r="BK26" i="19"/>
  <c r="BD26" i="19"/>
  <c r="BK33" i="19"/>
  <c r="BD33" i="19"/>
  <c r="BD53" i="19"/>
  <c r="BK53" i="19"/>
  <c r="BK43" i="19"/>
  <c r="BD43" i="19"/>
  <c r="BI19" i="18"/>
  <c r="BB19" i="18"/>
  <c r="BK32" i="18"/>
  <c r="BD32" i="18"/>
  <c r="BK30" i="18"/>
  <c r="BD30" i="18"/>
  <c r="BK60" i="18"/>
  <c r="BD60" i="18"/>
  <c r="BK39" i="18"/>
  <c r="BD39" i="18"/>
  <c r="BD37" i="18"/>
  <c r="BK37" i="18"/>
  <c r="BD27" i="18"/>
  <c r="BK27" i="18"/>
  <c r="BK63" i="18"/>
  <c r="BD63" i="18"/>
  <c r="BD38" i="18"/>
  <c r="BK38" i="18"/>
  <c r="BK42" i="18"/>
  <c r="BD42" i="18"/>
  <c r="BK36" i="18"/>
  <c r="BD36" i="18"/>
  <c r="BD50" i="18"/>
  <c r="BK50" i="18"/>
  <c r="BK64" i="18"/>
  <c r="BD64" i="18"/>
  <c r="BK45" i="18"/>
  <c r="BD45" i="18"/>
  <c r="BD42" i="19"/>
  <c r="BK42" i="19"/>
  <c r="BD40" i="19"/>
  <c r="BK40" i="19"/>
  <c r="BK52" i="19"/>
  <c r="BD52" i="19"/>
  <c r="BD39" i="19"/>
  <c r="BK39" i="19"/>
  <c r="BK41" i="19"/>
  <c r="BD41" i="19"/>
  <c r="BD45" i="19"/>
  <c r="BK45" i="19"/>
  <c r="BD34" i="19"/>
  <c r="BK34" i="19"/>
  <c r="BK44" i="19"/>
  <c r="BD44" i="19"/>
  <c r="BD32" i="19"/>
  <c r="BK32" i="19"/>
  <c r="BK51" i="19"/>
  <c r="BD51" i="19"/>
  <c r="BK28" i="19"/>
  <c r="BD28" i="19"/>
  <c r="BD37" i="19"/>
  <c r="BK37" i="19"/>
  <c r="BK28" i="18"/>
  <c r="BD28" i="18"/>
  <c r="BD51" i="18"/>
  <c r="BK51" i="18"/>
  <c r="BK35" i="18"/>
  <c r="BD35" i="18"/>
  <c r="BD43" i="18"/>
  <c r="BK43" i="18"/>
  <c r="BK22" i="18"/>
  <c r="BD22" i="18"/>
  <c r="BK40" i="18"/>
  <c r="BD40" i="18"/>
  <c r="BK20" i="18"/>
  <c r="BD20" i="18"/>
  <c r="BD34" i="18"/>
  <c r="BK34" i="18"/>
  <c r="BD58" i="18"/>
  <c r="BK58" i="18"/>
  <c r="BK47" i="18"/>
  <c r="BD47" i="18"/>
  <c r="BK29" i="18"/>
  <c r="BD29" i="18"/>
  <c r="BK46" i="19"/>
  <c r="BD46" i="19"/>
  <c r="BD56" i="19"/>
  <c r="BK56" i="19"/>
  <c r="BK49" i="19"/>
  <c r="BD49" i="19"/>
  <c r="BK57" i="19"/>
  <c r="BD57" i="19"/>
  <c r="BD54" i="19"/>
  <c r="BK54" i="19"/>
  <c r="BD47" i="19"/>
  <c r="BK47" i="19"/>
  <c r="BK22" i="19"/>
  <c r="BD22" i="19"/>
  <c r="BD24" i="19"/>
  <c r="BK24" i="19"/>
  <c r="BD29" i="19"/>
  <c r="BK29" i="19"/>
  <c r="BK44" i="18"/>
  <c r="BD44" i="18"/>
  <c r="BD49" i="18"/>
  <c r="BK49" i="18"/>
  <c r="BK21" i="18"/>
  <c r="BD21" i="18"/>
  <c r="BD23" i="18"/>
  <c r="BK23" i="18"/>
  <c r="BD26" i="18"/>
  <c r="BK26" i="18"/>
  <c r="BD46" i="18"/>
  <c r="BK46" i="18"/>
  <c r="BK57" i="18"/>
  <c r="BD57" i="18"/>
  <c r="BK31" i="18"/>
  <c r="BD31" i="18"/>
  <c r="BD25" i="18"/>
  <c r="BK25" i="18"/>
  <c r="BD21" i="3"/>
  <c r="BK21" i="3"/>
  <c r="BB20" i="18"/>
  <c r="BI20" i="18"/>
  <c r="BB19" i="3"/>
  <c r="BI19" i="3"/>
  <c r="BD22" i="3"/>
  <c r="BK22" i="3"/>
  <c r="H48" i="8"/>
  <c r="R21" i="18"/>
  <c r="S21" i="18"/>
  <c r="U21" i="18" s="1"/>
  <c r="V21" i="18" s="1"/>
  <c r="P54" i="18"/>
  <c r="L54" i="18"/>
  <c r="E55" i="18"/>
  <c r="C22" i="19"/>
  <c r="N22" i="19" s="1"/>
  <c r="Q22" i="19" s="1"/>
  <c r="C22" i="18"/>
  <c r="N22" i="18" s="1"/>
  <c r="Q22" i="18" s="1"/>
  <c r="S21" i="19"/>
  <c r="R21" i="19"/>
  <c r="P54" i="19"/>
  <c r="L54" i="19"/>
  <c r="E55" i="19"/>
  <c r="L210" i="7"/>
  <c r="T207" i="7"/>
  <c r="H209" i="7"/>
  <c r="N207" i="7"/>
  <c r="AS206" i="7"/>
  <c r="S211" i="7"/>
  <c r="Q211" i="7"/>
  <c r="P211" i="7"/>
  <c r="I210" i="7"/>
  <c r="O211" i="7"/>
  <c r="U211" i="7"/>
  <c r="R211" i="7"/>
  <c r="J210" i="7"/>
  <c r="W209" i="7"/>
  <c r="K210" i="7"/>
  <c r="X210" i="7"/>
  <c r="V210" i="7"/>
  <c r="A22" i="18"/>
  <c r="O106" i="3"/>
  <c r="H209" i="1"/>
  <c r="R209" i="1"/>
  <c r="E210" i="1"/>
  <c r="F111" i="17"/>
  <c r="D208" i="7" s="1"/>
  <c r="Q176" i="7"/>
  <c r="L175" i="7"/>
  <c r="R176" i="7"/>
  <c r="S176" i="7"/>
  <c r="I175" i="7"/>
  <c r="U175" i="7"/>
  <c r="K175" i="7"/>
  <c r="J175" i="7"/>
  <c r="O176" i="7"/>
  <c r="P177" i="7"/>
  <c r="V175" i="7"/>
  <c r="N173" i="7"/>
  <c r="AS172" i="7"/>
  <c r="F110" i="16"/>
  <c r="D172" i="7"/>
  <c r="G92" i="4"/>
  <c r="D98" i="7"/>
  <c r="F92" i="4"/>
  <c r="C98" i="7"/>
  <c r="O60" i="3"/>
  <c r="AU60" i="3"/>
  <c r="AV60" i="3" s="1"/>
  <c r="C164" i="1"/>
  <c r="R163" i="1"/>
  <c r="H163" i="1"/>
  <c r="AV59" i="7"/>
  <c r="B49" i="8"/>
  <c r="L47" i="3"/>
  <c r="P47" i="3"/>
  <c r="Y22" i="8"/>
  <c r="Z22" i="8" s="1"/>
  <c r="AG22" i="8"/>
  <c r="AH22" i="8" s="1"/>
  <c r="AX22" i="3"/>
  <c r="AX23" i="3" s="1"/>
  <c r="AX24" i="3" s="1"/>
  <c r="S21" i="3"/>
  <c r="R21" i="3"/>
  <c r="T20" i="3"/>
  <c r="U20" i="3"/>
  <c r="V20" i="3" s="1"/>
  <c r="AV112" i="7"/>
  <c r="J15" i="6" s="1"/>
  <c r="P15" i="6" s="1"/>
  <c r="T15" i="6" s="1"/>
  <c r="AV85" i="7"/>
  <c r="AV81" i="7"/>
  <c r="AV107" i="7"/>
  <c r="J10" i="6" s="1"/>
  <c r="P10" i="6" s="1"/>
  <c r="T10" i="6" s="1"/>
  <c r="BE10" i="6" s="1"/>
  <c r="AV118" i="7"/>
  <c r="J21" i="6" s="1"/>
  <c r="P21" i="6" s="1"/>
  <c r="T21" i="6" s="1"/>
  <c r="AV116" i="7"/>
  <c r="J19" i="6" s="1"/>
  <c r="P19" i="6" s="1"/>
  <c r="T19" i="6" s="1"/>
  <c r="AV109" i="7"/>
  <c r="J12" i="6" s="1"/>
  <c r="P12" i="6" s="1"/>
  <c r="T12" i="6" s="1"/>
  <c r="AV114" i="7"/>
  <c r="J17" i="6" s="1"/>
  <c r="P17" i="6" s="1"/>
  <c r="T17" i="6" s="1"/>
  <c r="AV117" i="7"/>
  <c r="J20" i="6" s="1"/>
  <c r="P20" i="6" s="1"/>
  <c r="T20" i="6" s="1"/>
  <c r="AV108" i="7"/>
  <c r="J11" i="6" s="1"/>
  <c r="P11" i="6" s="1"/>
  <c r="T11" i="6" s="1"/>
  <c r="AV110" i="7"/>
  <c r="J13" i="6" s="1"/>
  <c r="P13" i="6" s="1"/>
  <c r="T13" i="6" s="1"/>
  <c r="AV113" i="7"/>
  <c r="J16" i="6" s="1"/>
  <c r="P16" i="6" s="1"/>
  <c r="T16" i="6" s="1"/>
  <c r="AV115" i="7"/>
  <c r="J18" i="6" s="1"/>
  <c r="P18" i="6" s="1"/>
  <c r="T18" i="6" s="1"/>
  <c r="AV111" i="7"/>
  <c r="J14" i="6" s="1"/>
  <c r="P14" i="6" s="1"/>
  <c r="T14" i="6"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2" i="3"/>
  <c r="N22" i="3" s="1"/>
  <c r="Q22" i="3" s="1"/>
  <c r="T23" i="8"/>
  <c r="AC23" i="8"/>
  <c r="AA23" i="8"/>
  <c r="K23" i="8"/>
  <c r="AE23" i="8"/>
  <c r="AF23" i="8"/>
  <c r="AB23" i="8"/>
  <c r="O23" i="8"/>
  <c r="M23" i="8"/>
  <c r="S23" i="8"/>
  <c r="L23" i="8"/>
  <c r="V23" i="8"/>
  <c r="W23" i="8"/>
  <c r="U23" i="8"/>
  <c r="A60" i="7"/>
  <c r="A23" i="8"/>
  <c r="A54" i="4"/>
  <c r="A22" i="3"/>
  <c r="BB20" i="19" l="1"/>
  <c r="A23" i="19"/>
  <c r="A10" i="10"/>
  <c r="AK10" i="10" s="1"/>
  <c r="T21" i="19"/>
  <c r="T21" i="18"/>
  <c r="U21" i="19"/>
  <c r="V21" i="19" s="1"/>
  <c r="BB21" i="19" s="1"/>
  <c r="O61" i="19"/>
  <c r="O61" i="18"/>
  <c r="BB21" i="18"/>
  <c r="BI21" i="18"/>
  <c r="BB20" i="3"/>
  <c r="BI20"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2" i="19"/>
  <c r="R22" i="19"/>
  <c r="P55" i="19"/>
  <c r="E56" i="19"/>
  <c r="L55" i="19"/>
  <c r="C23" i="19"/>
  <c r="N23" i="19" s="1"/>
  <c r="Q23" i="19" s="1"/>
  <c r="C23" i="18"/>
  <c r="N23" i="18" s="1"/>
  <c r="Q23" i="18" s="1"/>
  <c r="E56" i="18"/>
  <c r="L55" i="18"/>
  <c r="P55" i="18"/>
  <c r="S22" i="18"/>
  <c r="U22" i="18" s="1"/>
  <c r="V22" i="18" s="1"/>
  <c r="R22" i="18"/>
  <c r="T22" i="18" s="1"/>
  <c r="AM17" i="6"/>
  <c r="AM12" i="6"/>
  <c r="AM16" i="6"/>
  <c r="AY11" i="6"/>
  <c r="AY19" i="6"/>
  <c r="AM15" i="6"/>
  <c r="V211" i="7"/>
  <c r="U212" i="7"/>
  <c r="I211" i="7"/>
  <c r="Q212" i="7"/>
  <c r="N208" i="7"/>
  <c r="AS207" i="7"/>
  <c r="L211" i="7"/>
  <c r="P212" i="7"/>
  <c r="X211" i="7"/>
  <c r="W210" i="7"/>
  <c r="R212" i="7"/>
  <c r="O212" i="7"/>
  <c r="S212" i="7"/>
  <c r="H210" i="7"/>
  <c r="T208" i="7"/>
  <c r="K211" i="7"/>
  <c r="J211" i="7"/>
  <c r="A23" i="18"/>
  <c r="O107" i="3"/>
  <c r="R210" i="1"/>
  <c r="H210" i="1"/>
  <c r="E211" i="1"/>
  <c r="F112" i="17"/>
  <c r="D209" i="7" s="1"/>
  <c r="P178" i="7"/>
  <c r="U176" i="7"/>
  <c r="S177" i="7"/>
  <c r="V176" i="7"/>
  <c r="K176" i="7"/>
  <c r="I176" i="7"/>
  <c r="R177" i="7"/>
  <c r="N174" i="7"/>
  <c r="AS173" i="7"/>
  <c r="J176" i="7"/>
  <c r="O177" i="7"/>
  <c r="L176" i="7"/>
  <c r="Q177" i="7"/>
  <c r="F111" i="16"/>
  <c r="D173" i="7"/>
  <c r="F93" i="4"/>
  <c r="C99" i="7"/>
  <c r="G93" i="4"/>
  <c r="D99" i="7"/>
  <c r="AU61" i="3"/>
  <c r="AV61" i="3" s="1"/>
  <c r="O61" i="3"/>
  <c r="C165" i="1"/>
  <c r="H164" i="1"/>
  <c r="R164" i="1"/>
  <c r="AY24" i="3"/>
  <c r="AZ24" i="3" s="1"/>
  <c r="AY23" i="3"/>
  <c r="AZ23" i="3" s="1"/>
  <c r="L48" i="3"/>
  <c r="P48" i="3"/>
  <c r="B50" i="8"/>
  <c r="T21" i="3"/>
  <c r="Y23" i="8"/>
  <c r="Z23" i="8" s="1"/>
  <c r="AX25" i="3"/>
  <c r="AY25" i="3"/>
  <c r="AZ25" i="3" s="1"/>
  <c r="R22" i="3"/>
  <c r="S22" i="3"/>
  <c r="U21" i="3"/>
  <c r="V21" i="3" s="1"/>
  <c r="Q23" i="8"/>
  <c r="R23" i="8" s="1"/>
  <c r="AG23" i="8"/>
  <c r="AH23" i="8" s="1"/>
  <c r="M24" i="8"/>
  <c r="AA24" i="8"/>
  <c r="AE24" i="8"/>
  <c r="N24" i="8"/>
  <c r="S24" i="8"/>
  <c r="W24" i="8"/>
  <c r="AB24" i="8"/>
  <c r="AF24" i="8"/>
  <c r="K24" i="8"/>
  <c r="O24" i="8"/>
  <c r="AC24" i="8"/>
  <c r="L24" i="8"/>
  <c r="AD24" i="8"/>
  <c r="P24" i="8"/>
  <c r="U24" i="8"/>
  <c r="C23" i="3"/>
  <c r="N23" i="3" s="1"/>
  <c r="Q23" i="3" s="1"/>
  <c r="V24" i="8"/>
  <c r="X24" i="8"/>
  <c r="T24" i="8"/>
  <c r="A55" i="4"/>
  <c r="A24" i="8"/>
  <c r="A61" i="7"/>
  <c r="A23" i="3"/>
  <c r="A24" i="19" l="1"/>
  <c r="A11" i="10"/>
  <c r="AK11" i="10" s="1"/>
  <c r="T22" i="19"/>
  <c r="AY20" i="6"/>
  <c r="U22" i="19"/>
  <c r="V22" i="19" s="1"/>
  <c r="BI22" i="19" s="1"/>
  <c r="BI21" i="19"/>
  <c r="AY13" i="6"/>
  <c r="AM21" i="6"/>
  <c r="AM18" i="6"/>
  <c r="AY14" i="6"/>
  <c r="O62" i="19"/>
  <c r="O62" i="18"/>
  <c r="BD25" i="3"/>
  <c r="BK25" i="3"/>
  <c r="BD24" i="3"/>
  <c r="BK24" i="3"/>
  <c r="BB21" i="3"/>
  <c r="BI21" i="3"/>
  <c r="BB22" i="18"/>
  <c r="BI22" i="18"/>
  <c r="BD23" i="3"/>
  <c r="BK23" i="3"/>
  <c r="H50" i="8"/>
  <c r="C24" i="19"/>
  <c r="N24" i="19" s="1"/>
  <c r="Q24" i="19" s="1"/>
  <c r="C24" i="18"/>
  <c r="N24" i="18" s="1"/>
  <c r="Q24" i="18" s="1"/>
  <c r="S23" i="18"/>
  <c r="U23" i="18" s="1"/>
  <c r="V23" i="18" s="1"/>
  <c r="R23" i="18"/>
  <c r="T23" i="18" s="1"/>
  <c r="P56" i="19"/>
  <c r="E57" i="19"/>
  <c r="L56" i="19"/>
  <c r="E57" i="18"/>
  <c r="L56" i="18"/>
  <c r="P56" i="18"/>
  <c r="R23" i="19"/>
  <c r="S23" i="19"/>
  <c r="J212" i="7"/>
  <c r="O213" i="7"/>
  <c r="P213" i="7"/>
  <c r="L212" i="7"/>
  <c r="Q213" i="7"/>
  <c r="H211" i="7"/>
  <c r="S213" i="7"/>
  <c r="U213" i="7"/>
  <c r="K212" i="7"/>
  <c r="R213" i="7"/>
  <c r="X212" i="7"/>
  <c r="T209" i="7"/>
  <c r="W211" i="7"/>
  <c r="N209" i="7"/>
  <c r="AS208" i="7"/>
  <c r="I212" i="7"/>
  <c r="V212" i="7"/>
  <c r="O108" i="3"/>
  <c r="A24" i="18"/>
  <c r="H211" i="1"/>
  <c r="R211" i="1"/>
  <c r="E212" i="1"/>
  <c r="F113" i="17"/>
  <c r="D210" i="7" s="1"/>
  <c r="N175" i="7"/>
  <c r="AS174" i="7"/>
  <c r="I177" i="7"/>
  <c r="U177" i="7"/>
  <c r="R178" i="7"/>
  <c r="K177" i="7"/>
  <c r="V177" i="7"/>
  <c r="Q178" i="7"/>
  <c r="O178" i="7"/>
  <c r="J177" i="7"/>
  <c r="L177" i="7"/>
  <c r="S178" i="7"/>
  <c r="P179" i="7"/>
  <c r="F112" i="16"/>
  <c r="D174" i="7"/>
  <c r="G94" i="4"/>
  <c r="D100" i="7"/>
  <c r="F94" i="4"/>
  <c r="C100" i="7"/>
  <c r="C166" i="1"/>
  <c r="H165" i="1"/>
  <c r="R165" i="1"/>
  <c r="AU62" i="3"/>
  <c r="AV62" i="3" s="1"/>
  <c r="O62" i="3"/>
  <c r="P49" i="3"/>
  <c r="L49" i="3"/>
  <c r="B51" i="8"/>
  <c r="T22" i="3"/>
  <c r="U22" i="3"/>
  <c r="V22" i="3" s="1"/>
  <c r="Q24" i="8"/>
  <c r="R24" i="8" s="1"/>
  <c r="AX26" i="3"/>
  <c r="AY26" i="3"/>
  <c r="AZ26" i="3" s="1"/>
  <c r="S23" i="3"/>
  <c r="R23" i="3"/>
  <c r="AG24" i="8"/>
  <c r="AH24" i="8" s="1"/>
  <c r="Y24" i="8"/>
  <c r="Z24" i="8" s="1"/>
  <c r="P25" i="8"/>
  <c r="K25" i="8"/>
  <c r="S25" i="8"/>
  <c r="AC25" i="8"/>
  <c r="L25" i="8"/>
  <c r="U25" i="8"/>
  <c r="AD25" i="8"/>
  <c r="O25" i="8"/>
  <c r="V25" i="8"/>
  <c r="AF25" i="8"/>
  <c r="C24" i="3"/>
  <c r="N24" i="3" s="1"/>
  <c r="Q24" i="3" s="1"/>
  <c r="M25" i="8"/>
  <c r="AE25" i="8"/>
  <c r="AB25" i="8"/>
  <c r="T25" i="8"/>
  <c r="X25" i="8"/>
  <c r="W25" i="8"/>
  <c r="AA25" i="8"/>
  <c r="N25" i="8"/>
  <c r="A62" i="7"/>
  <c r="A56" i="4"/>
  <c r="A24" i="3"/>
  <c r="A25" i="8"/>
  <c r="A25" i="19" l="1"/>
  <c r="A12" i="10"/>
  <c r="AK12" i="10" s="1"/>
  <c r="U23" i="19"/>
  <c r="V23" i="19" s="1"/>
  <c r="BB23" i="19" s="1"/>
  <c r="T23" i="19"/>
  <c r="BB22" i="19"/>
  <c r="O63" i="19"/>
  <c r="O63" i="18"/>
  <c r="BB22" i="3"/>
  <c r="BI22" i="3"/>
  <c r="BD26" i="3"/>
  <c r="BK26" i="3"/>
  <c r="BI23" i="18"/>
  <c r="BB23" i="18"/>
  <c r="C25" i="19"/>
  <c r="N25" i="19" s="1"/>
  <c r="Q25" i="19" s="1"/>
  <c r="C25" i="18"/>
  <c r="N25" i="18" s="1"/>
  <c r="Q25" i="18" s="1"/>
  <c r="S24" i="18"/>
  <c r="U24" i="18" s="1"/>
  <c r="V24" i="18" s="1"/>
  <c r="R24" i="18"/>
  <c r="T24" i="18" s="1"/>
  <c r="H51" i="8"/>
  <c r="S24" i="19"/>
  <c r="R24" i="19"/>
  <c r="T24" i="19" s="1"/>
  <c r="P57" i="18"/>
  <c r="E58" i="18"/>
  <c r="L57" i="18"/>
  <c r="L57" i="19"/>
  <c r="E58" i="19"/>
  <c r="P57" i="19"/>
  <c r="C25" i="8"/>
  <c r="G25" i="8"/>
  <c r="D25" i="8"/>
  <c r="E25" i="8"/>
  <c r="I25" i="8"/>
  <c r="F25" i="8"/>
  <c r="V213" i="7"/>
  <c r="W212" i="7"/>
  <c r="O214" i="7"/>
  <c r="T210" i="7"/>
  <c r="X213" i="7"/>
  <c r="K213" i="7"/>
  <c r="S214" i="7"/>
  <c r="I213" i="7"/>
  <c r="N210" i="7"/>
  <c r="AS209" i="7"/>
  <c r="R214" i="7"/>
  <c r="U214" i="7"/>
  <c r="Q214" i="7"/>
  <c r="P214" i="7"/>
  <c r="J213" i="7"/>
  <c r="H212" i="7"/>
  <c r="L213" i="7"/>
  <c r="O109" i="3"/>
  <c r="A25" i="18"/>
  <c r="R212" i="1"/>
  <c r="H212" i="1"/>
  <c r="E213" i="1"/>
  <c r="F114" i="17"/>
  <c r="D211" i="7" s="1"/>
  <c r="I178" i="7"/>
  <c r="P180" i="7"/>
  <c r="J178" i="7"/>
  <c r="K178" i="7"/>
  <c r="U178" i="7"/>
  <c r="Q179" i="7"/>
  <c r="S179" i="7"/>
  <c r="L178" i="7"/>
  <c r="O179" i="7"/>
  <c r="V178" i="7"/>
  <c r="R179" i="7"/>
  <c r="N176" i="7"/>
  <c r="AS175" i="7"/>
  <c r="F113" i="16"/>
  <c r="D175" i="7"/>
  <c r="F95" i="4"/>
  <c r="C101" i="7"/>
  <c r="G95" i="4"/>
  <c r="D101" i="7"/>
  <c r="AU63" i="3"/>
  <c r="AV63" i="3" s="1"/>
  <c r="O63" i="3"/>
  <c r="C167" i="1"/>
  <c r="H166" i="1"/>
  <c r="R166" i="1"/>
  <c r="T23" i="3"/>
  <c r="U23" i="3"/>
  <c r="V23" i="3" s="1"/>
  <c r="L50" i="3"/>
  <c r="P50" i="3"/>
  <c r="B52" i="8"/>
  <c r="H52" i="8"/>
  <c r="AG25" i="8"/>
  <c r="AH25" i="8" s="1"/>
  <c r="Q25" i="8"/>
  <c r="R25" i="8" s="1"/>
  <c r="Y25" i="8"/>
  <c r="Z25" i="8" s="1"/>
  <c r="AY27" i="3"/>
  <c r="AZ27" i="3" s="1"/>
  <c r="AX27" i="3"/>
  <c r="AY28" i="3" s="1"/>
  <c r="S24" i="3"/>
  <c r="R24" i="3"/>
  <c r="C25" i="3"/>
  <c r="N25" i="3" s="1"/>
  <c r="Q25" i="3" s="1"/>
  <c r="L26" i="8"/>
  <c r="AD26" i="8"/>
  <c r="AE26" i="8"/>
  <c r="AF26" i="8"/>
  <c r="O26" i="8"/>
  <c r="AC26" i="8"/>
  <c r="P26" i="8"/>
  <c r="K26" i="8"/>
  <c r="M26" i="8"/>
  <c r="N26" i="8"/>
  <c r="Y26" i="8"/>
  <c r="S26" i="8"/>
  <c r="V26" i="8"/>
  <c r="X26" i="8"/>
  <c r="T26" i="8"/>
  <c r="W26" i="8"/>
  <c r="U26" i="8"/>
  <c r="AA26" i="8"/>
  <c r="AB26" i="8"/>
  <c r="A63" i="7"/>
  <c r="A57" i="4"/>
  <c r="A25" i="3"/>
  <c r="A26" i="8"/>
  <c r="U24" i="19" l="1"/>
  <c r="V24" i="19" s="1"/>
  <c r="BI23" i="19"/>
  <c r="A26" i="19"/>
  <c r="A13" i="10"/>
  <c r="AK13" i="10" s="1"/>
  <c r="O64" i="19"/>
  <c r="O64" i="18"/>
  <c r="BB24" i="19"/>
  <c r="BI24" i="19"/>
  <c r="BB24" i="18"/>
  <c r="BI24" i="18"/>
  <c r="BB23" i="3"/>
  <c r="BI23" i="3"/>
  <c r="BD27" i="3"/>
  <c r="BK27" i="3"/>
  <c r="P58" i="18"/>
  <c r="L58" i="18"/>
  <c r="E59" i="18"/>
  <c r="L58" i="19"/>
  <c r="E59" i="19"/>
  <c r="P58" i="19"/>
  <c r="S25" i="18"/>
  <c r="U25" i="18" s="1"/>
  <c r="V25" i="18" s="1"/>
  <c r="R25" i="18"/>
  <c r="T25" i="18" s="1"/>
  <c r="C26" i="19"/>
  <c r="N26" i="19" s="1"/>
  <c r="Q26" i="19" s="1"/>
  <c r="C26" i="18"/>
  <c r="N26" i="18" s="1"/>
  <c r="Q26" i="18" s="1"/>
  <c r="S25" i="19"/>
  <c r="U25" i="19" s="1"/>
  <c r="V25" i="19" s="1"/>
  <c r="R25" i="19"/>
  <c r="T25" i="19" s="1"/>
  <c r="J25" i="8"/>
  <c r="D26" i="8"/>
  <c r="E26" i="8"/>
  <c r="I26" i="8"/>
  <c r="F26" i="8"/>
  <c r="G26" i="8"/>
  <c r="C26" i="8"/>
  <c r="Q215" i="7"/>
  <c r="N211" i="7"/>
  <c r="AS210" i="7"/>
  <c r="W213" i="7"/>
  <c r="H213" i="7"/>
  <c r="P215" i="7"/>
  <c r="I214" i="7"/>
  <c r="S215" i="7"/>
  <c r="X214" i="7"/>
  <c r="O215" i="7"/>
  <c r="U215" i="7"/>
  <c r="K214" i="7"/>
  <c r="V214" i="7"/>
  <c r="L214" i="7"/>
  <c r="J214" i="7"/>
  <c r="R215" i="7"/>
  <c r="T211" i="7"/>
  <c r="A26" i="18"/>
  <c r="O110" i="3"/>
  <c r="R213" i="1"/>
  <c r="H213" i="1"/>
  <c r="E214" i="1"/>
  <c r="F115" i="17"/>
  <c r="D212" i="7" s="1"/>
  <c r="K179" i="7"/>
  <c r="N177" i="7"/>
  <c r="AS176" i="7"/>
  <c r="L179" i="7"/>
  <c r="U179" i="7"/>
  <c r="J179" i="7"/>
  <c r="I179" i="7"/>
  <c r="P181" i="7"/>
  <c r="V179" i="7"/>
  <c r="Q180" i="7"/>
  <c r="R180" i="7"/>
  <c r="O180" i="7"/>
  <c r="S180" i="7"/>
  <c r="F114" i="16"/>
  <c r="D176" i="7"/>
  <c r="G96" i="4"/>
  <c r="D102" i="7"/>
  <c r="F96" i="4"/>
  <c r="C102" i="7"/>
  <c r="C168" i="1"/>
  <c r="R167" i="1"/>
  <c r="H167" i="1"/>
  <c r="O64" i="3"/>
  <c r="AU64" i="3"/>
  <c r="AV64" i="3" s="1"/>
  <c r="T24" i="3"/>
  <c r="U24" i="3"/>
  <c r="V24" i="3" s="1"/>
  <c r="B53" i="8"/>
  <c r="H53" i="8"/>
  <c r="P51" i="3"/>
  <c r="L51" i="3"/>
  <c r="Q26" i="8"/>
  <c r="R26" i="8" s="1"/>
  <c r="AG26" i="8"/>
  <c r="AH26" i="8" s="1"/>
  <c r="AX28" i="3"/>
  <c r="AY29" i="3" s="1"/>
  <c r="AZ28" i="3"/>
  <c r="S25" i="3"/>
  <c r="R25" i="3"/>
  <c r="Y27" i="8"/>
  <c r="O27" i="8"/>
  <c r="C26" i="3"/>
  <c r="N26" i="3" s="1"/>
  <c r="Q26" i="3" s="1"/>
  <c r="AC27" i="8"/>
  <c r="AF27" i="8"/>
  <c r="W27" i="8"/>
  <c r="T27" i="8"/>
  <c r="K27" i="8"/>
  <c r="AB27" i="8"/>
  <c r="P27" i="8"/>
  <c r="M27" i="8"/>
  <c r="AA27" i="8"/>
  <c r="N27" i="8"/>
  <c r="X27" i="8"/>
  <c r="S27" i="8"/>
  <c r="AE27" i="8"/>
  <c r="AD27" i="8"/>
  <c r="U27" i="8"/>
  <c r="L27" i="8"/>
  <c r="V27" i="8"/>
  <c r="Z26" i="8"/>
  <c r="A64" i="7"/>
  <c r="A27" i="8"/>
  <c r="A58" i="4"/>
  <c r="A26" i="3"/>
  <c r="A27" i="19" l="1"/>
  <c r="A14" i="10"/>
  <c r="AK14" i="10" s="1"/>
  <c r="O65" i="19"/>
  <c r="O65" i="18"/>
  <c r="BB25" i="19"/>
  <c r="BI25" i="19"/>
  <c r="BD28" i="3"/>
  <c r="BK28" i="3"/>
  <c r="BB24" i="3"/>
  <c r="BI24" i="3"/>
  <c r="BB25" i="18"/>
  <c r="BI25" i="18"/>
  <c r="J26" i="8"/>
  <c r="S26" i="19"/>
  <c r="U26" i="19" s="1"/>
  <c r="V26" i="19" s="1"/>
  <c r="R26" i="19"/>
  <c r="T26" i="19" s="1"/>
  <c r="E27" i="8"/>
  <c r="I27" i="8"/>
  <c r="F27" i="8"/>
  <c r="C27" i="8"/>
  <c r="G27" i="8"/>
  <c r="D27" i="8"/>
  <c r="E60" i="18"/>
  <c r="P59" i="18"/>
  <c r="L59" i="18"/>
  <c r="P59" i="19"/>
  <c r="E60" i="19"/>
  <c r="L59" i="19"/>
  <c r="C27" i="19"/>
  <c r="N27" i="19" s="1"/>
  <c r="Q27" i="19" s="1"/>
  <c r="C27" i="18"/>
  <c r="N27" i="18" s="1"/>
  <c r="Q27" i="18" s="1"/>
  <c r="S26" i="18"/>
  <c r="U26" i="18" s="1"/>
  <c r="V26" i="18" s="1"/>
  <c r="R26" i="18"/>
  <c r="T26" i="18" s="1"/>
  <c r="R216" i="7"/>
  <c r="L215" i="7"/>
  <c r="X215" i="7"/>
  <c r="I215" i="7"/>
  <c r="N212" i="7"/>
  <c r="AS211" i="7"/>
  <c r="U216" i="7"/>
  <c r="S216" i="7"/>
  <c r="T212" i="7"/>
  <c r="J215" i="7"/>
  <c r="V215" i="7"/>
  <c r="O216" i="7"/>
  <c r="P216" i="7"/>
  <c r="W214" i="7"/>
  <c r="K215" i="7"/>
  <c r="H214" i="7"/>
  <c r="Q216" i="7"/>
  <c r="O111" i="3"/>
  <c r="A27" i="18"/>
  <c r="H214" i="1"/>
  <c r="R214" i="1"/>
  <c r="E215" i="1"/>
  <c r="F116" i="17"/>
  <c r="D213" i="7" s="1"/>
  <c r="S181" i="7"/>
  <c r="R181" i="7"/>
  <c r="V180" i="7"/>
  <c r="L180" i="7"/>
  <c r="O181" i="7"/>
  <c r="P182" i="7"/>
  <c r="J180" i="7"/>
  <c r="N178" i="7"/>
  <c r="AS177" i="7"/>
  <c r="Q181" i="7"/>
  <c r="I180" i="7"/>
  <c r="U180" i="7"/>
  <c r="K180" i="7"/>
  <c r="F115" i="16"/>
  <c r="D177" i="7"/>
  <c r="F97" i="4"/>
  <c r="C103" i="7"/>
  <c r="G97" i="4"/>
  <c r="D103" i="7"/>
  <c r="O65" i="3"/>
  <c r="C169" i="1"/>
  <c r="H168" i="1"/>
  <c r="R168" i="1"/>
  <c r="T25" i="3"/>
  <c r="U25" i="3"/>
  <c r="V25" i="3" s="1"/>
  <c r="P52" i="3"/>
  <c r="L52" i="3"/>
  <c r="B54" i="8"/>
  <c r="AG27" i="8"/>
  <c r="AH27" i="8" s="1"/>
  <c r="Q27" i="8"/>
  <c r="R27" i="8" s="1"/>
  <c r="AX29" i="3"/>
  <c r="AY30" i="3" s="1"/>
  <c r="AZ29" i="3"/>
  <c r="R26" i="3"/>
  <c r="S26" i="3"/>
  <c r="Y28" i="8"/>
  <c r="Z27" i="8"/>
  <c r="AF28" i="8"/>
  <c r="M28" i="8"/>
  <c r="C27" i="3"/>
  <c r="N27" i="3" s="1"/>
  <c r="Q27" i="3" s="1"/>
  <c r="AA28" i="8"/>
  <c r="AC28" i="8"/>
  <c r="S28" i="8"/>
  <c r="U28" i="8"/>
  <c r="AE28" i="8"/>
  <c r="O28" i="8"/>
  <c r="L28" i="8"/>
  <c r="AD28" i="8"/>
  <c r="K28" i="8"/>
  <c r="V28" i="8"/>
  <c r="N28" i="8"/>
  <c r="AB28" i="8"/>
  <c r="P28" i="8"/>
  <c r="X28" i="8"/>
  <c r="T28" i="8"/>
  <c r="W28" i="8"/>
  <c r="A65" i="7"/>
  <c r="A59" i="4"/>
  <c r="A28" i="8"/>
  <c r="A27" i="3"/>
  <c r="A28" i="19" l="1"/>
  <c r="A15" i="10"/>
  <c r="AK15" i="10" s="1"/>
  <c r="O66" i="19"/>
  <c r="O66" i="18"/>
  <c r="BI26" i="18"/>
  <c r="BB26" i="18"/>
  <c r="BD29" i="3"/>
  <c r="BK29" i="3"/>
  <c r="BB25" i="3"/>
  <c r="BI25" i="3"/>
  <c r="BB26" i="19"/>
  <c r="BI26" i="19"/>
  <c r="S27" i="18"/>
  <c r="U27" i="18" s="1"/>
  <c r="V27" i="18" s="1"/>
  <c r="R27" i="18"/>
  <c r="T27" i="18" s="1"/>
  <c r="P60" i="19"/>
  <c r="E61" i="19"/>
  <c r="L60" i="19"/>
  <c r="E61" i="18"/>
  <c r="P60" i="18"/>
  <c r="L60" i="18"/>
  <c r="S27" i="19"/>
  <c r="U27" i="19" s="1"/>
  <c r="V27" i="19" s="1"/>
  <c r="R27" i="19"/>
  <c r="T27" i="19" s="1"/>
  <c r="C28" i="19"/>
  <c r="N28" i="19" s="1"/>
  <c r="Q28" i="19" s="1"/>
  <c r="C28" i="18"/>
  <c r="N28" i="18" s="1"/>
  <c r="Q28"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2" i="3"/>
  <c r="A28" i="18"/>
  <c r="R215" i="1"/>
  <c r="H215" i="1"/>
  <c r="E216" i="1"/>
  <c r="F117" i="17"/>
  <c r="D214" i="7" s="1"/>
  <c r="Q182" i="7"/>
  <c r="P183" i="7"/>
  <c r="I181" i="7"/>
  <c r="L181" i="7"/>
  <c r="R182" i="7"/>
  <c r="V181" i="7"/>
  <c r="U181" i="7"/>
  <c r="N179" i="7"/>
  <c r="AS178" i="7"/>
  <c r="S182" i="7"/>
  <c r="K181" i="7"/>
  <c r="J181" i="7"/>
  <c r="O182" i="7"/>
  <c r="F116" i="16"/>
  <c r="D178" i="7"/>
  <c r="G98" i="4"/>
  <c r="D104" i="7"/>
  <c r="F98" i="4"/>
  <c r="C104" i="7"/>
  <c r="C170" i="1"/>
  <c r="R169" i="1"/>
  <c r="H169" i="1"/>
  <c r="O66" i="3"/>
  <c r="U26" i="3"/>
  <c r="V26" i="3" s="1"/>
  <c r="T26" i="3"/>
  <c r="B55" i="8"/>
  <c r="L53" i="3"/>
  <c r="P53" i="3"/>
  <c r="AG28" i="8"/>
  <c r="AH28" i="8" s="1"/>
  <c r="Q28" i="8"/>
  <c r="R28" i="8" s="1"/>
  <c r="AZ30" i="3"/>
  <c r="AX30" i="3"/>
  <c r="S27" i="3"/>
  <c r="R27" i="3"/>
  <c r="Z28" i="8"/>
  <c r="K29" i="8"/>
  <c r="O29" i="8"/>
  <c r="L29" i="8"/>
  <c r="P29" i="8"/>
  <c r="M29" i="8"/>
  <c r="AB29" i="8"/>
  <c r="N29" i="8"/>
  <c r="AF29" i="8"/>
  <c r="C28" i="3"/>
  <c r="N28" i="3" s="1"/>
  <c r="Q28" i="3" s="1"/>
  <c r="W29" i="8"/>
  <c r="V29" i="8"/>
  <c r="S29" i="8"/>
  <c r="T29" i="8"/>
  <c r="U29" i="8"/>
  <c r="AA29" i="8"/>
  <c r="X29" i="8"/>
  <c r="AE29" i="8"/>
  <c r="AC29" i="8"/>
  <c r="AD29" i="8"/>
  <c r="A66" i="7"/>
  <c r="A29" i="8"/>
  <c r="A60" i="4"/>
  <c r="A28" i="3"/>
  <c r="A29" i="19" l="1"/>
  <c r="A16" i="10"/>
  <c r="AK16" i="10" s="1"/>
  <c r="H55" i="8"/>
  <c r="O67" i="19"/>
  <c r="O67" i="18"/>
  <c r="BB26" i="3"/>
  <c r="BI26" i="3"/>
  <c r="BB27" i="18"/>
  <c r="BI27" i="18"/>
  <c r="BD30" i="3"/>
  <c r="BK30" i="3"/>
  <c r="BB27" i="19"/>
  <c r="BI27" i="19"/>
  <c r="U27" i="3"/>
  <c r="V27" i="3" s="1"/>
  <c r="R28" i="18"/>
  <c r="T28" i="18" s="1"/>
  <c r="S28" i="18"/>
  <c r="U28" i="18" s="1"/>
  <c r="V28" i="18" s="1"/>
  <c r="L61" i="18"/>
  <c r="E62" i="18"/>
  <c r="P61" i="18"/>
  <c r="J28" i="8"/>
  <c r="S28" i="19"/>
  <c r="U28" i="19" s="1"/>
  <c r="V28" i="19" s="1"/>
  <c r="R28" i="19"/>
  <c r="T28" i="19" s="1"/>
  <c r="C29" i="8"/>
  <c r="G29" i="8"/>
  <c r="D29" i="8"/>
  <c r="E29" i="8"/>
  <c r="I29" i="8"/>
  <c r="F29" i="8"/>
  <c r="L61" i="19"/>
  <c r="E62" i="19"/>
  <c r="P61" i="19"/>
  <c r="C29" i="19"/>
  <c r="N29" i="19" s="1"/>
  <c r="Q29" i="19" s="1"/>
  <c r="C29" i="18"/>
  <c r="N29" i="18" s="1"/>
  <c r="Q29" i="18" s="1"/>
  <c r="O218" i="7"/>
  <c r="T214" i="7"/>
  <c r="K217" i="7"/>
  <c r="I217" i="7"/>
  <c r="X217" i="7"/>
  <c r="J217" i="7"/>
  <c r="H216" i="7"/>
  <c r="P218" i="7"/>
  <c r="L217" i="7"/>
  <c r="N214" i="7"/>
  <c r="AS213" i="7"/>
  <c r="V217" i="7"/>
  <c r="S218" i="7"/>
  <c r="Q218" i="7"/>
  <c r="R218" i="7"/>
  <c r="U218" i="7"/>
  <c r="W216" i="7"/>
  <c r="O113" i="3"/>
  <c r="A29" i="18"/>
  <c r="R216" i="1"/>
  <c r="H216" i="1"/>
  <c r="E217" i="1"/>
  <c r="F118" i="17"/>
  <c r="D215" i="7" s="1"/>
  <c r="O183" i="7"/>
  <c r="K182" i="7"/>
  <c r="U182" i="7"/>
  <c r="I182" i="7"/>
  <c r="S183" i="7"/>
  <c r="R183" i="7"/>
  <c r="P184" i="7"/>
  <c r="J182" i="7"/>
  <c r="N180" i="7"/>
  <c r="AS179" i="7"/>
  <c r="V182" i="7"/>
  <c r="L182" i="7"/>
  <c r="Q183" i="7"/>
  <c r="F117" i="16"/>
  <c r="D179" i="7"/>
  <c r="F99" i="4"/>
  <c r="C105" i="7"/>
  <c r="G99" i="4"/>
  <c r="D105" i="7"/>
  <c r="O67" i="3"/>
  <c r="R170" i="1"/>
  <c r="C171" i="1"/>
  <c r="H170" i="1"/>
  <c r="T27" i="3"/>
  <c r="B56" i="8"/>
  <c r="P54" i="3"/>
  <c r="L54" i="3"/>
  <c r="AG29" i="8"/>
  <c r="AH29" i="8" s="1"/>
  <c r="Y29" i="8"/>
  <c r="Z29" i="8" s="1"/>
  <c r="Q29" i="8"/>
  <c r="R29" i="8" s="1"/>
  <c r="S28" i="3"/>
  <c r="R28" i="3"/>
  <c r="L30" i="8"/>
  <c r="S30" i="8"/>
  <c r="AF30" i="8"/>
  <c r="N30" i="8"/>
  <c r="U30" i="8"/>
  <c r="AB30" i="8"/>
  <c r="O30" i="8"/>
  <c r="V30" i="8"/>
  <c r="AC30" i="8"/>
  <c r="P30" i="8"/>
  <c r="W30" i="8"/>
  <c r="AD30" i="8"/>
  <c r="K30" i="8"/>
  <c r="C29" i="3"/>
  <c r="N29" i="3" s="1"/>
  <c r="Q29" i="3" s="1"/>
  <c r="M30" i="8"/>
  <c r="AA30" i="8"/>
  <c r="X30" i="8"/>
  <c r="T30" i="8"/>
  <c r="AE30" i="8"/>
  <c r="A67" i="7"/>
  <c r="A61" i="4"/>
  <c r="A30" i="8"/>
  <c r="A29" i="3"/>
  <c r="A30" i="19" l="1"/>
  <c r="A17" i="10"/>
  <c r="AK17" i="10" s="1"/>
  <c r="O68" i="19"/>
  <c r="O68" i="18"/>
  <c r="BB27" i="3"/>
  <c r="BI27" i="3"/>
  <c r="BB28" i="18"/>
  <c r="BI28" i="18"/>
  <c r="BB28" i="19"/>
  <c r="BI28" i="19"/>
  <c r="D30" i="8"/>
  <c r="E30" i="8"/>
  <c r="I30" i="8"/>
  <c r="F30" i="8"/>
  <c r="C30" i="8"/>
  <c r="G30" i="8"/>
  <c r="H56" i="8"/>
  <c r="J29" i="8"/>
  <c r="R29" i="18"/>
  <c r="T29" i="18" s="1"/>
  <c r="S29" i="18"/>
  <c r="U29" i="18" s="1"/>
  <c r="V29" i="18" s="1"/>
  <c r="L62" i="19"/>
  <c r="P62" i="19"/>
  <c r="E63" i="19"/>
  <c r="L62" i="18"/>
  <c r="P62" i="18"/>
  <c r="E63" i="18"/>
  <c r="C30" i="19"/>
  <c r="N30" i="19" s="1"/>
  <c r="Q30" i="19" s="1"/>
  <c r="C30" i="18"/>
  <c r="N30" i="18" s="1"/>
  <c r="Q30" i="18" s="1"/>
  <c r="S29" i="19"/>
  <c r="U29" i="19" s="1"/>
  <c r="V29" i="19" s="1"/>
  <c r="R29" i="19"/>
  <c r="T29" i="19" s="1"/>
  <c r="I218" i="7"/>
  <c r="T215" i="7"/>
  <c r="W217" i="7"/>
  <c r="R219" i="7"/>
  <c r="S219" i="7"/>
  <c r="N215" i="7"/>
  <c r="AS214" i="7"/>
  <c r="P219" i="7"/>
  <c r="H217" i="7"/>
  <c r="X218" i="7"/>
  <c r="O219" i="7"/>
  <c r="Q219" i="7"/>
  <c r="K218" i="7"/>
  <c r="U219" i="7"/>
  <c r="V218" i="7"/>
  <c r="L218" i="7"/>
  <c r="J218" i="7"/>
  <c r="O114" i="3"/>
  <c r="A30" i="18"/>
  <c r="H217" i="1"/>
  <c r="R217" i="1"/>
  <c r="E218" i="1"/>
  <c r="T28" i="3"/>
  <c r="F119" i="17"/>
  <c r="D216" i="7" s="1"/>
  <c r="Q184" i="7"/>
  <c r="V183" i="7"/>
  <c r="K183" i="7"/>
  <c r="J183" i="7"/>
  <c r="L183" i="7"/>
  <c r="N181" i="7"/>
  <c r="AS180" i="7"/>
  <c r="U183" i="7"/>
  <c r="O184" i="7"/>
  <c r="I183" i="7"/>
  <c r="P185" i="7"/>
  <c r="S184" i="7"/>
  <c r="R184" i="7"/>
  <c r="F118" i="16"/>
  <c r="D180" i="7"/>
  <c r="G100" i="4"/>
  <c r="D106" i="7"/>
  <c r="F100" i="4"/>
  <c r="C106" i="7"/>
  <c r="H171" i="1"/>
  <c r="R171" i="1"/>
  <c r="C172" i="1"/>
  <c r="O68" i="3"/>
  <c r="U28" i="3"/>
  <c r="V28" i="3" s="1"/>
  <c r="L55" i="3"/>
  <c r="P55" i="3"/>
  <c r="B57" i="8"/>
  <c r="AG30" i="8"/>
  <c r="AH30" i="8" s="1"/>
  <c r="Y30" i="8"/>
  <c r="Z30" i="8" s="1"/>
  <c r="S29" i="3"/>
  <c r="R29" i="3"/>
  <c r="Q30" i="8"/>
  <c r="R30" i="8" s="1"/>
  <c r="AG31" i="8"/>
  <c r="K31" i="8"/>
  <c r="N31" i="8"/>
  <c r="O31" i="8"/>
  <c r="U31" i="8"/>
  <c r="AC31" i="8"/>
  <c r="C30" i="3"/>
  <c r="N30" i="3" s="1"/>
  <c r="Q30" i="3" s="1"/>
  <c r="AF31" i="8"/>
  <c r="V31" i="8"/>
  <c r="AB31" i="8"/>
  <c r="W31" i="8"/>
  <c r="T31" i="8"/>
  <c r="AD31" i="8"/>
  <c r="L31" i="8"/>
  <c r="X31" i="8"/>
  <c r="P31" i="8"/>
  <c r="M31" i="8"/>
  <c r="AA31" i="8"/>
  <c r="S31" i="8"/>
  <c r="AE31" i="8"/>
  <c r="A68" i="7"/>
  <c r="A62" i="4"/>
  <c r="A31" i="8"/>
  <c r="A30" i="3"/>
  <c r="A31" i="19" l="1"/>
  <c r="A18" i="10"/>
  <c r="AK18" i="10" s="1"/>
  <c r="T29" i="3"/>
  <c r="O69" i="19"/>
  <c r="O69" i="18"/>
  <c r="BB29" i="19"/>
  <c r="BI29" i="19"/>
  <c r="BB28" i="3"/>
  <c r="BI28" i="3"/>
  <c r="BB29" i="18"/>
  <c r="BI29" i="18"/>
  <c r="U29" i="3"/>
  <c r="V29" i="3" s="1"/>
  <c r="E64" i="18"/>
  <c r="L63" i="18"/>
  <c r="P63" i="18"/>
  <c r="C31" i="19"/>
  <c r="N31" i="19" s="1"/>
  <c r="Q31" i="19" s="1"/>
  <c r="C31" i="18"/>
  <c r="N31" i="18" s="1"/>
  <c r="Q31" i="18" s="1"/>
  <c r="H57" i="8"/>
  <c r="R30" i="18"/>
  <c r="T30" i="18" s="1"/>
  <c r="S30" i="18"/>
  <c r="U30" i="18" s="1"/>
  <c r="V30" i="18" s="1"/>
  <c r="S30" i="19"/>
  <c r="U30" i="19" s="1"/>
  <c r="V30" i="19" s="1"/>
  <c r="R30" i="19"/>
  <c r="T30" i="19" s="1"/>
  <c r="J30" i="8"/>
  <c r="E31" i="8"/>
  <c r="I31" i="8"/>
  <c r="F31" i="8"/>
  <c r="C31" i="8"/>
  <c r="G31" i="8"/>
  <c r="D31" i="8"/>
  <c r="E64" i="19"/>
  <c r="P63" i="19"/>
  <c r="L63" i="19"/>
  <c r="J219" i="7"/>
  <c r="T216" i="7"/>
  <c r="V219" i="7"/>
  <c r="K219" i="7"/>
  <c r="P220" i="7"/>
  <c r="N216" i="7"/>
  <c r="AS215" i="7"/>
  <c r="R220" i="7"/>
  <c r="Q220" i="7"/>
  <c r="X219" i="7"/>
  <c r="S220" i="7"/>
  <c r="I219" i="7"/>
  <c r="L219" i="7"/>
  <c r="U220" i="7"/>
  <c r="O220" i="7"/>
  <c r="H218" i="7"/>
  <c r="W218" i="7"/>
  <c r="O115" i="3"/>
  <c r="A31" i="18"/>
  <c r="H218" i="1"/>
  <c r="R218" i="1"/>
  <c r="E219" i="1"/>
  <c r="F120" i="17"/>
  <c r="D217" i="7" s="1"/>
  <c r="R185" i="7"/>
  <c r="I184" i="7"/>
  <c r="U184" i="7"/>
  <c r="J184" i="7"/>
  <c r="P186" i="7"/>
  <c r="O185" i="7"/>
  <c r="S185" i="7"/>
  <c r="L184" i="7"/>
  <c r="V184" i="7"/>
  <c r="N182" i="7"/>
  <c r="AS181" i="7"/>
  <c r="K184" i="7"/>
  <c r="Q185" i="7"/>
  <c r="F119" i="16"/>
  <c r="D181" i="7"/>
  <c r="F101" i="4"/>
  <c r="C107" i="7"/>
  <c r="G101" i="4"/>
  <c r="D107" i="7"/>
  <c r="R172" i="1"/>
  <c r="H172" i="1"/>
  <c r="C173" i="1"/>
  <c r="O69" i="3"/>
  <c r="AU69" i="3"/>
  <c r="AV69" i="3" s="1"/>
  <c r="B58" i="8"/>
  <c r="P56" i="3"/>
  <c r="L56" i="3"/>
  <c r="Y31" i="8"/>
  <c r="Z31" i="8" s="1"/>
  <c r="Q31" i="8"/>
  <c r="R31" i="8" s="1"/>
  <c r="R30" i="3"/>
  <c r="S30" i="3"/>
  <c r="AH31" i="8"/>
  <c r="AE32" i="8"/>
  <c r="C31" i="3"/>
  <c r="N31" i="3" s="1"/>
  <c r="X32" i="8"/>
  <c r="AF32" i="8"/>
  <c r="L32" i="8"/>
  <c r="N32" i="8"/>
  <c r="V32" i="8"/>
  <c r="P32" i="8"/>
  <c r="M32" i="8"/>
  <c r="U32" i="8"/>
  <c r="AC32" i="8"/>
  <c r="T32" i="8"/>
  <c r="S32" i="8"/>
  <c r="AB32" i="8"/>
  <c r="K32" i="8"/>
  <c r="W32" i="8"/>
  <c r="AA32" i="8"/>
  <c r="O32" i="8"/>
  <c r="AD32" i="8"/>
  <c r="A69" i="7"/>
  <c r="A63" i="4"/>
  <c r="A32" i="8"/>
  <c r="A31" i="3"/>
  <c r="U30" i="3" l="1"/>
  <c r="V30" i="3" s="1"/>
  <c r="BB30" i="3" s="1"/>
  <c r="A32" i="19"/>
  <c r="A19" i="10"/>
  <c r="AK19" i="10" s="1"/>
  <c r="T30" i="3"/>
  <c r="O70" i="19"/>
  <c r="O70" i="18"/>
  <c r="BB30" i="19"/>
  <c r="BI30" i="19"/>
  <c r="BB29" i="3"/>
  <c r="BI29" i="3"/>
  <c r="BI30" i="18"/>
  <c r="BB30" i="18"/>
  <c r="J31" i="8"/>
  <c r="F32" i="8"/>
  <c r="C32" i="8"/>
  <c r="G32" i="8"/>
  <c r="D32" i="8"/>
  <c r="E32" i="8"/>
  <c r="I32" i="8"/>
  <c r="E65" i="18"/>
  <c r="L64" i="18"/>
  <c r="P64" i="18"/>
  <c r="L64" i="19"/>
  <c r="P64" i="19"/>
  <c r="E65" i="19"/>
  <c r="R31" i="18"/>
  <c r="T31" i="18" s="1"/>
  <c r="S31" i="18"/>
  <c r="U31" i="18" s="1"/>
  <c r="V31" i="18" s="1"/>
  <c r="C32" i="19"/>
  <c r="N32" i="19" s="1"/>
  <c r="Q32" i="19" s="1"/>
  <c r="C32" i="18"/>
  <c r="N32" i="18" s="1"/>
  <c r="Q32" i="18" s="1"/>
  <c r="H58" i="8"/>
  <c r="S31" i="19"/>
  <c r="U31" i="19" s="1"/>
  <c r="V31" i="19" s="1"/>
  <c r="R31" i="19"/>
  <c r="T31" i="19" s="1"/>
  <c r="W219" i="7"/>
  <c r="L220" i="7"/>
  <c r="X220" i="7"/>
  <c r="R221" i="7"/>
  <c r="N217" i="7"/>
  <c r="AS216" i="7"/>
  <c r="O221" i="7"/>
  <c r="S221" i="7"/>
  <c r="Q221" i="7"/>
  <c r="P221" i="7"/>
  <c r="I220" i="7"/>
  <c r="V220" i="7"/>
  <c r="J220" i="7"/>
  <c r="H219" i="7"/>
  <c r="U221" i="7"/>
  <c r="K220" i="7"/>
  <c r="T217" i="7"/>
  <c r="O116" i="3"/>
  <c r="A32" i="18"/>
  <c r="H219" i="1"/>
  <c r="R219" i="1"/>
  <c r="E220" i="1"/>
  <c r="F121" i="17"/>
  <c r="D218" i="7" s="1"/>
  <c r="Q186" i="7"/>
  <c r="I185" i="7"/>
  <c r="J185" i="7"/>
  <c r="K185" i="7"/>
  <c r="S186" i="7"/>
  <c r="N183" i="7"/>
  <c r="AS182" i="7"/>
  <c r="L185" i="7"/>
  <c r="P187" i="7"/>
  <c r="V185" i="7"/>
  <c r="O186" i="7"/>
  <c r="U185" i="7"/>
  <c r="R186" i="7"/>
  <c r="F120" i="16"/>
  <c r="D182" i="7"/>
  <c r="G102" i="4"/>
  <c r="D108" i="7"/>
  <c r="F102" i="4"/>
  <c r="C108" i="7"/>
  <c r="H173" i="1"/>
  <c r="C174" i="1"/>
  <c r="R173" i="1"/>
  <c r="AU70" i="3"/>
  <c r="AV70" i="3" s="1"/>
  <c r="O70" i="3"/>
  <c r="B59" i="8"/>
  <c r="P57" i="3"/>
  <c r="L57" i="3"/>
  <c r="AG32" i="8"/>
  <c r="AH32" i="8" s="1"/>
  <c r="Q31" i="3"/>
  <c r="S31" i="3" s="1"/>
  <c r="U31" i="3" s="1"/>
  <c r="V31" i="3" s="1"/>
  <c r="Y32" i="8"/>
  <c r="Z32" i="8" s="1"/>
  <c r="Q32" i="8"/>
  <c r="R32" i="8" s="1"/>
  <c r="L33" i="8"/>
  <c r="P33" i="8"/>
  <c r="U33" i="8"/>
  <c r="AD33" i="8"/>
  <c r="M33" i="8"/>
  <c r="V33" i="8"/>
  <c r="AA33" i="8"/>
  <c r="AE33" i="8"/>
  <c r="N33" i="8"/>
  <c r="S33" i="8"/>
  <c r="W33" i="8"/>
  <c r="AB33" i="8"/>
  <c r="AF33" i="8"/>
  <c r="X33" i="8"/>
  <c r="K33" i="8"/>
  <c r="AC33" i="8"/>
  <c r="O33" i="8"/>
  <c r="T33" i="8"/>
  <c r="C32" i="3"/>
  <c r="N32" i="3" s="1"/>
  <c r="A70" i="7"/>
  <c r="A64" i="4"/>
  <c r="A33" i="8"/>
  <c r="A32" i="3"/>
  <c r="BI30" i="3" l="1"/>
  <c r="A33" i="19"/>
  <c r="A20" i="10"/>
  <c r="AK20" i="10" s="1"/>
  <c r="O71" i="19"/>
  <c r="O71" i="18"/>
  <c r="BB31" i="3"/>
  <c r="BI31" i="3"/>
  <c r="BB31" i="19"/>
  <c r="BI31" i="19"/>
  <c r="BI31" i="18"/>
  <c r="BB31" i="18"/>
  <c r="H59" i="8"/>
  <c r="R32" i="19"/>
  <c r="T32" i="19" s="1"/>
  <c r="S32" i="19"/>
  <c r="U32" i="19" s="1"/>
  <c r="V32" i="19" s="1"/>
  <c r="E66" i="19"/>
  <c r="P65" i="19"/>
  <c r="L65" i="19"/>
  <c r="C33" i="19"/>
  <c r="N33" i="19" s="1"/>
  <c r="Q33" i="19" s="1"/>
  <c r="C33" i="18"/>
  <c r="N33" i="18" s="1"/>
  <c r="Q33" i="18" s="1"/>
  <c r="C33" i="8"/>
  <c r="G33" i="8"/>
  <c r="D33" i="8"/>
  <c r="E33" i="8"/>
  <c r="I33" i="8"/>
  <c r="F33" i="8"/>
  <c r="E66" i="18"/>
  <c r="L65" i="18"/>
  <c r="P65" i="18"/>
  <c r="S32" i="18"/>
  <c r="U32" i="18" s="1"/>
  <c r="V32" i="18" s="1"/>
  <c r="R32" i="18"/>
  <c r="T32" i="18" s="1"/>
  <c r="J32" i="8"/>
  <c r="N218" i="7"/>
  <c r="AS217" i="7"/>
  <c r="T218" i="7"/>
  <c r="P222" i="7"/>
  <c r="K221" i="7"/>
  <c r="U222" i="7"/>
  <c r="J221" i="7"/>
  <c r="I221" i="7"/>
  <c r="Q222" i="7"/>
  <c r="O222" i="7"/>
  <c r="X221" i="7"/>
  <c r="W220" i="7"/>
  <c r="V221" i="7"/>
  <c r="S222" i="7"/>
  <c r="L221" i="7"/>
  <c r="H220" i="7"/>
  <c r="R222" i="7"/>
  <c r="A33" i="18"/>
  <c r="O117" i="3"/>
  <c r="R220" i="1"/>
  <c r="H220" i="1"/>
  <c r="F122" i="17"/>
  <c r="D219" i="7" s="1"/>
  <c r="R187" i="7"/>
  <c r="V186" i="7"/>
  <c r="K186" i="7"/>
  <c r="U186" i="7"/>
  <c r="O187" i="7"/>
  <c r="P188" i="7"/>
  <c r="S187" i="7"/>
  <c r="L186" i="7"/>
  <c r="I186" i="7"/>
  <c r="N184" i="7"/>
  <c r="AS183" i="7"/>
  <c r="J186" i="7"/>
  <c r="Q187" i="7"/>
  <c r="F121" i="16"/>
  <c r="D183" i="7"/>
  <c r="F103" i="4"/>
  <c r="C109" i="7"/>
  <c r="G103" i="4"/>
  <c r="D109" i="7"/>
  <c r="AU71" i="3"/>
  <c r="AV71" i="3" s="1"/>
  <c r="O71" i="3"/>
  <c r="R174" i="1"/>
  <c r="H174" i="1"/>
  <c r="C175" i="1"/>
  <c r="L58" i="3"/>
  <c r="P58" i="3"/>
  <c r="B60" i="8"/>
  <c r="R31" i="3"/>
  <c r="T31" i="3" s="1"/>
  <c r="Q33" i="8"/>
  <c r="R33" i="8" s="1"/>
  <c r="Q32" i="3"/>
  <c r="S32" i="3" s="1"/>
  <c r="AG33" i="8"/>
  <c r="AH33" i="8" s="1"/>
  <c r="Y33" i="8"/>
  <c r="Z33" i="8" s="1"/>
  <c r="AG34" i="8"/>
  <c r="N34" i="8"/>
  <c r="O34" i="8"/>
  <c r="V34" i="8"/>
  <c r="AC34" i="8"/>
  <c r="K34" i="8"/>
  <c r="P34" i="8"/>
  <c r="W34" i="8"/>
  <c r="AD34" i="8"/>
  <c r="L34" i="8"/>
  <c r="S34" i="8"/>
  <c r="AF34" i="8"/>
  <c r="C33" i="3"/>
  <c r="N33" i="3" s="1"/>
  <c r="M34" i="8"/>
  <c r="AB34" i="8"/>
  <c r="U34" i="8"/>
  <c r="X34" i="8"/>
  <c r="T34" i="8"/>
  <c r="AE34" i="8"/>
  <c r="AA34" i="8"/>
  <c r="A71" i="7"/>
  <c r="A65" i="4"/>
  <c r="A33" i="3"/>
  <c r="A34" i="8"/>
  <c r="A34" i="19" l="1"/>
  <c r="A21" i="10"/>
  <c r="AK21" i="10" s="1"/>
  <c r="O72" i="19"/>
  <c r="O72" i="18"/>
  <c r="BI32" i="18"/>
  <c r="BB32" i="18"/>
  <c r="BB32" i="19"/>
  <c r="BI32" i="19"/>
  <c r="H60" i="8"/>
  <c r="J33" i="8"/>
  <c r="R33" i="18"/>
  <c r="T33" i="18" s="1"/>
  <c r="S33" i="18"/>
  <c r="U33" i="18" s="1"/>
  <c r="V33" i="18" s="1"/>
  <c r="L66" i="18"/>
  <c r="E67" i="18"/>
  <c r="P66" i="18"/>
  <c r="S33" i="19"/>
  <c r="U33" i="19" s="1"/>
  <c r="V33" i="19" s="1"/>
  <c r="R33" i="19"/>
  <c r="T33" i="19" s="1"/>
  <c r="D34" i="8"/>
  <c r="E34" i="8"/>
  <c r="I34" i="8"/>
  <c r="F34" i="8"/>
  <c r="C34" i="8"/>
  <c r="G34" i="8"/>
  <c r="L66" i="19"/>
  <c r="E67" i="19"/>
  <c r="P66" i="19"/>
  <c r="C34" i="19"/>
  <c r="N34" i="19" s="1"/>
  <c r="Q34" i="19" s="1"/>
  <c r="C34" i="18"/>
  <c r="N34" i="18" s="1"/>
  <c r="Q34" i="18" s="1"/>
  <c r="L222" i="7"/>
  <c r="V222" i="7"/>
  <c r="X222" i="7"/>
  <c r="S223" i="7"/>
  <c r="W221" i="7"/>
  <c r="P223" i="7"/>
  <c r="R223" i="7"/>
  <c r="O223" i="7"/>
  <c r="I222" i="7"/>
  <c r="U223" i="7"/>
  <c r="N219" i="7"/>
  <c r="AS218" i="7"/>
  <c r="H221" i="7"/>
  <c r="Q223" i="7"/>
  <c r="J222" i="7"/>
  <c r="K222" i="7"/>
  <c r="T219" i="7"/>
  <c r="A34" i="18"/>
  <c r="O118" i="3"/>
  <c r="F123" i="17"/>
  <c r="D220" i="7" s="1"/>
  <c r="U187" i="7"/>
  <c r="V187" i="7"/>
  <c r="J187" i="7"/>
  <c r="L187" i="7"/>
  <c r="S188" i="7"/>
  <c r="O188" i="7"/>
  <c r="K187" i="7"/>
  <c r="Q188" i="7"/>
  <c r="N185" i="7"/>
  <c r="AS184" i="7"/>
  <c r="P189" i="7"/>
  <c r="I187" i="7"/>
  <c r="R188" i="7"/>
  <c r="F122" i="16"/>
  <c r="D184" i="7"/>
  <c r="G104" i="4"/>
  <c r="D110" i="7"/>
  <c r="F104" i="4"/>
  <c r="C110" i="7"/>
  <c r="O72" i="3"/>
  <c r="AU72" i="3"/>
  <c r="AV72" i="3" s="1"/>
  <c r="H175" i="1"/>
  <c r="C176" i="1"/>
  <c r="R175" i="1"/>
  <c r="U32" i="3"/>
  <c r="V32" i="3" s="1"/>
  <c r="L59" i="3"/>
  <c r="P59" i="3"/>
  <c r="B61" i="8"/>
  <c r="AW31" i="3"/>
  <c r="AX31" i="3"/>
  <c r="Q33" i="3"/>
  <c r="S33" i="3" s="1"/>
  <c r="R32" i="3"/>
  <c r="T32" i="3" s="1"/>
  <c r="Y34" i="8"/>
  <c r="Z34" i="8" s="1"/>
  <c r="Y35" i="8"/>
  <c r="Q34" i="8"/>
  <c r="R34" i="8" s="1"/>
  <c r="AH34" i="8"/>
  <c r="N35" i="8"/>
  <c r="U35" i="8"/>
  <c r="AG35" i="8"/>
  <c r="K35" i="8"/>
  <c r="AB35" i="8"/>
  <c r="C34" i="3"/>
  <c r="N34" i="3" s="1"/>
  <c r="AF35" i="8"/>
  <c r="P35" i="8"/>
  <c r="AA35" i="8"/>
  <c r="V35" i="8"/>
  <c r="S35" i="8"/>
  <c r="AE35" i="8"/>
  <c r="O35" i="8"/>
  <c r="T35" i="8"/>
  <c r="W35" i="8"/>
  <c r="L35" i="8"/>
  <c r="AD35" i="8"/>
  <c r="X35" i="8"/>
  <c r="AC35" i="8"/>
  <c r="M35" i="8"/>
  <c r="A72" i="7"/>
  <c r="A66" i="4"/>
  <c r="A35" i="8"/>
  <c r="A34" i="3"/>
  <c r="A35" i="19" l="1"/>
  <c r="A22" i="10"/>
  <c r="AK22" i="10" s="1"/>
  <c r="O73" i="19"/>
  <c r="O73" i="18"/>
  <c r="BB32" i="3"/>
  <c r="BI32" i="3"/>
  <c r="BI33" i="18"/>
  <c r="BB33" i="18"/>
  <c r="BB33" i="19"/>
  <c r="BI33" i="19"/>
  <c r="C35" i="19"/>
  <c r="N35" i="19" s="1"/>
  <c r="Q35" i="19" s="1"/>
  <c r="C35" i="18"/>
  <c r="N35" i="18" s="1"/>
  <c r="Q35" i="18" s="1"/>
  <c r="S34" i="18"/>
  <c r="U34" i="18" s="1"/>
  <c r="V34" i="18" s="1"/>
  <c r="R34" i="18"/>
  <c r="T34" i="18" s="1"/>
  <c r="P67" i="19"/>
  <c r="L67" i="19"/>
  <c r="E68" i="19"/>
  <c r="R34" i="19"/>
  <c r="T34" i="19" s="1"/>
  <c r="S34" i="19"/>
  <c r="U34" i="19" s="1"/>
  <c r="V34" i="19" s="1"/>
  <c r="E68" i="18"/>
  <c r="L67" i="18"/>
  <c r="P67" i="18"/>
  <c r="H61" i="8"/>
  <c r="E35" i="8"/>
  <c r="I35" i="8"/>
  <c r="F35" i="8"/>
  <c r="C35" i="8"/>
  <c r="G35" i="8"/>
  <c r="D35" i="8"/>
  <c r="J34" i="8"/>
  <c r="T220" i="7"/>
  <c r="O224" i="7"/>
  <c r="S224" i="7"/>
  <c r="X223" i="7"/>
  <c r="Q224" i="7"/>
  <c r="U224" i="7"/>
  <c r="P224" i="7"/>
  <c r="K223" i="7"/>
  <c r="R224" i="7"/>
  <c r="V223" i="7"/>
  <c r="L223" i="7"/>
  <c r="J223" i="7"/>
  <c r="H222" i="7"/>
  <c r="N220" i="7"/>
  <c r="AS219" i="7"/>
  <c r="I223" i="7"/>
  <c r="W222" i="7"/>
  <c r="A35" i="18"/>
  <c r="F124" i="17"/>
  <c r="D221" i="7" s="1"/>
  <c r="S189" i="7"/>
  <c r="J188" i="7"/>
  <c r="I188" i="7"/>
  <c r="Q189" i="7"/>
  <c r="O189" i="7"/>
  <c r="L188" i="7"/>
  <c r="V188" i="7"/>
  <c r="R189" i="7"/>
  <c r="N186" i="7"/>
  <c r="AS185" i="7"/>
  <c r="K188" i="7"/>
  <c r="P190" i="7"/>
  <c r="U188" i="7"/>
  <c r="F123" i="16"/>
  <c r="D185" i="7"/>
  <c r="AY31" i="3"/>
  <c r="AZ31" i="3" s="1"/>
  <c r="BK31" i="3" s="1"/>
  <c r="F105" i="4"/>
  <c r="C111" i="7"/>
  <c r="G105" i="4"/>
  <c r="D111" i="7"/>
  <c r="R176" i="1"/>
  <c r="H176" i="1"/>
  <c r="C177" i="1"/>
  <c r="O73" i="3"/>
  <c r="AU73" i="3"/>
  <c r="AV73" i="3" s="1"/>
  <c r="H62" i="8"/>
  <c r="B62" i="8"/>
  <c r="P60" i="3"/>
  <c r="L60" i="3"/>
  <c r="R33" i="3"/>
  <c r="T33" i="3" s="1"/>
  <c r="Q35" i="8"/>
  <c r="R35" i="8" s="1"/>
  <c r="AX32" i="3"/>
  <c r="AW32" i="3"/>
  <c r="U33" i="3"/>
  <c r="V33" i="3" s="1"/>
  <c r="Q34" i="3"/>
  <c r="R34" i="3" s="1"/>
  <c r="AG36" i="8"/>
  <c r="M36" i="8"/>
  <c r="N36" i="8"/>
  <c r="Q36" i="8"/>
  <c r="T36" i="8"/>
  <c r="AA36" i="8"/>
  <c r="C35" i="3"/>
  <c r="N35" i="3" s="1"/>
  <c r="AE36" i="8"/>
  <c r="U36" i="8"/>
  <c r="Y36" i="8"/>
  <c r="AB36" i="8"/>
  <c r="AF36" i="8"/>
  <c r="X36" i="8"/>
  <c r="K36" i="8"/>
  <c r="W36" i="8"/>
  <c r="O36" i="8"/>
  <c r="AD36" i="8"/>
  <c r="L36" i="8"/>
  <c r="V36" i="8"/>
  <c r="P36" i="8"/>
  <c r="AC36" i="8"/>
  <c r="S36" i="8"/>
  <c r="AH35" i="8"/>
  <c r="Z35" i="8"/>
  <c r="A73" i="7"/>
  <c r="A67" i="4"/>
  <c r="A36" i="8"/>
  <c r="A35" i="3"/>
  <c r="A36" i="19" l="1"/>
  <c r="A23" i="10"/>
  <c r="AK23" i="10" s="1"/>
  <c r="O74" i="19"/>
  <c r="O74" i="18"/>
  <c r="BB33" i="3"/>
  <c r="BI33" i="3"/>
  <c r="BB34" i="19"/>
  <c r="BI34" i="19"/>
  <c r="BI34" i="18"/>
  <c r="BB34" i="18"/>
  <c r="J35" i="8"/>
  <c r="R35" i="18"/>
  <c r="T35" i="18" s="1"/>
  <c r="S35" i="18"/>
  <c r="U35" i="18" s="1"/>
  <c r="V35" i="18" s="1"/>
  <c r="P68" i="18"/>
  <c r="L68" i="18"/>
  <c r="E69" i="18"/>
  <c r="P68" i="19"/>
  <c r="L68" i="19"/>
  <c r="E69" i="19"/>
  <c r="R35" i="19"/>
  <c r="T35" i="19" s="1"/>
  <c r="S35" i="19"/>
  <c r="U35" i="19" s="1"/>
  <c r="V35" i="19" s="1"/>
  <c r="F36" i="8"/>
  <c r="C36" i="8"/>
  <c r="G36" i="8"/>
  <c r="D36" i="8"/>
  <c r="E36" i="8"/>
  <c r="I36" i="8"/>
  <c r="C36" i="19"/>
  <c r="N36" i="19" s="1"/>
  <c r="Q36" i="19" s="1"/>
  <c r="C36" i="18"/>
  <c r="N36" i="18" s="1"/>
  <c r="Q36" i="18" s="1"/>
  <c r="BD31" i="3"/>
  <c r="H223" i="7"/>
  <c r="L224" i="7"/>
  <c r="R225" i="7"/>
  <c r="K224" i="7"/>
  <c r="U225" i="7"/>
  <c r="X224" i="7"/>
  <c r="O225" i="7"/>
  <c r="W223" i="7"/>
  <c r="J224" i="7"/>
  <c r="S225" i="7"/>
  <c r="N221" i="7"/>
  <c r="AS220" i="7"/>
  <c r="V224" i="7"/>
  <c r="P225" i="7"/>
  <c r="Q225" i="7"/>
  <c r="T221" i="7"/>
  <c r="I224" i="7"/>
  <c r="A36" i="18"/>
  <c r="F125" i="17"/>
  <c r="D222" i="7" s="1"/>
  <c r="R190" i="7"/>
  <c r="L189" i="7"/>
  <c r="Q190" i="7"/>
  <c r="P191" i="7"/>
  <c r="N187" i="7"/>
  <c r="AS186" i="7"/>
  <c r="V189" i="7"/>
  <c r="O190" i="7"/>
  <c r="I189" i="7"/>
  <c r="J189" i="7"/>
  <c r="U189" i="7"/>
  <c r="K189" i="7"/>
  <c r="S190" i="7"/>
  <c r="F124" i="16"/>
  <c r="D186" i="7"/>
  <c r="AY32" i="3"/>
  <c r="AZ32" i="3" s="1"/>
  <c r="BK32" i="3" s="1"/>
  <c r="G106" i="4"/>
  <c r="D112" i="7"/>
  <c r="F106" i="4"/>
  <c r="C112" i="7"/>
  <c r="H177" i="1"/>
  <c r="R177" i="1"/>
  <c r="C178" i="1"/>
  <c r="AU74" i="3"/>
  <c r="AV74" i="3" s="1"/>
  <c r="O74" i="3"/>
  <c r="L61" i="3"/>
  <c r="P61" i="3"/>
  <c r="B63" i="8"/>
  <c r="H63" i="8"/>
  <c r="T34" i="3"/>
  <c r="S34" i="3"/>
  <c r="U34" i="3" s="1"/>
  <c r="V34" i="3" s="1"/>
  <c r="Q35" i="3"/>
  <c r="R35" i="3" s="1"/>
  <c r="Z36" i="8"/>
  <c r="AH36" i="8"/>
  <c r="R36" i="8"/>
  <c r="N37" i="8"/>
  <c r="S37" i="8"/>
  <c r="W37" i="8"/>
  <c r="AB37" i="8"/>
  <c r="AF37" i="8"/>
  <c r="K37" i="8"/>
  <c r="O37" i="8"/>
  <c r="T37" i="8"/>
  <c r="X37" i="8"/>
  <c r="AC37" i="8"/>
  <c r="L37" i="8"/>
  <c r="P37" i="8"/>
  <c r="U37" i="8"/>
  <c r="AD37" i="8"/>
  <c r="M37" i="8"/>
  <c r="AE37" i="8"/>
  <c r="V37" i="8"/>
  <c r="AA37" i="8"/>
  <c r="C36" i="3"/>
  <c r="N36" i="3" s="1"/>
  <c r="A74" i="7"/>
  <c r="A68" i="4"/>
  <c r="A37" i="8"/>
  <c r="A36" i="3"/>
  <c r="A37" i="19" l="1"/>
  <c r="A24" i="10"/>
  <c r="AK24" i="10" s="1"/>
  <c r="T35" i="3"/>
  <c r="O75" i="19"/>
  <c r="O75" i="18"/>
  <c r="BB35" i="19"/>
  <c r="BI35" i="19"/>
  <c r="BI35" i="18"/>
  <c r="BB35" i="18"/>
  <c r="BB34" i="3"/>
  <c r="BI34" i="3"/>
  <c r="J36" i="8"/>
  <c r="R36" i="18"/>
  <c r="T36" i="18" s="1"/>
  <c r="S36" i="18"/>
  <c r="U36" i="18" s="1"/>
  <c r="V36" i="18" s="1"/>
  <c r="C37" i="19"/>
  <c r="N37" i="19" s="1"/>
  <c r="Q37" i="19" s="1"/>
  <c r="C37" i="18"/>
  <c r="N37" i="18" s="1"/>
  <c r="Q37" i="18" s="1"/>
  <c r="S36" i="19"/>
  <c r="U36" i="19" s="1"/>
  <c r="V36" i="19" s="1"/>
  <c r="R36" i="19"/>
  <c r="T36" i="19" s="1"/>
  <c r="P69" i="18"/>
  <c r="E70" i="18"/>
  <c r="L69" i="18"/>
  <c r="C37" i="8"/>
  <c r="G37" i="8"/>
  <c r="D37" i="8"/>
  <c r="E37" i="8"/>
  <c r="I37" i="8"/>
  <c r="F37" i="8"/>
  <c r="L69" i="19"/>
  <c r="E70" i="19"/>
  <c r="P69" i="19"/>
  <c r="BD32" i="3"/>
  <c r="T222" i="7"/>
  <c r="P226" i="7"/>
  <c r="N222" i="7"/>
  <c r="AS221" i="7"/>
  <c r="K225" i="7"/>
  <c r="I225" i="7"/>
  <c r="W224" i="7"/>
  <c r="X225" i="7"/>
  <c r="L225" i="7"/>
  <c r="Q226" i="7"/>
  <c r="V225" i="7"/>
  <c r="R226" i="7"/>
  <c r="S226" i="7"/>
  <c r="J225" i="7"/>
  <c r="O226" i="7"/>
  <c r="U226" i="7"/>
  <c r="H224" i="7"/>
  <c r="A37" i="18"/>
  <c r="F126" i="17"/>
  <c r="D223" i="7" s="1"/>
  <c r="O191" i="7"/>
  <c r="K190" i="7"/>
  <c r="N188" i="7"/>
  <c r="AS187" i="7"/>
  <c r="L190" i="7"/>
  <c r="I190" i="7"/>
  <c r="V190" i="7"/>
  <c r="J190" i="7"/>
  <c r="P192" i="7"/>
  <c r="S191" i="7"/>
  <c r="U190" i="7"/>
  <c r="Q191" i="7"/>
  <c r="R191" i="7"/>
  <c r="F125" i="16"/>
  <c r="D187" i="7"/>
  <c r="F107" i="4"/>
  <c r="C113" i="7"/>
  <c r="G107" i="4"/>
  <c r="D113" i="7"/>
  <c r="R178" i="1"/>
  <c r="C179" i="1"/>
  <c r="H178" i="1"/>
  <c r="AU75" i="3"/>
  <c r="AV75" i="3" s="1"/>
  <c r="O75" i="3"/>
  <c r="P62" i="3"/>
  <c r="L62" i="3"/>
  <c r="B64" i="8"/>
  <c r="AG37" i="8"/>
  <c r="AH37" i="8" s="1"/>
  <c r="S35" i="3"/>
  <c r="U35" i="3" s="1"/>
  <c r="V35" i="3" s="1"/>
  <c r="AW33" i="3"/>
  <c r="AX33" i="3"/>
  <c r="Q36" i="3"/>
  <c r="S36" i="3" s="1"/>
  <c r="Q37" i="8"/>
  <c r="R37" i="8" s="1"/>
  <c r="Y37" i="8"/>
  <c r="Z37" i="8" s="1"/>
  <c r="Q38" i="8"/>
  <c r="K38" i="8"/>
  <c r="P38" i="8"/>
  <c r="L38" i="8"/>
  <c r="N38" i="8"/>
  <c r="AC38" i="8"/>
  <c r="O38" i="8"/>
  <c r="C37" i="3"/>
  <c r="N37" i="3" s="1"/>
  <c r="AD38" i="8"/>
  <c r="U38" i="8"/>
  <c r="S38" i="8"/>
  <c r="AB38" i="8"/>
  <c r="V38" i="8"/>
  <c r="M38" i="8"/>
  <c r="W38" i="8"/>
  <c r="AF38" i="8"/>
  <c r="X38" i="8"/>
  <c r="T38" i="8"/>
  <c r="AE38" i="8"/>
  <c r="AA38" i="8"/>
  <c r="A75" i="7"/>
  <c r="A69" i="4"/>
  <c r="A38" i="8"/>
  <c r="A37" i="3"/>
  <c r="U36" i="3" l="1"/>
  <c r="V36" i="3" s="1"/>
  <c r="BI36" i="3" s="1"/>
  <c r="A38" i="19"/>
  <c r="A25" i="10"/>
  <c r="AK25" i="10" s="1"/>
  <c r="O76" i="19"/>
  <c r="O76" i="18"/>
  <c r="BB35" i="3"/>
  <c r="BI35" i="3"/>
  <c r="BB36" i="19"/>
  <c r="BI36" i="19"/>
  <c r="BB36" i="18"/>
  <c r="BI36" i="18"/>
  <c r="H64" i="8"/>
  <c r="P70" i="19"/>
  <c r="L70" i="19"/>
  <c r="E71" i="19"/>
  <c r="D38" i="8"/>
  <c r="E38" i="8"/>
  <c r="I38" i="8"/>
  <c r="F38" i="8"/>
  <c r="C38" i="8"/>
  <c r="G38" i="8"/>
  <c r="E71" i="18"/>
  <c r="P70" i="18"/>
  <c r="L70" i="18"/>
  <c r="C38" i="19"/>
  <c r="N38" i="19" s="1"/>
  <c r="Q38" i="19" s="1"/>
  <c r="C38" i="18"/>
  <c r="N38" i="18" s="1"/>
  <c r="Q38" i="18" s="1"/>
  <c r="R37" i="18"/>
  <c r="T37" i="18" s="1"/>
  <c r="S37" i="18"/>
  <c r="U37" i="18" s="1"/>
  <c r="V37" i="18" s="1"/>
  <c r="J37" i="8"/>
  <c r="S37" i="19"/>
  <c r="U37" i="19" s="1"/>
  <c r="V37" i="19" s="1"/>
  <c r="R37" i="19"/>
  <c r="T37" i="19" s="1"/>
  <c r="K226" i="7"/>
  <c r="H225" i="7"/>
  <c r="X226" i="7"/>
  <c r="I226" i="7"/>
  <c r="J226" i="7"/>
  <c r="V226" i="7"/>
  <c r="L226" i="7"/>
  <c r="W225" i="7"/>
  <c r="N223" i="7"/>
  <c r="AS222" i="7"/>
  <c r="T223" i="7"/>
  <c r="A38" i="18"/>
  <c r="F127" i="17"/>
  <c r="D224" i="7" s="1"/>
  <c r="Q192" i="7"/>
  <c r="V191" i="7"/>
  <c r="L191" i="7"/>
  <c r="R192" i="7"/>
  <c r="I191" i="7"/>
  <c r="N189" i="7"/>
  <c r="AS188" i="7"/>
  <c r="U191" i="7"/>
  <c r="O192" i="7"/>
  <c r="S192" i="7"/>
  <c r="J191" i="7"/>
  <c r="K191" i="7"/>
  <c r="F126" i="16"/>
  <c r="D188" i="7"/>
  <c r="AY33" i="3"/>
  <c r="AZ33" i="3" s="1"/>
  <c r="BK33" i="3" s="1"/>
  <c r="G108" i="4"/>
  <c r="D114" i="7"/>
  <c r="F108" i="4"/>
  <c r="C114" i="7"/>
  <c r="H179" i="1"/>
  <c r="R179" i="1"/>
  <c r="C180" i="1"/>
  <c r="O76" i="3"/>
  <c r="AU76" i="3"/>
  <c r="AV76" i="3" s="1"/>
  <c r="B65" i="8"/>
  <c r="P63" i="3"/>
  <c r="L63" i="3"/>
  <c r="AG38" i="8"/>
  <c r="AH38" i="8" s="1"/>
  <c r="AX34" i="3"/>
  <c r="AW34" i="3"/>
  <c r="R36" i="3"/>
  <c r="T36" i="3" s="1"/>
  <c r="Q37" i="3"/>
  <c r="S37" i="3" s="1"/>
  <c r="Y38" i="8"/>
  <c r="Z38" i="8" s="1"/>
  <c r="AB39" i="8"/>
  <c r="K39" i="8"/>
  <c r="AC39" i="8"/>
  <c r="X39" i="8"/>
  <c r="C38" i="3"/>
  <c r="N38" i="3" s="1"/>
  <c r="M39" i="8"/>
  <c r="AA39" i="8"/>
  <c r="S39" i="8"/>
  <c r="AE39" i="8"/>
  <c r="AF39" i="8"/>
  <c r="T39" i="8"/>
  <c r="O39" i="8"/>
  <c r="W39" i="8"/>
  <c r="L39" i="8"/>
  <c r="AD39" i="8"/>
  <c r="N39" i="8"/>
  <c r="V39" i="8"/>
  <c r="P39" i="8"/>
  <c r="U39" i="8"/>
  <c r="R38" i="8"/>
  <c r="A76" i="7"/>
  <c r="A39" i="8"/>
  <c r="A70" i="4"/>
  <c r="A38" i="3"/>
  <c r="BB36" i="3" l="1"/>
  <c r="A39" i="19"/>
  <c r="A26" i="10"/>
  <c r="AK26" i="10" s="1"/>
  <c r="O77" i="19"/>
  <c r="O77" i="18"/>
  <c r="BB37" i="19"/>
  <c r="BI37" i="19"/>
  <c r="BI37" i="18"/>
  <c r="BB37" i="18"/>
  <c r="H65" i="8"/>
  <c r="S38" i="19"/>
  <c r="U38" i="19" s="1"/>
  <c r="V38" i="19" s="1"/>
  <c r="R38" i="19"/>
  <c r="T38" i="19" s="1"/>
  <c r="E72" i="18"/>
  <c r="P71" i="18"/>
  <c r="L71" i="18"/>
  <c r="C39" i="19"/>
  <c r="N39" i="19" s="1"/>
  <c r="Q39" i="19" s="1"/>
  <c r="C39" i="18"/>
  <c r="N39" i="18" s="1"/>
  <c r="Q39" i="18" s="1"/>
  <c r="E39" i="8"/>
  <c r="I39" i="8"/>
  <c r="F39" i="8"/>
  <c r="C39" i="8"/>
  <c r="G39" i="8"/>
  <c r="D39" i="8"/>
  <c r="J38" i="8"/>
  <c r="R38" i="18"/>
  <c r="T38" i="18" s="1"/>
  <c r="S38" i="18"/>
  <c r="U38" i="18" s="1"/>
  <c r="V38" i="18" s="1"/>
  <c r="E72" i="19"/>
  <c r="L71" i="19"/>
  <c r="P71" i="19"/>
  <c r="BD33" i="3"/>
  <c r="W226" i="7"/>
  <c r="N224" i="7"/>
  <c r="AS223" i="7"/>
  <c r="H226" i="7"/>
  <c r="T224" i="7"/>
  <c r="A39" i="18"/>
  <c r="F128" i="17"/>
  <c r="D225" i="7" s="1"/>
  <c r="V192" i="7"/>
  <c r="J192" i="7"/>
  <c r="L192" i="7"/>
  <c r="U192" i="7"/>
  <c r="I192" i="7"/>
  <c r="K192" i="7"/>
  <c r="N190" i="7"/>
  <c r="AS189" i="7"/>
  <c r="F127" i="16"/>
  <c r="D189" i="7"/>
  <c r="AY34" i="3"/>
  <c r="AZ34" i="3" s="1"/>
  <c r="BK34" i="3" s="1"/>
  <c r="F109" i="4"/>
  <c r="C115" i="7"/>
  <c r="G109" i="4"/>
  <c r="D115" i="7"/>
  <c r="R180" i="1"/>
  <c r="H180" i="1"/>
  <c r="C181" i="1"/>
  <c r="O77" i="3"/>
  <c r="AU77" i="3"/>
  <c r="AV77" i="3" s="1"/>
  <c r="L64" i="3"/>
  <c r="P64" i="3"/>
  <c r="H66" i="8"/>
  <c r="B66" i="8"/>
  <c r="Y39" i="8"/>
  <c r="Z39" i="8" s="1"/>
  <c r="AW36" i="3"/>
  <c r="U37" i="3"/>
  <c r="V37" i="3" s="1"/>
  <c r="AW35" i="3"/>
  <c r="AX35" i="3"/>
  <c r="R37" i="3"/>
  <c r="T37" i="3" s="1"/>
  <c r="Q38" i="3"/>
  <c r="R38" i="3" s="1"/>
  <c r="AG39" i="8"/>
  <c r="AH39" i="8" s="1"/>
  <c r="Q39" i="8"/>
  <c r="R39" i="8" s="1"/>
  <c r="AF40" i="8"/>
  <c r="L40" i="8"/>
  <c r="T40" i="8"/>
  <c r="AA40" i="8"/>
  <c r="M40" i="8"/>
  <c r="U40" i="8"/>
  <c r="AD40" i="8"/>
  <c r="AE40" i="8"/>
  <c r="P40" i="8"/>
  <c r="W40" i="8"/>
  <c r="C39" i="3"/>
  <c r="N39" i="3" s="1"/>
  <c r="AC40" i="8"/>
  <c r="X40" i="8"/>
  <c r="AG40" i="8"/>
  <c r="K40" i="8"/>
  <c r="S40" i="8"/>
  <c r="O40" i="8"/>
  <c r="N40" i="8"/>
  <c r="V40" i="8"/>
  <c r="AB40" i="8"/>
  <c r="A77" i="7"/>
  <c r="A71" i="4"/>
  <c r="A40" i="8"/>
  <c r="A39" i="3"/>
  <c r="A40" i="19" l="1"/>
  <c r="A27" i="10"/>
  <c r="AK27" i="10" s="1"/>
  <c r="O78" i="19"/>
  <c r="O78" i="18"/>
  <c r="BI38" i="18"/>
  <c r="BB38" i="18"/>
  <c r="BB38" i="19"/>
  <c r="BI38" i="19"/>
  <c r="BB37" i="3"/>
  <c r="BI37" i="3"/>
  <c r="S39" i="18"/>
  <c r="U39" i="18" s="1"/>
  <c r="V39" i="18" s="1"/>
  <c r="R39" i="18"/>
  <c r="T39" i="18" s="1"/>
  <c r="S39" i="19"/>
  <c r="U39" i="19" s="1"/>
  <c r="V39" i="19" s="1"/>
  <c r="R39" i="19"/>
  <c r="T39" i="19" s="1"/>
  <c r="E73" i="18"/>
  <c r="P72" i="18"/>
  <c r="L72" i="18"/>
  <c r="E73" i="19"/>
  <c r="P72" i="19"/>
  <c r="L72" i="19"/>
  <c r="J39" i="8"/>
  <c r="F40" i="8"/>
  <c r="C40" i="8"/>
  <c r="G40" i="8"/>
  <c r="D40" i="8"/>
  <c r="E40" i="8"/>
  <c r="I40" i="8"/>
  <c r="C40" i="19"/>
  <c r="N40" i="19" s="1"/>
  <c r="Q40" i="19" s="1"/>
  <c r="C40" i="18"/>
  <c r="N40" i="18" s="1"/>
  <c r="Q40" i="18" s="1"/>
  <c r="BD34" i="3"/>
  <c r="N225" i="7"/>
  <c r="AS224" i="7"/>
  <c r="T225" i="7"/>
  <c r="A40" i="18"/>
  <c r="AY36" i="3"/>
  <c r="AZ36" i="3" s="1"/>
  <c r="BK36" i="3" s="1"/>
  <c r="F129" i="17"/>
  <c r="N191" i="7"/>
  <c r="AS190" i="7"/>
  <c r="F128" i="16"/>
  <c r="D190" i="7"/>
  <c r="AY35" i="3"/>
  <c r="AZ35" i="3" s="1"/>
  <c r="BK35" i="3" s="1"/>
  <c r="G110" i="4"/>
  <c r="D116" i="7"/>
  <c r="F110" i="4"/>
  <c r="C116" i="7"/>
  <c r="H181" i="1"/>
  <c r="C182" i="1"/>
  <c r="R181" i="1"/>
  <c r="AU78" i="3"/>
  <c r="AV78" i="3" s="1"/>
  <c r="O78" i="3"/>
  <c r="B67" i="8"/>
  <c r="L65" i="3"/>
  <c r="P65" i="3"/>
  <c r="H67" i="8"/>
  <c r="T38" i="3"/>
  <c r="Y40" i="8"/>
  <c r="Z40" i="8" s="1"/>
  <c r="S38" i="3"/>
  <c r="U38" i="3" s="1"/>
  <c r="V38" i="3" s="1"/>
  <c r="AX36" i="3"/>
  <c r="Q39" i="3"/>
  <c r="R39" i="3" s="1"/>
  <c r="Q40" i="8"/>
  <c r="R40" i="8" s="1"/>
  <c r="AG41" i="8"/>
  <c r="L41" i="8"/>
  <c r="P41" i="8"/>
  <c r="U41" i="8"/>
  <c r="Y41" i="8"/>
  <c r="AC41" i="8"/>
  <c r="M41" i="8"/>
  <c r="V41" i="8"/>
  <c r="AD41" i="8"/>
  <c r="N41" i="8"/>
  <c r="S41" i="8"/>
  <c r="W41" i="8"/>
  <c r="AA41" i="8"/>
  <c r="AE41" i="8"/>
  <c r="T41" i="8"/>
  <c r="X41" i="8"/>
  <c r="K41" i="8"/>
  <c r="AB41" i="8"/>
  <c r="O41" i="8"/>
  <c r="AF41" i="8"/>
  <c r="C40" i="3"/>
  <c r="N40" i="3" s="1"/>
  <c r="AH40" i="8"/>
  <c r="A78" i="7"/>
  <c r="A72" i="4"/>
  <c r="A40" i="3"/>
  <c r="A41" i="8"/>
  <c r="A41" i="19" l="1"/>
  <c r="A28" i="10"/>
  <c r="AK28" i="10" s="1"/>
  <c r="O79" i="19"/>
  <c r="O79" i="18"/>
  <c r="BI39" i="18"/>
  <c r="BB39" i="18"/>
  <c r="BB39" i="19"/>
  <c r="BI39" i="19"/>
  <c r="BB38" i="3"/>
  <c r="BI38" i="3"/>
  <c r="S40" i="19"/>
  <c r="U40" i="19" s="1"/>
  <c r="V40" i="19" s="1"/>
  <c r="R40" i="19"/>
  <c r="T40" i="19" s="1"/>
  <c r="C41" i="19"/>
  <c r="N41" i="19" s="1"/>
  <c r="Q41" i="19" s="1"/>
  <c r="C41" i="18"/>
  <c r="N41" i="18" s="1"/>
  <c r="Q41" i="18" s="1"/>
  <c r="C41" i="8"/>
  <c r="G41" i="8"/>
  <c r="D41" i="8"/>
  <c r="E41" i="8"/>
  <c r="F41" i="8"/>
  <c r="I41" i="8"/>
  <c r="J40" i="8"/>
  <c r="S40" i="18"/>
  <c r="U40" i="18" s="1"/>
  <c r="V40" i="18" s="1"/>
  <c r="R40" i="18"/>
  <c r="T40" i="18" s="1"/>
  <c r="E74" i="19"/>
  <c r="P73" i="19"/>
  <c r="L73" i="19"/>
  <c r="L73" i="18"/>
  <c r="E74" i="18"/>
  <c r="P73" i="18"/>
  <c r="BD36" i="3"/>
  <c r="BD35" i="3"/>
  <c r="T226" i="7"/>
  <c r="N226" i="7"/>
  <c r="AS225" i="7"/>
  <c r="D226" i="7"/>
  <c r="A41" i="18"/>
  <c r="N192" i="7"/>
  <c r="AS191" i="7"/>
  <c r="F129" i="16"/>
  <c r="D191" i="7"/>
  <c r="F111" i="4"/>
  <c r="C117" i="7"/>
  <c r="G111" i="4"/>
  <c r="D117" i="7"/>
  <c r="AU79" i="3"/>
  <c r="AV79" i="3" s="1"/>
  <c r="O79" i="3"/>
  <c r="R182" i="1"/>
  <c r="H182" i="1"/>
  <c r="C183" i="1"/>
  <c r="H68" i="8"/>
  <c r="L66" i="3"/>
  <c r="P66" i="3"/>
  <c r="B68" i="8"/>
  <c r="T39" i="3"/>
  <c r="Q41" i="8"/>
  <c r="R41" i="8" s="1"/>
  <c r="S39" i="3"/>
  <c r="U39" i="3" s="1"/>
  <c r="V39" i="3" s="1"/>
  <c r="AW38" i="3"/>
  <c r="AW37" i="3"/>
  <c r="AX37" i="3"/>
  <c r="Q40" i="3"/>
  <c r="S40" i="3" s="1"/>
  <c r="AG42" i="8"/>
  <c r="AH41" i="8"/>
  <c r="O42" i="8"/>
  <c r="AB42" i="8"/>
  <c r="S42" i="8"/>
  <c r="AC42" i="8"/>
  <c r="W42" i="8"/>
  <c r="N42" i="8"/>
  <c r="C41" i="3"/>
  <c r="N41" i="3" s="1"/>
  <c r="V42" i="8"/>
  <c r="M42" i="8"/>
  <c r="AA42" i="8"/>
  <c r="U42" i="8"/>
  <c r="AF42" i="8"/>
  <c r="AE42" i="8"/>
  <c r="AD42" i="8"/>
  <c r="T42" i="8"/>
  <c r="K42" i="8"/>
  <c r="L42" i="8"/>
  <c r="X42" i="8"/>
  <c r="P42" i="8"/>
  <c r="Z41" i="8"/>
  <c r="A79" i="7"/>
  <c r="A73" i="4"/>
  <c r="A41" i="3"/>
  <c r="A42" i="8"/>
  <c r="A42" i="19" l="1"/>
  <c r="A29" i="10"/>
  <c r="AK29" i="10" s="1"/>
  <c r="O80" i="19"/>
  <c r="O80" i="18"/>
  <c r="BB39" i="3"/>
  <c r="BI39" i="3"/>
  <c r="BB40" i="19"/>
  <c r="BI40" i="19"/>
  <c r="BI40" i="18"/>
  <c r="BB40" i="18"/>
  <c r="P74" i="18"/>
  <c r="L74" i="18"/>
  <c r="E75" i="18"/>
  <c r="E75" i="19"/>
  <c r="L74" i="19"/>
  <c r="P74" i="19"/>
  <c r="D42" i="8"/>
  <c r="E42" i="8"/>
  <c r="I42" i="8"/>
  <c r="F42" i="8"/>
  <c r="G42" i="8"/>
  <c r="C42" i="8"/>
  <c r="C42" i="19"/>
  <c r="N42" i="19" s="1"/>
  <c r="Q42" i="19" s="1"/>
  <c r="C42" i="18"/>
  <c r="N42" i="18" s="1"/>
  <c r="Q42" i="18" s="1"/>
  <c r="J41" i="8"/>
  <c r="R41" i="18"/>
  <c r="T41" i="18" s="1"/>
  <c r="S41" i="18"/>
  <c r="U41" i="18" s="1"/>
  <c r="V41" i="18" s="1"/>
  <c r="S41" i="19"/>
  <c r="U41" i="19" s="1"/>
  <c r="V41" i="19" s="1"/>
  <c r="R41" i="19"/>
  <c r="T41" i="19" s="1"/>
  <c r="AS226" i="7"/>
  <c r="A42" i="18"/>
  <c r="AS192" i="7"/>
  <c r="D192" i="7"/>
  <c r="AY37" i="3"/>
  <c r="AZ37" i="3" s="1"/>
  <c r="BK37" i="3" s="1"/>
  <c r="AY38" i="3"/>
  <c r="AZ38" i="3" s="1"/>
  <c r="BK38" i="3" s="1"/>
  <c r="G112" i="4"/>
  <c r="D118" i="7"/>
  <c r="F112" i="4"/>
  <c r="C118" i="7"/>
  <c r="O80" i="3"/>
  <c r="AU80" i="3"/>
  <c r="AV80" i="3" s="1"/>
  <c r="H183" i="1"/>
  <c r="C184" i="1"/>
  <c r="R183" i="1"/>
  <c r="U40" i="3"/>
  <c r="V40" i="3" s="1"/>
  <c r="B69" i="8"/>
  <c r="P67" i="3"/>
  <c r="L67" i="3"/>
  <c r="AW39" i="3"/>
  <c r="AX38" i="3"/>
  <c r="Q41" i="3"/>
  <c r="R41" i="3" s="1"/>
  <c r="R40" i="3"/>
  <c r="T40" i="3" s="1"/>
  <c r="Q42" i="8"/>
  <c r="R42" i="8" s="1"/>
  <c r="Y42" i="8"/>
  <c r="Z42" i="8" s="1"/>
  <c r="AF43" i="8"/>
  <c r="K43" i="8"/>
  <c r="T43" i="8"/>
  <c r="AA43" i="8"/>
  <c r="M43" i="8"/>
  <c r="U43" i="8"/>
  <c r="AC43" i="8"/>
  <c r="O43" i="8"/>
  <c r="V43" i="8"/>
  <c r="AE43" i="8"/>
  <c r="C42" i="3"/>
  <c r="N42" i="3" s="1"/>
  <c r="W43" i="8"/>
  <c r="AB43" i="8"/>
  <c r="L43" i="8"/>
  <c r="AD43" i="8"/>
  <c r="X43" i="8"/>
  <c r="P43" i="8"/>
  <c r="N43" i="8"/>
  <c r="S43" i="8"/>
  <c r="AH42" i="8"/>
  <c r="A80" i="7"/>
  <c r="A43" i="8"/>
  <c r="A74" i="4"/>
  <c r="A42" i="3"/>
  <c r="A43" i="19" l="1"/>
  <c r="A30" i="10"/>
  <c r="AK30" i="10" s="1"/>
  <c r="O81" i="19"/>
  <c r="O81" i="18"/>
  <c r="BB40" i="3"/>
  <c r="BI40" i="3"/>
  <c r="BB41" i="19"/>
  <c r="BI41" i="19"/>
  <c r="BI41" i="18"/>
  <c r="BB41" i="18"/>
  <c r="S42" i="19"/>
  <c r="U42" i="19" s="1"/>
  <c r="V42" i="19" s="1"/>
  <c r="R42" i="19"/>
  <c r="T42" i="19" s="1"/>
  <c r="E76" i="19"/>
  <c r="L75" i="19"/>
  <c r="P75" i="19"/>
  <c r="E43" i="8"/>
  <c r="I43" i="8"/>
  <c r="F43" i="8"/>
  <c r="G43" i="8"/>
  <c r="C43" i="8"/>
  <c r="D43" i="8"/>
  <c r="E76" i="18"/>
  <c r="P75" i="18"/>
  <c r="L75" i="18"/>
  <c r="H69" i="8"/>
  <c r="C43" i="19"/>
  <c r="N43" i="19" s="1"/>
  <c r="Q43" i="19" s="1"/>
  <c r="C43" i="18"/>
  <c r="N43" i="18" s="1"/>
  <c r="Q43" i="18" s="1"/>
  <c r="J42" i="8"/>
  <c r="S42" i="18"/>
  <c r="U42" i="18" s="1"/>
  <c r="V42" i="18" s="1"/>
  <c r="R42" i="18"/>
  <c r="T42" i="18" s="1"/>
  <c r="BD38" i="3"/>
  <c r="BD37" i="3"/>
  <c r="A43" i="18"/>
  <c r="AY39" i="3"/>
  <c r="F113" i="4"/>
  <c r="C119" i="7"/>
  <c r="G113" i="4"/>
  <c r="D119" i="7"/>
  <c r="R184" i="1"/>
  <c r="H184" i="1"/>
  <c r="C185" i="1"/>
  <c r="O81" i="3"/>
  <c r="AU81" i="3"/>
  <c r="AV81" i="3" s="1"/>
  <c r="L68" i="3"/>
  <c r="P68" i="3"/>
  <c r="T41" i="3"/>
  <c r="Q43" i="8"/>
  <c r="R43" i="8" s="1"/>
  <c r="S41" i="3"/>
  <c r="U41" i="3" s="1"/>
  <c r="V41" i="3" s="1"/>
  <c r="AZ39" i="3"/>
  <c r="BK39" i="3" s="1"/>
  <c r="AW40" i="3"/>
  <c r="AX39" i="3"/>
  <c r="AX40" i="3" s="1"/>
  <c r="Q42" i="3"/>
  <c r="R42" i="3" s="1"/>
  <c r="AG43" i="8"/>
  <c r="AH43" i="8" s="1"/>
  <c r="Y43" i="8"/>
  <c r="Z43" i="8" s="1"/>
  <c r="P44" i="8"/>
  <c r="S44" i="8"/>
  <c r="T44" i="8"/>
  <c r="AD44" i="8"/>
  <c r="X44" i="8"/>
  <c r="AB44" i="8"/>
  <c r="N44" i="8"/>
  <c r="C43" i="3"/>
  <c r="N43" i="3" s="1"/>
  <c r="AF44" i="8"/>
  <c r="O44" i="8"/>
  <c r="L44" i="8"/>
  <c r="M44" i="8"/>
  <c r="W44" i="8"/>
  <c r="V44" i="8"/>
  <c r="AC44" i="8"/>
  <c r="U44" i="8"/>
  <c r="AA44" i="8"/>
  <c r="K44" i="8"/>
  <c r="AE44" i="8"/>
  <c r="A81" i="7"/>
  <c r="A75" i="4"/>
  <c r="A44" i="8"/>
  <c r="A43" i="3"/>
  <c r="A44" i="19" l="1"/>
  <c r="A31" i="10"/>
  <c r="AK31" i="10" s="1"/>
  <c r="O82" i="19"/>
  <c r="O82" i="18"/>
  <c r="BB41" i="3"/>
  <c r="BI41" i="3"/>
  <c r="BI42" i="18"/>
  <c r="BB42" i="18"/>
  <c r="BB42" i="19"/>
  <c r="BI42" i="19"/>
  <c r="R43" i="19"/>
  <c r="T43" i="19" s="1"/>
  <c r="S43" i="19"/>
  <c r="U43" i="19" s="1"/>
  <c r="V43" i="19" s="1"/>
  <c r="J43" i="8"/>
  <c r="R43" i="18"/>
  <c r="T43" i="18" s="1"/>
  <c r="S43" i="18"/>
  <c r="U43" i="18" s="1"/>
  <c r="V43" i="18" s="1"/>
  <c r="C44" i="19"/>
  <c r="N44" i="19" s="1"/>
  <c r="Q44" i="19" s="1"/>
  <c r="C44" i="18"/>
  <c r="N44" i="18" s="1"/>
  <c r="Q44" i="18" s="1"/>
  <c r="F44" i="8"/>
  <c r="C44" i="8"/>
  <c r="G44" i="8"/>
  <c r="I44" i="8"/>
  <c r="D44" i="8"/>
  <c r="E44" i="8"/>
  <c r="P76" i="18"/>
  <c r="E77" i="18"/>
  <c r="L76" i="18"/>
  <c r="P76" i="19"/>
  <c r="L76" i="19"/>
  <c r="E77" i="19"/>
  <c r="BD39" i="3"/>
  <c r="A44" i="18"/>
  <c r="AY40" i="3"/>
  <c r="G114" i="4"/>
  <c r="D120" i="7"/>
  <c r="F114" i="4"/>
  <c r="C120" i="7"/>
  <c r="H185" i="1"/>
  <c r="R185" i="1"/>
  <c r="C186" i="1"/>
  <c r="AU82" i="3"/>
  <c r="AV82" i="3" s="1"/>
  <c r="O82" i="3"/>
  <c r="L69" i="3"/>
  <c r="T42" i="3"/>
  <c r="S42" i="3"/>
  <c r="U42" i="3" s="1"/>
  <c r="V42" i="3" s="1"/>
  <c r="AG44" i="8"/>
  <c r="AH44" i="8" s="1"/>
  <c r="Y44" i="8"/>
  <c r="Z44" i="8" s="1"/>
  <c r="AZ40" i="3"/>
  <c r="BK40" i="3" s="1"/>
  <c r="AW41" i="3"/>
  <c r="AX41" i="3"/>
  <c r="Q43" i="3"/>
  <c r="S43" i="3" s="1"/>
  <c r="AG45" i="8"/>
  <c r="Q44" i="8"/>
  <c r="R44" i="8" s="1"/>
  <c r="N45" i="8"/>
  <c r="S45" i="8"/>
  <c r="W45" i="8"/>
  <c r="AA45" i="8"/>
  <c r="AE45" i="8"/>
  <c r="L45" i="8"/>
  <c r="P45" i="8"/>
  <c r="U45" i="8"/>
  <c r="AC45" i="8"/>
  <c r="K45" i="8"/>
  <c r="T45" i="8"/>
  <c r="AB45" i="8"/>
  <c r="M45" i="8"/>
  <c r="V45" i="8"/>
  <c r="AD45" i="8"/>
  <c r="X45" i="8"/>
  <c r="O45" i="8"/>
  <c r="AF45" i="8"/>
  <c r="C44" i="3"/>
  <c r="N44" i="3" s="1"/>
  <c r="A82" i="7"/>
  <c r="A45" i="8"/>
  <c r="A76" i="4"/>
  <c r="A44" i="3"/>
  <c r="A45" i="19" l="1"/>
  <c r="A32" i="10"/>
  <c r="AK32" i="10" s="1"/>
  <c r="O83" i="19"/>
  <c r="O83" i="18"/>
  <c r="BI43" i="18"/>
  <c r="BB43" i="18"/>
  <c r="BB42" i="3"/>
  <c r="BI42" i="3"/>
  <c r="BB43" i="19"/>
  <c r="BI43" i="19"/>
  <c r="J44" i="8"/>
  <c r="R44" i="18"/>
  <c r="T44" i="18" s="1"/>
  <c r="S44" i="18"/>
  <c r="U44" i="18" s="1"/>
  <c r="V44" i="18" s="1"/>
  <c r="C45" i="19"/>
  <c r="N45" i="19" s="1"/>
  <c r="Q45" i="19" s="1"/>
  <c r="C45" i="18"/>
  <c r="N45" i="18" s="1"/>
  <c r="Q45" i="18" s="1"/>
  <c r="P77" i="19"/>
  <c r="L77" i="19"/>
  <c r="E78" i="19"/>
  <c r="E78" i="18"/>
  <c r="L77" i="18"/>
  <c r="P77" i="18"/>
  <c r="R44" i="19"/>
  <c r="T44" i="19" s="1"/>
  <c r="S44" i="19"/>
  <c r="U44" i="19" s="1"/>
  <c r="V44" i="19" s="1"/>
  <c r="C45" i="8"/>
  <c r="G45" i="8"/>
  <c r="D45" i="8"/>
  <c r="I45" i="8"/>
  <c r="E45" i="8"/>
  <c r="F45" i="8"/>
  <c r="BD40" i="3"/>
  <c r="A45" i="18"/>
  <c r="AY41" i="3"/>
  <c r="AZ41" i="3" s="1"/>
  <c r="BK41" i="3" s="1"/>
  <c r="F115" i="4"/>
  <c r="C121" i="7"/>
  <c r="G115" i="4"/>
  <c r="D121" i="7"/>
  <c r="R186" i="1"/>
  <c r="C187" i="1"/>
  <c r="H186" i="1"/>
  <c r="AU83" i="3"/>
  <c r="AV83" i="3" s="1"/>
  <c r="O83" i="3"/>
  <c r="L70" i="3"/>
  <c r="P70" i="3"/>
  <c r="U43" i="3"/>
  <c r="V43" i="3" s="1"/>
  <c r="R43" i="3"/>
  <c r="T43" i="3" s="1"/>
  <c r="Y45" i="8"/>
  <c r="Z45" i="8" s="1"/>
  <c r="AW42" i="3"/>
  <c r="AX42" i="3"/>
  <c r="Q44" i="3"/>
  <c r="R44" i="3" s="1"/>
  <c r="Q45" i="8"/>
  <c r="R45" i="8" s="1"/>
  <c r="Q46" i="8"/>
  <c r="P46" i="8"/>
  <c r="C45" i="3"/>
  <c r="N45" i="3" s="1"/>
  <c r="AE46" i="8"/>
  <c r="L46" i="8"/>
  <c r="U46" i="8"/>
  <c r="X46" i="8"/>
  <c r="W46" i="8"/>
  <c r="AF46" i="8"/>
  <c r="M46" i="8"/>
  <c r="AB46" i="8"/>
  <c r="O46" i="8"/>
  <c r="T46" i="8"/>
  <c r="K46" i="8"/>
  <c r="V46" i="8"/>
  <c r="AC46" i="8"/>
  <c r="AA46" i="8"/>
  <c r="AD46" i="8"/>
  <c r="N46" i="8"/>
  <c r="S46" i="8"/>
  <c r="AH45" i="8"/>
  <c r="A83" i="7"/>
  <c r="A77" i="4"/>
  <c r="A46" i="8"/>
  <c r="A45" i="3"/>
  <c r="A46" i="19" l="1"/>
  <c r="A33" i="10"/>
  <c r="AK33" i="10" s="1"/>
  <c r="O84" i="19"/>
  <c r="O84" i="18"/>
  <c r="BB43" i="3"/>
  <c r="BI43" i="3"/>
  <c r="BB44" i="18"/>
  <c r="BI44" i="18"/>
  <c r="BB44" i="19"/>
  <c r="BI44" i="19"/>
  <c r="L78" i="19"/>
  <c r="P78" i="19"/>
  <c r="E79" i="19"/>
  <c r="S45" i="19"/>
  <c r="U45" i="19" s="1"/>
  <c r="V45" i="19" s="1"/>
  <c r="R45" i="19"/>
  <c r="T45" i="19" s="1"/>
  <c r="C46" i="19"/>
  <c r="N46" i="19" s="1"/>
  <c r="Q46" i="19" s="1"/>
  <c r="C46" i="18"/>
  <c r="N46" i="18" s="1"/>
  <c r="Q46" i="18" s="1"/>
  <c r="D46" i="8"/>
  <c r="E46" i="8"/>
  <c r="I46" i="8"/>
  <c r="C46" i="8"/>
  <c r="F46" i="8"/>
  <c r="G46" i="8"/>
  <c r="R45" i="18"/>
  <c r="T45" i="18" s="1"/>
  <c r="S45" i="18"/>
  <c r="U45" i="18" s="1"/>
  <c r="V45" i="18" s="1"/>
  <c r="J45" i="8"/>
  <c r="L78" i="18"/>
  <c r="E79" i="18"/>
  <c r="P78" i="18"/>
  <c r="BD41" i="3"/>
  <c r="A46" i="18"/>
  <c r="AY42" i="3"/>
  <c r="AZ42" i="3" s="1"/>
  <c r="BK42" i="3" s="1"/>
  <c r="F116" i="4"/>
  <c r="C122" i="7"/>
  <c r="G116" i="4"/>
  <c r="D122" i="7"/>
  <c r="H187" i="1"/>
  <c r="R187" i="1"/>
  <c r="C188" i="1"/>
  <c r="O84" i="3"/>
  <c r="AU84" i="3"/>
  <c r="AV84" i="3" s="1"/>
  <c r="L71" i="3"/>
  <c r="P71" i="3"/>
  <c r="T44" i="3"/>
  <c r="AG46" i="8"/>
  <c r="AH46" i="8" s="1"/>
  <c r="S44" i="3"/>
  <c r="U44" i="3" s="1"/>
  <c r="V44" i="3" s="1"/>
  <c r="Y46" i="8"/>
  <c r="Z46" i="8" s="1"/>
  <c r="AW43" i="3"/>
  <c r="AX43" i="3"/>
  <c r="Q45" i="3"/>
  <c r="R45" i="3" s="1"/>
  <c r="R46" i="8"/>
  <c r="M47" i="8"/>
  <c r="O47" i="8"/>
  <c r="AA47" i="8"/>
  <c r="AC47" i="8"/>
  <c r="N47" i="8"/>
  <c r="C46" i="3"/>
  <c r="N46" i="3" s="1"/>
  <c r="T47" i="8"/>
  <c r="V47" i="8"/>
  <c r="AF47" i="8"/>
  <c r="AB47" i="8"/>
  <c r="X47" i="8"/>
  <c r="K47" i="8"/>
  <c r="S47" i="8"/>
  <c r="U47" i="8"/>
  <c r="W47" i="8"/>
  <c r="L47" i="8"/>
  <c r="AD47" i="8"/>
  <c r="AE47" i="8"/>
  <c r="P47" i="8"/>
  <c r="A84" i="7"/>
  <c r="A78" i="4"/>
  <c r="A47" i="8"/>
  <c r="A46" i="3"/>
  <c r="A47" i="19" l="1"/>
  <c r="A34" i="10"/>
  <c r="AK34" i="10" s="1"/>
  <c r="C35" i="16"/>
  <c r="C36" i="16" s="1"/>
  <c r="C38" i="16" s="1"/>
  <c r="C37" i="16" s="1"/>
  <c r="C39" i="16" s="1"/>
  <c r="C35" i="17"/>
  <c r="C36" i="17" s="1"/>
  <c r="C38" i="17" s="1"/>
  <c r="C37" i="17" s="1"/>
  <c r="C39" i="17" s="1"/>
  <c r="C271" i="1" s="1"/>
  <c r="O85" i="19"/>
  <c r="O85" i="18"/>
  <c r="BB44" i="3"/>
  <c r="BI44" i="3"/>
  <c r="BB45" i="19"/>
  <c r="BI45" i="19"/>
  <c r="BI45" i="18"/>
  <c r="BB45" i="18"/>
  <c r="P79" i="18"/>
  <c r="L79" i="18"/>
  <c r="E80" i="18"/>
  <c r="S46" i="18"/>
  <c r="U46" i="18" s="1"/>
  <c r="V46" i="18" s="1"/>
  <c r="R46" i="18"/>
  <c r="T46" i="18" s="1"/>
  <c r="E80" i="19"/>
  <c r="P79" i="19"/>
  <c r="L79" i="19"/>
  <c r="C47" i="19"/>
  <c r="N47" i="19" s="1"/>
  <c r="Q47" i="19" s="1"/>
  <c r="C47" i="18"/>
  <c r="N47" i="18" s="1"/>
  <c r="Q47" i="18" s="1"/>
  <c r="J46" i="8"/>
  <c r="S46" i="19"/>
  <c r="U46" i="19" s="1"/>
  <c r="V46" i="19" s="1"/>
  <c r="R46" i="19"/>
  <c r="T46" i="19" s="1"/>
  <c r="E47" i="8"/>
  <c r="I47" i="8"/>
  <c r="F47" i="8"/>
  <c r="C47" i="8"/>
  <c r="D47" i="8"/>
  <c r="G47" i="8"/>
  <c r="BD42" i="3"/>
  <c r="A47" i="18"/>
  <c r="C223" i="1"/>
  <c r="C35" i="11"/>
  <c r="C36" i="11" s="1"/>
  <c r="AY43" i="3"/>
  <c r="AZ43" i="3" s="1"/>
  <c r="BK43" i="3" s="1"/>
  <c r="G117" i="4"/>
  <c r="D123" i="7"/>
  <c r="F117" i="4"/>
  <c r="C123" i="7"/>
  <c r="R188" i="1"/>
  <c r="H188" i="1"/>
  <c r="O85" i="3"/>
  <c r="AU85" i="3"/>
  <c r="AV85" i="3" s="1"/>
  <c r="P72" i="3"/>
  <c r="L72" i="3"/>
  <c r="T45" i="3"/>
  <c r="Y47" i="8"/>
  <c r="Z47" i="8" s="1"/>
  <c r="AX44" i="3"/>
  <c r="AW44" i="3"/>
  <c r="S45" i="3"/>
  <c r="U45" i="3" s="1"/>
  <c r="V45" i="3" s="1"/>
  <c r="Q46" i="3"/>
  <c r="R46" i="3" s="1"/>
  <c r="Q47" i="8"/>
  <c r="R47" i="8" s="1"/>
  <c r="AG47" i="8"/>
  <c r="AH47" i="8" s="1"/>
  <c r="M48" i="8"/>
  <c r="T48" i="8"/>
  <c r="W48" i="8"/>
  <c r="AE48" i="8"/>
  <c r="L48" i="8"/>
  <c r="C47" i="3"/>
  <c r="N47" i="3" s="1"/>
  <c r="AD48" i="8"/>
  <c r="AF48" i="8"/>
  <c r="O48" i="8"/>
  <c r="N48" i="8"/>
  <c r="AC48" i="8"/>
  <c r="X48" i="8"/>
  <c r="U48" i="8"/>
  <c r="S48" i="8"/>
  <c r="P48" i="8"/>
  <c r="K48" i="8"/>
  <c r="AB48" i="8"/>
  <c r="V48" i="8"/>
  <c r="AA48" i="8"/>
  <c r="A85" i="7"/>
  <c r="A79" i="4"/>
  <c r="A48" i="8"/>
  <c r="A47" i="3"/>
  <c r="A48" i="19" l="1"/>
  <c r="A35" i="10"/>
  <c r="AK35" i="10" s="1"/>
  <c r="O86" i="19"/>
  <c r="O86" i="18"/>
  <c r="H223" i="1"/>
  <c r="C258" i="1"/>
  <c r="R223" i="1"/>
  <c r="C272" i="1"/>
  <c r="R271" i="1"/>
  <c r="O99" i="19" s="1"/>
  <c r="C259" i="1"/>
  <c r="BI46" i="18"/>
  <c r="BB46" i="18"/>
  <c r="BB46" i="19"/>
  <c r="BI46" i="19"/>
  <c r="BB45" i="3"/>
  <c r="BI45" i="3"/>
  <c r="J47" i="8"/>
  <c r="P80" i="18"/>
  <c r="E81" i="18"/>
  <c r="L80" i="18"/>
  <c r="S47" i="18"/>
  <c r="U47" i="18" s="1"/>
  <c r="V47" i="18" s="1"/>
  <c r="R47" i="18"/>
  <c r="T47" i="18" s="1"/>
  <c r="S47" i="19"/>
  <c r="U47" i="19" s="1"/>
  <c r="V47" i="19" s="1"/>
  <c r="R47" i="19"/>
  <c r="T47" i="19" s="1"/>
  <c r="C48" i="19"/>
  <c r="N48" i="19" s="1"/>
  <c r="Q48" i="19" s="1"/>
  <c r="C48" i="18"/>
  <c r="N48" i="18" s="1"/>
  <c r="Q48" i="18" s="1"/>
  <c r="F48" i="8"/>
  <c r="C48" i="8"/>
  <c r="G48" i="8"/>
  <c r="D48" i="8"/>
  <c r="E48" i="8"/>
  <c r="I48" i="8"/>
  <c r="L80" i="19"/>
  <c r="E81" i="19"/>
  <c r="P80" i="19"/>
  <c r="BD43" i="3"/>
  <c r="A48" i="18"/>
  <c r="C201" i="1"/>
  <c r="C38" i="11"/>
  <c r="C37" i="11" s="1"/>
  <c r="C236" i="1"/>
  <c r="E96" i="17"/>
  <c r="E96" i="16"/>
  <c r="E97" i="11"/>
  <c r="F96" i="17"/>
  <c r="F96" i="16"/>
  <c r="F97" i="11"/>
  <c r="D124" i="7"/>
  <c r="C124" i="7"/>
  <c r="AY44" i="3"/>
  <c r="AZ44" i="3" s="1"/>
  <c r="BK44" i="3" s="1"/>
  <c r="AU86" i="3"/>
  <c r="AV86" i="3" s="1"/>
  <c r="O86" i="3"/>
  <c r="T46" i="3"/>
  <c r="P73" i="3"/>
  <c r="L73" i="3"/>
  <c r="Y48" i="8"/>
  <c r="Z48" i="8" s="1"/>
  <c r="S46" i="3"/>
  <c r="U46" i="3" s="1"/>
  <c r="V46" i="3" s="1"/>
  <c r="Q47" i="3"/>
  <c r="S47" i="3" s="1"/>
  <c r="AG48" i="8"/>
  <c r="AH48" i="8" s="1"/>
  <c r="Q49" i="8"/>
  <c r="Q48" i="8"/>
  <c r="R48" i="8" s="1"/>
  <c r="M49" i="8"/>
  <c r="V49" i="8"/>
  <c r="AD49" i="8"/>
  <c r="N49" i="8"/>
  <c r="S49" i="8"/>
  <c r="W49" i="8"/>
  <c r="AA49" i="8"/>
  <c r="AE49" i="8"/>
  <c r="P49" i="8"/>
  <c r="K49" i="8"/>
  <c r="T49" i="8"/>
  <c r="AB49" i="8"/>
  <c r="L49" i="8"/>
  <c r="U49" i="8"/>
  <c r="AC49" i="8"/>
  <c r="O49" i="8"/>
  <c r="X49" i="8"/>
  <c r="AF49" i="8"/>
  <c r="C48" i="3"/>
  <c r="N48" i="3" s="1"/>
  <c r="A86" i="7"/>
  <c r="A80" i="4"/>
  <c r="A48" i="3"/>
  <c r="A49" i="8"/>
  <c r="A49" i="19" l="1"/>
  <c r="A36" i="10"/>
  <c r="AK36" i="10" s="1"/>
  <c r="C273" i="1"/>
  <c r="R272" i="1"/>
  <c r="O100" i="19" s="1"/>
  <c r="H272" i="1"/>
  <c r="C260" i="1"/>
  <c r="C261" i="1" s="1"/>
  <c r="C262" i="1" s="1"/>
  <c r="C263" i="1" s="1"/>
  <c r="C264" i="1" s="1"/>
  <c r="C265" i="1" s="1"/>
  <c r="C266" i="1" s="1"/>
  <c r="C267" i="1" s="1"/>
  <c r="C268" i="1" s="1"/>
  <c r="C269" i="1" s="1"/>
  <c r="C270" i="1" s="1"/>
  <c r="H259" i="1"/>
  <c r="R258" i="1"/>
  <c r="H258" i="1"/>
  <c r="BB46" i="3"/>
  <c r="BI46" i="3"/>
  <c r="BB47" i="19"/>
  <c r="BI47" i="19"/>
  <c r="BI47" i="18"/>
  <c r="BB47" i="18"/>
  <c r="P81" i="19"/>
  <c r="E82" i="19"/>
  <c r="L81" i="19"/>
  <c r="C49" i="8"/>
  <c r="G49" i="8"/>
  <c r="D49" i="8"/>
  <c r="E49" i="8"/>
  <c r="F49" i="8"/>
  <c r="I49" i="8"/>
  <c r="P81" i="18"/>
  <c r="E82" i="18"/>
  <c r="L81" i="18"/>
  <c r="S48" i="19"/>
  <c r="U48" i="19" s="1"/>
  <c r="V48" i="19" s="1"/>
  <c r="R48" i="19"/>
  <c r="T48" i="19" s="1"/>
  <c r="C49" i="19"/>
  <c r="N49" i="19" s="1"/>
  <c r="Q49" i="19" s="1"/>
  <c r="C49" i="18"/>
  <c r="N49" i="18" s="1"/>
  <c r="Q49" i="18" s="1"/>
  <c r="J48" i="8"/>
  <c r="S48" i="18"/>
  <c r="U48" i="18" s="1"/>
  <c r="V48" i="18" s="1"/>
  <c r="R48" i="18"/>
  <c r="T48" i="18" s="1"/>
  <c r="C221" i="1"/>
  <c r="R221" i="1" s="1"/>
  <c r="AS119" i="19" s="1"/>
  <c r="C39" i="11"/>
  <c r="H236" i="1"/>
  <c r="C237" i="1"/>
  <c r="R236" i="1"/>
  <c r="O99" i="18" s="1"/>
  <c r="BD44" i="3"/>
  <c r="A49" i="18"/>
  <c r="H201" i="1"/>
  <c r="R201" i="1"/>
  <c r="O99" i="3" s="1"/>
  <c r="U47" i="3"/>
  <c r="V47" i="3" s="1"/>
  <c r="L74" i="3"/>
  <c r="P74" i="3"/>
  <c r="AG49" i="8"/>
  <c r="AH49" i="8" s="1"/>
  <c r="Y49" i="8"/>
  <c r="Z49" i="8" s="1"/>
  <c r="AW45" i="3"/>
  <c r="AX45" i="3"/>
  <c r="R47" i="3"/>
  <c r="T47" i="3" s="1"/>
  <c r="Q48" i="3"/>
  <c r="R48" i="3" s="1"/>
  <c r="Y50" i="8"/>
  <c r="O50" i="8"/>
  <c r="AE50" i="8"/>
  <c r="S50" i="8"/>
  <c r="AA50" i="8"/>
  <c r="AF50" i="8"/>
  <c r="V50" i="8"/>
  <c r="W50" i="8"/>
  <c r="L50" i="8"/>
  <c r="AB50" i="8"/>
  <c r="N50" i="8"/>
  <c r="AD50" i="8"/>
  <c r="C49" i="3"/>
  <c r="N49" i="3" s="1"/>
  <c r="X50" i="8"/>
  <c r="P50" i="8"/>
  <c r="M50" i="8"/>
  <c r="U50" i="8"/>
  <c r="AC50" i="8"/>
  <c r="T50" i="8"/>
  <c r="K50" i="8"/>
  <c r="R49" i="8"/>
  <c r="A87" i="7"/>
  <c r="A49" i="3"/>
  <c r="A50" i="8"/>
  <c r="A81" i="4"/>
  <c r="A50" i="19" l="1"/>
  <c r="A37" i="10"/>
  <c r="AK37" i="10" s="1"/>
  <c r="C274" i="1"/>
  <c r="R273" i="1"/>
  <c r="O101" i="19" s="1"/>
  <c r="H273" i="1"/>
  <c r="H221" i="1"/>
  <c r="BI48" i="18"/>
  <c r="BB48" i="18"/>
  <c r="BB47" i="3"/>
  <c r="BI47" i="3"/>
  <c r="BB48" i="19"/>
  <c r="BI48" i="19"/>
  <c r="C50" i="19"/>
  <c r="N50" i="19" s="1"/>
  <c r="Q50" i="19" s="1"/>
  <c r="C50" i="18"/>
  <c r="N50" i="18" s="1"/>
  <c r="Q50" i="18" s="1"/>
  <c r="S49" i="19"/>
  <c r="U49" i="19" s="1"/>
  <c r="V49" i="19" s="1"/>
  <c r="R49" i="19"/>
  <c r="T49" i="19" s="1"/>
  <c r="P82" i="19"/>
  <c r="E83" i="19"/>
  <c r="L82" i="19"/>
  <c r="R49" i="18"/>
  <c r="T49" i="18" s="1"/>
  <c r="S49" i="18"/>
  <c r="U49" i="18" s="1"/>
  <c r="V49" i="18" s="1"/>
  <c r="D50" i="8"/>
  <c r="E50" i="8"/>
  <c r="I50" i="8"/>
  <c r="F50" i="8"/>
  <c r="G50" i="8"/>
  <c r="C50" i="8"/>
  <c r="J49" i="8"/>
  <c r="E83" i="18"/>
  <c r="L82" i="18"/>
  <c r="P82" i="18"/>
  <c r="R237" i="1"/>
  <c r="O100" i="18" s="1"/>
  <c r="C238" i="1"/>
  <c r="H237" i="1"/>
  <c r="AS119" i="18"/>
  <c r="O119" i="3"/>
  <c r="A50" i="18"/>
  <c r="AS119" i="3"/>
  <c r="AY45" i="3"/>
  <c r="AZ45" i="3" s="1"/>
  <c r="BK45" i="3" s="1"/>
  <c r="L75" i="3"/>
  <c r="P75" i="3"/>
  <c r="S48" i="3"/>
  <c r="U48" i="3" s="1"/>
  <c r="V48" i="3" s="1"/>
  <c r="T48" i="3"/>
  <c r="AW47" i="3"/>
  <c r="AX46" i="3"/>
  <c r="AW46" i="3"/>
  <c r="Q49" i="3"/>
  <c r="S49" i="3" s="1"/>
  <c r="AG50" i="8"/>
  <c r="AH50" i="8" s="1"/>
  <c r="AG51" i="8"/>
  <c r="Q50" i="8"/>
  <c r="R50" i="8" s="1"/>
  <c r="K51" i="8"/>
  <c r="O51" i="8"/>
  <c r="L51" i="8"/>
  <c r="P51" i="8"/>
  <c r="Q51" i="8"/>
  <c r="S51" i="8"/>
  <c r="AA51" i="8"/>
  <c r="M51" i="8"/>
  <c r="N51" i="8"/>
  <c r="C50" i="3"/>
  <c r="N50" i="3" s="1"/>
  <c r="V51" i="8"/>
  <c r="AB51" i="8"/>
  <c r="AC51" i="8"/>
  <c r="AF51" i="8"/>
  <c r="AE51" i="8"/>
  <c r="T51" i="8"/>
  <c r="U51" i="8"/>
  <c r="W51" i="8"/>
  <c r="AD51" i="8"/>
  <c r="X51" i="8"/>
  <c r="Z50" i="8"/>
  <c r="A88" i="7"/>
  <c r="A82" i="4"/>
  <c r="A51" i="8"/>
  <c r="A50" i="3"/>
  <c r="A51" i="19" l="1"/>
  <c r="A38" i="10"/>
  <c r="AK38" i="10" s="1"/>
  <c r="C275" i="1"/>
  <c r="H274" i="1"/>
  <c r="R274" i="1"/>
  <c r="O102" i="19" s="1"/>
  <c r="BB49" i="19"/>
  <c r="BI49" i="19"/>
  <c r="BB49" i="18"/>
  <c r="BI49" i="18"/>
  <c r="BB48" i="3"/>
  <c r="BI48" i="3"/>
  <c r="C51" i="19"/>
  <c r="N51" i="19" s="1"/>
  <c r="Q51" i="19" s="1"/>
  <c r="C51" i="18"/>
  <c r="N51" i="18" s="1"/>
  <c r="Q51" i="18" s="1"/>
  <c r="L83" i="18"/>
  <c r="E84" i="18"/>
  <c r="P83" i="18"/>
  <c r="J50" i="8"/>
  <c r="R50" i="18"/>
  <c r="T50" i="18" s="1"/>
  <c r="S50" i="18"/>
  <c r="U50" i="18" s="1"/>
  <c r="V50" i="18" s="1"/>
  <c r="P83" i="19"/>
  <c r="L83" i="19"/>
  <c r="E84" i="19"/>
  <c r="S50" i="19"/>
  <c r="U50" i="19" s="1"/>
  <c r="V50" i="19" s="1"/>
  <c r="R50" i="19"/>
  <c r="T50" i="19" s="1"/>
  <c r="E51" i="8"/>
  <c r="I51" i="8"/>
  <c r="F51" i="8"/>
  <c r="G51" i="8"/>
  <c r="C51" i="8"/>
  <c r="D51" i="8"/>
  <c r="R238" i="1"/>
  <c r="O101" i="18" s="1"/>
  <c r="C239" i="1"/>
  <c r="H238" i="1"/>
  <c r="BD45" i="3"/>
  <c r="A51" i="18"/>
  <c r="AY47" i="3"/>
  <c r="AY46" i="3"/>
  <c r="AZ46" i="3" s="1"/>
  <c r="BK46" i="3" s="1"/>
  <c r="P76" i="3"/>
  <c r="L76" i="3"/>
  <c r="U49" i="3"/>
  <c r="V49" i="3" s="1"/>
  <c r="Y51" i="8"/>
  <c r="Z51" i="8" s="1"/>
  <c r="AX47" i="3"/>
  <c r="AZ47" i="3"/>
  <c r="BK47" i="3" s="1"/>
  <c r="R49" i="3"/>
  <c r="T49" i="3" s="1"/>
  <c r="Q50" i="3"/>
  <c r="R50" i="3" s="1"/>
  <c r="AH51" i="8"/>
  <c r="L52" i="8"/>
  <c r="C51" i="3"/>
  <c r="N51" i="3" s="1"/>
  <c r="AF52" i="8"/>
  <c r="AC52" i="8"/>
  <c r="W52" i="8"/>
  <c r="X52" i="8"/>
  <c r="P52" i="8"/>
  <c r="V52" i="8"/>
  <c r="S52" i="8"/>
  <c r="AE52" i="8"/>
  <c r="AD52" i="8"/>
  <c r="T52" i="8"/>
  <c r="AB52" i="8"/>
  <c r="N52" i="8"/>
  <c r="AA52" i="8"/>
  <c r="O52" i="8"/>
  <c r="K52" i="8"/>
  <c r="M52" i="8"/>
  <c r="U52" i="8"/>
  <c r="R51" i="8"/>
  <c r="A89" i="7"/>
  <c r="A83" i="4"/>
  <c r="A52" i="8"/>
  <c r="A51" i="3"/>
  <c r="A52" i="19" l="1"/>
  <c r="A39" i="10"/>
  <c r="AK39" i="10" s="1"/>
  <c r="R275" i="1"/>
  <c r="O103" i="19" s="1"/>
  <c r="C276" i="1"/>
  <c r="H275" i="1"/>
  <c r="BB49" i="3"/>
  <c r="BI49" i="3"/>
  <c r="BI50" i="18"/>
  <c r="BB50" i="18"/>
  <c r="BB50" i="19"/>
  <c r="BI50" i="19"/>
  <c r="P84" i="18"/>
  <c r="E85" i="18"/>
  <c r="L84" i="18"/>
  <c r="R51" i="18"/>
  <c r="T51" i="18" s="1"/>
  <c r="S51" i="18"/>
  <c r="U51" i="18" s="1"/>
  <c r="V51" i="18" s="1"/>
  <c r="C52" i="19"/>
  <c r="N52" i="19" s="1"/>
  <c r="Q52" i="19" s="1"/>
  <c r="C52" i="18"/>
  <c r="N52" i="18" s="1"/>
  <c r="Q52" i="18" s="1"/>
  <c r="S51" i="19"/>
  <c r="U51" i="19" s="1"/>
  <c r="V51" i="19" s="1"/>
  <c r="R51" i="19"/>
  <c r="T51" i="19" s="1"/>
  <c r="J51" i="8"/>
  <c r="E85" i="19"/>
  <c r="P84" i="19"/>
  <c r="L84" i="19"/>
  <c r="F52" i="8"/>
  <c r="C52" i="8"/>
  <c r="G52" i="8"/>
  <c r="I52" i="8"/>
  <c r="D52" i="8"/>
  <c r="E52" i="8"/>
  <c r="R239" i="1"/>
  <c r="O102" i="18" s="1"/>
  <c r="C240" i="1"/>
  <c r="H239" i="1"/>
  <c r="BD46" i="3"/>
  <c r="BD47" i="3"/>
  <c r="A52" i="18"/>
  <c r="L77" i="3"/>
  <c r="P77" i="3"/>
  <c r="T50" i="3"/>
  <c r="AG52" i="8"/>
  <c r="AH52" i="8" s="1"/>
  <c r="AW49" i="3"/>
  <c r="AX48" i="3"/>
  <c r="AX49" i="3" s="1"/>
  <c r="AX50" i="3" s="1"/>
  <c r="AW48" i="3"/>
  <c r="S50" i="3"/>
  <c r="U50" i="3" s="1"/>
  <c r="V50" i="3" s="1"/>
  <c r="Q51" i="3"/>
  <c r="S51" i="3" s="1"/>
  <c r="Y52" i="8"/>
  <c r="Z52" i="8" s="1"/>
  <c r="Q52" i="8"/>
  <c r="R52" i="8" s="1"/>
  <c r="AG53" i="8"/>
  <c r="C52" i="3"/>
  <c r="N52" i="3" s="1"/>
  <c r="AC53" i="8"/>
  <c r="L53" i="8"/>
  <c r="AD53" i="8"/>
  <c r="M53" i="8"/>
  <c r="U53" i="8"/>
  <c r="P53" i="8"/>
  <c r="N53" i="8"/>
  <c r="K53" i="8"/>
  <c r="T53" i="8"/>
  <c r="AA53" i="8"/>
  <c r="S53" i="8"/>
  <c r="X53" i="8"/>
  <c r="AF53" i="8"/>
  <c r="V53" i="8"/>
  <c r="W53" i="8"/>
  <c r="AB53" i="8"/>
  <c r="AE53" i="8"/>
  <c r="O53" i="8"/>
  <c r="A90" i="7"/>
  <c r="A84" i="4"/>
  <c r="A53" i="8"/>
  <c r="A52" i="3"/>
  <c r="A53" i="19" l="1"/>
  <c r="A40" i="10"/>
  <c r="AK40" i="10" s="1"/>
  <c r="R276" i="1"/>
  <c r="O104" i="19" s="1"/>
  <c r="C277" i="1"/>
  <c r="H276" i="1"/>
  <c r="BB50" i="3"/>
  <c r="BI50" i="3"/>
  <c r="BB51" i="19"/>
  <c r="BI51" i="19"/>
  <c r="BB51" i="18"/>
  <c r="BI51" i="18"/>
  <c r="S52" i="19"/>
  <c r="U52" i="19" s="1"/>
  <c r="V52" i="19" s="1"/>
  <c r="R52" i="19"/>
  <c r="T52" i="19" s="1"/>
  <c r="S52" i="18"/>
  <c r="U52" i="18" s="1"/>
  <c r="V52" i="18" s="1"/>
  <c r="R52" i="18"/>
  <c r="T52" i="18" s="1"/>
  <c r="J52" i="8"/>
  <c r="E86" i="19"/>
  <c r="L85" i="19"/>
  <c r="P85" i="19"/>
  <c r="C53" i="8"/>
  <c r="G53" i="8"/>
  <c r="D53" i="8"/>
  <c r="I53" i="8"/>
  <c r="E53" i="8"/>
  <c r="F53" i="8"/>
  <c r="C53" i="19"/>
  <c r="N53" i="19" s="1"/>
  <c r="Q53" i="19" s="1"/>
  <c r="C53" i="18"/>
  <c r="N53" i="18" s="1"/>
  <c r="Q53" i="18" s="1"/>
  <c r="E86" i="18"/>
  <c r="P85" i="18"/>
  <c r="L85" i="18"/>
  <c r="C241" i="1"/>
  <c r="R240" i="1"/>
  <c r="O103" i="18" s="1"/>
  <c r="H240" i="1"/>
  <c r="A53" i="18"/>
  <c r="AY48" i="3"/>
  <c r="AZ48" i="3" s="1"/>
  <c r="BK48" i="3" s="1"/>
  <c r="AX51" i="3"/>
  <c r="AX52" i="3" s="1"/>
  <c r="AX53" i="3" s="1"/>
  <c r="AX54" i="3" s="1"/>
  <c r="AX55" i="3" s="1"/>
  <c r="AX56" i="3" s="1"/>
  <c r="AX57" i="3" s="1"/>
  <c r="AX58" i="3" s="1"/>
  <c r="AX59" i="3" s="1"/>
  <c r="AX60" i="3" s="1"/>
  <c r="AX61" i="3" s="1"/>
  <c r="AX62" i="3" s="1"/>
  <c r="AX63" i="3" s="1"/>
  <c r="AX64" i="3" s="1"/>
  <c r="AY49" i="3"/>
  <c r="AZ49" i="3" s="1"/>
  <c r="BK49" i="3" s="1"/>
  <c r="L78" i="3"/>
  <c r="P78" i="3"/>
  <c r="U51" i="3"/>
  <c r="V51" i="3" s="1"/>
  <c r="R51" i="3"/>
  <c r="T51" i="3" s="1"/>
  <c r="Q53" i="8"/>
  <c r="R53" i="8" s="1"/>
  <c r="Y53" i="8"/>
  <c r="Z53" i="8" s="1"/>
  <c r="Q52" i="3"/>
  <c r="S52" i="3" s="1"/>
  <c r="Q54" i="8"/>
  <c r="T54" i="8"/>
  <c r="AB54" i="8"/>
  <c r="W54" i="8"/>
  <c r="AD54" i="8"/>
  <c r="P54" i="8"/>
  <c r="X54" i="8"/>
  <c r="AA54" i="8"/>
  <c r="N54" i="8"/>
  <c r="C53" i="3"/>
  <c r="N53" i="3" s="1"/>
  <c r="M54" i="8"/>
  <c r="AF54" i="8"/>
  <c r="V54" i="8"/>
  <c r="S54" i="8"/>
  <c r="K54" i="8"/>
  <c r="AG54" i="8"/>
  <c r="AE54" i="8"/>
  <c r="L54" i="8"/>
  <c r="U54" i="8"/>
  <c r="Y54" i="8"/>
  <c r="O54" i="8"/>
  <c r="AC54" i="8"/>
  <c r="AH53" i="8"/>
  <c r="A91" i="7"/>
  <c r="A85" i="4"/>
  <c r="A54" i="8"/>
  <c r="A53" i="3"/>
  <c r="A54" i="19" l="1"/>
  <c r="A41" i="10"/>
  <c r="AK41" i="10" s="1"/>
  <c r="C278" i="1"/>
  <c r="H277" i="1"/>
  <c r="R277" i="1"/>
  <c r="O105" i="19" s="1"/>
  <c r="BB52" i="18"/>
  <c r="BI52" i="18"/>
  <c r="BB51" i="3"/>
  <c r="BI51" i="3"/>
  <c r="BB52" i="19"/>
  <c r="BI52" i="19"/>
  <c r="J53" i="8"/>
  <c r="P86" i="18"/>
  <c r="L86" i="18"/>
  <c r="R53" i="18"/>
  <c r="T53" i="18" s="1"/>
  <c r="S53" i="18"/>
  <c r="U53" i="18" s="1"/>
  <c r="V53" i="18" s="1"/>
  <c r="C54" i="19"/>
  <c r="N54" i="19" s="1"/>
  <c r="Q54" i="19" s="1"/>
  <c r="C54" i="18"/>
  <c r="N54" i="18" s="1"/>
  <c r="Q54" i="18" s="1"/>
  <c r="R53" i="19"/>
  <c r="T53" i="19" s="1"/>
  <c r="S53" i="19"/>
  <c r="U53" i="19" s="1"/>
  <c r="V53" i="19" s="1"/>
  <c r="D54" i="8"/>
  <c r="E54" i="8"/>
  <c r="I54" i="8"/>
  <c r="C54" i="8"/>
  <c r="F54" i="8"/>
  <c r="G54" i="8"/>
  <c r="L86" i="19"/>
  <c r="P86" i="19"/>
  <c r="C242" i="1"/>
  <c r="R241" i="1"/>
  <c r="O104" i="18" s="1"/>
  <c r="H241" i="1"/>
  <c r="BD48" i="3"/>
  <c r="BD49" i="3"/>
  <c r="A54" i="18"/>
  <c r="L79" i="3"/>
  <c r="P79" i="3"/>
  <c r="U52" i="3"/>
  <c r="V52" i="3" s="1"/>
  <c r="AW51" i="3"/>
  <c r="AY51" i="3" s="1"/>
  <c r="AW50" i="3"/>
  <c r="Q53" i="3"/>
  <c r="S53" i="3" s="1"/>
  <c r="R52" i="3"/>
  <c r="T52" i="3" s="1"/>
  <c r="Y55" i="8"/>
  <c r="AH54" i="8"/>
  <c r="R54" i="8"/>
  <c r="K55" i="8"/>
  <c r="O55" i="8"/>
  <c r="L55" i="8"/>
  <c r="P55" i="8"/>
  <c r="S55" i="8"/>
  <c r="AB55" i="8"/>
  <c r="M55" i="8"/>
  <c r="AE55" i="8"/>
  <c r="N55" i="8"/>
  <c r="C54" i="3"/>
  <c r="N54" i="3" s="1"/>
  <c r="AA55" i="8"/>
  <c r="AF55" i="8"/>
  <c r="T55" i="8"/>
  <c r="U55" i="8"/>
  <c r="W55" i="8"/>
  <c r="X55" i="8"/>
  <c r="V55" i="8"/>
  <c r="AC55" i="8"/>
  <c r="AD55" i="8"/>
  <c r="Z54" i="8"/>
  <c r="A92" i="7"/>
  <c r="A55" i="8"/>
  <c r="A86" i="4"/>
  <c r="A54" i="3"/>
  <c r="A55" i="19" l="1"/>
  <c r="A42" i="10"/>
  <c r="AK42" i="10" s="1"/>
  <c r="C279" i="1"/>
  <c r="H278" i="1"/>
  <c r="R278" i="1"/>
  <c r="O106" i="19" s="1"/>
  <c r="BI53" i="18"/>
  <c r="BB53" i="18"/>
  <c r="BB52" i="3"/>
  <c r="BI52" i="3"/>
  <c r="BB53" i="19"/>
  <c r="BI53" i="19"/>
  <c r="J54" i="8"/>
  <c r="S54" i="18"/>
  <c r="U54" i="18" s="1"/>
  <c r="V54" i="18" s="1"/>
  <c r="R54" i="18"/>
  <c r="T54" i="18" s="1"/>
  <c r="E55" i="8"/>
  <c r="I55" i="8"/>
  <c r="F55" i="8"/>
  <c r="C55" i="8"/>
  <c r="D55" i="8"/>
  <c r="G55" i="8"/>
  <c r="C55" i="19"/>
  <c r="N55" i="19" s="1"/>
  <c r="Q55" i="19" s="1"/>
  <c r="C55" i="18"/>
  <c r="N55" i="18" s="1"/>
  <c r="Q55" i="18" s="1"/>
  <c r="S54" i="19"/>
  <c r="U54" i="19" s="1"/>
  <c r="V54" i="19" s="1"/>
  <c r="R54" i="19"/>
  <c r="T54" i="19" s="1"/>
  <c r="C243" i="1"/>
  <c r="R242" i="1"/>
  <c r="O105" i="18" s="1"/>
  <c r="H242" i="1"/>
  <c r="A55" i="18"/>
  <c r="AY50" i="3"/>
  <c r="AZ50" i="3" s="1"/>
  <c r="BK50" i="3" s="1"/>
  <c r="L80" i="3"/>
  <c r="P80" i="3"/>
  <c r="Q55" i="8"/>
  <c r="R55" i="8" s="1"/>
  <c r="U53" i="3"/>
  <c r="V53" i="3" s="1"/>
  <c r="AZ51" i="3"/>
  <c r="BK51" i="3" s="1"/>
  <c r="AW52" i="3"/>
  <c r="AY52" i="3" s="1"/>
  <c r="R53" i="3"/>
  <c r="T53" i="3" s="1"/>
  <c r="Q54" i="3"/>
  <c r="R54" i="3" s="1"/>
  <c r="AG56" i="8"/>
  <c r="AG55" i="8"/>
  <c r="AH55" i="8" s="1"/>
  <c r="Z55" i="8"/>
  <c r="L56" i="8"/>
  <c r="O56" i="8"/>
  <c r="K56" i="8"/>
  <c r="AC56" i="8"/>
  <c r="P56" i="8"/>
  <c r="C55" i="3"/>
  <c r="N55" i="3" s="1"/>
  <c r="U56" i="8"/>
  <c r="S56" i="8"/>
  <c r="AD56" i="8"/>
  <c r="V56" i="8"/>
  <c r="AF56" i="8"/>
  <c r="T56" i="8"/>
  <c r="N56" i="8"/>
  <c r="M56" i="8"/>
  <c r="AA56" i="8"/>
  <c r="AB56" i="8"/>
  <c r="W56" i="8"/>
  <c r="Q56" i="8"/>
  <c r="X56" i="8"/>
  <c r="AE56" i="8"/>
  <c r="A93" i="7"/>
  <c r="A87" i="4"/>
  <c r="A56" i="8"/>
  <c r="A55" i="3"/>
  <c r="A56" i="19" l="1"/>
  <c r="A43" i="10"/>
  <c r="AK43" i="10" s="1"/>
  <c r="R279" i="1"/>
  <c r="O107" i="19" s="1"/>
  <c r="C280" i="1"/>
  <c r="H279" i="1"/>
  <c r="BB53" i="3"/>
  <c r="BI53" i="3"/>
  <c r="BB54" i="18"/>
  <c r="BI54" i="18"/>
  <c r="BB54" i="19"/>
  <c r="BI54" i="19"/>
  <c r="J55" i="8"/>
  <c r="F56" i="8"/>
  <c r="C56" i="8"/>
  <c r="G56" i="8"/>
  <c r="D56" i="8"/>
  <c r="E56" i="8"/>
  <c r="I56" i="8"/>
  <c r="R55" i="19"/>
  <c r="T55" i="19" s="1"/>
  <c r="S55" i="19"/>
  <c r="U55" i="19" s="1"/>
  <c r="V55" i="19" s="1"/>
  <c r="C56" i="19"/>
  <c r="N56" i="19" s="1"/>
  <c r="Q56" i="19" s="1"/>
  <c r="C56" i="18"/>
  <c r="N56" i="18" s="1"/>
  <c r="Q56" i="18" s="1"/>
  <c r="R55" i="18"/>
  <c r="T55" i="18" s="1"/>
  <c r="S55" i="18"/>
  <c r="U55" i="18" s="1"/>
  <c r="V55" i="18" s="1"/>
  <c r="C244" i="1"/>
  <c r="R243" i="1"/>
  <c r="O106" i="18" s="1"/>
  <c r="H243" i="1"/>
  <c r="BD50" i="3"/>
  <c r="BD51" i="3"/>
  <c r="A56" i="18"/>
  <c r="L81" i="3"/>
  <c r="P81" i="3"/>
  <c r="Y56" i="8"/>
  <c r="Z56" i="8" s="1"/>
  <c r="AZ52" i="3"/>
  <c r="BK52" i="3" s="1"/>
  <c r="AW53" i="3"/>
  <c r="T54" i="3"/>
  <c r="S54" i="3"/>
  <c r="U54" i="3" s="1"/>
  <c r="V54" i="3" s="1"/>
  <c r="Q55" i="3"/>
  <c r="S55" i="3" s="1"/>
  <c r="AH56" i="8"/>
  <c r="M57" i="8"/>
  <c r="AC57" i="8"/>
  <c r="C56" i="3"/>
  <c r="N56" i="3" s="1"/>
  <c r="AF57" i="8"/>
  <c r="X57" i="8"/>
  <c r="P57" i="8"/>
  <c r="K57" i="8"/>
  <c r="V57" i="8"/>
  <c r="T57" i="8"/>
  <c r="W57" i="8"/>
  <c r="U57" i="8"/>
  <c r="AD57" i="8"/>
  <c r="AB57" i="8"/>
  <c r="Q57" i="8"/>
  <c r="O57" i="8"/>
  <c r="AA57" i="8"/>
  <c r="N57" i="8"/>
  <c r="L57" i="8"/>
  <c r="AE57" i="8"/>
  <c r="S57" i="8"/>
  <c r="R56" i="8"/>
  <c r="A94" i="7"/>
  <c r="A88" i="4"/>
  <c r="A56" i="3"/>
  <c r="A57" i="8"/>
  <c r="A57" i="19" l="1"/>
  <c r="A44" i="10"/>
  <c r="AK44" i="10" s="1"/>
  <c r="R280" i="1"/>
  <c r="O108" i="19" s="1"/>
  <c r="C281" i="1"/>
  <c r="H280" i="1"/>
  <c r="BB54" i="3"/>
  <c r="BI54" i="3"/>
  <c r="BB55" i="19"/>
  <c r="BI55" i="19"/>
  <c r="BI55" i="18"/>
  <c r="BB55" i="18"/>
  <c r="C57" i="19"/>
  <c r="N57" i="19" s="1"/>
  <c r="Q57" i="19" s="1"/>
  <c r="C57" i="18"/>
  <c r="N57" i="18" s="1"/>
  <c r="Q57" i="18" s="1"/>
  <c r="C57" i="8"/>
  <c r="G57" i="8"/>
  <c r="D57" i="8"/>
  <c r="E57" i="8"/>
  <c r="F57" i="8"/>
  <c r="I57" i="8"/>
  <c r="R56" i="19"/>
  <c r="T56" i="19" s="1"/>
  <c r="S56" i="19"/>
  <c r="U56" i="19" s="1"/>
  <c r="V56" i="19" s="1"/>
  <c r="S56" i="18"/>
  <c r="U56" i="18" s="1"/>
  <c r="V56" i="18" s="1"/>
  <c r="R56" i="18"/>
  <c r="T56" i="18" s="1"/>
  <c r="J56" i="8"/>
  <c r="R244" i="1"/>
  <c r="O107" i="18" s="1"/>
  <c r="H244" i="1"/>
  <c r="C245" i="1"/>
  <c r="BD52" i="3"/>
  <c r="A57" i="18"/>
  <c r="AY53" i="3"/>
  <c r="AZ53" i="3" s="1"/>
  <c r="BK53" i="3" s="1"/>
  <c r="P82" i="3"/>
  <c r="L82" i="3"/>
  <c r="R55" i="3"/>
  <c r="T55" i="3" s="1"/>
  <c r="AG57" i="8"/>
  <c r="AH57" i="8" s="1"/>
  <c r="U55" i="3"/>
  <c r="V55" i="3" s="1"/>
  <c r="Q56" i="3"/>
  <c r="S56" i="3" s="1"/>
  <c r="Y57" i="8"/>
  <c r="Z57" i="8" s="1"/>
  <c r="Q58" i="8"/>
  <c r="C57" i="3"/>
  <c r="N57" i="3" s="1"/>
  <c r="W58" i="8"/>
  <c r="AD58" i="8"/>
  <c r="AC58" i="8"/>
  <c r="X58" i="8"/>
  <c r="AE58" i="8"/>
  <c r="P58" i="8"/>
  <c r="K58" i="8"/>
  <c r="AB58" i="8"/>
  <c r="M58" i="8"/>
  <c r="U58" i="8"/>
  <c r="O58" i="8"/>
  <c r="N58" i="8"/>
  <c r="L58" i="8"/>
  <c r="T58" i="8"/>
  <c r="AA58" i="8"/>
  <c r="V58" i="8"/>
  <c r="S58" i="8"/>
  <c r="AF58" i="8"/>
  <c r="R57" i="8"/>
  <c r="A95" i="7"/>
  <c r="A89" i="4"/>
  <c r="A57" i="3"/>
  <c r="A58" i="8"/>
  <c r="A58" i="19" l="1"/>
  <c r="A45" i="10"/>
  <c r="AK45" i="10" s="1"/>
  <c r="H281" i="1"/>
  <c r="R281" i="1"/>
  <c r="O109" i="19" s="1"/>
  <c r="C282" i="1"/>
  <c r="BI56" i="18"/>
  <c r="BB56" i="18"/>
  <c r="BB55" i="3"/>
  <c r="BI55" i="3"/>
  <c r="BB56" i="19"/>
  <c r="BI56" i="19"/>
  <c r="J57" i="8"/>
  <c r="R57" i="18"/>
  <c r="T57" i="18" s="1"/>
  <c r="S57" i="18"/>
  <c r="U57" i="18" s="1"/>
  <c r="V57" i="18" s="1"/>
  <c r="S57" i="19"/>
  <c r="U57" i="19" s="1"/>
  <c r="V57" i="19" s="1"/>
  <c r="R57" i="19"/>
  <c r="T57" i="19" s="1"/>
  <c r="C58" i="19"/>
  <c r="N58" i="19" s="1"/>
  <c r="Q58" i="19" s="1"/>
  <c r="C58" i="18"/>
  <c r="N58" i="18" s="1"/>
  <c r="Q58" i="18" s="1"/>
  <c r="D58" i="8"/>
  <c r="E58" i="8"/>
  <c r="I58" i="8"/>
  <c r="F58" i="8"/>
  <c r="G58" i="8"/>
  <c r="C58" i="8"/>
  <c r="C246" i="1"/>
  <c r="R245" i="1"/>
  <c r="O108" i="18" s="1"/>
  <c r="H245" i="1"/>
  <c r="BD53" i="3"/>
  <c r="A58" i="18"/>
  <c r="L83" i="3"/>
  <c r="P83" i="3"/>
  <c r="AG58" i="8"/>
  <c r="AH58" i="8" s="1"/>
  <c r="Y58" i="8"/>
  <c r="Z58" i="8" s="1"/>
  <c r="U56" i="3"/>
  <c r="V56" i="3" s="1"/>
  <c r="AW54" i="3"/>
  <c r="Q57" i="3"/>
  <c r="S57" i="3" s="1"/>
  <c r="R56" i="3"/>
  <c r="T56" i="3" s="1"/>
  <c r="Q59" i="8"/>
  <c r="K59" i="8"/>
  <c r="O59" i="8"/>
  <c r="L59" i="8"/>
  <c r="P59" i="8"/>
  <c r="S59" i="8"/>
  <c r="AB59" i="8"/>
  <c r="M59" i="8"/>
  <c r="V59" i="8"/>
  <c r="AE59" i="8"/>
  <c r="N59" i="8"/>
  <c r="C58" i="3"/>
  <c r="N58" i="3" s="1"/>
  <c r="AC59" i="8"/>
  <c r="AD59" i="8"/>
  <c r="AF59" i="8"/>
  <c r="W59" i="8"/>
  <c r="T59" i="8"/>
  <c r="U59" i="8"/>
  <c r="AA59" i="8"/>
  <c r="X59" i="8"/>
  <c r="R58" i="8"/>
  <c r="A96" i="7"/>
  <c r="A59" i="8"/>
  <c r="A90" i="4"/>
  <c r="A58" i="3"/>
  <c r="A59" i="19" l="1"/>
  <c r="A46" i="10"/>
  <c r="AK46" i="10" s="1"/>
  <c r="C283" i="1"/>
  <c r="H282" i="1"/>
  <c r="R282" i="1"/>
  <c r="O110" i="19" s="1"/>
  <c r="BB56" i="3"/>
  <c r="BI56" i="3"/>
  <c r="BI57" i="18"/>
  <c r="BB57" i="18"/>
  <c r="BB57" i="19"/>
  <c r="BI57" i="19"/>
  <c r="J58" i="8"/>
  <c r="E59" i="8"/>
  <c r="I59" i="8"/>
  <c r="F59" i="8"/>
  <c r="G59" i="8"/>
  <c r="C59" i="8"/>
  <c r="D59" i="8"/>
  <c r="S58" i="19"/>
  <c r="U58" i="19" s="1"/>
  <c r="V58" i="19" s="1"/>
  <c r="R58" i="19"/>
  <c r="T58" i="19" s="1"/>
  <c r="C59" i="19"/>
  <c r="N59" i="19" s="1"/>
  <c r="Q59" i="19" s="1"/>
  <c r="C59" i="18"/>
  <c r="N59" i="18" s="1"/>
  <c r="Q59" i="18" s="1"/>
  <c r="R58" i="18"/>
  <c r="T58" i="18" s="1"/>
  <c r="S58" i="18"/>
  <c r="U58" i="18" s="1"/>
  <c r="V58" i="18" s="1"/>
  <c r="C247" i="1"/>
  <c r="R246" i="1"/>
  <c r="O109" i="18" s="1"/>
  <c r="H246" i="1"/>
  <c r="A59" i="18"/>
  <c r="AY54" i="3"/>
  <c r="AZ54" i="3" s="1"/>
  <c r="BK54" i="3" s="1"/>
  <c r="P84" i="3"/>
  <c r="L84" i="3"/>
  <c r="R57" i="3"/>
  <c r="T57" i="3" s="1"/>
  <c r="AG59" i="8"/>
  <c r="AH59" i="8" s="1"/>
  <c r="AW56" i="3"/>
  <c r="AY56" i="3" s="1"/>
  <c r="AW55" i="3"/>
  <c r="Q58" i="3"/>
  <c r="S58" i="3" s="1"/>
  <c r="U57" i="3"/>
  <c r="V57" i="3" s="1"/>
  <c r="Y59" i="8"/>
  <c r="Z59" i="8" s="1"/>
  <c r="R59" i="8"/>
  <c r="L60" i="8"/>
  <c r="AC60" i="8"/>
  <c r="C59" i="3"/>
  <c r="N59" i="3" s="1"/>
  <c r="AF60" i="8"/>
  <c r="W60" i="8"/>
  <c r="Y60" i="8"/>
  <c r="X60" i="8"/>
  <c r="P60" i="8"/>
  <c r="V60" i="8"/>
  <c r="S60" i="8"/>
  <c r="M60" i="8"/>
  <c r="AE60" i="8"/>
  <c r="AD60" i="8"/>
  <c r="K60" i="8"/>
  <c r="U60" i="8"/>
  <c r="T60" i="8"/>
  <c r="AB60" i="8"/>
  <c r="AA60" i="8"/>
  <c r="O60" i="8"/>
  <c r="N60" i="8"/>
  <c r="A97" i="7"/>
  <c r="A91" i="4"/>
  <c r="A60" i="8"/>
  <c r="A59" i="3"/>
  <c r="A60" i="19" l="1"/>
  <c r="A47" i="10"/>
  <c r="AK47" i="10" s="1"/>
  <c r="R283" i="1"/>
  <c r="O111" i="19" s="1"/>
  <c r="H283" i="1"/>
  <c r="C284" i="1"/>
  <c r="BB57" i="3"/>
  <c r="BI57" i="3"/>
  <c r="BI58" i="18"/>
  <c r="BB58" i="18"/>
  <c r="BB58" i="19"/>
  <c r="BI58" i="19"/>
  <c r="R59" i="18"/>
  <c r="T59" i="18" s="1"/>
  <c r="S59" i="18"/>
  <c r="U59" i="18" s="1"/>
  <c r="V59" i="18" s="1"/>
  <c r="R59" i="19"/>
  <c r="T59" i="19" s="1"/>
  <c r="S59" i="19"/>
  <c r="U59" i="19" s="1"/>
  <c r="V59" i="19" s="1"/>
  <c r="J59" i="8"/>
  <c r="C60" i="19"/>
  <c r="N60" i="19" s="1"/>
  <c r="Q60" i="19" s="1"/>
  <c r="C60" i="18"/>
  <c r="N60" i="18" s="1"/>
  <c r="Q60" i="18" s="1"/>
  <c r="F60" i="8"/>
  <c r="C60" i="8"/>
  <c r="G60" i="8"/>
  <c r="I60" i="8"/>
  <c r="D60" i="8"/>
  <c r="E60" i="8"/>
  <c r="C248" i="1"/>
  <c r="R247" i="1"/>
  <c r="O110" i="18" s="1"/>
  <c r="H247" i="1"/>
  <c r="BD54" i="3"/>
  <c r="A60" i="18"/>
  <c r="AY55" i="3"/>
  <c r="AZ55" i="3" s="1"/>
  <c r="BK55" i="3" s="1"/>
  <c r="L85" i="3"/>
  <c r="P85" i="3"/>
  <c r="R58" i="3"/>
  <c r="T58" i="3" s="1"/>
  <c r="U58" i="3"/>
  <c r="V58" i="3" s="1"/>
  <c r="Q60" i="8"/>
  <c r="R60" i="8" s="1"/>
  <c r="AZ56" i="3"/>
  <c r="BK56" i="3" s="1"/>
  <c r="Q59" i="3"/>
  <c r="S59" i="3" s="1"/>
  <c r="AG60" i="8"/>
  <c r="AH60" i="8" s="1"/>
  <c r="V61" i="8"/>
  <c r="C60" i="3"/>
  <c r="N60" i="3" s="1"/>
  <c r="P61" i="8"/>
  <c r="N61" i="8"/>
  <c r="K61" i="8"/>
  <c r="T61" i="8"/>
  <c r="AA61" i="8"/>
  <c r="S61" i="8"/>
  <c r="X61" i="8"/>
  <c r="AF61" i="8"/>
  <c r="W61" i="8"/>
  <c r="AB61" i="8"/>
  <c r="AE61" i="8"/>
  <c r="O61" i="8"/>
  <c r="AC61" i="8"/>
  <c r="L61" i="8"/>
  <c r="AD61" i="8"/>
  <c r="M61" i="8"/>
  <c r="U61" i="8"/>
  <c r="Z60" i="8"/>
  <c r="A98" i="7"/>
  <c r="A92" i="4"/>
  <c r="A61" i="8"/>
  <c r="A60" i="3"/>
  <c r="A61" i="19" l="1"/>
  <c r="A48" i="10"/>
  <c r="AK48" i="10" s="1"/>
  <c r="C285" i="1"/>
  <c r="H284" i="1"/>
  <c r="R284" i="1"/>
  <c r="O112" i="19" s="1"/>
  <c r="BB59" i="19"/>
  <c r="BI59" i="19"/>
  <c r="BI59" i="18"/>
  <c r="BB59" i="18"/>
  <c r="BB58" i="3"/>
  <c r="BI58" i="3"/>
  <c r="J60" i="8"/>
  <c r="R60" i="18"/>
  <c r="T60" i="18" s="1"/>
  <c r="S60" i="18"/>
  <c r="U60" i="18" s="1"/>
  <c r="V60" i="18" s="1"/>
  <c r="R60" i="19"/>
  <c r="T60" i="19" s="1"/>
  <c r="S60" i="19"/>
  <c r="U60" i="19" s="1"/>
  <c r="V60" i="19" s="1"/>
  <c r="C61" i="8"/>
  <c r="G61" i="8"/>
  <c r="D61" i="8"/>
  <c r="I61" i="8"/>
  <c r="E61" i="8"/>
  <c r="F61" i="8"/>
  <c r="C61" i="19"/>
  <c r="N61" i="19" s="1"/>
  <c r="Q61" i="19" s="1"/>
  <c r="C61" i="18"/>
  <c r="N61" i="18" s="1"/>
  <c r="Q61" i="18" s="1"/>
  <c r="C249" i="1"/>
  <c r="R248" i="1"/>
  <c r="O111" i="18" s="1"/>
  <c r="H248" i="1"/>
  <c r="BD56" i="3"/>
  <c r="BD55" i="3"/>
  <c r="A61" i="18"/>
  <c r="D28" i="6"/>
  <c r="P86" i="3"/>
  <c r="L86" i="3"/>
  <c r="U59" i="3"/>
  <c r="V59" i="3" s="1"/>
  <c r="R59" i="3"/>
  <c r="T59" i="3" s="1"/>
  <c r="Y61" i="8"/>
  <c r="Z61" i="8" s="1"/>
  <c r="AW58" i="3"/>
  <c r="AY58" i="3" s="1"/>
  <c r="AW57" i="3"/>
  <c r="Q60" i="3"/>
  <c r="R60" i="3" s="1"/>
  <c r="AG61" i="8"/>
  <c r="AH61" i="8" s="1"/>
  <c r="Q61" i="8"/>
  <c r="R61" i="8" s="1"/>
  <c r="AG62" i="8"/>
  <c r="T62" i="8"/>
  <c r="AB62" i="8"/>
  <c r="W62" i="8"/>
  <c r="AD62" i="8"/>
  <c r="P62" i="8"/>
  <c r="X62" i="8"/>
  <c r="AA62" i="8"/>
  <c r="N62" i="8"/>
  <c r="C61" i="3"/>
  <c r="N61" i="3" s="1"/>
  <c r="M62" i="8"/>
  <c r="AF62" i="8"/>
  <c r="V62" i="8"/>
  <c r="S62" i="8"/>
  <c r="K62" i="8"/>
  <c r="AE62" i="8"/>
  <c r="AC62" i="8"/>
  <c r="L62" i="8"/>
  <c r="U62" i="8"/>
  <c r="O62" i="8"/>
  <c r="A99" i="7"/>
  <c r="A93" i="4"/>
  <c r="A62" i="8"/>
  <c r="A61" i="3"/>
  <c r="A62" i="19" l="1"/>
  <c r="A49" i="10"/>
  <c r="AK49" i="10" s="1"/>
  <c r="R285" i="1"/>
  <c r="O113" i="19" s="1"/>
  <c r="C286" i="1"/>
  <c r="H285" i="1"/>
  <c r="BB59" i="3"/>
  <c r="BI59" i="3"/>
  <c r="BB60" i="19"/>
  <c r="BI60" i="19"/>
  <c r="BB60" i="18"/>
  <c r="BI60" i="18"/>
  <c r="D62" i="8"/>
  <c r="E62" i="8"/>
  <c r="I62" i="8"/>
  <c r="C62" i="8"/>
  <c r="F62" i="8"/>
  <c r="G62" i="8"/>
  <c r="J61" i="8"/>
  <c r="S61" i="19"/>
  <c r="U61" i="19" s="1"/>
  <c r="V61" i="19" s="1"/>
  <c r="R61" i="19"/>
  <c r="T61" i="19" s="1"/>
  <c r="C62" i="19"/>
  <c r="N62" i="19" s="1"/>
  <c r="Q62" i="19" s="1"/>
  <c r="C62" i="18"/>
  <c r="N62" i="18" s="1"/>
  <c r="Q62" i="18" s="1"/>
  <c r="S61" i="18"/>
  <c r="U61" i="18" s="1"/>
  <c r="V61" i="18" s="1"/>
  <c r="R61" i="18"/>
  <c r="T61" i="18" s="1"/>
  <c r="C250" i="1"/>
  <c r="R249" i="1"/>
  <c r="O112" i="18" s="1"/>
  <c r="H249" i="1"/>
  <c r="A62" i="18"/>
  <c r="AY57" i="3"/>
  <c r="AZ57" i="3" s="1"/>
  <c r="BK57" i="3" s="1"/>
  <c r="Y62" i="8"/>
  <c r="Z62" i="8" s="1"/>
  <c r="T60" i="3"/>
  <c r="Q62" i="8"/>
  <c r="R62" i="8" s="1"/>
  <c r="AW59" i="3"/>
  <c r="AY59" i="3" s="1"/>
  <c r="AZ58" i="3"/>
  <c r="BK58" i="3" s="1"/>
  <c r="S60" i="3"/>
  <c r="U60" i="3" s="1"/>
  <c r="V60" i="3" s="1"/>
  <c r="Q61" i="3"/>
  <c r="S61" i="3" s="1"/>
  <c r="Q63" i="8"/>
  <c r="AH62" i="8"/>
  <c r="K63" i="8"/>
  <c r="O63" i="8"/>
  <c r="L63" i="8"/>
  <c r="P63" i="8"/>
  <c r="S63" i="8"/>
  <c r="AB63" i="8"/>
  <c r="M63" i="8"/>
  <c r="V63" i="8"/>
  <c r="AE63" i="8"/>
  <c r="N63" i="8"/>
  <c r="C62" i="3"/>
  <c r="N62" i="3" s="1"/>
  <c r="AA63" i="8"/>
  <c r="X63" i="8"/>
  <c r="W63" i="8"/>
  <c r="AC63" i="8"/>
  <c r="AD63" i="8"/>
  <c r="AF63" i="8"/>
  <c r="T63" i="8"/>
  <c r="U63" i="8"/>
  <c r="A100" i="7"/>
  <c r="A94" i="4"/>
  <c r="A63" i="8"/>
  <c r="A62" i="3"/>
  <c r="A63" i="19" l="1"/>
  <c r="A50" i="10"/>
  <c r="AK50" i="10" s="1"/>
  <c r="H286" i="1"/>
  <c r="R286" i="1"/>
  <c r="O114" i="19" s="1"/>
  <c r="C287" i="1"/>
  <c r="BB61" i="19"/>
  <c r="BI61" i="19"/>
  <c r="BB60" i="3"/>
  <c r="BI60" i="3"/>
  <c r="BI61" i="18"/>
  <c r="BB61" i="18"/>
  <c r="R62" i="18"/>
  <c r="T62" i="18" s="1"/>
  <c r="S62" i="18"/>
  <c r="U62" i="18" s="1"/>
  <c r="V62" i="18" s="1"/>
  <c r="S62" i="19"/>
  <c r="U62" i="19" s="1"/>
  <c r="V62" i="19" s="1"/>
  <c r="R62" i="19"/>
  <c r="T62" i="19" s="1"/>
  <c r="E63" i="8"/>
  <c r="I63" i="8"/>
  <c r="F63" i="8"/>
  <c r="C63" i="8"/>
  <c r="D63" i="8"/>
  <c r="G63" i="8"/>
  <c r="C63" i="19"/>
  <c r="N63" i="19" s="1"/>
  <c r="Q63" i="19" s="1"/>
  <c r="C63" i="18"/>
  <c r="N63" i="18" s="1"/>
  <c r="Q63" i="18" s="1"/>
  <c r="J62" i="8"/>
  <c r="C251" i="1"/>
  <c r="R250" i="1"/>
  <c r="O113" i="18" s="1"/>
  <c r="H250" i="1"/>
  <c r="BD57" i="3"/>
  <c r="BD58" i="3"/>
  <c r="A63" i="18"/>
  <c r="U61" i="3"/>
  <c r="V61" i="3" s="1"/>
  <c r="Y63" i="8"/>
  <c r="Z63" i="8" s="1"/>
  <c r="AG63" i="8"/>
  <c r="AH63" i="8" s="1"/>
  <c r="AZ59" i="3"/>
  <c r="BK59" i="3" s="1"/>
  <c r="Q62" i="3"/>
  <c r="R62" i="3" s="1"/>
  <c r="R61" i="3"/>
  <c r="T61" i="3" s="1"/>
  <c r="R63" i="8"/>
  <c r="L64" i="8"/>
  <c r="O64" i="8"/>
  <c r="K64" i="8"/>
  <c r="AC64" i="8"/>
  <c r="P64" i="8"/>
  <c r="Y64" i="8"/>
  <c r="C63" i="3"/>
  <c r="N63" i="3" s="1"/>
  <c r="U64" i="8"/>
  <c r="AD64" i="8"/>
  <c r="V64" i="8"/>
  <c r="S64" i="8"/>
  <c r="AF64" i="8"/>
  <c r="T64" i="8"/>
  <c r="N64" i="8"/>
  <c r="M64" i="8"/>
  <c r="AA64" i="8"/>
  <c r="AB64" i="8"/>
  <c r="Q64" i="8"/>
  <c r="AG64" i="8"/>
  <c r="X64" i="8"/>
  <c r="AE64" i="8"/>
  <c r="W64" i="8"/>
  <c r="A101" i="7"/>
  <c r="A95" i="4"/>
  <c r="A64" i="8"/>
  <c r="A63" i="3"/>
  <c r="A64" i="19" l="1"/>
  <c r="A51" i="10"/>
  <c r="AK51" i="10" s="1"/>
  <c r="R287" i="1"/>
  <c r="O115" i="19" s="1"/>
  <c r="H287" i="1"/>
  <c r="C288" i="1"/>
  <c r="BB62" i="19"/>
  <c r="BI62" i="19"/>
  <c r="BI62" i="18"/>
  <c r="BB62" i="18"/>
  <c r="BB61" i="3"/>
  <c r="BI61" i="3"/>
  <c r="S63" i="18"/>
  <c r="U63" i="18" s="1"/>
  <c r="V63" i="18" s="1"/>
  <c r="R63" i="18"/>
  <c r="T63" i="18" s="1"/>
  <c r="C64" i="19"/>
  <c r="N64" i="19" s="1"/>
  <c r="Q64" i="19" s="1"/>
  <c r="C64" i="18"/>
  <c r="N64" i="18" s="1"/>
  <c r="Q64" i="18" s="1"/>
  <c r="S63" i="19"/>
  <c r="U63" i="19" s="1"/>
  <c r="V63" i="19" s="1"/>
  <c r="R63" i="19"/>
  <c r="T63" i="19" s="1"/>
  <c r="J63" i="8"/>
  <c r="F64" i="8"/>
  <c r="C64" i="8"/>
  <c r="G64" i="8"/>
  <c r="D64" i="8"/>
  <c r="E64" i="8"/>
  <c r="I64" i="8"/>
  <c r="C252" i="1"/>
  <c r="R251" i="1"/>
  <c r="O114" i="18" s="1"/>
  <c r="H251" i="1"/>
  <c r="BD59" i="3"/>
  <c r="A64" i="18"/>
  <c r="S62" i="3"/>
  <c r="U62" i="3" s="1"/>
  <c r="V62" i="3" s="1"/>
  <c r="AW60" i="3"/>
  <c r="AW61" i="3"/>
  <c r="AY61" i="3" s="1"/>
  <c r="T62" i="3"/>
  <c r="Q63" i="3"/>
  <c r="S63" i="3" s="1"/>
  <c r="Y65" i="8"/>
  <c r="R64" i="8"/>
  <c r="Z64" i="8"/>
  <c r="AH64" i="8"/>
  <c r="M65" i="8"/>
  <c r="AC65" i="8"/>
  <c r="C64" i="3"/>
  <c r="N64" i="3" s="1"/>
  <c r="AF65" i="8"/>
  <c r="X65" i="8"/>
  <c r="L65" i="8"/>
  <c r="AD65" i="8"/>
  <c r="AE65" i="8"/>
  <c r="P65" i="8"/>
  <c r="K65" i="8"/>
  <c r="V65" i="8"/>
  <c r="T65" i="8"/>
  <c r="S65" i="8"/>
  <c r="Q65" i="8"/>
  <c r="W65" i="8"/>
  <c r="U65" i="8"/>
  <c r="AG65" i="8"/>
  <c r="AA65" i="8"/>
  <c r="N65" i="8"/>
  <c r="AB65" i="8"/>
  <c r="O65" i="8"/>
  <c r="A102" i="7"/>
  <c r="A96" i="4"/>
  <c r="A65" i="8"/>
  <c r="A64" i="3"/>
  <c r="A65" i="19" l="1"/>
  <c r="A52" i="10"/>
  <c r="AK52" i="10" s="1"/>
  <c r="C289" i="1"/>
  <c r="R288" i="1"/>
  <c r="O116" i="19" s="1"/>
  <c r="H288" i="1"/>
  <c r="BB62" i="3"/>
  <c r="BI62" i="3"/>
  <c r="BI63" i="18"/>
  <c r="BB63" i="18"/>
  <c r="BB63" i="19"/>
  <c r="BI63" i="19"/>
  <c r="C65" i="19"/>
  <c r="N65" i="19" s="1"/>
  <c r="Q65" i="19" s="1"/>
  <c r="C65" i="18"/>
  <c r="N65" i="18" s="1"/>
  <c r="Q65" i="18" s="1"/>
  <c r="C65" i="8"/>
  <c r="G65" i="8"/>
  <c r="D65" i="8"/>
  <c r="E65" i="8"/>
  <c r="F65" i="8"/>
  <c r="I65" i="8"/>
  <c r="R64" i="19"/>
  <c r="T64" i="19" s="1"/>
  <c r="S64" i="19"/>
  <c r="U64" i="19" s="1"/>
  <c r="V64" i="19" s="1"/>
  <c r="J64" i="8"/>
  <c r="R64" i="18"/>
  <c r="T64" i="18" s="1"/>
  <c r="S64" i="18"/>
  <c r="U64" i="18" s="1"/>
  <c r="V64" i="18" s="1"/>
  <c r="C253" i="1"/>
  <c r="R252" i="1"/>
  <c r="O115" i="18" s="1"/>
  <c r="H252" i="1"/>
  <c r="A65" i="18"/>
  <c r="AY60" i="3"/>
  <c r="AZ60" i="3" s="1"/>
  <c r="BK60" i="3" s="1"/>
  <c r="AZ61" i="3"/>
  <c r="BK61" i="3" s="1"/>
  <c r="R63" i="3"/>
  <c r="T63" i="3" s="1"/>
  <c r="U63" i="3"/>
  <c r="V63" i="3" s="1"/>
  <c r="Q64" i="3"/>
  <c r="S64" i="3" s="1"/>
  <c r="AG66" i="8"/>
  <c r="C65" i="3"/>
  <c r="N65" i="3" s="1"/>
  <c r="O66" i="8"/>
  <c r="AC66" i="8"/>
  <c r="T66" i="8"/>
  <c r="K66" i="8"/>
  <c r="L66" i="8"/>
  <c r="W66" i="8"/>
  <c r="S66" i="8"/>
  <c r="X66" i="8"/>
  <c r="P66" i="8"/>
  <c r="V66" i="8"/>
  <c r="AB66" i="8"/>
  <c r="M66" i="8"/>
  <c r="AA66" i="8"/>
  <c r="U66" i="8"/>
  <c r="AF66" i="8"/>
  <c r="Q66" i="8"/>
  <c r="AE66" i="8"/>
  <c r="AD66" i="8"/>
  <c r="N66" i="8"/>
  <c r="AH65" i="8"/>
  <c r="R65" i="8"/>
  <c r="Z65" i="8"/>
  <c r="A103" i="7"/>
  <c r="A65" i="3"/>
  <c r="A97" i="4"/>
  <c r="A66" i="8"/>
  <c r="A66" i="19" l="1"/>
  <c r="A53" i="10"/>
  <c r="AK53" i="10" s="1"/>
  <c r="R289" i="1"/>
  <c r="O117" i="19" s="1"/>
  <c r="C290" i="1"/>
  <c r="H289" i="1"/>
  <c r="BB64" i="19"/>
  <c r="BI64" i="19"/>
  <c r="BB63" i="3"/>
  <c r="BI63" i="3"/>
  <c r="BI64" i="18"/>
  <c r="BB64" i="18"/>
  <c r="S65" i="18"/>
  <c r="U65" i="18" s="1"/>
  <c r="V65" i="18" s="1"/>
  <c r="R65" i="18"/>
  <c r="T65" i="18" s="1"/>
  <c r="C66" i="19"/>
  <c r="N66" i="19" s="1"/>
  <c r="Q66" i="19" s="1"/>
  <c r="C66" i="18"/>
  <c r="N66" i="18" s="1"/>
  <c r="Q66" i="18" s="1"/>
  <c r="J65" i="8"/>
  <c r="S65" i="19"/>
  <c r="U65" i="19" s="1"/>
  <c r="V65" i="19" s="1"/>
  <c r="R65" i="19"/>
  <c r="T65" i="19" s="1"/>
  <c r="D66" i="8"/>
  <c r="E66" i="8"/>
  <c r="I66" i="8"/>
  <c r="F66" i="8"/>
  <c r="G66" i="8"/>
  <c r="C66" i="8"/>
  <c r="C254" i="1"/>
  <c r="R253" i="1"/>
  <c r="O116" i="18" s="1"/>
  <c r="H253" i="1"/>
  <c r="BD60" i="3"/>
  <c r="BD61" i="3"/>
  <c r="A66" i="18"/>
  <c r="U64" i="3"/>
  <c r="V64" i="3" s="1"/>
  <c r="Y66" i="8"/>
  <c r="Z66" i="8" s="1"/>
  <c r="AW62" i="3"/>
  <c r="Q65" i="3"/>
  <c r="S65" i="3" s="1"/>
  <c r="R64" i="3"/>
  <c r="T64" i="3" s="1"/>
  <c r="Y67" i="8"/>
  <c r="AH66" i="8"/>
  <c r="M67" i="8"/>
  <c r="O67" i="8"/>
  <c r="K67" i="8"/>
  <c r="AA67" i="8"/>
  <c r="AF67" i="8"/>
  <c r="C66" i="3"/>
  <c r="N66" i="3" s="1"/>
  <c r="U67" i="8"/>
  <c r="AC67" i="8"/>
  <c r="V67" i="8"/>
  <c r="AE67" i="8"/>
  <c r="T67" i="8"/>
  <c r="S67" i="8"/>
  <c r="X67" i="8"/>
  <c r="L67" i="8"/>
  <c r="AD67" i="8"/>
  <c r="P67" i="8"/>
  <c r="W67" i="8"/>
  <c r="AB67" i="8"/>
  <c r="N67" i="8"/>
  <c r="R66" i="8"/>
  <c r="A104" i="7"/>
  <c r="A98" i="4"/>
  <c r="A67" i="8"/>
  <c r="A66" i="3"/>
  <c r="A67" i="19" l="1"/>
  <c r="A54" i="10"/>
  <c r="AK54" i="10" s="1"/>
  <c r="C291" i="1"/>
  <c r="H290" i="1"/>
  <c r="R290" i="1"/>
  <c r="O118" i="19" s="1"/>
  <c r="BB65" i="19"/>
  <c r="BI65" i="19"/>
  <c r="BB65" i="18"/>
  <c r="BI65" i="18"/>
  <c r="BB64" i="3"/>
  <c r="BI64" i="3"/>
  <c r="J66" i="8"/>
  <c r="R66" i="18"/>
  <c r="T66" i="18" s="1"/>
  <c r="S66" i="18"/>
  <c r="U66" i="18" s="1"/>
  <c r="V66" i="18" s="1"/>
  <c r="S66" i="19"/>
  <c r="U66" i="19" s="1"/>
  <c r="V66" i="19" s="1"/>
  <c r="R66" i="19"/>
  <c r="T66" i="19" s="1"/>
  <c r="C67" i="19"/>
  <c r="N67" i="19" s="1"/>
  <c r="Q67" i="19" s="1"/>
  <c r="C67" i="18"/>
  <c r="N67" i="18" s="1"/>
  <c r="Q67" i="18" s="1"/>
  <c r="E67" i="8"/>
  <c r="I67" i="8"/>
  <c r="F67" i="8"/>
  <c r="G67" i="8"/>
  <c r="C67" i="8"/>
  <c r="D67" i="8"/>
  <c r="C255" i="1"/>
  <c r="R254" i="1"/>
  <c r="O117" i="18" s="1"/>
  <c r="H254" i="1"/>
  <c r="A67" i="18"/>
  <c r="AY62" i="3"/>
  <c r="AZ62" i="3" s="1"/>
  <c r="BK62" i="3" s="1"/>
  <c r="AG67" i="8"/>
  <c r="AH67" i="8" s="1"/>
  <c r="R65" i="3"/>
  <c r="T65" i="3" s="1"/>
  <c r="Q67" i="8"/>
  <c r="R67" i="8" s="1"/>
  <c r="AW64" i="3"/>
  <c r="AY64" i="3" s="1"/>
  <c r="AW63" i="3"/>
  <c r="U65" i="3"/>
  <c r="V65" i="3" s="1"/>
  <c r="Q66" i="3"/>
  <c r="S66" i="3" s="1"/>
  <c r="Y68" i="8"/>
  <c r="Z67" i="8"/>
  <c r="AD68" i="8"/>
  <c r="P68" i="8"/>
  <c r="T68" i="8"/>
  <c r="C67" i="3"/>
  <c r="N67" i="3" s="1"/>
  <c r="K68" i="8"/>
  <c r="AE68" i="8"/>
  <c r="AF68" i="8"/>
  <c r="AB68" i="8"/>
  <c r="O68" i="8"/>
  <c r="L68" i="8"/>
  <c r="M68" i="8"/>
  <c r="N68" i="8"/>
  <c r="V68" i="8"/>
  <c r="W68" i="8"/>
  <c r="S68" i="8"/>
  <c r="AC68" i="8"/>
  <c r="U68" i="8"/>
  <c r="AA68" i="8"/>
  <c r="X68" i="8"/>
  <c r="A105" i="7"/>
  <c r="A99" i="4"/>
  <c r="A68" i="8"/>
  <c r="A67" i="3"/>
  <c r="A68" i="19" l="1"/>
  <c r="A55" i="10"/>
  <c r="AK55" i="10" s="1"/>
  <c r="R291" i="1"/>
  <c r="O119" i="19" s="1"/>
  <c r="H291" i="1"/>
  <c r="BB66" i="19"/>
  <c r="BI66" i="19"/>
  <c r="BI66" i="18"/>
  <c r="BB66" i="18"/>
  <c r="BB65" i="3"/>
  <c r="BI65" i="3"/>
  <c r="J67" i="8"/>
  <c r="R67" i="19"/>
  <c r="T67" i="19" s="1"/>
  <c r="S67" i="19"/>
  <c r="U67" i="19" s="1"/>
  <c r="V67" i="19" s="1"/>
  <c r="C68" i="19"/>
  <c r="N68" i="19" s="1"/>
  <c r="Q68" i="19" s="1"/>
  <c r="C68" i="18"/>
  <c r="N68" i="18" s="1"/>
  <c r="Q68" i="18" s="1"/>
  <c r="F68" i="8"/>
  <c r="C68" i="8"/>
  <c r="G68" i="8"/>
  <c r="I68" i="8"/>
  <c r="D68" i="8"/>
  <c r="E68" i="8"/>
  <c r="R67" i="18"/>
  <c r="T67" i="18" s="1"/>
  <c r="S67" i="18"/>
  <c r="U67" i="18" s="1"/>
  <c r="V67" i="18" s="1"/>
  <c r="C256" i="1"/>
  <c r="R255" i="1"/>
  <c r="O118" i="18" s="1"/>
  <c r="H255" i="1"/>
  <c r="BD62" i="3"/>
  <c r="A68" i="18"/>
  <c r="AY63" i="3"/>
  <c r="AZ63" i="3" s="1"/>
  <c r="BK63" i="3" s="1"/>
  <c r="D10" i="6"/>
  <c r="Q68" i="8"/>
  <c r="R68" i="8" s="1"/>
  <c r="AG68" i="8"/>
  <c r="AH68" i="8" s="1"/>
  <c r="U66" i="3"/>
  <c r="V66" i="3" s="1"/>
  <c r="AZ64" i="3"/>
  <c r="BK64" i="3" s="1"/>
  <c r="R66" i="3"/>
  <c r="T66" i="3" s="1"/>
  <c r="Q67" i="3"/>
  <c r="S67" i="3" s="1"/>
  <c r="AG69" i="8"/>
  <c r="Z68" i="8"/>
  <c r="L69" i="8"/>
  <c r="P69" i="8"/>
  <c r="M69" i="8"/>
  <c r="N69" i="8"/>
  <c r="T69" i="8"/>
  <c r="X69" i="8"/>
  <c r="AC69" i="8"/>
  <c r="O69" i="8"/>
  <c r="U69" i="8"/>
  <c r="AD69" i="8"/>
  <c r="Q69" i="8"/>
  <c r="V69" i="8"/>
  <c r="AA69" i="8"/>
  <c r="AE69" i="8"/>
  <c r="K69" i="8"/>
  <c r="S69" i="8"/>
  <c r="W69" i="8"/>
  <c r="AB69" i="8"/>
  <c r="AF69" i="8"/>
  <c r="C68" i="3"/>
  <c r="N68" i="3" s="1"/>
  <c r="A106" i="7"/>
  <c r="A100" i="4"/>
  <c r="A69" i="8"/>
  <c r="A68" i="3"/>
  <c r="A69" i="19" l="1"/>
  <c r="A56" i="10"/>
  <c r="AK56" i="10" s="1"/>
  <c r="A63" i="9"/>
  <c r="BB66" i="3"/>
  <c r="BI66" i="3"/>
  <c r="BB67" i="19"/>
  <c r="BI67" i="19"/>
  <c r="BB67" i="18"/>
  <c r="BI67" i="18"/>
  <c r="J68" i="8"/>
  <c r="R68" i="18"/>
  <c r="T68" i="18" s="1"/>
  <c r="S68" i="18"/>
  <c r="U68" i="18" s="1"/>
  <c r="V68" i="18" s="1"/>
  <c r="S68" i="19"/>
  <c r="U68" i="19" s="1"/>
  <c r="V68" i="19" s="1"/>
  <c r="R68" i="19"/>
  <c r="T68" i="19" s="1"/>
  <c r="C69" i="19"/>
  <c r="N69" i="19" s="1"/>
  <c r="Q69" i="19" s="1"/>
  <c r="C69" i="18"/>
  <c r="N69" i="18" s="1"/>
  <c r="Q69" i="18" s="1"/>
  <c r="C69" i="8"/>
  <c r="G69" i="8"/>
  <c r="D69" i="8"/>
  <c r="I69" i="8"/>
  <c r="E69" i="8"/>
  <c r="F69" i="8"/>
  <c r="R256" i="1"/>
  <c r="O119" i="18" s="1"/>
  <c r="H256" i="1"/>
  <c r="BD63" i="3"/>
  <c r="BD64" i="3"/>
  <c r="A69" i="18"/>
  <c r="U67" i="3"/>
  <c r="V67" i="3" s="1"/>
  <c r="Y69" i="8"/>
  <c r="Z69" i="8" s="1"/>
  <c r="R67" i="3"/>
  <c r="T67" i="3" s="1"/>
  <c r="Q68" i="3"/>
  <c r="S68" i="3" s="1"/>
  <c r="C69" i="3"/>
  <c r="N69" i="3" s="1"/>
  <c r="R69" i="8"/>
  <c r="AH69" i="8"/>
  <c r="A107" i="7"/>
  <c r="A10" i="6"/>
  <c r="W10" i="6" s="1"/>
  <c r="BH10" i="6" s="1"/>
  <c r="A101" i="4"/>
  <c r="A70" i="8"/>
  <c r="A69" i="3"/>
  <c r="A70" i="19" l="1"/>
  <c r="A64" i="9"/>
  <c r="A57" i="10"/>
  <c r="AK57" i="10" s="1"/>
  <c r="BB68" i="19"/>
  <c r="BI68" i="19"/>
  <c r="BB68" i="18"/>
  <c r="BI68" i="18"/>
  <c r="BB67" i="3"/>
  <c r="BI67" i="3"/>
  <c r="S69" i="19"/>
  <c r="U69" i="19" s="1"/>
  <c r="V69" i="19" s="1"/>
  <c r="R69" i="19"/>
  <c r="T69" i="19" s="1"/>
  <c r="J69" i="8"/>
  <c r="C70" i="19"/>
  <c r="N70" i="19" s="1"/>
  <c r="Q70" i="19" s="1"/>
  <c r="C70" i="18"/>
  <c r="N70" i="18" s="1"/>
  <c r="Q70" i="18" s="1"/>
  <c r="S69" i="18"/>
  <c r="U69" i="18" s="1"/>
  <c r="V69" i="18" s="1"/>
  <c r="R69" i="18"/>
  <c r="T69" i="18" s="1"/>
  <c r="A70" i="18"/>
  <c r="U68" i="3"/>
  <c r="V68" i="3" s="1"/>
  <c r="Q69" i="3"/>
  <c r="S69" i="3" s="1"/>
  <c r="R68" i="3"/>
  <c r="T68" i="3" s="1"/>
  <c r="M10" i="6"/>
  <c r="C70" i="3"/>
  <c r="N70" i="3" s="1"/>
  <c r="A108" i="7"/>
  <c r="A71" i="8"/>
  <c r="A11" i="6"/>
  <c r="W11" i="6" s="1"/>
  <c r="BH11" i="6" s="1"/>
  <c r="A70" i="3"/>
  <c r="A102" i="4"/>
  <c r="A71" i="19" l="1"/>
  <c r="A58" i="10"/>
  <c r="AK58" i="10" s="1"/>
  <c r="A65" i="9"/>
  <c r="BB69" i="19"/>
  <c r="BI69" i="19"/>
  <c r="BB68" i="3"/>
  <c r="BI68" i="3"/>
  <c r="BI69" i="18"/>
  <c r="BB69" i="18"/>
  <c r="S70" i="19"/>
  <c r="U70" i="19" s="1"/>
  <c r="V70" i="19" s="1"/>
  <c r="R70" i="19"/>
  <c r="T70" i="19" s="1"/>
  <c r="C71" i="19"/>
  <c r="N71" i="19" s="1"/>
  <c r="Q71" i="19" s="1"/>
  <c r="C71" i="18"/>
  <c r="N71" i="18" s="1"/>
  <c r="Q71" i="18" s="1"/>
  <c r="S70" i="18"/>
  <c r="U70" i="18" s="1"/>
  <c r="V70" i="18" s="1"/>
  <c r="R70" i="18"/>
  <c r="T70" i="18" s="1"/>
  <c r="A71" i="18"/>
  <c r="U69" i="3"/>
  <c r="V69" i="3" s="1"/>
  <c r="R69" i="3"/>
  <c r="T69" i="3" s="1"/>
  <c r="AW69" i="3"/>
  <c r="Q70" i="3"/>
  <c r="R70" i="3" s="1"/>
  <c r="C71" i="3"/>
  <c r="N71" i="3" s="1"/>
  <c r="A109" i="7"/>
  <c r="A103" i="4"/>
  <c r="A72" i="8"/>
  <c r="A12" i="6"/>
  <c r="W12" i="6" s="1"/>
  <c r="BH12" i="6" s="1"/>
  <c r="A71" i="3"/>
  <c r="A72" i="19" l="1"/>
  <c r="A66" i="9"/>
  <c r="A59" i="10"/>
  <c r="AK59" i="10" s="1"/>
  <c r="BB69" i="3"/>
  <c r="BI69" i="3"/>
  <c r="BB70" i="18"/>
  <c r="BI70" i="18"/>
  <c r="BB70" i="19"/>
  <c r="BI70" i="19"/>
  <c r="S71" i="19"/>
  <c r="U71" i="19" s="1"/>
  <c r="V71" i="19" s="1"/>
  <c r="R71" i="19"/>
  <c r="T71" i="19" s="1"/>
  <c r="I10" i="6"/>
  <c r="C72" i="19"/>
  <c r="N72" i="19" s="1"/>
  <c r="Q72" i="19" s="1"/>
  <c r="C72" i="18"/>
  <c r="N72" i="18" s="1"/>
  <c r="Q72" i="18" s="1"/>
  <c r="H10" i="6"/>
  <c r="S71" i="18"/>
  <c r="U71" i="18" s="1"/>
  <c r="V71" i="18" s="1"/>
  <c r="R71" i="18"/>
  <c r="T71" i="18" s="1"/>
  <c r="G10" i="6"/>
  <c r="A72" i="18"/>
  <c r="D11" i="6"/>
  <c r="M11" i="6" s="1"/>
  <c r="T70" i="3"/>
  <c r="S70" i="3"/>
  <c r="U70" i="3" s="1"/>
  <c r="V70" i="3" s="1"/>
  <c r="Q71" i="3"/>
  <c r="R71" i="3" s="1"/>
  <c r="C72" i="3"/>
  <c r="N72" i="3" s="1"/>
  <c r="A110" i="7"/>
  <c r="A104" i="4"/>
  <c r="A13" i="6"/>
  <c r="W13" i="6" s="1"/>
  <c r="BH13" i="6" s="1"/>
  <c r="A72" i="3"/>
  <c r="A73" i="8"/>
  <c r="A73" i="19" l="1"/>
  <c r="A60" i="10"/>
  <c r="AK60" i="10" s="1"/>
  <c r="A67" i="9"/>
  <c r="BI71" i="18"/>
  <c r="BB71" i="18"/>
  <c r="BB70" i="3"/>
  <c r="BI70" i="3"/>
  <c r="BB71" i="19"/>
  <c r="BI71" i="19"/>
  <c r="O10" i="6"/>
  <c r="S10" i="6" s="1"/>
  <c r="BD10" i="6" s="1"/>
  <c r="C73" i="19"/>
  <c r="N73" i="19" s="1"/>
  <c r="Q73" i="19" s="1"/>
  <c r="C73" i="18"/>
  <c r="N73" i="18" s="1"/>
  <c r="Q73" i="18" s="1"/>
  <c r="I11" i="6"/>
  <c r="R72" i="19"/>
  <c r="T72" i="19" s="1"/>
  <c r="S72" i="19"/>
  <c r="U72" i="19" s="1"/>
  <c r="V72" i="19" s="1"/>
  <c r="H11" i="6"/>
  <c r="S72" i="18"/>
  <c r="U72" i="18" s="1"/>
  <c r="V72" i="18" s="1"/>
  <c r="R72" i="18"/>
  <c r="T72" i="18" s="1"/>
  <c r="A73" i="18"/>
  <c r="D12" i="6"/>
  <c r="M12" i="6" s="1"/>
  <c r="G11" i="6"/>
  <c r="T71" i="3"/>
  <c r="S71" i="3"/>
  <c r="U71" i="3" s="1"/>
  <c r="V71" i="3" s="1"/>
  <c r="AW71" i="3"/>
  <c r="AW70" i="3"/>
  <c r="Q72" i="3"/>
  <c r="S72" i="3" s="1"/>
  <c r="C73" i="3"/>
  <c r="N73" i="3" s="1"/>
  <c r="A111" i="7"/>
  <c r="A14" i="6"/>
  <c r="W14" i="6" s="1"/>
  <c r="BH14" i="6" s="1"/>
  <c r="A105" i="4"/>
  <c r="A73" i="3"/>
  <c r="A74" i="8"/>
  <c r="A74" i="19" l="1"/>
  <c r="A68" i="9"/>
  <c r="A61" i="10"/>
  <c r="AK61" i="10" s="1"/>
  <c r="BI72" i="18"/>
  <c r="BB72" i="18"/>
  <c r="BB72" i="19"/>
  <c r="BI72" i="19"/>
  <c r="BB71" i="3"/>
  <c r="BI71" i="3"/>
  <c r="AL10" i="6"/>
  <c r="AR10" i="6"/>
  <c r="Z10" i="6"/>
  <c r="AF10" i="6"/>
  <c r="O11" i="6"/>
  <c r="S11" i="6" s="1"/>
  <c r="S73" i="18"/>
  <c r="U73" i="18" s="1"/>
  <c r="V73" i="18" s="1"/>
  <c r="R73" i="18"/>
  <c r="T73" i="18" s="1"/>
  <c r="H12" i="6"/>
  <c r="I12" i="6"/>
  <c r="R73" i="19"/>
  <c r="T73" i="19" s="1"/>
  <c r="S73" i="19"/>
  <c r="U73" i="19" s="1"/>
  <c r="V73" i="19" s="1"/>
  <c r="C74" i="19"/>
  <c r="N74" i="19" s="1"/>
  <c r="Q74" i="19" s="1"/>
  <c r="C74" i="18"/>
  <c r="N74" i="18" s="1"/>
  <c r="Q74" i="18" s="1"/>
  <c r="A74" i="18"/>
  <c r="D13" i="6"/>
  <c r="M13" i="6" s="1"/>
  <c r="U72" i="3"/>
  <c r="V72" i="3" s="1"/>
  <c r="G12" i="6"/>
  <c r="R72" i="3"/>
  <c r="T72" i="3" s="1"/>
  <c r="AW72" i="3"/>
  <c r="Q73" i="3"/>
  <c r="S73" i="3" s="1"/>
  <c r="C74" i="3"/>
  <c r="N74" i="3" s="1"/>
  <c r="A112" i="7"/>
  <c r="A75" i="8"/>
  <c r="A15" i="6"/>
  <c r="W15" i="6" s="1"/>
  <c r="BH15" i="6" s="1"/>
  <c r="A106" i="4"/>
  <c r="A74" i="3"/>
  <c r="A75" i="19" l="1"/>
  <c r="A62" i="10"/>
  <c r="AK62" i="10" s="1"/>
  <c r="A69" i="9"/>
  <c r="BB72" i="3"/>
  <c r="BI72" i="3"/>
  <c r="BB73" i="19"/>
  <c r="BI73" i="19"/>
  <c r="BI73" i="18"/>
  <c r="BB73" i="18"/>
  <c r="AR11" i="6"/>
  <c r="BD11" i="6"/>
  <c r="Z11" i="6"/>
  <c r="AL11" i="6" s="1"/>
  <c r="AF11" i="6"/>
  <c r="AX10" i="6"/>
  <c r="H13" i="6"/>
  <c r="S74" i="19"/>
  <c r="U74" i="19" s="1"/>
  <c r="V74" i="19" s="1"/>
  <c r="R74" i="19"/>
  <c r="T74" i="19" s="1"/>
  <c r="I13" i="6"/>
  <c r="C75" i="19"/>
  <c r="N75" i="19" s="1"/>
  <c r="Q75" i="19" s="1"/>
  <c r="C75" i="18"/>
  <c r="N75" i="18" s="1"/>
  <c r="Q75" i="18" s="1"/>
  <c r="S74" i="18"/>
  <c r="U74" i="18" s="1"/>
  <c r="V74" i="18" s="1"/>
  <c r="R74" i="18"/>
  <c r="T74" i="18" s="1"/>
  <c r="A75" i="18"/>
  <c r="O12" i="6"/>
  <c r="S12" i="6" s="1"/>
  <c r="D14" i="6"/>
  <c r="M14" i="6" s="1"/>
  <c r="G13" i="6"/>
  <c r="U73" i="3"/>
  <c r="V73" i="3" s="1"/>
  <c r="Q74" i="3"/>
  <c r="R74" i="3" s="1"/>
  <c r="R73" i="3"/>
  <c r="T73" i="3" s="1"/>
  <c r="C75" i="3"/>
  <c r="N75" i="3" s="1"/>
  <c r="A113" i="7"/>
  <c r="A76" i="8"/>
  <c r="A107" i="4"/>
  <c r="A16" i="6"/>
  <c r="W16" i="6" s="1"/>
  <c r="BH16" i="6" s="1"/>
  <c r="A75" i="3"/>
  <c r="A76" i="19" l="1"/>
  <c r="A63" i="10"/>
  <c r="AK63" i="10" s="1"/>
  <c r="A70" i="9"/>
  <c r="AX11" i="6"/>
  <c r="BB74" i="19"/>
  <c r="BI74" i="19"/>
  <c r="BI74" i="18"/>
  <c r="BB74" i="18"/>
  <c r="BB73" i="3"/>
  <c r="BI73" i="3"/>
  <c r="AR12" i="6"/>
  <c r="BD12" i="6"/>
  <c r="Z12" i="6"/>
  <c r="AL12" i="6" s="1"/>
  <c r="AF12" i="6"/>
  <c r="O13" i="6"/>
  <c r="S13" i="6" s="1"/>
  <c r="I14" i="6"/>
  <c r="C76" i="19"/>
  <c r="N76" i="19" s="1"/>
  <c r="Q76" i="19" s="1"/>
  <c r="C76" i="18"/>
  <c r="N76" i="18" s="1"/>
  <c r="Q76" i="18" s="1"/>
  <c r="R75" i="18"/>
  <c r="T75" i="18" s="1"/>
  <c r="S75" i="18"/>
  <c r="U75" i="18" s="1"/>
  <c r="V75" i="18" s="1"/>
  <c r="R75" i="19"/>
  <c r="T75" i="19" s="1"/>
  <c r="S75" i="19"/>
  <c r="U75" i="19" s="1"/>
  <c r="V75" i="19" s="1"/>
  <c r="A76" i="18"/>
  <c r="D15" i="6"/>
  <c r="M15" i="6" s="1"/>
  <c r="G14" i="6"/>
  <c r="H14" i="6"/>
  <c r="AW73" i="3"/>
  <c r="T74" i="3"/>
  <c r="S74" i="3"/>
  <c r="U74" i="3" s="1"/>
  <c r="V74" i="3" s="1"/>
  <c r="Q75" i="3"/>
  <c r="S75" i="3" s="1"/>
  <c r="C76" i="3"/>
  <c r="N76" i="3" s="1"/>
  <c r="A114" i="7"/>
  <c r="A108" i="4"/>
  <c r="A77" i="8"/>
  <c r="A17" i="6"/>
  <c r="W17" i="6" s="1"/>
  <c r="BH17" i="6" s="1"/>
  <c r="A76" i="3"/>
  <c r="A77" i="19" l="1"/>
  <c r="A71" i="9"/>
  <c r="A64" i="10"/>
  <c r="AK64" i="10" s="1"/>
  <c r="AX12" i="6"/>
  <c r="BI75" i="18"/>
  <c r="BB75" i="18"/>
  <c r="BB74" i="3"/>
  <c r="BI74" i="3"/>
  <c r="BB75" i="19"/>
  <c r="BI75" i="19"/>
  <c r="AR13" i="6"/>
  <c r="BD13" i="6"/>
  <c r="Z13" i="6"/>
  <c r="AX13" i="6" s="1"/>
  <c r="AF13" i="6"/>
  <c r="I15" i="6"/>
  <c r="C77" i="19"/>
  <c r="N77" i="19" s="1"/>
  <c r="Q77" i="19" s="1"/>
  <c r="C77" i="18"/>
  <c r="N77" i="18" s="1"/>
  <c r="Q77" i="18" s="1"/>
  <c r="H15" i="6"/>
  <c r="S76" i="18"/>
  <c r="U76" i="18" s="1"/>
  <c r="V76" i="18" s="1"/>
  <c r="R76" i="18"/>
  <c r="T76" i="18" s="1"/>
  <c r="R76" i="19"/>
  <c r="T76" i="19" s="1"/>
  <c r="S76" i="19"/>
  <c r="U76" i="19" s="1"/>
  <c r="V76" i="19" s="1"/>
  <c r="A77" i="18"/>
  <c r="O14" i="6"/>
  <c r="S14" i="6" s="1"/>
  <c r="D16" i="6"/>
  <c r="M16" i="6" s="1"/>
  <c r="G15" i="6"/>
  <c r="U75" i="3"/>
  <c r="V75" i="3" s="1"/>
  <c r="Q76" i="3"/>
  <c r="S76" i="3" s="1"/>
  <c r="R75" i="3"/>
  <c r="T75" i="3" s="1"/>
  <c r="C77" i="3"/>
  <c r="N77" i="3" s="1"/>
  <c r="A115" i="7"/>
  <c r="A18" i="6"/>
  <c r="W18" i="6" s="1"/>
  <c r="BH18" i="6" s="1"/>
  <c r="A109" i="4"/>
  <c r="A78" i="8"/>
  <c r="A77" i="3"/>
  <c r="A78" i="19" l="1"/>
  <c r="A72" i="9"/>
  <c r="A65" i="10"/>
  <c r="AK65" i="10" s="1"/>
  <c r="BB76" i="19"/>
  <c r="BI76" i="19"/>
  <c r="BB75" i="3"/>
  <c r="BI75" i="3"/>
  <c r="BB76" i="18"/>
  <c r="BI76" i="18"/>
  <c r="AR14" i="6"/>
  <c r="BD14" i="6"/>
  <c r="AL13" i="6"/>
  <c r="Z14" i="6"/>
  <c r="AL14" i="6" s="1"/>
  <c r="AF14" i="6"/>
  <c r="I16" i="6"/>
  <c r="S77" i="18"/>
  <c r="U77" i="18" s="1"/>
  <c r="V77" i="18" s="1"/>
  <c r="R77" i="18"/>
  <c r="T77" i="18" s="1"/>
  <c r="C78" i="19"/>
  <c r="N78" i="19" s="1"/>
  <c r="Q78" i="19" s="1"/>
  <c r="C78" i="18"/>
  <c r="N78" i="18" s="1"/>
  <c r="Q78" i="18" s="1"/>
  <c r="R77" i="19"/>
  <c r="T77" i="19" s="1"/>
  <c r="S77" i="19"/>
  <c r="U77" i="19" s="1"/>
  <c r="V77" i="19" s="1"/>
  <c r="A78" i="18"/>
  <c r="O15" i="6"/>
  <c r="S15" i="6" s="1"/>
  <c r="D17" i="6"/>
  <c r="M17" i="6" s="1"/>
  <c r="G16" i="6"/>
  <c r="H16" i="6"/>
  <c r="U76" i="3"/>
  <c r="V76" i="3" s="1"/>
  <c r="AW74" i="3"/>
  <c r="Q77" i="3"/>
  <c r="R77" i="3" s="1"/>
  <c r="R76" i="3"/>
  <c r="T76" i="3" s="1"/>
  <c r="C78" i="3"/>
  <c r="N78" i="3" s="1"/>
  <c r="A116" i="7"/>
  <c r="A79" i="8"/>
  <c r="A19" i="6"/>
  <c r="W19" i="6" s="1"/>
  <c r="BH19" i="6" s="1"/>
  <c r="A110" i="4"/>
  <c r="A78" i="3"/>
  <c r="A79" i="19" l="1"/>
  <c r="A66" i="10"/>
  <c r="AK66" i="10" s="1"/>
  <c r="A73" i="9"/>
  <c r="BI77" i="18"/>
  <c r="BB77" i="18"/>
  <c r="BB77" i="19"/>
  <c r="BI77" i="19"/>
  <c r="BB76" i="3"/>
  <c r="BI76" i="3"/>
  <c r="AR15" i="6"/>
  <c r="BD15" i="6"/>
  <c r="AX14" i="6"/>
  <c r="Z15" i="6"/>
  <c r="AX15" i="6" s="1"/>
  <c r="AF15" i="6"/>
  <c r="G17" i="6"/>
  <c r="R78" i="18"/>
  <c r="T78" i="18" s="1"/>
  <c r="S78" i="18"/>
  <c r="U78" i="18" s="1"/>
  <c r="V78" i="18" s="1"/>
  <c r="S78" i="19"/>
  <c r="U78" i="19" s="1"/>
  <c r="V78" i="19" s="1"/>
  <c r="R78" i="19"/>
  <c r="T78" i="19" s="1"/>
  <c r="H17" i="6"/>
  <c r="I17" i="6"/>
  <c r="A79" i="18"/>
  <c r="O16" i="6"/>
  <c r="S16" i="6" s="1"/>
  <c r="D18" i="6"/>
  <c r="M18" i="6" s="1"/>
  <c r="S77" i="3"/>
  <c r="U77" i="3" s="1"/>
  <c r="V77" i="3" s="1"/>
  <c r="AW75" i="3"/>
  <c r="T77" i="3"/>
  <c r="Q78" i="3"/>
  <c r="S78" i="3" s="1"/>
  <c r="A117" i="7"/>
  <c r="A80" i="8"/>
  <c r="A111" i="4"/>
  <c r="A20" i="6"/>
  <c r="W20" i="6" s="1"/>
  <c r="BH20" i="6" s="1"/>
  <c r="A79" i="3"/>
  <c r="A80" i="19" l="1"/>
  <c r="A67" i="10"/>
  <c r="AK67" i="10" s="1"/>
  <c r="A74" i="9"/>
  <c r="BI78" i="18"/>
  <c r="BB78" i="18"/>
  <c r="BB77" i="3"/>
  <c r="BI77" i="3"/>
  <c r="BB78" i="19"/>
  <c r="BI78" i="19"/>
  <c r="AR16" i="6"/>
  <c r="BD16" i="6"/>
  <c r="AL15" i="6"/>
  <c r="Z16" i="6"/>
  <c r="AX16" i="6" s="1"/>
  <c r="AF16" i="6"/>
  <c r="O17" i="6"/>
  <c r="S17" i="6" s="1"/>
  <c r="H18" i="6"/>
  <c r="I18" i="6"/>
  <c r="A80" i="18"/>
  <c r="D19" i="6"/>
  <c r="M19" i="6" s="1"/>
  <c r="G18" i="6"/>
  <c r="U78" i="3"/>
  <c r="V78" i="3" s="1"/>
  <c r="AW76" i="3"/>
  <c r="R78" i="3"/>
  <c r="T78" i="3" s="1"/>
  <c r="A118" i="7"/>
  <c r="A112" i="4"/>
  <c r="A21" i="6"/>
  <c r="W21" i="6" s="1"/>
  <c r="BH21" i="6" s="1"/>
  <c r="A80" i="3"/>
  <c r="A81" i="8"/>
  <c r="A68" i="10" l="1"/>
  <c r="AK68" i="10" s="1"/>
  <c r="A75" i="9"/>
  <c r="A81" i="19"/>
  <c r="C112" i="4"/>
  <c r="B112" i="4"/>
  <c r="BB78" i="3"/>
  <c r="BI78" i="3"/>
  <c r="AR17" i="6"/>
  <c r="BD17" i="6"/>
  <c r="AL16" i="6"/>
  <c r="Z17" i="6"/>
  <c r="AX17" i="6" s="1"/>
  <c r="AF17" i="6"/>
  <c r="I19" i="6"/>
  <c r="O18" i="6"/>
  <c r="S18" i="6" s="1"/>
  <c r="H19" i="6"/>
  <c r="A81" i="18"/>
  <c r="G19" i="6"/>
  <c r="AW77" i="3"/>
  <c r="AW78" i="3"/>
  <c r="A119" i="7"/>
  <c r="A22" i="6"/>
  <c r="W22" i="6" s="1"/>
  <c r="BH22" i="6" s="1"/>
  <c r="A113" i="4"/>
  <c r="A81" i="3"/>
  <c r="A82" i="8"/>
  <c r="A76" i="9" l="1"/>
  <c r="A69" i="10"/>
  <c r="AK69" i="10" s="1"/>
  <c r="L112" i="4"/>
  <c r="AB68" i="10" s="1"/>
  <c r="K75" i="9" s="1"/>
  <c r="M112" i="4"/>
  <c r="B81" i="19"/>
  <c r="B81" i="18"/>
  <c r="B119" i="7"/>
  <c r="B81" i="3"/>
  <c r="A82" i="19"/>
  <c r="C113" i="4"/>
  <c r="B113" i="4"/>
  <c r="AR18" i="6"/>
  <c r="BD18" i="6"/>
  <c r="AL17" i="6"/>
  <c r="Z18" i="6"/>
  <c r="AX18" i="6" s="1"/>
  <c r="AF18" i="6"/>
  <c r="A82" i="18"/>
  <c r="O19" i="6"/>
  <c r="S19" i="6" s="1"/>
  <c r="AW79" i="3"/>
  <c r="A120" i="7"/>
  <c r="A83" i="8"/>
  <c r="A23" i="6"/>
  <c r="W23" i="6" s="1"/>
  <c r="BH23" i="6" s="1"/>
  <c r="A114" i="4"/>
  <c r="A82" i="3"/>
  <c r="Q75" i="9" l="1"/>
  <c r="P75" i="9"/>
  <c r="S75" i="9"/>
  <c r="A77" i="9"/>
  <c r="A70" i="10"/>
  <c r="AK70" i="10" s="1"/>
  <c r="AT68" i="10"/>
  <c r="AU68" i="10"/>
  <c r="AV68" i="10"/>
  <c r="AS68" i="10"/>
  <c r="AW68" i="10"/>
  <c r="L113" i="4"/>
  <c r="AB69" i="10" s="1"/>
  <c r="K76" i="9" s="1"/>
  <c r="M113" i="4"/>
  <c r="AW119" i="7"/>
  <c r="K22" i="6" s="1"/>
  <c r="E119" i="7"/>
  <c r="G119" i="7" s="1"/>
  <c r="A83" i="19"/>
  <c r="C114" i="4"/>
  <c r="B114" i="4"/>
  <c r="B82" i="19"/>
  <c r="B82" i="18"/>
  <c r="B120" i="7"/>
  <c r="B82" i="3"/>
  <c r="AR19" i="6"/>
  <c r="BD19" i="6"/>
  <c r="AL18" i="6"/>
  <c r="Z19" i="6"/>
  <c r="AL19" i="6" s="1"/>
  <c r="AF19" i="6"/>
  <c r="A83" i="18"/>
  <c r="A121" i="7"/>
  <c r="A84" i="8"/>
  <c r="A24" i="6"/>
  <c r="W24" i="6" s="1"/>
  <c r="BH24" i="6" s="1"/>
  <c r="A115" i="4"/>
  <c r="A83" i="3"/>
  <c r="P76" i="9" l="1"/>
  <c r="Q76" i="9"/>
  <c r="S76" i="9"/>
  <c r="AX68" i="10"/>
  <c r="A71" i="10"/>
  <c r="AK71" i="10" s="1"/>
  <c r="A78" i="9"/>
  <c r="AT69" i="10"/>
  <c r="AU69" i="10"/>
  <c r="AV69" i="10"/>
  <c r="AS69" i="10"/>
  <c r="AW69" i="10"/>
  <c r="M114" i="4"/>
  <c r="L114" i="4"/>
  <c r="AB70" i="10" s="1"/>
  <c r="K77" i="9" s="1"/>
  <c r="AX19" i="6"/>
  <c r="A84" i="19"/>
  <c r="C115" i="4"/>
  <c r="B115" i="4"/>
  <c r="B83" i="19"/>
  <c r="B83" i="18"/>
  <c r="B121" i="7"/>
  <c r="B83" i="3"/>
  <c r="AW120" i="7"/>
  <c r="K23" i="6" s="1"/>
  <c r="E120" i="7"/>
  <c r="G120" i="7" s="1"/>
  <c r="AL119" i="7"/>
  <c r="AO119" i="7"/>
  <c r="AJ119" i="7"/>
  <c r="AB119" i="7"/>
  <c r="AR119" i="7"/>
  <c r="AA119" i="7"/>
  <c r="AC119" i="7"/>
  <c r="AE119" i="7"/>
  <c r="AQ119" i="7"/>
  <c r="AH119" i="7"/>
  <c r="Z119" i="7"/>
  <c r="AN119" i="7"/>
  <c r="AD119" i="7"/>
  <c r="AG119" i="7"/>
  <c r="AP119" i="7"/>
  <c r="AK119" i="7"/>
  <c r="AI119" i="7"/>
  <c r="A84" i="18"/>
  <c r="AW80" i="3"/>
  <c r="AW81" i="3"/>
  <c r="AW82" i="3"/>
  <c r="A122" i="7"/>
  <c r="A116" i="4"/>
  <c r="A85" i="8"/>
  <c r="A25" i="6"/>
  <c r="W25" i="6" s="1"/>
  <c r="BH25" i="6" s="1"/>
  <c r="A84" i="3"/>
  <c r="AX69" i="10" l="1"/>
  <c r="P77" i="9"/>
  <c r="S77" i="9"/>
  <c r="Q77" i="9"/>
  <c r="A72" i="10"/>
  <c r="AK72" i="10" s="1"/>
  <c r="A79" i="9"/>
  <c r="AT70" i="10"/>
  <c r="AU70" i="10"/>
  <c r="AV70" i="10"/>
  <c r="AW70" i="10"/>
  <c r="AS70" i="10"/>
  <c r="AM119" i="7"/>
  <c r="M115" i="4"/>
  <c r="L115" i="4"/>
  <c r="AB71" i="10" s="1"/>
  <c r="K78" i="9" s="1"/>
  <c r="A85" i="19"/>
  <c r="B116" i="4"/>
  <c r="C116" i="4"/>
  <c r="AT119" i="7"/>
  <c r="E121" i="7"/>
  <c r="G121" i="7" s="1"/>
  <c r="AW121" i="7"/>
  <c r="K24" i="6" s="1"/>
  <c r="AF119" i="7"/>
  <c r="B84" i="19"/>
  <c r="B84" i="18"/>
  <c r="B122" i="7"/>
  <c r="B84" i="3"/>
  <c r="AQ120" i="7"/>
  <c r="AJ120" i="7"/>
  <c r="AE120" i="7"/>
  <c r="AH120" i="7"/>
  <c r="AN120" i="7"/>
  <c r="AC120" i="7"/>
  <c r="AG120" i="7"/>
  <c r="AB120" i="7"/>
  <c r="Z120" i="7"/>
  <c r="AO120" i="7"/>
  <c r="AK120" i="7"/>
  <c r="AA120" i="7"/>
  <c r="AI120" i="7"/>
  <c r="AD120" i="7"/>
  <c r="AP120" i="7"/>
  <c r="AL120" i="7"/>
  <c r="AR120" i="7"/>
  <c r="C86" i="19"/>
  <c r="C86" i="18"/>
  <c r="A85" i="18"/>
  <c r="A123" i="7"/>
  <c r="A26" i="6"/>
  <c r="W26" i="6" s="1"/>
  <c r="BH26" i="6" s="1"/>
  <c r="A117" i="4"/>
  <c r="A86" i="8"/>
  <c r="A85" i="3"/>
  <c r="P78" i="9" l="1"/>
  <c r="S78" i="9"/>
  <c r="Q78" i="9"/>
  <c r="A80" i="9"/>
  <c r="A73" i="10"/>
  <c r="AT71" i="10"/>
  <c r="AU71" i="10"/>
  <c r="AV71" i="10"/>
  <c r="AS71" i="10"/>
  <c r="AW71" i="10"/>
  <c r="AX70" i="10"/>
  <c r="L116" i="4"/>
  <c r="AB72" i="10" s="1"/>
  <c r="K79" i="9" s="1"/>
  <c r="M116" i="4"/>
  <c r="I110" i="4"/>
  <c r="B66" i="10" s="1"/>
  <c r="C66" i="10" s="1"/>
  <c r="AV119" i="7"/>
  <c r="J22" i="6" s="1"/>
  <c r="D23" i="23"/>
  <c r="AF120" i="7"/>
  <c r="E122" i="7"/>
  <c r="G122" i="7" s="1"/>
  <c r="AW122" i="7"/>
  <c r="K25" i="6" s="1"/>
  <c r="A176" i="17"/>
  <c r="C117" i="4"/>
  <c r="B117" i="4"/>
  <c r="P22" i="6"/>
  <c r="T22" i="6" s="1"/>
  <c r="AE121" i="7"/>
  <c r="AB121" i="7"/>
  <c r="AL121" i="7"/>
  <c r="AQ121" i="7"/>
  <c r="AA121" i="7"/>
  <c r="AI121" i="7"/>
  <c r="AR121" i="7"/>
  <c r="AD121" i="7"/>
  <c r="AK121" i="7"/>
  <c r="AC121" i="7"/>
  <c r="AJ121" i="7"/>
  <c r="Z121" i="7"/>
  <c r="AH121" i="7"/>
  <c r="AO121" i="7"/>
  <c r="AN121" i="7"/>
  <c r="AP121" i="7"/>
  <c r="AG121" i="7"/>
  <c r="B85" i="19"/>
  <c r="B85" i="18"/>
  <c r="B85" i="3"/>
  <c r="B123" i="7"/>
  <c r="AM120" i="7"/>
  <c r="AT120" i="7"/>
  <c r="A176" i="16"/>
  <c r="A177" i="11"/>
  <c r="H97" i="17"/>
  <c r="H97" i="16"/>
  <c r="A86" i="18"/>
  <c r="A86" i="19"/>
  <c r="A136" i="17"/>
  <c r="A96" i="17"/>
  <c r="A136" i="16"/>
  <c r="A96" i="16"/>
  <c r="A97" i="11"/>
  <c r="A137" i="11"/>
  <c r="H98" i="11"/>
  <c r="AW83" i="3"/>
  <c r="C86" i="3"/>
  <c r="A124" i="7"/>
  <c r="A87" i="8"/>
  <c r="A27" i="6"/>
  <c r="W27" i="6" s="1"/>
  <c r="BH27" i="6" s="1"/>
  <c r="A118" i="4"/>
  <c r="A86" i="3"/>
  <c r="Q79" i="9" l="1"/>
  <c r="P79" i="9"/>
  <c r="S79" i="9"/>
  <c r="K117" i="4"/>
  <c r="C73" i="10"/>
  <c r="AP66" i="10"/>
  <c r="AN66" i="10"/>
  <c r="A218" i="9"/>
  <c r="A184" i="9"/>
  <c r="A150" i="9"/>
  <c r="A116" i="9"/>
  <c r="A82" i="9"/>
  <c r="A252" i="9"/>
  <c r="AT72" i="10"/>
  <c r="AU72" i="10"/>
  <c r="AV72" i="10"/>
  <c r="AW72" i="10"/>
  <c r="AS72" i="10"/>
  <c r="AX71" i="10"/>
  <c r="T66" i="10"/>
  <c r="X66" i="10" s="1"/>
  <c r="AK73" i="10"/>
  <c r="V66" i="10"/>
  <c r="U66" i="10"/>
  <c r="U67" i="10" s="1"/>
  <c r="V67" i="10"/>
  <c r="B31" i="12"/>
  <c r="K111" i="4"/>
  <c r="K110" i="4"/>
  <c r="I111" i="4"/>
  <c r="B32" i="12"/>
  <c r="B35" i="12" s="1"/>
  <c r="B34" i="12"/>
  <c r="B36" i="12"/>
  <c r="AV120" i="7"/>
  <c r="J23" i="6" s="1"/>
  <c r="P23" i="6" s="1"/>
  <c r="T23" i="6" s="1"/>
  <c r="E23" i="23"/>
  <c r="AM121" i="7"/>
  <c r="AT121" i="7"/>
  <c r="AA22" i="6"/>
  <c r="AG22" i="6"/>
  <c r="BE22" i="6"/>
  <c r="AS22" i="6"/>
  <c r="C9" i="4"/>
  <c r="B176" i="17"/>
  <c r="B176" i="16"/>
  <c r="B177" i="11"/>
  <c r="B136" i="17"/>
  <c r="B86" i="19"/>
  <c r="N86" i="19" s="1"/>
  <c r="Q86" i="19" s="1"/>
  <c r="B86" i="18"/>
  <c r="N86" i="18" s="1"/>
  <c r="Q86" i="18" s="1"/>
  <c r="B96" i="17"/>
  <c r="B136" i="16"/>
  <c r="B96" i="16"/>
  <c r="B137" i="11"/>
  <c r="B97" i="11"/>
  <c r="B86" i="3"/>
  <c r="N86" i="3" s="1"/>
  <c r="Q86" i="3" s="1"/>
  <c r="S86" i="3" s="1"/>
  <c r="B124" i="7"/>
  <c r="AW123" i="7"/>
  <c r="K26" i="6" s="1"/>
  <c r="E123" i="7"/>
  <c r="G123" i="7" s="1"/>
  <c r="C176" i="17"/>
  <c r="I176" i="17" s="1"/>
  <c r="C176" i="16"/>
  <c r="I176" i="16" s="1"/>
  <c r="C177" i="11"/>
  <c r="I177" i="11" s="1"/>
  <c r="D116" i="4"/>
  <c r="BB72" i="10" s="1"/>
  <c r="C136" i="17"/>
  <c r="I136" i="17" s="1"/>
  <c r="C96" i="17"/>
  <c r="C136" i="16"/>
  <c r="I136" i="16" s="1"/>
  <c r="C96" i="16"/>
  <c r="C137" i="11"/>
  <c r="I137" i="11" s="1"/>
  <c r="C97" i="11"/>
  <c r="AF121" i="7"/>
  <c r="AV121" i="7" s="1"/>
  <c r="J24" i="6" s="1"/>
  <c r="D20" i="23" s="1"/>
  <c r="D118" i="4"/>
  <c r="C118" i="4"/>
  <c r="B118" i="4"/>
  <c r="K118" i="4" s="1"/>
  <c r="AO122" i="7"/>
  <c r="AP122" i="7"/>
  <c r="Z122" i="7"/>
  <c r="AR122" i="7"/>
  <c r="AC122" i="7"/>
  <c r="AK122" i="7"/>
  <c r="AG122" i="7"/>
  <c r="AN122" i="7"/>
  <c r="AJ122" i="7"/>
  <c r="AE122" i="7"/>
  <c r="AD122" i="7"/>
  <c r="AA122" i="7"/>
  <c r="AH122" i="7"/>
  <c r="AB122" i="7"/>
  <c r="AL122" i="7"/>
  <c r="AI122" i="7"/>
  <c r="AQ122" i="7"/>
  <c r="A177" i="17"/>
  <c r="A199" i="6"/>
  <c r="A63" i="6"/>
  <c r="A131" i="6"/>
  <c r="A87" i="19"/>
  <c r="A178" i="11"/>
  <c r="A177" i="16"/>
  <c r="H98" i="17"/>
  <c r="H98" i="16"/>
  <c r="A123" i="8"/>
  <c r="A194" i="7"/>
  <c r="A97" i="6"/>
  <c r="A165" i="6"/>
  <c r="A160" i="7"/>
  <c r="A157" i="8"/>
  <c r="A89" i="8"/>
  <c r="A87" i="18"/>
  <c r="A137" i="17"/>
  <c r="A97" i="17"/>
  <c r="A137" i="16"/>
  <c r="A97" i="16"/>
  <c r="A98" i="11"/>
  <c r="A138" i="11"/>
  <c r="H99" i="11"/>
  <c r="A126" i="7"/>
  <c r="A119" i="4"/>
  <c r="A29" i="6"/>
  <c r="W28" i="6" s="1"/>
  <c r="BH28" i="6" s="1"/>
  <c r="A87" i="3"/>
  <c r="I112" i="4" l="1"/>
  <c r="B68" i="10" s="1"/>
  <c r="C68" i="10" s="1"/>
  <c r="B67" i="10"/>
  <c r="C67" i="10" s="1"/>
  <c r="B74" i="9"/>
  <c r="AM66" i="10"/>
  <c r="V68" i="10"/>
  <c r="B81" i="8"/>
  <c r="U68" i="10"/>
  <c r="U69" i="10" s="1"/>
  <c r="U70" i="10" s="1"/>
  <c r="U71" i="10" s="1"/>
  <c r="U72" i="10" s="1"/>
  <c r="AO66" i="10"/>
  <c r="B80" i="8"/>
  <c r="AX72" i="10"/>
  <c r="B73" i="9"/>
  <c r="B80" i="9"/>
  <c r="AO73" i="10"/>
  <c r="AL73" i="10"/>
  <c r="AP73" i="10"/>
  <c r="AM73" i="10"/>
  <c r="AN73" i="10"/>
  <c r="A219" i="9"/>
  <c r="A185" i="9"/>
  <c r="A151" i="9"/>
  <c r="A117" i="9"/>
  <c r="A83" i="9"/>
  <c r="A253" i="9"/>
  <c r="T67" i="10"/>
  <c r="AL66" i="10"/>
  <c r="AQ66" i="10" s="1"/>
  <c r="K112" i="4"/>
  <c r="I113" i="4"/>
  <c r="B69" i="10" s="1"/>
  <c r="C69" i="10" s="1"/>
  <c r="K136" i="16"/>
  <c r="AK136" i="16" s="1"/>
  <c r="K176" i="16"/>
  <c r="AK176" i="16" s="1"/>
  <c r="K137" i="11"/>
  <c r="AK137" i="11" s="1"/>
  <c r="K136" i="17"/>
  <c r="AK136" i="17" s="1"/>
  <c r="K176" i="17"/>
  <c r="AK176" i="17" s="1"/>
  <c r="K177" i="11"/>
  <c r="AK177" i="11" s="1"/>
  <c r="AT122" i="7"/>
  <c r="H23" i="23"/>
  <c r="F23" i="23"/>
  <c r="E124" i="7"/>
  <c r="G124" i="7" s="1"/>
  <c r="AW124" i="7"/>
  <c r="K27" i="6" s="1"/>
  <c r="AF122" i="7"/>
  <c r="I96" i="17"/>
  <c r="I96" i="16"/>
  <c r="I97" i="11"/>
  <c r="D119" i="4"/>
  <c r="C119" i="4"/>
  <c r="B119" i="4"/>
  <c r="K119" i="4" s="1"/>
  <c r="C6" i="4"/>
  <c r="B177" i="17"/>
  <c r="B178" i="11"/>
  <c r="B177" i="16"/>
  <c r="B87" i="19"/>
  <c r="B194" i="7"/>
  <c r="B87" i="18"/>
  <c r="B137" i="17"/>
  <c r="B97" i="17"/>
  <c r="B160" i="7"/>
  <c r="B137" i="16"/>
  <c r="B97" i="16"/>
  <c r="B138" i="11"/>
  <c r="B98" i="11"/>
  <c r="B87" i="3"/>
  <c r="B126" i="7"/>
  <c r="E116" i="4"/>
  <c r="D115" i="4"/>
  <c r="BB71" i="10" s="1"/>
  <c r="C177" i="17"/>
  <c r="C178" i="11"/>
  <c r="C177" i="16"/>
  <c r="C137" i="17"/>
  <c r="C97" i="17"/>
  <c r="C137" i="16"/>
  <c r="C97" i="16"/>
  <c r="C138" i="11"/>
  <c r="C98" i="11"/>
  <c r="AY22" i="6"/>
  <c r="AM22" i="6"/>
  <c r="E118" i="4"/>
  <c r="D137" i="17"/>
  <c r="BX97" i="17" s="1"/>
  <c r="D97" i="17"/>
  <c r="D137" i="16"/>
  <c r="BX97" i="16" s="1"/>
  <c r="D97" i="16"/>
  <c r="D138" i="11"/>
  <c r="BX98" i="11" s="1"/>
  <c r="D98" i="11"/>
  <c r="P24" i="6"/>
  <c r="T24" i="6" s="1"/>
  <c r="S86" i="18"/>
  <c r="R86" i="18"/>
  <c r="AM122" i="7"/>
  <c r="AJ123" i="7"/>
  <c r="AC123" i="7"/>
  <c r="AD123" i="7"/>
  <c r="AI123" i="7"/>
  <c r="AP123" i="7"/>
  <c r="AE123" i="7"/>
  <c r="AR123" i="7"/>
  <c r="AG123" i="7"/>
  <c r="AA123" i="7"/>
  <c r="AQ123" i="7"/>
  <c r="AB123" i="7"/>
  <c r="AH123" i="7"/>
  <c r="AK123" i="7"/>
  <c r="Z123" i="7"/>
  <c r="AN123" i="7"/>
  <c r="AO123" i="7"/>
  <c r="AL123" i="7"/>
  <c r="S86" i="19"/>
  <c r="R86" i="19"/>
  <c r="AA23" i="6"/>
  <c r="BE23" i="6"/>
  <c r="AS23" i="6"/>
  <c r="AG23" i="6"/>
  <c r="A178" i="17"/>
  <c r="A64" i="6"/>
  <c r="A200" i="6"/>
  <c r="A132" i="6"/>
  <c r="A88" i="19"/>
  <c r="A178" i="16"/>
  <c r="A179" i="11"/>
  <c r="H99" i="17"/>
  <c r="H99" i="16"/>
  <c r="C79" i="18"/>
  <c r="C79" i="19"/>
  <c r="N79" i="19" s="1"/>
  <c r="Q79" i="19" s="1"/>
  <c r="A195" i="7"/>
  <c r="A158" i="8"/>
  <c r="A166" i="6"/>
  <c r="A90" i="8"/>
  <c r="A124" i="8"/>
  <c r="A88" i="18"/>
  <c r="A161" i="7"/>
  <c r="A138" i="17"/>
  <c r="A98" i="6"/>
  <c r="A98" i="17"/>
  <c r="A138" i="16"/>
  <c r="A98" i="16"/>
  <c r="A99" i="11"/>
  <c r="A139" i="11"/>
  <c r="H100" i="11"/>
  <c r="C79" i="3"/>
  <c r="C80" i="19"/>
  <c r="AW84" i="3"/>
  <c r="AW85" i="3"/>
  <c r="R86" i="3"/>
  <c r="A127" i="7"/>
  <c r="A120" i="4"/>
  <c r="A30" i="6"/>
  <c r="W29" i="6" s="1"/>
  <c r="BH29" i="6" s="1"/>
  <c r="A88" i="3"/>
  <c r="AQ73" i="10" l="1"/>
  <c r="J80" i="8"/>
  <c r="V69" i="10"/>
  <c r="B82" i="8"/>
  <c r="J74" i="9"/>
  <c r="W74" i="9" s="1"/>
  <c r="G74" i="9"/>
  <c r="T74" i="9" s="1"/>
  <c r="H74" i="9"/>
  <c r="U74" i="9" s="1"/>
  <c r="AP67" i="10"/>
  <c r="AL67" i="10"/>
  <c r="AN67" i="10"/>
  <c r="AM67" i="10"/>
  <c r="AO67" i="10"/>
  <c r="AZ66" i="10"/>
  <c r="BA66" i="10"/>
  <c r="A254" i="9"/>
  <c r="A220" i="9"/>
  <c r="A118" i="9"/>
  <c r="A186" i="9"/>
  <c r="A152" i="9"/>
  <c r="A84" i="9"/>
  <c r="B76" i="9"/>
  <c r="AM69" i="10"/>
  <c r="AN69" i="10"/>
  <c r="AP69" i="10"/>
  <c r="AO69" i="10"/>
  <c r="T68" i="10"/>
  <c r="X67" i="10"/>
  <c r="G80" i="9"/>
  <c r="T80" i="9" s="1"/>
  <c r="H80" i="9"/>
  <c r="U80" i="9" s="1"/>
  <c r="J80" i="9"/>
  <c r="W80" i="9" s="1"/>
  <c r="J73" i="9"/>
  <c r="W73" i="9" s="1"/>
  <c r="H73" i="9"/>
  <c r="U73" i="9" s="1"/>
  <c r="J82" i="8"/>
  <c r="B75" i="9"/>
  <c r="AO68" i="10"/>
  <c r="AL68" i="10"/>
  <c r="AM68" i="10"/>
  <c r="AN68" i="10"/>
  <c r="AP68" i="10"/>
  <c r="K113" i="4"/>
  <c r="I114" i="4"/>
  <c r="B70" i="10" s="1"/>
  <c r="C70" i="10" s="1"/>
  <c r="J149" i="4"/>
  <c r="J147" i="4"/>
  <c r="J142" i="4"/>
  <c r="J136" i="4"/>
  <c r="J132" i="4"/>
  <c r="J126" i="4"/>
  <c r="J124" i="4"/>
  <c r="J119" i="4"/>
  <c r="L119" i="4" s="1"/>
  <c r="J146" i="4"/>
  <c r="J140" i="4"/>
  <c r="J137" i="4"/>
  <c r="J135" i="4"/>
  <c r="J133" i="4"/>
  <c r="J131" i="4"/>
  <c r="J129" i="4"/>
  <c r="J123" i="4"/>
  <c r="J117" i="4"/>
  <c r="AA73" i="10" s="1"/>
  <c r="J150" i="4"/>
  <c r="J144" i="4"/>
  <c r="J141" i="4"/>
  <c r="J139" i="4"/>
  <c r="J134" i="4"/>
  <c r="J130" i="4"/>
  <c r="J128" i="4"/>
  <c r="J121" i="4"/>
  <c r="J118" i="4"/>
  <c r="J148" i="4"/>
  <c r="J145" i="4"/>
  <c r="J143" i="4"/>
  <c r="J138" i="4"/>
  <c r="J127" i="4"/>
  <c r="J125" i="4"/>
  <c r="J122" i="4"/>
  <c r="J120" i="4"/>
  <c r="AM123" i="7"/>
  <c r="G23" i="23"/>
  <c r="C120" i="4"/>
  <c r="B120" i="4"/>
  <c r="K120" i="4" s="1"/>
  <c r="E115" i="4"/>
  <c r="D114" i="4"/>
  <c r="BB70" i="10" s="1"/>
  <c r="B178" i="17"/>
  <c r="B178" i="16"/>
  <c r="B179" i="11"/>
  <c r="B88" i="19"/>
  <c r="B195" i="7"/>
  <c r="B88" i="18"/>
  <c r="B138" i="17"/>
  <c r="B98" i="17"/>
  <c r="B161" i="7"/>
  <c r="B138" i="16"/>
  <c r="B98" i="16"/>
  <c r="B139" i="11"/>
  <c r="B99" i="11"/>
  <c r="B88" i="3"/>
  <c r="B127" i="7"/>
  <c r="AM23" i="6"/>
  <c r="AY23" i="6"/>
  <c r="AG24" i="6"/>
  <c r="AA24" i="6"/>
  <c r="AS24" i="6"/>
  <c r="BE24" i="6"/>
  <c r="C178" i="17"/>
  <c r="C179" i="11"/>
  <c r="C178" i="16"/>
  <c r="C138" i="17"/>
  <c r="C98" i="17"/>
  <c r="C98" i="16"/>
  <c r="C138" i="16"/>
  <c r="C139" i="11"/>
  <c r="C99" i="11"/>
  <c r="AW194" i="7"/>
  <c r="E194" i="7"/>
  <c r="G194" i="7" s="1"/>
  <c r="AA194" i="7" s="1"/>
  <c r="D120" i="4"/>
  <c r="D98" i="16"/>
  <c r="D98" i="17"/>
  <c r="D138" i="17"/>
  <c r="BX98" i="17" s="1"/>
  <c r="D138" i="16"/>
  <c r="BX98" i="16" s="1"/>
  <c r="D139" i="11"/>
  <c r="BX99" i="11" s="1"/>
  <c r="D99" i="11"/>
  <c r="I97" i="16"/>
  <c r="I97" i="17"/>
  <c r="I98" i="11"/>
  <c r="J87" i="8"/>
  <c r="I138" i="11"/>
  <c r="AW126" i="7"/>
  <c r="E126" i="7"/>
  <c r="G126" i="7" s="1"/>
  <c r="E160" i="7"/>
  <c r="G160" i="7" s="1"/>
  <c r="AW160" i="7"/>
  <c r="AT123" i="7"/>
  <c r="I137" i="16"/>
  <c r="AF123" i="7"/>
  <c r="AV122" i="7"/>
  <c r="J25" i="6" s="1"/>
  <c r="E20" i="23" s="1"/>
  <c r="I137" i="17"/>
  <c r="C5" i="4"/>
  <c r="E119" i="4"/>
  <c r="D177" i="17"/>
  <c r="CA97" i="17" s="1"/>
  <c r="D178" i="11"/>
  <c r="CA98" i="11" s="1"/>
  <c r="D177" i="16"/>
  <c r="CA97" i="16" s="1"/>
  <c r="AD124" i="7"/>
  <c r="AH124" i="7"/>
  <c r="AO124" i="7"/>
  <c r="AA124" i="7"/>
  <c r="AE124" i="7"/>
  <c r="AC124" i="7"/>
  <c r="AR124" i="7"/>
  <c r="AL124" i="7"/>
  <c r="AQ124" i="7"/>
  <c r="AP124" i="7"/>
  <c r="AB124" i="7"/>
  <c r="Z124" i="7"/>
  <c r="AK124" i="7"/>
  <c r="AG124" i="7"/>
  <c r="AI124" i="7"/>
  <c r="AJ124" i="7"/>
  <c r="AN124" i="7"/>
  <c r="N79" i="18"/>
  <c r="Q79" i="18" s="1"/>
  <c r="R79" i="18" s="1"/>
  <c r="T79" i="18" s="1"/>
  <c r="A179" i="17"/>
  <c r="A65" i="6"/>
  <c r="A201" i="6"/>
  <c r="A133" i="6"/>
  <c r="A89" i="19"/>
  <c r="A179" i="16"/>
  <c r="A180" i="11"/>
  <c r="H100" i="17"/>
  <c r="H100" i="16"/>
  <c r="N79" i="3"/>
  <c r="Q79" i="3" s="1"/>
  <c r="R79" i="19"/>
  <c r="T79" i="19" s="1"/>
  <c r="S79" i="19"/>
  <c r="U79" i="19" s="1"/>
  <c r="V79" i="19" s="1"/>
  <c r="N80" i="19"/>
  <c r="Q80" i="19" s="1"/>
  <c r="A196" i="7"/>
  <c r="A159" i="8"/>
  <c r="A167" i="6"/>
  <c r="A91" i="8"/>
  <c r="A125" i="8"/>
  <c r="A89" i="18"/>
  <c r="C80" i="18"/>
  <c r="A162" i="7"/>
  <c r="A139" i="17"/>
  <c r="A99" i="17"/>
  <c r="A99" i="6"/>
  <c r="A139" i="16"/>
  <c r="A99" i="16"/>
  <c r="A100" i="11"/>
  <c r="A140" i="11"/>
  <c r="H101" i="11"/>
  <c r="D20" i="6"/>
  <c r="M20" i="6" s="1"/>
  <c r="C80" i="3"/>
  <c r="C81" i="19"/>
  <c r="AW86" i="3"/>
  <c r="A128" i="7"/>
  <c r="A31" i="6"/>
  <c r="W30" i="6" s="1"/>
  <c r="BH30" i="6" s="1"/>
  <c r="A121" i="4"/>
  <c r="A89" i="3"/>
  <c r="S79" i="18" l="1"/>
  <c r="U79" i="18" s="1"/>
  <c r="V79" i="18" s="1"/>
  <c r="G75" i="9"/>
  <c r="T75" i="9" s="1"/>
  <c r="H75" i="9"/>
  <c r="U75" i="9" s="1"/>
  <c r="J75" i="9"/>
  <c r="W75" i="9" s="1"/>
  <c r="J81" i="8"/>
  <c r="A255" i="9"/>
  <c r="A85" i="9"/>
  <c r="A221" i="9"/>
  <c r="A119" i="9"/>
  <c r="A187" i="9"/>
  <c r="A153" i="9"/>
  <c r="B77" i="9"/>
  <c r="AN70" i="10"/>
  <c r="AM70" i="10"/>
  <c r="AP70" i="10"/>
  <c r="T69" i="10"/>
  <c r="X68" i="10"/>
  <c r="AQ67" i="10"/>
  <c r="AQ68" i="10"/>
  <c r="R81" i="8"/>
  <c r="V70" i="10"/>
  <c r="B83" i="8"/>
  <c r="J76" i="9"/>
  <c r="W76" i="9" s="1"/>
  <c r="H76" i="9"/>
  <c r="U76" i="9" s="1"/>
  <c r="G76" i="9"/>
  <c r="T76" i="9" s="1"/>
  <c r="R80" i="8"/>
  <c r="K114" i="4"/>
  <c r="I115" i="4"/>
  <c r="B71" i="10" s="1"/>
  <c r="C71" i="10" s="1"/>
  <c r="L120" i="4"/>
  <c r="M118" i="4"/>
  <c r="L118" i="4"/>
  <c r="M119" i="4"/>
  <c r="M117" i="4"/>
  <c r="L117" i="4"/>
  <c r="AB73" i="10" s="1"/>
  <c r="AH87" i="8"/>
  <c r="I27" i="6" s="1"/>
  <c r="R87" i="8"/>
  <c r="G27" i="6" s="1"/>
  <c r="F138" i="17"/>
  <c r="F178" i="17"/>
  <c r="F178" i="16"/>
  <c r="F179" i="11"/>
  <c r="F139" i="11"/>
  <c r="F138" i="16"/>
  <c r="AM124" i="7"/>
  <c r="E192" i="17"/>
  <c r="E152" i="17"/>
  <c r="E153" i="11"/>
  <c r="E192" i="16"/>
  <c r="E152" i="16"/>
  <c r="E193" i="11"/>
  <c r="E188" i="16"/>
  <c r="E189" i="11"/>
  <c r="E149" i="11"/>
  <c r="E148" i="16"/>
  <c r="E188" i="17"/>
  <c r="E148" i="17"/>
  <c r="E179" i="17"/>
  <c r="L179" i="17" s="1"/>
  <c r="E139" i="17"/>
  <c r="L139" i="17" s="1"/>
  <c r="E179" i="16"/>
  <c r="L179" i="16" s="1"/>
  <c r="E139" i="16"/>
  <c r="L139" i="16" s="1"/>
  <c r="E180" i="11"/>
  <c r="L180" i="11" s="1"/>
  <c r="E140" i="11"/>
  <c r="L140" i="11" s="1"/>
  <c r="K29" i="6"/>
  <c r="K63" i="6"/>
  <c r="E114" i="4"/>
  <c r="D113" i="4"/>
  <c r="BB69" i="10" s="1"/>
  <c r="E150" i="11"/>
  <c r="E189" i="17"/>
  <c r="E149" i="17"/>
  <c r="E189" i="16"/>
  <c r="E149" i="16"/>
  <c r="E190" i="11"/>
  <c r="E195" i="17"/>
  <c r="E156" i="11"/>
  <c r="E195" i="16"/>
  <c r="E196" i="11"/>
  <c r="E155" i="17"/>
  <c r="E155" i="16"/>
  <c r="E147" i="16"/>
  <c r="E187" i="17"/>
  <c r="E148" i="11"/>
  <c r="E187" i="16"/>
  <c r="E188" i="11"/>
  <c r="E147" i="17"/>
  <c r="AM24" i="6"/>
  <c r="AY24" i="6"/>
  <c r="AF124" i="7"/>
  <c r="I177" i="16"/>
  <c r="E169" i="11"/>
  <c r="E209" i="11"/>
  <c r="E168" i="16"/>
  <c r="E208" i="17"/>
  <c r="E208" i="16"/>
  <c r="E168" i="17"/>
  <c r="E178" i="17"/>
  <c r="L178" i="17" s="1"/>
  <c r="E178" i="16"/>
  <c r="L178" i="16" s="1"/>
  <c r="E179" i="11"/>
  <c r="L179" i="11" s="1"/>
  <c r="E138" i="17"/>
  <c r="L138" i="17" s="1"/>
  <c r="E138" i="16"/>
  <c r="L138" i="16" s="1"/>
  <c r="E139" i="11"/>
  <c r="L139" i="11" s="1"/>
  <c r="E165" i="17"/>
  <c r="E165" i="16"/>
  <c r="E205" i="17"/>
  <c r="E205" i="16"/>
  <c r="E206" i="11"/>
  <c r="E166" i="11"/>
  <c r="I139" i="11"/>
  <c r="I138" i="16"/>
  <c r="AW161" i="7"/>
  <c r="E161" i="7"/>
  <c r="G161" i="7" s="1"/>
  <c r="I177" i="17"/>
  <c r="E138" i="11"/>
  <c r="L138" i="11" s="1"/>
  <c r="E137" i="17"/>
  <c r="L137" i="17" s="1"/>
  <c r="E137" i="16"/>
  <c r="L137" i="16" s="1"/>
  <c r="E177" i="17"/>
  <c r="L177" i="17" s="1"/>
  <c r="E178" i="11"/>
  <c r="L178" i="11" s="1"/>
  <c r="E177" i="16"/>
  <c r="L177" i="16" s="1"/>
  <c r="E197" i="11"/>
  <c r="E157" i="11"/>
  <c r="E196" i="16"/>
  <c r="E196" i="17"/>
  <c r="E156" i="17"/>
  <c r="E156" i="16"/>
  <c r="E167" i="11"/>
  <c r="E206" i="17"/>
  <c r="E206" i="16"/>
  <c r="E166" i="17"/>
  <c r="E207" i="11"/>
  <c r="E166" i="16"/>
  <c r="Z87" i="8"/>
  <c r="H27" i="6" s="1"/>
  <c r="O27" i="6" s="1"/>
  <c r="S27" i="6" s="1"/>
  <c r="I138" i="17"/>
  <c r="E203" i="17"/>
  <c r="E203" i="16"/>
  <c r="E164" i="11"/>
  <c r="E204" i="11"/>
  <c r="E163" i="17"/>
  <c r="E163" i="16"/>
  <c r="E165" i="11"/>
  <c r="E204" i="17"/>
  <c r="E204" i="16"/>
  <c r="E205" i="11"/>
  <c r="E164" i="17"/>
  <c r="E164" i="16"/>
  <c r="E120" i="4"/>
  <c r="M120" i="4" s="1"/>
  <c r="D178" i="17"/>
  <c r="CA98" i="17" s="1"/>
  <c r="D179" i="11"/>
  <c r="CA99" i="11" s="1"/>
  <c r="D178" i="16"/>
  <c r="CA98" i="16" s="1"/>
  <c r="E176" i="17"/>
  <c r="E136" i="17"/>
  <c r="E177" i="11"/>
  <c r="E136" i="16"/>
  <c r="E176" i="16"/>
  <c r="E137" i="11"/>
  <c r="E194" i="17"/>
  <c r="E194" i="16"/>
  <c r="E195" i="11"/>
  <c r="E155" i="11"/>
  <c r="E154" i="17"/>
  <c r="E154" i="16"/>
  <c r="E144" i="17"/>
  <c r="L144" i="17" s="1"/>
  <c r="E145" i="11"/>
  <c r="L145" i="11" s="1"/>
  <c r="E144" i="16"/>
  <c r="L144" i="16" s="1"/>
  <c r="E184" i="17"/>
  <c r="L184" i="17" s="1"/>
  <c r="E184" i="16"/>
  <c r="L184" i="16" s="1"/>
  <c r="E185" i="11"/>
  <c r="L185" i="11" s="1"/>
  <c r="E160" i="11"/>
  <c r="E199" i="17"/>
  <c r="E159" i="17"/>
  <c r="E199" i="16"/>
  <c r="E159" i="16"/>
  <c r="E200" i="11"/>
  <c r="E202" i="17"/>
  <c r="E163" i="11"/>
  <c r="E202" i="16"/>
  <c r="E162" i="17"/>
  <c r="E203" i="11"/>
  <c r="E162" i="16"/>
  <c r="E167" i="16"/>
  <c r="E167" i="17"/>
  <c r="E168" i="11"/>
  <c r="E208" i="11"/>
  <c r="E207" i="17"/>
  <c r="E207" i="16"/>
  <c r="E160" i="17"/>
  <c r="E160" i="16"/>
  <c r="E200" i="17"/>
  <c r="E201" i="11"/>
  <c r="E200" i="16"/>
  <c r="E161" i="11"/>
  <c r="E141" i="11"/>
  <c r="L141" i="11" s="1"/>
  <c r="E180" i="17"/>
  <c r="L180" i="17" s="1"/>
  <c r="E180" i="16"/>
  <c r="L180" i="16" s="1"/>
  <c r="E181" i="11"/>
  <c r="L181" i="11" s="1"/>
  <c r="E140" i="17"/>
  <c r="L140" i="17" s="1"/>
  <c r="E140" i="16"/>
  <c r="L140" i="16" s="1"/>
  <c r="K131" i="6"/>
  <c r="K97" i="6"/>
  <c r="B179" i="17"/>
  <c r="B180" i="11"/>
  <c r="B179" i="16"/>
  <c r="B89" i="19"/>
  <c r="B196" i="7"/>
  <c r="B89" i="18"/>
  <c r="B139" i="17"/>
  <c r="B99" i="17"/>
  <c r="B162" i="7"/>
  <c r="B99" i="16"/>
  <c r="B139" i="16"/>
  <c r="B140" i="11"/>
  <c r="B100" i="11"/>
  <c r="B89" i="3"/>
  <c r="B128" i="7"/>
  <c r="E182" i="11"/>
  <c r="E141" i="17"/>
  <c r="E142" i="11"/>
  <c r="E181" i="16"/>
  <c r="E141" i="16"/>
  <c r="E181" i="17"/>
  <c r="E185" i="17"/>
  <c r="L185" i="17" s="1"/>
  <c r="E185" i="16"/>
  <c r="L185" i="16" s="1"/>
  <c r="E186" i="11"/>
  <c r="L186" i="11" s="1"/>
  <c r="E145" i="17"/>
  <c r="L145" i="17" s="1"/>
  <c r="E145" i="16"/>
  <c r="L145" i="16" s="1"/>
  <c r="E146" i="11"/>
  <c r="L146" i="11" s="1"/>
  <c r="E192" i="11"/>
  <c r="E151" i="16"/>
  <c r="E191" i="16"/>
  <c r="E152" i="11"/>
  <c r="E191" i="17"/>
  <c r="E151" i="17"/>
  <c r="E143" i="11"/>
  <c r="L143" i="11" s="1"/>
  <c r="E142" i="16"/>
  <c r="L142" i="16" s="1"/>
  <c r="E182" i="17"/>
  <c r="L182" i="17" s="1"/>
  <c r="E182" i="16"/>
  <c r="L182" i="16" s="1"/>
  <c r="E142" i="17"/>
  <c r="L142" i="17" s="1"/>
  <c r="E183" i="11"/>
  <c r="L183" i="11" s="1"/>
  <c r="AJ160" i="7"/>
  <c r="AG160" i="7"/>
  <c r="AA160" i="7"/>
  <c r="AK160" i="7"/>
  <c r="AL160" i="7"/>
  <c r="AO160" i="7"/>
  <c r="AI160" i="7"/>
  <c r="AH160" i="7"/>
  <c r="D121" i="4"/>
  <c r="D99" i="16"/>
  <c r="D139" i="16"/>
  <c r="BX99" i="16" s="1"/>
  <c r="D139" i="17"/>
  <c r="BX99" i="17" s="1"/>
  <c r="D99" i="17"/>
  <c r="D140" i="11"/>
  <c r="BX100" i="11" s="1"/>
  <c r="D100" i="11"/>
  <c r="E195" i="7"/>
  <c r="G195" i="7" s="1"/>
  <c r="AA195" i="7" s="1"/>
  <c r="AW195" i="7"/>
  <c r="C179" i="17"/>
  <c r="C180" i="11"/>
  <c r="C179" i="16"/>
  <c r="C139" i="17"/>
  <c r="C99" i="17"/>
  <c r="C99" i="16"/>
  <c r="C139" i="16"/>
  <c r="C140" i="11"/>
  <c r="C100" i="11"/>
  <c r="E161" i="17"/>
  <c r="E162" i="11"/>
  <c r="E161" i="16"/>
  <c r="E201" i="17"/>
  <c r="E201" i="16"/>
  <c r="E202" i="11"/>
  <c r="C121" i="4"/>
  <c r="B121" i="4"/>
  <c r="K121" i="4" s="1"/>
  <c r="E147" i="11"/>
  <c r="E146" i="17"/>
  <c r="E146" i="16"/>
  <c r="E186" i="17"/>
  <c r="E186" i="16"/>
  <c r="E187" i="11"/>
  <c r="E170" i="11"/>
  <c r="E209" i="17"/>
  <c r="E209" i="16"/>
  <c r="E169" i="17"/>
  <c r="E210" i="11"/>
  <c r="E169" i="16"/>
  <c r="E190" i="17"/>
  <c r="E190" i="16"/>
  <c r="E151" i="11"/>
  <c r="E191" i="11"/>
  <c r="E150" i="17"/>
  <c r="E150" i="16"/>
  <c r="I98" i="16"/>
  <c r="I99" i="11"/>
  <c r="I98" i="17"/>
  <c r="AT124" i="7"/>
  <c r="E143" i="16"/>
  <c r="L143" i="16" s="1"/>
  <c r="E183" i="17"/>
  <c r="L183" i="17" s="1"/>
  <c r="E143" i="17"/>
  <c r="L143" i="17" s="1"/>
  <c r="E144" i="11"/>
  <c r="L144" i="11" s="1"/>
  <c r="E183" i="16"/>
  <c r="L183" i="16" s="1"/>
  <c r="E184" i="11"/>
  <c r="L184" i="11" s="1"/>
  <c r="E158" i="17"/>
  <c r="E198" i="17"/>
  <c r="E158" i="16"/>
  <c r="E199" i="11"/>
  <c r="E198" i="16"/>
  <c r="E159" i="11"/>
  <c r="AV123" i="7"/>
  <c r="J26" i="6" s="1"/>
  <c r="F20" i="23" s="1"/>
  <c r="K165" i="6"/>
  <c r="K199" i="6"/>
  <c r="AW127" i="7"/>
  <c r="E127" i="7"/>
  <c r="G127" i="7" s="1"/>
  <c r="AI126" i="7"/>
  <c r="AJ126" i="7"/>
  <c r="AK126" i="7"/>
  <c r="AG126" i="7"/>
  <c r="AA126" i="7"/>
  <c r="AO126" i="7"/>
  <c r="AL126" i="7"/>
  <c r="AH126" i="7"/>
  <c r="I178" i="11"/>
  <c r="P25" i="6"/>
  <c r="T25" i="6" s="1"/>
  <c r="E198" i="11"/>
  <c r="E157" i="17"/>
  <c r="E158" i="11"/>
  <c r="E157" i="16"/>
  <c r="E197" i="16"/>
  <c r="E197" i="17"/>
  <c r="E193" i="17"/>
  <c r="E193" i="16"/>
  <c r="E194" i="11"/>
  <c r="E154" i="11"/>
  <c r="E153" i="17"/>
  <c r="E153" i="16"/>
  <c r="BI79" i="18"/>
  <c r="BB79" i="18"/>
  <c r="A180" i="17"/>
  <c r="A202" i="6"/>
  <c r="A66" i="6"/>
  <c r="A134" i="6"/>
  <c r="BB79" i="19"/>
  <c r="BI79" i="19"/>
  <c r="A90" i="19"/>
  <c r="A181" i="11"/>
  <c r="A180" i="16"/>
  <c r="H101" i="17"/>
  <c r="X101" i="17" s="1"/>
  <c r="H101" i="16"/>
  <c r="X101" i="16" s="1"/>
  <c r="N80" i="18"/>
  <c r="Q80" i="18" s="1"/>
  <c r="S80" i="18" s="1"/>
  <c r="U80" i="18" s="1"/>
  <c r="V80" i="18" s="1"/>
  <c r="R80" i="19"/>
  <c r="T80" i="19" s="1"/>
  <c r="S80" i="19"/>
  <c r="U80" i="19" s="1"/>
  <c r="V80" i="19" s="1"/>
  <c r="N81" i="19"/>
  <c r="Q81" i="19" s="1"/>
  <c r="C82" i="18"/>
  <c r="C82" i="19"/>
  <c r="A197" i="7"/>
  <c r="A160" i="8"/>
  <c r="A168" i="6"/>
  <c r="A92" i="8"/>
  <c r="A126" i="8"/>
  <c r="A90" i="18"/>
  <c r="C81" i="18"/>
  <c r="A163" i="7"/>
  <c r="A140" i="17"/>
  <c r="A100" i="17"/>
  <c r="A100" i="6"/>
  <c r="A140" i="16"/>
  <c r="A100" i="16"/>
  <c r="A101" i="11"/>
  <c r="A141" i="11"/>
  <c r="H102" i="11"/>
  <c r="C81" i="3"/>
  <c r="N80" i="3"/>
  <c r="S79" i="3"/>
  <c r="U79" i="3" s="1"/>
  <c r="V79" i="3" s="1"/>
  <c r="R79" i="3"/>
  <c r="T79" i="3" s="1"/>
  <c r="C82" i="3"/>
  <c r="A129" i="7"/>
  <c r="A32" i="6"/>
  <c r="W31" i="6" s="1"/>
  <c r="BH31" i="6" s="1"/>
  <c r="A122" i="4"/>
  <c r="A90" i="3"/>
  <c r="AH81" i="8" l="1"/>
  <c r="Z82" i="8"/>
  <c r="AH82" i="8"/>
  <c r="B78" i="9"/>
  <c r="AP71" i="10"/>
  <c r="AN71" i="10"/>
  <c r="AM71" i="10"/>
  <c r="Z80" i="8"/>
  <c r="H20" i="6" s="1"/>
  <c r="AZ67" i="10"/>
  <c r="BA67" i="10"/>
  <c r="J77" i="9"/>
  <c r="W77" i="9" s="1"/>
  <c r="H77" i="9"/>
  <c r="U77" i="9" s="1"/>
  <c r="G77" i="9"/>
  <c r="T77" i="9" s="1"/>
  <c r="J83" i="8"/>
  <c r="R82" i="8"/>
  <c r="AH80" i="8"/>
  <c r="I20" i="6" s="1"/>
  <c r="AT73" i="10"/>
  <c r="AU73" i="10"/>
  <c r="AV73" i="10"/>
  <c r="AW73" i="10"/>
  <c r="AS73" i="10"/>
  <c r="V71" i="10"/>
  <c r="AO71" i="10" s="1"/>
  <c r="B84" i="8"/>
  <c r="T70" i="10"/>
  <c r="X69" i="10"/>
  <c r="AL69" i="10"/>
  <c r="AQ69" i="10" s="1"/>
  <c r="A154" i="9"/>
  <c r="A256" i="9"/>
  <c r="A86" i="9"/>
  <c r="A222" i="9"/>
  <c r="A188" i="9"/>
  <c r="A120" i="9"/>
  <c r="AZ68" i="10"/>
  <c r="BA68" i="10"/>
  <c r="AO70" i="10"/>
  <c r="Z81" i="8"/>
  <c r="K115" i="4"/>
  <c r="I116" i="4"/>
  <c r="L121" i="4"/>
  <c r="AL137" i="11"/>
  <c r="AL136" i="17"/>
  <c r="AL176" i="16"/>
  <c r="AL176" i="17"/>
  <c r="O177" i="11"/>
  <c r="AM177" i="11" s="1"/>
  <c r="AL177" i="11"/>
  <c r="AL136" i="16"/>
  <c r="O137" i="11"/>
  <c r="AM137" i="11" s="1"/>
  <c r="I23" i="23"/>
  <c r="L197" i="16"/>
  <c r="O197" i="16"/>
  <c r="I99" i="16"/>
  <c r="I99" i="17"/>
  <c r="I100" i="11"/>
  <c r="O161" i="11"/>
  <c r="L161" i="11"/>
  <c r="O162" i="16"/>
  <c r="L162" i="16"/>
  <c r="O164" i="16"/>
  <c r="L164" i="16"/>
  <c r="L152" i="16"/>
  <c r="O152" i="16"/>
  <c r="L157" i="16"/>
  <c r="O157" i="16"/>
  <c r="AM126" i="7"/>
  <c r="L199" i="11"/>
  <c r="O199" i="11"/>
  <c r="L209" i="16"/>
  <c r="O209" i="16"/>
  <c r="L201" i="16"/>
  <c r="O201" i="16"/>
  <c r="AW128" i="7"/>
  <c r="E128" i="7"/>
  <c r="G128" i="7" s="1"/>
  <c r="L200" i="16"/>
  <c r="O200" i="16"/>
  <c r="L203" i="11"/>
  <c r="O203" i="11"/>
  <c r="L164" i="17"/>
  <c r="O164" i="17"/>
  <c r="L157" i="11"/>
  <c r="O157" i="11"/>
  <c r="K132" i="6"/>
  <c r="K98" i="6"/>
  <c r="L206" i="11"/>
  <c r="O206" i="11"/>
  <c r="L208" i="16"/>
  <c r="O208" i="16"/>
  <c r="L187" i="16"/>
  <c r="O187" i="16"/>
  <c r="L189" i="16"/>
  <c r="O189" i="16"/>
  <c r="L192" i="16"/>
  <c r="O192" i="16"/>
  <c r="L198" i="16"/>
  <c r="O198" i="16"/>
  <c r="O158" i="11"/>
  <c r="L158" i="11"/>
  <c r="O158" i="16"/>
  <c r="L158" i="16"/>
  <c r="L209" i="17"/>
  <c r="O209" i="17"/>
  <c r="L201" i="17"/>
  <c r="O201" i="17"/>
  <c r="L201" i="11"/>
  <c r="O201" i="11"/>
  <c r="L162" i="17"/>
  <c r="O162" i="17"/>
  <c r="P137" i="11"/>
  <c r="Q137" i="11" s="1"/>
  <c r="L137" i="11"/>
  <c r="L205" i="11"/>
  <c r="O205" i="11"/>
  <c r="L197" i="11"/>
  <c r="O197" i="11"/>
  <c r="L205" i="16"/>
  <c r="O205" i="16"/>
  <c r="L208" i="17"/>
  <c r="O208" i="17"/>
  <c r="L148" i="11"/>
  <c r="O148" i="11"/>
  <c r="L149" i="17"/>
  <c r="O149" i="17"/>
  <c r="L153" i="11"/>
  <c r="O153" i="11"/>
  <c r="L149" i="16"/>
  <c r="O149" i="16"/>
  <c r="L157" i="17"/>
  <c r="O157" i="17"/>
  <c r="L198" i="17"/>
  <c r="O198" i="17"/>
  <c r="O170" i="11"/>
  <c r="L170" i="11"/>
  <c r="L161" i="16"/>
  <c r="O161" i="16"/>
  <c r="L151" i="17"/>
  <c r="O151" i="17"/>
  <c r="AA19" i="19"/>
  <c r="AK19" i="18"/>
  <c r="AA19" i="18"/>
  <c r="AK19" i="19"/>
  <c r="AK19" i="3"/>
  <c r="L200" i="17"/>
  <c r="O200" i="17"/>
  <c r="L202" i="16"/>
  <c r="O202" i="16"/>
  <c r="L176" i="16"/>
  <c r="O176" i="16"/>
  <c r="P176" i="16" s="1"/>
  <c r="Q176" i="16" s="1"/>
  <c r="L204" i="16"/>
  <c r="O204" i="16"/>
  <c r="O166" i="16"/>
  <c r="L166" i="16"/>
  <c r="F137" i="17"/>
  <c r="F177" i="17"/>
  <c r="F177" i="16"/>
  <c r="F178" i="11"/>
  <c r="F138" i="11"/>
  <c r="F137" i="16"/>
  <c r="L205" i="17"/>
  <c r="O205" i="17"/>
  <c r="O168" i="16"/>
  <c r="L168" i="16"/>
  <c r="L187" i="17"/>
  <c r="O187" i="17"/>
  <c r="L189" i="17"/>
  <c r="O189" i="17"/>
  <c r="L152" i="17"/>
  <c r="O152" i="17"/>
  <c r="L196" i="16"/>
  <c r="O196" i="16"/>
  <c r="L198" i="11"/>
  <c r="O198" i="11"/>
  <c r="L158" i="17"/>
  <c r="O158" i="17"/>
  <c r="L150" i="16"/>
  <c r="O150" i="16"/>
  <c r="L187" i="11"/>
  <c r="O187" i="11"/>
  <c r="O162" i="11"/>
  <c r="L162" i="11"/>
  <c r="K166" i="6"/>
  <c r="K200" i="6"/>
  <c r="L191" i="17"/>
  <c r="O191" i="17"/>
  <c r="L160" i="16"/>
  <c r="O160" i="16"/>
  <c r="L163" i="11"/>
  <c r="O163" i="11"/>
  <c r="O136" i="16"/>
  <c r="P136" i="16" s="1"/>
  <c r="Q136" i="16" s="1"/>
  <c r="L136" i="16"/>
  <c r="L204" i="17"/>
  <c r="O204" i="17"/>
  <c r="L207" i="11"/>
  <c r="O207" i="11"/>
  <c r="L165" i="16"/>
  <c r="O165" i="16"/>
  <c r="L209" i="11"/>
  <c r="O209" i="11"/>
  <c r="O147" i="16"/>
  <c r="L147" i="16"/>
  <c r="O150" i="11"/>
  <c r="L150" i="11"/>
  <c r="L192" i="17"/>
  <c r="O192" i="17"/>
  <c r="AO161" i="7"/>
  <c r="AJ161" i="7"/>
  <c r="AA161" i="7"/>
  <c r="AI161" i="7"/>
  <c r="AG161" i="7"/>
  <c r="AL161" i="7"/>
  <c r="AH161" i="7"/>
  <c r="AK161" i="7"/>
  <c r="B122" i="4"/>
  <c r="K122" i="4" s="1"/>
  <c r="C122" i="4"/>
  <c r="L153" i="16"/>
  <c r="O153" i="16"/>
  <c r="L150" i="17"/>
  <c r="O150" i="17"/>
  <c r="L186" i="16"/>
  <c r="O186" i="16"/>
  <c r="L161" i="17"/>
  <c r="O161" i="17"/>
  <c r="O152" i="11"/>
  <c r="L152" i="11"/>
  <c r="L160" i="17"/>
  <c r="O160" i="17"/>
  <c r="L202" i="17"/>
  <c r="O202" i="17"/>
  <c r="L177" i="11"/>
  <c r="O165" i="11"/>
  <c r="L165" i="11"/>
  <c r="L166" i="17"/>
  <c r="O166" i="17"/>
  <c r="L165" i="17"/>
  <c r="O165" i="17"/>
  <c r="L169" i="11"/>
  <c r="O169" i="11"/>
  <c r="L155" i="16"/>
  <c r="O155" i="16"/>
  <c r="L148" i="17"/>
  <c r="O148" i="17"/>
  <c r="D122" i="4"/>
  <c r="D100" i="17"/>
  <c r="D140" i="17"/>
  <c r="BX100" i="17" s="1"/>
  <c r="D140" i="16"/>
  <c r="BX100" i="16" s="1"/>
  <c r="D100" i="16"/>
  <c r="D141" i="11"/>
  <c r="BX101" i="11" s="1"/>
  <c r="D101" i="11"/>
  <c r="L153" i="17"/>
  <c r="O153" i="17"/>
  <c r="AA25" i="6"/>
  <c r="AG25" i="6"/>
  <c r="AS25" i="6"/>
  <c r="BE25" i="6"/>
  <c r="AG127" i="7"/>
  <c r="AO127" i="7"/>
  <c r="AI127" i="7"/>
  <c r="AJ127" i="7"/>
  <c r="AA127" i="7"/>
  <c r="AH127" i="7"/>
  <c r="AK127" i="7"/>
  <c r="AL127" i="7"/>
  <c r="L191" i="11"/>
  <c r="O191" i="11"/>
  <c r="L186" i="17"/>
  <c r="O186" i="17"/>
  <c r="F139" i="17"/>
  <c r="F179" i="17"/>
  <c r="F179" i="16"/>
  <c r="F180" i="11"/>
  <c r="F140" i="11"/>
  <c r="F139" i="16"/>
  <c r="L191" i="16"/>
  <c r="O191" i="16"/>
  <c r="L181" i="17"/>
  <c r="O181" i="17"/>
  <c r="L207" i="16"/>
  <c r="O207" i="16"/>
  <c r="L200" i="11"/>
  <c r="O200" i="11"/>
  <c r="L154" i="16"/>
  <c r="O154" i="16"/>
  <c r="O136" i="17"/>
  <c r="P136" i="17" s="1"/>
  <c r="Q136" i="17" s="1"/>
  <c r="L136" i="17"/>
  <c r="L163" i="16"/>
  <c r="O163" i="16"/>
  <c r="L206" i="16"/>
  <c r="O206" i="16"/>
  <c r="L155" i="17"/>
  <c r="O155" i="17"/>
  <c r="E113" i="4"/>
  <c r="D112" i="4"/>
  <c r="BB68" i="10" s="1"/>
  <c r="L188" i="17"/>
  <c r="O188" i="17"/>
  <c r="L169" i="17"/>
  <c r="O169" i="17"/>
  <c r="L168" i="17"/>
  <c r="O168" i="17"/>
  <c r="L154" i="11"/>
  <c r="O154" i="11"/>
  <c r="K30" i="6"/>
  <c r="K64" i="6"/>
  <c r="O151" i="11"/>
  <c r="L151" i="11"/>
  <c r="L146" i="16"/>
  <c r="O146" i="16"/>
  <c r="I140" i="11"/>
  <c r="AM160" i="7"/>
  <c r="O151" i="16"/>
  <c r="L151" i="16"/>
  <c r="L141" i="16"/>
  <c r="O141" i="16"/>
  <c r="E162" i="7"/>
  <c r="G162" i="7" s="1"/>
  <c r="AW162" i="7"/>
  <c r="L207" i="17"/>
  <c r="O207" i="17"/>
  <c r="L159" i="16"/>
  <c r="O159" i="16"/>
  <c r="L154" i="17"/>
  <c r="O154" i="17"/>
  <c r="L176" i="17"/>
  <c r="O176" i="17"/>
  <c r="P176" i="17" s="1"/>
  <c r="Q176" i="17" s="1"/>
  <c r="L163" i="17"/>
  <c r="O163" i="17"/>
  <c r="L206" i="17"/>
  <c r="O206" i="17"/>
  <c r="L196" i="11"/>
  <c r="O196" i="11"/>
  <c r="L148" i="16"/>
  <c r="O148" i="16"/>
  <c r="L188" i="11"/>
  <c r="O188" i="11"/>
  <c r="L194" i="11"/>
  <c r="O194" i="11"/>
  <c r="L190" i="16"/>
  <c r="O190" i="16"/>
  <c r="L146" i="17"/>
  <c r="O146" i="17"/>
  <c r="L192" i="11"/>
  <c r="O192" i="11"/>
  <c r="L181" i="16"/>
  <c r="O181" i="16"/>
  <c r="L208" i="11"/>
  <c r="O208" i="11"/>
  <c r="L199" i="16"/>
  <c r="O199" i="16"/>
  <c r="O155" i="11"/>
  <c r="L155" i="11"/>
  <c r="I178" i="16"/>
  <c r="L204" i="11"/>
  <c r="O204" i="11"/>
  <c r="O167" i="11"/>
  <c r="L167" i="11"/>
  <c r="AV124" i="7"/>
  <c r="J27" i="6" s="1"/>
  <c r="G20" i="23" s="1"/>
  <c r="L195" i="16"/>
  <c r="O195" i="16"/>
  <c r="L149" i="11"/>
  <c r="O149" i="11"/>
  <c r="L202" i="11"/>
  <c r="O202" i="11"/>
  <c r="F136" i="17"/>
  <c r="F177" i="11"/>
  <c r="F137" i="11"/>
  <c r="F176" i="16"/>
  <c r="G176" i="16" s="1"/>
  <c r="H176" i="16" s="1"/>
  <c r="F136" i="16"/>
  <c r="F176" i="17"/>
  <c r="G176" i="17" s="1"/>
  <c r="H176" i="17" s="1"/>
  <c r="L193" i="16"/>
  <c r="O193" i="16"/>
  <c r="L190" i="17"/>
  <c r="O190" i="17"/>
  <c r="O147" i="11"/>
  <c r="L147" i="11"/>
  <c r="I139" i="17"/>
  <c r="O142" i="11"/>
  <c r="L142" i="11"/>
  <c r="O168" i="11"/>
  <c r="L168" i="11"/>
  <c r="L159" i="17"/>
  <c r="O159" i="17"/>
  <c r="L195" i="11"/>
  <c r="O195" i="11"/>
  <c r="I179" i="11"/>
  <c r="L164" i="11"/>
  <c r="O164" i="11"/>
  <c r="L156" i="16"/>
  <c r="O156" i="16"/>
  <c r="O156" i="11"/>
  <c r="L156" i="11"/>
  <c r="L189" i="11"/>
  <c r="O189" i="11"/>
  <c r="L166" i="11"/>
  <c r="O166" i="11"/>
  <c r="L193" i="17"/>
  <c r="O193" i="17"/>
  <c r="P26" i="6"/>
  <c r="T26" i="6" s="1"/>
  <c r="H20" i="23"/>
  <c r="L169" i="16"/>
  <c r="O169" i="16"/>
  <c r="B180" i="17"/>
  <c r="B180" i="16"/>
  <c r="B181" i="11"/>
  <c r="B90" i="19"/>
  <c r="B197" i="7"/>
  <c r="B90" i="18"/>
  <c r="B140" i="17"/>
  <c r="B100" i="17"/>
  <c r="B163" i="7"/>
  <c r="B100" i="16"/>
  <c r="B140" i="16"/>
  <c r="B141" i="11"/>
  <c r="B101" i="11"/>
  <c r="B90" i="3"/>
  <c r="B129" i="7"/>
  <c r="I139" i="16"/>
  <c r="L141" i="17"/>
  <c r="O141" i="17"/>
  <c r="L167" i="17"/>
  <c r="O167" i="17"/>
  <c r="L199" i="17"/>
  <c r="O199" i="17"/>
  <c r="L194" i="16"/>
  <c r="O194" i="16"/>
  <c r="I178" i="17"/>
  <c r="L203" i="16"/>
  <c r="O203" i="16"/>
  <c r="L156" i="17"/>
  <c r="O156" i="17"/>
  <c r="L195" i="17"/>
  <c r="O195" i="17"/>
  <c r="L188" i="16"/>
  <c r="O188" i="16"/>
  <c r="N81" i="18"/>
  <c r="Q81" i="18" s="1"/>
  <c r="S81" i="18" s="1"/>
  <c r="L197" i="17"/>
  <c r="O197" i="17"/>
  <c r="L159" i="11"/>
  <c r="O159" i="11"/>
  <c r="L210" i="11"/>
  <c r="O210" i="11"/>
  <c r="C180" i="17"/>
  <c r="C180" i="16"/>
  <c r="C181" i="11"/>
  <c r="C140" i="17"/>
  <c r="C100" i="17"/>
  <c r="C140" i="16"/>
  <c r="C100" i="16"/>
  <c r="C141" i="11"/>
  <c r="C101" i="11"/>
  <c r="L182" i="11"/>
  <c r="O182" i="11"/>
  <c r="E196" i="7"/>
  <c r="G196" i="7" s="1"/>
  <c r="AA196" i="7" s="1"/>
  <c r="AW196" i="7"/>
  <c r="L167" i="16"/>
  <c r="O167" i="16"/>
  <c r="L160" i="11"/>
  <c r="O160" i="11"/>
  <c r="L194" i="17"/>
  <c r="O194" i="17"/>
  <c r="E121" i="4"/>
  <c r="M121" i="4" s="1"/>
  <c r="D180" i="11"/>
  <c r="CA100" i="11" s="1"/>
  <c r="D179" i="17"/>
  <c r="CA99" i="17" s="1"/>
  <c r="D179" i="16"/>
  <c r="CA99" i="16" s="1"/>
  <c r="L203" i="17"/>
  <c r="O203" i="17"/>
  <c r="L196" i="17"/>
  <c r="O196" i="17"/>
  <c r="L147" i="17"/>
  <c r="O147" i="17"/>
  <c r="L190" i="11"/>
  <c r="O190" i="11"/>
  <c r="L193" i="11"/>
  <c r="O193" i="11"/>
  <c r="BI80" i="18"/>
  <c r="BB80" i="18"/>
  <c r="A181" i="17"/>
  <c r="A203" i="6"/>
  <c r="A135" i="6"/>
  <c r="A67" i="6"/>
  <c r="BB79" i="3"/>
  <c r="BI79" i="3"/>
  <c r="BB80" i="19"/>
  <c r="BI80" i="19"/>
  <c r="AR27" i="6"/>
  <c r="BD27" i="6"/>
  <c r="Z27" i="6"/>
  <c r="AL27" i="6" s="1"/>
  <c r="AF27" i="6"/>
  <c r="A91" i="19"/>
  <c r="A182" i="11"/>
  <c r="A181" i="16"/>
  <c r="G20" i="6"/>
  <c r="H102" i="17"/>
  <c r="H102" i="16"/>
  <c r="R80" i="18"/>
  <c r="T80" i="18" s="1"/>
  <c r="R81" i="19"/>
  <c r="T81" i="19" s="1"/>
  <c r="S81" i="19"/>
  <c r="U81" i="19" s="1"/>
  <c r="V81" i="19" s="1"/>
  <c r="C83" i="18"/>
  <c r="C83" i="19"/>
  <c r="N82" i="18"/>
  <c r="Q82" i="18" s="1"/>
  <c r="S82" i="18" s="1"/>
  <c r="N82" i="19"/>
  <c r="Q82" i="19" s="1"/>
  <c r="A198" i="7"/>
  <c r="A161" i="8"/>
  <c r="A169" i="6"/>
  <c r="A127" i="8"/>
  <c r="A93" i="8"/>
  <c r="A91" i="18"/>
  <c r="A164" i="7"/>
  <c r="A141" i="17"/>
  <c r="A101" i="17"/>
  <c r="A101" i="6"/>
  <c r="A141" i="16"/>
  <c r="A101" i="16"/>
  <c r="A102" i="11"/>
  <c r="N178" i="11" s="1"/>
  <c r="A142" i="11"/>
  <c r="X102" i="11"/>
  <c r="H103" i="11"/>
  <c r="N81" i="3"/>
  <c r="Q81" i="3" s="1"/>
  <c r="S81" i="3" s="1"/>
  <c r="Q80" i="3"/>
  <c r="S80" i="3" s="1"/>
  <c r="U80" i="3" s="1"/>
  <c r="V80" i="3" s="1"/>
  <c r="N82" i="3"/>
  <c r="C83" i="3"/>
  <c r="A130" i="7"/>
  <c r="A123" i="4"/>
  <c r="A33" i="6"/>
  <c r="W32" i="6" s="1"/>
  <c r="BH32" i="6" s="1"/>
  <c r="A91" i="3"/>
  <c r="A223" i="9" l="1"/>
  <c r="A189" i="9"/>
  <c r="A155" i="9"/>
  <c r="A257" i="9"/>
  <c r="A87" i="9"/>
  <c r="A121" i="9"/>
  <c r="C82" i="9"/>
  <c r="C83" i="9" s="1"/>
  <c r="AX73" i="10"/>
  <c r="R83" i="8"/>
  <c r="J78" i="9"/>
  <c r="W78" i="9" s="1"/>
  <c r="H78" i="9"/>
  <c r="U78" i="9" s="1"/>
  <c r="G78" i="9"/>
  <c r="T78" i="9" s="1"/>
  <c r="K116" i="4"/>
  <c r="B72" i="10"/>
  <c r="C72" i="10" s="1"/>
  <c r="L116" i="9"/>
  <c r="L117" i="9" s="1"/>
  <c r="C116" i="9"/>
  <c r="C252" i="9"/>
  <c r="L252" i="9"/>
  <c r="X70" i="10"/>
  <c r="T71" i="10"/>
  <c r="AL70" i="10"/>
  <c r="AQ70" i="10" s="1"/>
  <c r="C184" i="9"/>
  <c r="L184" i="9"/>
  <c r="C150" i="9"/>
  <c r="L150" i="9"/>
  <c r="M150" i="9"/>
  <c r="L218" i="9"/>
  <c r="P218" i="9" s="1"/>
  <c r="L219" i="9"/>
  <c r="P219" i="9" s="1"/>
  <c r="M218" i="9"/>
  <c r="C218" i="9"/>
  <c r="AZ69" i="10"/>
  <c r="BA69" i="10"/>
  <c r="V72" i="10"/>
  <c r="B86" i="8" s="1"/>
  <c r="B85" i="8"/>
  <c r="P177" i="11"/>
  <c r="Q177" i="11" s="1"/>
  <c r="L122" i="4"/>
  <c r="N179" i="11"/>
  <c r="N180" i="11" s="1"/>
  <c r="N181" i="11" s="1"/>
  <c r="O178" i="11"/>
  <c r="R81" i="18"/>
  <c r="AM136" i="16"/>
  <c r="AN136" i="16" s="1"/>
  <c r="AM176" i="16"/>
  <c r="AM136" i="17"/>
  <c r="AN136" i="17" s="1"/>
  <c r="AN177" i="11"/>
  <c r="AN137" i="11"/>
  <c r="AM176" i="17"/>
  <c r="AA19" i="3"/>
  <c r="K99" i="6"/>
  <c r="K133" i="6"/>
  <c r="M136" i="16"/>
  <c r="P27" i="6"/>
  <c r="T27" i="6" s="1"/>
  <c r="AA20" i="18"/>
  <c r="AK20" i="18"/>
  <c r="AK20" i="19"/>
  <c r="AK20" i="3"/>
  <c r="AA20" i="19"/>
  <c r="R176" i="17"/>
  <c r="S176" i="17" s="1"/>
  <c r="AO162" i="7"/>
  <c r="AA162" i="7"/>
  <c r="AI162" i="7"/>
  <c r="AK162" i="7"/>
  <c r="AJ162" i="7"/>
  <c r="AH162" i="7"/>
  <c r="AG162" i="7"/>
  <c r="AL162" i="7"/>
  <c r="C123" i="4"/>
  <c r="B123" i="4"/>
  <c r="K123" i="4" s="1"/>
  <c r="M176" i="17"/>
  <c r="C181" i="17"/>
  <c r="C182" i="11"/>
  <c r="C181" i="16"/>
  <c r="C141" i="17"/>
  <c r="C101" i="17"/>
  <c r="C141" i="16"/>
  <c r="C101" i="16"/>
  <c r="C142" i="11"/>
  <c r="C102" i="11"/>
  <c r="AM19" i="3"/>
  <c r="AO19" i="3" s="1"/>
  <c r="AP19" i="3" s="1"/>
  <c r="BJ19" i="3" s="1"/>
  <c r="BL19" i="3" s="1"/>
  <c r="BN19" i="3" s="1"/>
  <c r="AL19" i="3"/>
  <c r="AN19" i="3" s="1"/>
  <c r="F141" i="11"/>
  <c r="F140" i="16"/>
  <c r="F140" i="17"/>
  <c r="F180" i="17"/>
  <c r="F181" i="11"/>
  <c r="F180" i="16"/>
  <c r="E163" i="7"/>
  <c r="G163" i="7" s="1"/>
  <c r="AW163" i="7"/>
  <c r="M177" i="11"/>
  <c r="B181" i="17"/>
  <c r="B182" i="11"/>
  <c r="B181" i="16"/>
  <c r="B91" i="19"/>
  <c r="B198" i="7"/>
  <c r="B91" i="18"/>
  <c r="B101" i="17"/>
  <c r="B141" i="17"/>
  <c r="B164" i="7"/>
  <c r="B141" i="16"/>
  <c r="B101" i="16"/>
  <c r="B142" i="11"/>
  <c r="B102" i="11"/>
  <c r="B130" i="7"/>
  <c r="B91" i="3"/>
  <c r="AJ128" i="7"/>
  <c r="AO128" i="7"/>
  <c r="AG128" i="7"/>
  <c r="AK128" i="7"/>
  <c r="AI128" i="7"/>
  <c r="AH128" i="7"/>
  <c r="AL128" i="7"/>
  <c r="AA128" i="7"/>
  <c r="AS26" i="6"/>
  <c r="AA26" i="6"/>
  <c r="AG26" i="6"/>
  <c r="BE26" i="6"/>
  <c r="AK86" i="19"/>
  <c r="AK86" i="18"/>
  <c r="AK86" i="3"/>
  <c r="AA86" i="19"/>
  <c r="AA86" i="18"/>
  <c r="AA86" i="3"/>
  <c r="I141" i="11"/>
  <c r="R176" i="16"/>
  <c r="S176" i="16" s="1"/>
  <c r="AM19" i="19"/>
  <c r="AO19" i="19" s="1"/>
  <c r="AP19" i="19" s="1"/>
  <c r="BJ19" i="19" s="1"/>
  <c r="BL19" i="19" s="1"/>
  <c r="BN19" i="19" s="1"/>
  <c r="AL19" i="19"/>
  <c r="AN19" i="19" s="1"/>
  <c r="K31" i="6"/>
  <c r="K65" i="6"/>
  <c r="G177" i="17"/>
  <c r="H177" i="17" s="1"/>
  <c r="G178" i="17"/>
  <c r="G180" i="17"/>
  <c r="G179" i="17"/>
  <c r="E112" i="4"/>
  <c r="D111" i="4"/>
  <c r="BB67" i="10" s="1"/>
  <c r="AM127" i="7"/>
  <c r="M176" i="16"/>
  <c r="I179" i="16"/>
  <c r="K201" i="6"/>
  <c r="K167" i="6"/>
  <c r="G136" i="16"/>
  <c r="R136" i="16" s="1"/>
  <c r="S136" i="16" s="1"/>
  <c r="I140" i="16"/>
  <c r="AB19" i="18"/>
  <c r="AD19" i="18" s="1"/>
  <c r="AC19" i="18"/>
  <c r="AE19" i="18" s="1"/>
  <c r="AF19" i="18" s="1"/>
  <c r="BC19" i="18" s="1"/>
  <c r="BE19" i="18" s="1"/>
  <c r="BG19" i="18" s="1"/>
  <c r="I179" i="17"/>
  <c r="E197" i="7"/>
  <c r="G197" i="7" s="1"/>
  <c r="AA197" i="7" s="1"/>
  <c r="AW197" i="7"/>
  <c r="G177" i="16"/>
  <c r="G178" i="16"/>
  <c r="G179" i="16"/>
  <c r="G180" i="16"/>
  <c r="I140" i="17"/>
  <c r="AM161" i="7"/>
  <c r="M137" i="11"/>
  <c r="G136" i="17"/>
  <c r="I180" i="11"/>
  <c r="I101" i="11"/>
  <c r="I100" i="17"/>
  <c r="I100" i="16"/>
  <c r="G177" i="11"/>
  <c r="G137" i="11"/>
  <c r="M136" i="17"/>
  <c r="AM19" i="18"/>
  <c r="AO19" i="18" s="1"/>
  <c r="AP19" i="18" s="1"/>
  <c r="BJ19" i="18" s="1"/>
  <c r="BL19" i="18" s="1"/>
  <c r="BN19" i="18" s="1"/>
  <c r="AL19" i="18"/>
  <c r="AN19" i="18" s="1"/>
  <c r="AC19" i="19"/>
  <c r="AE19" i="19" s="1"/>
  <c r="AF19" i="19" s="1"/>
  <c r="BC19" i="19" s="1"/>
  <c r="BE19" i="19" s="1"/>
  <c r="BG19" i="19" s="1"/>
  <c r="AB19" i="19"/>
  <c r="AD19" i="19" s="1"/>
  <c r="E122" i="4"/>
  <c r="M122" i="4" s="1"/>
  <c r="D180" i="16"/>
  <c r="CA100" i="16" s="1"/>
  <c r="D180" i="17"/>
  <c r="CA100" i="17" s="1"/>
  <c r="D181" i="11"/>
  <c r="CA101" i="11" s="1"/>
  <c r="E129" i="7"/>
  <c r="G129" i="7" s="1"/>
  <c r="AW129" i="7"/>
  <c r="AY25" i="6"/>
  <c r="AM25" i="6"/>
  <c r="D123" i="4"/>
  <c r="D101" i="17"/>
  <c r="D141" i="17"/>
  <c r="BX101" i="17" s="1"/>
  <c r="D141" i="16"/>
  <c r="BX101" i="16" s="1"/>
  <c r="D101" i="16"/>
  <c r="D142" i="11"/>
  <c r="BX102" i="11" s="1"/>
  <c r="D102" i="11"/>
  <c r="U81" i="18"/>
  <c r="V81" i="18" s="1"/>
  <c r="BB81" i="18" s="1"/>
  <c r="N179" i="16"/>
  <c r="N139" i="16"/>
  <c r="N139" i="17"/>
  <c r="N179" i="17"/>
  <c r="W99" i="17"/>
  <c r="A182" i="17"/>
  <c r="A204" i="6"/>
  <c r="A68" i="6"/>
  <c r="A136" i="6"/>
  <c r="BB80" i="3"/>
  <c r="BI80" i="3"/>
  <c r="BB81" i="19"/>
  <c r="BI81" i="19"/>
  <c r="AX27" i="6"/>
  <c r="O20" i="6"/>
  <c r="S20" i="6" s="1"/>
  <c r="A92" i="19"/>
  <c r="A182" i="16"/>
  <c r="A183" i="11"/>
  <c r="O177" i="16"/>
  <c r="N138" i="11"/>
  <c r="O138" i="11" s="1"/>
  <c r="I21" i="6"/>
  <c r="H103" i="17"/>
  <c r="H103" i="16"/>
  <c r="H21" i="6"/>
  <c r="T81" i="18"/>
  <c r="G21" i="6"/>
  <c r="N83" i="18"/>
  <c r="Q83" i="18" s="1"/>
  <c r="S83" i="18" s="1"/>
  <c r="N83" i="19"/>
  <c r="Q83" i="19" s="1"/>
  <c r="R82" i="18"/>
  <c r="C84" i="18"/>
  <c r="C84" i="19"/>
  <c r="S82" i="19"/>
  <c r="U82" i="19" s="1"/>
  <c r="V82" i="19" s="1"/>
  <c r="R82" i="19"/>
  <c r="T82" i="19" s="1"/>
  <c r="A199" i="7"/>
  <c r="A162" i="8"/>
  <c r="A170" i="6"/>
  <c r="A94" i="8"/>
  <c r="A128" i="8"/>
  <c r="A92" i="18"/>
  <c r="O137" i="17"/>
  <c r="X97" i="17"/>
  <c r="A165" i="7"/>
  <c r="A142" i="17"/>
  <c r="A102" i="6"/>
  <c r="A102" i="17"/>
  <c r="W98" i="11"/>
  <c r="X98" i="11" s="1"/>
  <c r="O137" i="16"/>
  <c r="X97" i="16"/>
  <c r="A142" i="16"/>
  <c r="A102" i="16"/>
  <c r="A103" i="11"/>
  <c r="A143" i="11"/>
  <c r="H104" i="11"/>
  <c r="R80" i="3"/>
  <c r="T80" i="3" s="1"/>
  <c r="U81" i="3" s="1"/>
  <c r="V81" i="3" s="1"/>
  <c r="R81" i="3"/>
  <c r="Q82" i="3"/>
  <c r="R82" i="3" s="1"/>
  <c r="N83" i="3"/>
  <c r="C84" i="3"/>
  <c r="A131" i="7"/>
  <c r="A124" i="4"/>
  <c r="A34" i="6"/>
  <c r="W33" i="6" s="1"/>
  <c r="BH33" i="6" s="1"/>
  <c r="A92" i="3"/>
  <c r="M117" i="9" l="1"/>
  <c r="P117" i="9"/>
  <c r="L118" i="9"/>
  <c r="D83" i="9"/>
  <c r="C84" i="9"/>
  <c r="Z83" i="8"/>
  <c r="L151" i="9"/>
  <c r="P150" i="9"/>
  <c r="C185" i="9"/>
  <c r="D184" i="9"/>
  <c r="C253" i="9"/>
  <c r="D252" i="9"/>
  <c r="C117" i="9"/>
  <c r="D116" i="9"/>
  <c r="L220" i="9"/>
  <c r="C151" i="9"/>
  <c r="D150" i="9"/>
  <c r="BA70" i="10"/>
  <c r="AZ70" i="10"/>
  <c r="C219" i="9"/>
  <c r="D218" i="9"/>
  <c r="AH83" i="8"/>
  <c r="I23" i="6" s="1"/>
  <c r="X71" i="10"/>
  <c r="T72" i="10"/>
  <c r="X72" i="10" s="1"/>
  <c r="AL71" i="10"/>
  <c r="AQ71" i="10" s="1"/>
  <c r="M116" i="9"/>
  <c r="P116" i="9"/>
  <c r="BA73" i="10"/>
  <c r="AZ73" i="10"/>
  <c r="D82" i="9"/>
  <c r="A258" i="9"/>
  <c r="A122" i="9"/>
  <c r="A190" i="9"/>
  <c r="A224" i="9"/>
  <c r="A156" i="9"/>
  <c r="A88" i="9"/>
  <c r="M219" i="9"/>
  <c r="Q218" i="9"/>
  <c r="S218" i="9"/>
  <c r="M151" i="9"/>
  <c r="S150" i="9"/>
  <c r="Q150" i="9"/>
  <c r="L185" i="9"/>
  <c r="M184" i="9"/>
  <c r="P184" i="9"/>
  <c r="L253" i="9"/>
  <c r="M252" i="9"/>
  <c r="P252" i="9"/>
  <c r="AP72" i="10"/>
  <c r="B79" i="9"/>
  <c r="AL72" i="10"/>
  <c r="AN72" i="10"/>
  <c r="AO72" i="10"/>
  <c r="AM72" i="10"/>
  <c r="L123" i="4"/>
  <c r="AN176" i="16"/>
  <c r="AN176" i="17"/>
  <c r="AB19" i="3"/>
  <c r="AD19" i="3" s="1"/>
  <c r="AC19" i="3"/>
  <c r="AE19" i="3" s="1"/>
  <c r="AF19" i="3" s="1"/>
  <c r="BC19" i="3" s="1"/>
  <c r="BE19" i="3" s="1"/>
  <c r="BG19" i="3" s="1"/>
  <c r="AA20" i="3"/>
  <c r="AB20" i="3" s="1"/>
  <c r="BI81" i="18"/>
  <c r="J23" i="23"/>
  <c r="U136" i="16"/>
  <c r="CC96" i="16" s="1"/>
  <c r="T136" i="16"/>
  <c r="V136" i="16"/>
  <c r="C124" i="4"/>
  <c r="B124" i="4"/>
  <c r="K124" i="4" s="1"/>
  <c r="AK129" i="7"/>
  <c r="AA129" i="7"/>
  <c r="AO129" i="7"/>
  <c r="AH129" i="7"/>
  <c r="AI129" i="7"/>
  <c r="AJ129" i="7"/>
  <c r="AL129" i="7"/>
  <c r="AG129" i="7"/>
  <c r="E164" i="7"/>
  <c r="G164" i="7" s="1"/>
  <c r="AW164" i="7"/>
  <c r="AS27" i="6"/>
  <c r="AG27" i="6"/>
  <c r="BE27" i="6"/>
  <c r="AA27" i="6"/>
  <c r="D124" i="4"/>
  <c r="D102" i="17"/>
  <c r="D142" i="16"/>
  <c r="BX102" i="16" s="1"/>
  <c r="D142" i="17"/>
  <c r="BX102" i="17" s="1"/>
  <c r="D102" i="16"/>
  <c r="D143" i="11"/>
  <c r="BX103" i="11" s="1"/>
  <c r="D103" i="11"/>
  <c r="G137" i="17"/>
  <c r="H137" i="17" s="1"/>
  <c r="G181" i="17"/>
  <c r="G151" i="17"/>
  <c r="G152" i="17" s="1"/>
  <c r="G153" i="17" s="1"/>
  <c r="G154" i="17" s="1"/>
  <c r="G155" i="17" s="1"/>
  <c r="G156" i="17" s="1"/>
  <c r="G157" i="17" s="1"/>
  <c r="G158" i="17" s="1"/>
  <c r="G159" i="17" s="1"/>
  <c r="G160" i="17" s="1"/>
  <c r="G161" i="17" s="1"/>
  <c r="G162" i="17" s="1"/>
  <c r="G163" i="17" s="1"/>
  <c r="G164" i="17" s="1"/>
  <c r="G165" i="17" s="1"/>
  <c r="G166" i="17" s="1"/>
  <c r="G167" i="17" s="1"/>
  <c r="G168" i="17" s="1"/>
  <c r="G169" i="17" s="1"/>
  <c r="G191" i="17"/>
  <c r="G192" i="17" s="1"/>
  <c r="G193" i="17" s="1"/>
  <c r="G194" i="17" s="1"/>
  <c r="G195" i="17" s="1"/>
  <c r="G196" i="17" s="1"/>
  <c r="G197" i="17" s="1"/>
  <c r="G198" i="17" s="1"/>
  <c r="G199" i="17" s="1"/>
  <c r="G200" i="17" s="1"/>
  <c r="G201" i="17" s="1"/>
  <c r="G202" i="17" s="1"/>
  <c r="G203" i="17" s="1"/>
  <c r="G204" i="17" s="1"/>
  <c r="G205" i="17" s="1"/>
  <c r="G206" i="17" s="1"/>
  <c r="G207" i="17" s="1"/>
  <c r="G208" i="17" s="1"/>
  <c r="G209" i="17" s="1"/>
  <c r="G146" i="17"/>
  <c r="G138" i="17"/>
  <c r="H138" i="17" s="1"/>
  <c r="G141" i="17"/>
  <c r="G140" i="17"/>
  <c r="G186" i="17"/>
  <c r="G139" i="17"/>
  <c r="H139" i="17" s="1"/>
  <c r="H136" i="17"/>
  <c r="AC20" i="19"/>
  <c r="AE20" i="19" s="1"/>
  <c r="AF20" i="19" s="1"/>
  <c r="BC20" i="19" s="1"/>
  <c r="BE20" i="19" s="1"/>
  <c r="BG20" i="19" s="1"/>
  <c r="AB20" i="19"/>
  <c r="AD20" i="19" s="1"/>
  <c r="R136" i="17"/>
  <c r="S136" i="17" s="1"/>
  <c r="G150" i="11"/>
  <c r="G170" i="11"/>
  <c r="G160" i="11"/>
  <c r="H137" i="11"/>
  <c r="AB86" i="3"/>
  <c r="AC86" i="3"/>
  <c r="AM26" i="6"/>
  <c r="AY26" i="6"/>
  <c r="B182" i="17"/>
  <c r="B182" i="16"/>
  <c r="B183" i="11"/>
  <c r="B92" i="19"/>
  <c r="B199" i="7"/>
  <c r="B92" i="18"/>
  <c r="B142" i="17"/>
  <c r="B102" i="17"/>
  <c r="B165" i="7"/>
  <c r="B142" i="16"/>
  <c r="B102" i="16"/>
  <c r="B143" i="11"/>
  <c r="B103" i="11"/>
  <c r="B131" i="7"/>
  <c r="B92" i="3"/>
  <c r="G200" i="11"/>
  <c r="G210" i="11"/>
  <c r="G190" i="11"/>
  <c r="H177" i="11"/>
  <c r="T176" i="16"/>
  <c r="V176" i="16"/>
  <c r="U176" i="16"/>
  <c r="CE96" i="16" s="1"/>
  <c r="F27" i="6"/>
  <c r="D27" i="6"/>
  <c r="E27" i="6"/>
  <c r="C182" i="17"/>
  <c r="C182" i="16"/>
  <c r="C183" i="11"/>
  <c r="C142" i="17"/>
  <c r="C102" i="17"/>
  <c r="C102" i="16"/>
  <c r="C142" i="16"/>
  <c r="C143" i="11"/>
  <c r="C103" i="11"/>
  <c r="AM20" i="3"/>
  <c r="AO20" i="3" s="1"/>
  <c r="AP20" i="3" s="1"/>
  <c r="BJ20" i="3" s="1"/>
  <c r="BL20" i="3" s="1"/>
  <c r="BN20" i="3" s="1"/>
  <c r="AL20" i="3"/>
  <c r="AN20" i="3" s="1"/>
  <c r="I181" i="11"/>
  <c r="AB86" i="18"/>
  <c r="AC86" i="18"/>
  <c r="E198" i="7"/>
  <c r="G198" i="7" s="1"/>
  <c r="AA198" i="7" s="1"/>
  <c r="AW198" i="7"/>
  <c r="K100" i="6"/>
  <c r="K134" i="6"/>
  <c r="AA21" i="18"/>
  <c r="AA21" i="19"/>
  <c r="AK21" i="18"/>
  <c r="AK21" i="19"/>
  <c r="AK21" i="3"/>
  <c r="AM20" i="19"/>
  <c r="AO20" i="19" s="1"/>
  <c r="AP20" i="19" s="1"/>
  <c r="BJ20" i="19" s="1"/>
  <c r="BL20" i="19" s="1"/>
  <c r="BN20" i="19" s="1"/>
  <c r="AL20" i="19"/>
  <c r="AN20" i="19" s="1"/>
  <c r="I180" i="17"/>
  <c r="R137" i="11"/>
  <c r="S137" i="11" s="1"/>
  <c r="D110" i="4"/>
  <c r="BB66" i="10" s="1"/>
  <c r="E111" i="4"/>
  <c r="I102" i="11"/>
  <c r="I101" i="17"/>
  <c r="I101" i="16"/>
  <c r="AA163" i="7"/>
  <c r="AL163" i="7"/>
  <c r="AH163" i="7"/>
  <c r="AO163" i="7"/>
  <c r="AK163" i="7"/>
  <c r="AG163" i="7"/>
  <c r="AJ163" i="7"/>
  <c r="AI163" i="7"/>
  <c r="AL20" i="18"/>
  <c r="AN20" i="18" s="1"/>
  <c r="AM20" i="18"/>
  <c r="AO20" i="18" s="1"/>
  <c r="AP20" i="18" s="1"/>
  <c r="BJ20" i="18" s="1"/>
  <c r="BL20" i="18" s="1"/>
  <c r="BN20" i="18" s="1"/>
  <c r="I142" i="11"/>
  <c r="I180" i="16"/>
  <c r="AC86" i="19"/>
  <c r="AB86" i="19"/>
  <c r="V176" i="17"/>
  <c r="U176" i="17"/>
  <c r="CE96" i="17" s="1"/>
  <c r="T176" i="17"/>
  <c r="K168" i="6"/>
  <c r="K202" i="6"/>
  <c r="E123" i="4"/>
  <c r="M123" i="4" s="1"/>
  <c r="D181" i="17"/>
  <c r="CA101" i="17" s="1"/>
  <c r="D182" i="11"/>
  <c r="CA102" i="11" s="1"/>
  <c r="D181" i="16"/>
  <c r="CA101" i="16" s="1"/>
  <c r="AW130" i="7"/>
  <c r="E130" i="7"/>
  <c r="G130" i="7" s="1"/>
  <c r="R177" i="11"/>
  <c r="X177" i="11" s="1"/>
  <c r="I141" i="16"/>
  <c r="AM86" i="3"/>
  <c r="AL86" i="3"/>
  <c r="K32" i="6"/>
  <c r="K66" i="6"/>
  <c r="I141" i="17"/>
  <c r="G137" i="16"/>
  <c r="H137" i="16" s="1"/>
  <c r="G138" i="16"/>
  <c r="H138" i="16" s="1"/>
  <c r="G140" i="16"/>
  <c r="G186" i="16"/>
  <c r="G191" i="16"/>
  <c r="G192" i="16" s="1"/>
  <c r="G193" i="16" s="1"/>
  <c r="G194" i="16" s="1"/>
  <c r="G195" i="16" s="1"/>
  <c r="G196" i="16" s="1"/>
  <c r="G197" i="16" s="1"/>
  <c r="G198" i="16" s="1"/>
  <c r="G199" i="16" s="1"/>
  <c r="G200" i="16" s="1"/>
  <c r="G201" i="16" s="1"/>
  <c r="G202" i="16" s="1"/>
  <c r="G203" i="16" s="1"/>
  <c r="G204" i="16" s="1"/>
  <c r="G205" i="16" s="1"/>
  <c r="G206" i="16" s="1"/>
  <c r="G207" i="16" s="1"/>
  <c r="G208" i="16" s="1"/>
  <c r="G209" i="16" s="1"/>
  <c r="G141" i="16"/>
  <c r="G139" i="16"/>
  <c r="G151" i="16"/>
  <c r="G152" i="16" s="1"/>
  <c r="G153" i="16" s="1"/>
  <c r="G154" i="16" s="1"/>
  <c r="G155" i="16" s="1"/>
  <c r="G156" i="16" s="1"/>
  <c r="G157" i="16" s="1"/>
  <c r="G158" i="16" s="1"/>
  <c r="G159" i="16" s="1"/>
  <c r="G160" i="16" s="1"/>
  <c r="G161" i="16" s="1"/>
  <c r="G162" i="16" s="1"/>
  <c r="G163" i="16" s="1"/>
  <c r="G164" i="16" s="1"/>
  <c r="G165" i="16" s="1"/>
  <c r="G166" i="16" s="1"/>
  <c r="G167" i="16" s="1"/>
  <c r="G168" i="16" s="1"/>
  <c r="G169" i="16" s="1"/>
  <c r="G146" i="16"/>
  <c r="G181" i="16"/>
  <c r="H136" i="16"/>
  <c r="AM86" i="18"/>
  <c r="AL86" i="18"/>
  <c r="AM86" i="19"/>
  <c r="AL86" i="19"/>
  <c r="AM128" i="7"/>
  <c r="F141" i="17"/>
  <c r="F181" i="17"/>
  <c r="F181" i="16"/>
  <c r="F182" i="11"/>
  <c r="F142" i="11"/>
  <c r="F141" i="16"/>
  <c r="AM162" i="7"/>
  <c r="AC20" i="18"/>
  <c r="AE20" i="18" s="1"/>
  <c r="AF20" i="18" s="1"/>
  <c r="BC20" i="18" s="1"/>
  <c r="BE20" i="18" s="1"/>
  <c r="BG20" i="18" s="1"/>
  <c r="AB20" i="18"/>
  <c r="AD20" i="18" s="1"/>
  <c r="BB81" i="3"/>
  <c r="BI81" i="3"/>
  <c r="A183" i="17"/>
  <c r="A69" i="6"/>
  <c r="A137" i="6"/>
  <c r="A205" i="6"/>
  <c r="BB82" i="19"/>
  <c r="BI82" i="19"/>
  <c r="AR20" i="6"/>
  <c r="BD20" i="6"/>
  <c r="Z20" i="6"/>
  <c r="AF20" i="6"/>
  <c r="N139" i="11"/>
  <c r="O139" i="11" s="1"/>
  <c r="H178" i="17"/>
  <c r="H179" i="17"/>
  <c r="O177" i="17"/>
  <c r="G22" i="6"/>
  <c r="A93" i="19"/>
  <c r="A183" i="16"/>
  <c r="A184" i="11"/>
  <c r="H177" i="16"/>
  <c r="I22" i="6"/>
  <c r="H22" i="6"/>
  <c r="O21" i="6"/>
  <c r="S21" i="6" s="1"/>
  <c r="H104" i="17"/>
  <c r="H104" i="16"/>
  <c r="T82" i="18"/>
  <c r="U83" i="18" s="1"/>
  <c r="V83" i="18" s="1"/>
  <c r="H140" i="17"/>
  <c r="R83" i="18"/>
  <c r="U82" i="18"/>
  <c r="V82" i="18" s="1"/>
  <c r="S83" i="19"/>
  <c r="U83" i="19" s="1"/>
  <c r="V83" i="19" s="1"/>
  <c r="R83" i="19"/>
  <c r="T83" i="19" s="1"/>
  <c r="N84" i="18"/>
  <c r="Q84" i="18" s="1"/>
  <c r="S84" i="18" s="1"/>
  <c r="N84" i="19"/>
  <c r="Q84" i="19" s="1"/>
  <c r="C85" i="18"/>
  <c r="C85" i="19"/>
  <c r="A200" i="7"/>
  <c r="A163" i="8"/>
  <c r="A171" i="6"/>
  <c r="A95" i="8"/>
  <c r="A129" i="8"/>
  <c r="K98" i="16"/>
  <c r="J84" i="8"/>
  <c r="O138" i="17"/>
  <c r="A93" i="18"/>
  <c r="W99" i="11"/>
  <c r="X99" i="11" s="1"/>
  <c r="K99" i="17"/>
  <c r="K97" i="17"/>
  <c r="A166" i="7"/>
  <c r="A143" i="17"/>
  <c r="A103" i="17"/>
  <c r="A103" i="6"/>
  <c r="K98" i="17"/>
  <c r="A143" i="16"/>
  <c r="A103" i="16"/>
  <c r="A104" i="11"/>
  <c r="A144" i="11"/>
  <c r="H105" i="11"/>
  <c r="T81" i="3"/>
  <c r="T82" i="3" s="1"/>
  <c r="S82" i="3"/>
  <c r="H23" i="6"/>
  <c r="Q83" i="3"/>
  <c r="R83" i="3" s="1"/>
  <c r="N84" i="3"/>
  <c r="G23" i="6"/>
  <c r="C85" i="3"/>
  <c r="A132" i="7"/>
  <c r="A35" i="6"/>
  <c r="W34" i="6" s="1"/>
  <c r="BH34" i="6" s="1"/>
  <c r="A125" i="4"/>
  <c r="A93" i="3"/>
  <c r="L186" i="9" l="1"/>
  <c r="M185" i="9"/>
  <c r="P185" i="9"/>
  <c r="Q116" i="9"/>
  <c r="S116" i="9"/>
  <c r="AQ72" i="10"/>
  <c r="L254" i="9"/>
  <c r="M253" i="9"/>
  <c r="P253" i="9"/>
  <c r="BA71" i="10"/>
  <c r="AZ71" i="10"/>
  <c r="P220" i="9"/>
  <c r="L221" i="9"/>
  <c r="P221" i="9" s="1"/>
  <c r="M118" i="9"/>
  <c r="P118" i="9"/>
  <c r="L119" i="9"/>
  <c r="Q252" i="9"/>
  <c r="S252" i="9"/>
  <c r="P151" i="9"/>
  <c r="L152" i="9"/>
  <c r="A225" i="9"/>
  <c r="A89" i="9"/>
  <c r="A123" i="9"/>
  <c r="A259" i="9"/>
  <c r="A191" i="9"/>
  <c r="A157" i="9"/>
  <c r="G79" i="9"/>
  <c r="T79" i="9" s="1"/>
  <c r="J79" i="9"/>
  <c r="W79" i="9" s="1"/>
  <c r="H79" i="9"/>
  <c r="U79" i="9" s="1"/>
  <c r="M220" i="9"/>
  <c r="Q219" i="9"/>
  <c r="S219" i="9"/>
  <c r="C186" i="9"/>
  <c r="D185" i="9"/>
  <c r="C118" i="9"/>
  <c r="D117" i="9"/>
  <c r="S184" i="9"/>
  <c r="Q184" i="9"/>
  <c r="M152" i="9"/>
  <c r="S151" i="9"/>
  <c r="Q151" i="9"/>
  <c r="D219" i="9"/>
  <c r="C220" i="9"/>
  <c r="C152" i="9"/>
  <c r="D151" i="9"/>
  <c r="D253" i="9"/>
  <c r="C254" i="9"/>
  <c r="D84" i="9"/>
  <c r="C85" i="9"/>
  <c r="D85" i="9" s="1"/>
  <c r="S117" i="9"/>
  <c r="Q117" i="9"/>
  <c r="L124" i="4"/>
  <c r="H180" i="17"/>
  <c r="AD20" i="3"/>
  <c r="AA21" i="3"/>
  <c r="AC20" i="3"/>
  <c r="AE20" i="3" s="1"/>
  <c r="AF20" i="3" s="1"/>
  <c r="BC20" i="3" s="1"/>
  <c r="BE20" i="3" s="1"/>
  <c r="BG20" i="3" s="1"/>
  <c r="N27" i="6"/>
  <c r="S177" i="11"/>
  <c r="U177" i="11" s="1"/>
  <c r="AO177" i="11"/>
  <c r="H141" i="17"/>
  <c r="K23" i="23"/>
  <c r="AL21" i="3"/>
  <c r="AN21" i="3" s="1"/>
  <c r="AM21" i="3"/>
  <c r="AO21" i="3" s="1"/>
  <c r="AP21" i="3" s="1"/>
  <c r="BJ21" i="3" s="1"/>
  <c r="BL21" i="3" s="1"/>
  <c r="BN21" i="3" s="1"/>
  <c r="I142" i="16"/>
  <c r="Z176" i="17"/>
  <c r="W176" i="17"/>
  <c r="AB176" i="17"/>
  <c r="Y176" i="17"/>
  <c r="X176" i="17"/>
  <c r="AO176" i="17" s="1"/>
  <c r="AA176" i="17"/>
  <c r="AL21" i="19"/>
  <c r="AN21" i="19" s="1"/>
  <c r="AM21" i="19"/>
  <c r="AO21" i="19" s="1"/>
  <c r="AP21" i="19" s="1"/>
  <c r="BJ21" i="19" s="1"/>
  <c r="BL21" i="19" s="1"/>
  <c r="BN21" i="19" s="1"/>
  <c r="K169" i="6"/>
  <c r="K203" i="6"/>
  <c r="E165" i="7"/>
  <c r="G165" i="7" s="1"/>
  <c r="AW165" i="7"/>
  <c r="E110" i="4"/>
  <c r="D109" i="4"/>
  <c r="BB65" i="10" s="1"/>
  <c r="AM21" i="18"/>
  <c r="AO21" i="18" s="1"/>
  <c r="AP21" i="18" s="1"/>
  <c r="BJ21" i="18" s="1"/>
  <c r="BL21" i="18" s="1"/>
  <c r="BN21" i="18" s="1"/>
  <c r="AL21" i="18"/>
  <c r="AN21" i="18" s="1"/>
  <c r="D125" i="4"/>
  <c r="D103" i="17"/>
  <c r="D103" i="16"/>
  <c r="D143" i="16"/>
  <c r="BX103" i="16" s="1"/>
  <c r="D143" i="17"/>
  <c r="BX103" i="17" s="1"/>
  <c r="D144" i="11"/>
  <c r="BX104" i="11" s="1"/>
  <c r="D104" i="11"/>
  <c r="AM27" i="6"/>
  <c r="AY27" i="6"/>
  <c r="C125" i="4"/>
  <c r="B125" i="4"/>
  <c r="K125" i="4" s="1"/>
  <c r="AM163" i="7"/>
  <c r="V137" i="11"/>
  <c r="U137" i="11"/>
  <c r="CC97" i="11" s="1"/>
  <c r="T137" i="11"/>
  <c r="I181" i="16"/>
  <c r="AA22" i="3"/>
  <c r="AK22" i="3"/>
  <c r="AA22" i="19"/>
  <c r="AK22" i="18"/>
  <c r="AA22" i="18"/>
  <c r="AK22" i="19"/>
  <c r="AW199" i="7"/>
  <c r="E199" i="7"/>
  <c r="G199" i="7" s="1"/>
  <c r="AA199" i="7" s="1"/>
  <c r="I142" i="17"/>
  <c r="H141" i="16"/>
  <c r="I182" i="11"/>
  <c r="I103" i="11"/>
  <c r="I102" i="17"/>
  <c r="I102" i="16"/>
  <c r="V136" i="17"/>
  <c r="U136" i="17"/>
  <c r="CC96" i="17" s="1"/>
  <c r="T136" i="17"/>
  <c r="B183" i="17"/>
  <c r="B184" i="11"/>
  <c r="B183" i="16"/>
  <c r="B93" i="19"/>
  <c r="B200" i="7"/>
  <c r="B93" i="18"/>
  <c r="B143" i="17"/>
  <c r="B103" i="17"/>
  <c r="B166" i="7"/>
  <c r="B103" i="16"/>
  <c r="B143" i="16"/>
  <c r="B144" i="11"/>
  <c r="B104" i="11"/>
  <c r="B132" i="7"/>
  <c r="B93" i="3"/>
  <c r="I181" i="17"/>
  <c r="AB21" i="19"/>
  <c r="AD21" i="19" s="1"/>
  <c r="AC21" i="19"/>
  <c r="AE21" i="19" s="1"/>
  <c r="AF21" i="19" s="1"/>
  <c r="BC21" i="19" s="1"/>
  <c r="BE21" i="19" s="1"/>
  <c r="BG21" i="19" s="1"/>
  <c r="K135" i="6"/>
  <c r="K101" i="6"/>
  <c r="C183" i="17"/>
  <c r="C183" i="16"/>
  <c r="C184" i="11"/>
  <c r="C143" i="17"/>
  <c r="C103" i="17"/>
  <c r="C103" i="16"/>
  <c r="C143" i="16"/>
  <c r="C144" i="11"/>
  <c r="C104" i="11"/>
  <c r="AB176" i="16"/>
  <c r="W176" i="16"/>
  <c r="Y176" i="16"/>
  <c r="AA176" i="16"/>
  <c r="Z176" i="16"/>
  <c r="X176" i="16"/>
  <c r="AO176" i="16" s="1"/>
  <c r="E124" i="4"/>
  <c r="M124" i="4" s="1"/>
  <c r="D182" i="16"/>
  <c r="CA102" i="16" s="1"/>
  <c r="D182" i="17"/>
  <c r="CA102" i="17" s="1"/>
  <c r="D183" i="11"/>
  <c r="CA103" i="11" s="1"/>
  <c r="AB21" i="18"/>
  <c r="AD21" i="18" s="1"/>
  <c r="AC21" i="18"/>
  <c r="AE21" i="18" s="1"/>
  <c r="AF21" i="18" s="1"/>
  <c r="BC21" i="18" s="1"/>
  <c r="BE21" i="18" s="1"/>
  <c r="BG21" i="18" s="1"/>
  <c r="AW131" i="7"/>
  <c r="E131" i="7"/>
  <c r="G131" i="7" s="1"/>
  <c r="AL164" i="7"/>
  <c r="AG164" i="7"/>
  <c r="AJ164" i="7"/>
  <c r="AO164" i="7"/>
  <c r="AI164" i="7"/>
  <c r="AK164" i="7"/>
  <c r="AH164" i="7"/>
  <c r="AA164" i="7"/>
  <c r="AJ130" i="7"/>
  <c r="AO130" i="7"/>
  <c r="AA130" i="7"/>
  <c r="AK130" i="7"/>
  <c r="AG130" i="7"/>
  <c r="AI130" i="7"/>
  <c r="AH130" i="7"/>
  <c r="AL130" i="7"/>
  <c r="M27" i="6"/>
  <c r="R27" i="6" s="1"/>
  <c r="I143" i="11"/>
  <c r="K67" i="6"/>
  <c r="K33" i="6"/>
  <c r="F142" i="17"/>
  <c r="F182" i="17"/>
  <c r="F182" i="16"/>
  <c r="F183" i="11"/>
  <c r="F143" i="11"/>
  <c r="F142" i="16"/>
  <c r="AM129" i="7"/>
  <c r="AB136" i="16"/>
  <c r="W136" i="16"/>
  <c r="Y136" i="16"/>
  <c r="AA136" i="16"/>
  <c r="Z136" i="16"/>
  <c r="X136" i="16"/>
  <c r="AO136" i="16" s="1"/>
  <c r="U82" i="3"/>
  <c r="V82" i="3" s="1"/>
  <c r="BB82" i="3" s="1"/>
  <c r="T83" i="18"/>
  <c r="U84" i="18" s="1"/>
  <c r="V84" i="18" s="1"/>
  <c r="BI82" i="18"/>
  <c r="BB82" i="18"/>
  <c r="A184" i="17"/>
  <c r="A206" i="6"/>
  <c r="A70" i="6"/>
  <c r="A138" i="6"/>
  <c r="N140" i="11"/>
  <c r="O140" i="11" s="1"/>
  <c r="BI83" i="18"/>
  <c r="BB83" i="18"/>
  <c r="BB83" i="19"/>
  <c r="BI83" i="19"/>
  <c r="AR21" i="6"/>
  <c r="BD21" i="6"/>
  <c r="AL20" i="6"/>
  <c r="AX20" i="6"/>
  <c r="Z21" i="6"/>
  <c r="AL21" i="6" s="1"/>
  <c r="AF21" i="6"/>
  <c r="R84" i="18"/>
  <c r="O22" i="6"/>
  <c r="S22" i="6" s="1"/>
  <c r="O178" i="17"/>
  <c r="O178" i="16"/>
  <c r="A94" i="19"/>
  <c r="A185" i="11"/>
  <c r="A184" i="16"/>
  <c r="H178" i="16"/>
  <c r="O179" i="11"/>
  <c r="W100" i="11"/>
  <c r="X100" i="11" s="1"/>
  <c r="H139" i="16"/>
  <c r="H105" i="17"/>
  <c r="H105" i="16"/>
  <c r="K99" i="16"/>
  <c r="S84" i="19"/>
  <c r="U84" i="19" s="1"/>
  <c r="V84" i="19" s="1"/>
  <c r="R84" i="19"/>
  <c r="T84" i="19" s="1"/>
  <c r="N85" i="19"/>
  <c r="Q85" i="19" s="1"/>
  <c r="A201" i="7"/>
  <c r="A164" i="8"/>
  <c r="A172" i="6"/>
  <c r="A130" i="8"/>
  <c r="A96" i="8"/>
  <c r="J85" i="8"/>
  <c r="N85" i="3"/>
  <c r="Q85" i="3" s="1"/>
  <c r="N85" i="18"/>
  <c r="Q85" i="18" s="1"/>
  <c r="A94" i="18"/>
  <c r="O139" i="17"/>
  <c r="O140" i="17"/>
  <c r="A167" i="7"/>
  <c r="A144" i="17"/>
  <c r="A104" i="17"/>
  <c r="A104" i="6"/>
  <c r="X98" i="17"/>
  <c r="K100" i="17"/>
  <c r="K100" i="16"/>
  <c r="O138" i="16"/>
  <c r="A144" i="16"/>
  <c r="A104" i="16"/>
  <c r="X98" i="16"/>
  <c r="A105" i="11"/>
  <c r="A145" i="11"/>
  <c r="H106" i="11"/>
  <c r="O23" i="6"/>
  <c r="S23" i="6" s="1"/>
  <c r="Z84" i="8"/>
  <c r="H24" i="6" s="1"/>
  <c r="D19" i="23" s="1"/>
  <c r="S83" i="3"/>
  <c r="U83" i="3" s="1"/>
  <c r="V83" i="3" s="1"/>
  <c r="Q84" i="3"/>
  <c r="R84" i="3" s="1"/>
  <c r="R84" i="8"/>
  <c r="G24" i="6" s="1"/>
  <c r="D16" i="23" s="1"/>
  <c r="AH84" i="8"/>
  <c r="I24" i="6" s="1"/>
  <c r="D22" i="23" s="1"/>
  <c r="T83" i="3"/>
  <c r="A133" i="7"/>
  <c r="A36" i="6"/>
  <c r="W35" i="6" s="1"/>
  <c r="BH35" i="6" s="1"/>
  <c r="A126" i="4"/>
  <c r="A94" i="3"/>
  <c r="D152" i="9" l="1"/>
  <c r="C153" i="9"/>
  <c r="D153" i="9" s="1"/>
  <c r="M221" i="9"/>
  <c r="Q220" i="9"/>
  <c r="S220" i="9"/>
  <c r="S253" i="9"/>
  <c r="Q253" i="9"/>
  <c r="A260" i="9"/>
  <c r="A158" i="9"/>
  <c r="A226" i="9"/>
  <c r="A90" i="9"/>
  <c r="A124" i="9"/>
  <c r="A192" i="9"/>
  <c r="D220" i="9"/>
  <c r="C221" i="9"/>
  <c r="D118" i="9"/>
  <c r="C119" i="9"/>
  <c r="D186" i="9"/>
  <c r="C187" i="9"/>
  <c r="P152" i="9"/>
  <c r="L153" i="9"/>
  <c r="P153" i="9" s="1"/>
  <c r="M119" i="9"/>
  <c r="P119" i="9"/>
  <c r="M254" i="9"/>
  <c r="P254" i="9"/>
  <c r="L255" i="9"/>
  <c r="D254" i="9"/>
  <c r="C255" i="9"/>
  <c r="M153" i="9"/>
  <c r="Q152" i="9"/>
  <c r="S152" i="9"/>
  <c r="BA72" i="10"/>
  <c r="AZ72" i="10"/>
  <c r="Q185" i="9"/>
  <c r="S185" i="9"/>
  <c r="S118" i="9"/>
  <c r="Q118" i="9"/>
  <c r="L187" i="9"/>
  <c r="M186" i="9"/>
  <c r="P186" i="9"/>
  <c r="N141" i="11"/>
  <c r="O141" i="11" s="1"/>
  <c r="L125" i="4"/>
  <c r="BY96" i="17"/>
  <c r="H181" i="16"/>
  <c r="H181" i="17"/>
  <c r="Z177" i="11"/>
  <c r="CE97" i="11"/>
  <c r="BV96" i="16"/>
  <c r="BY96" i="16"/>
  <c r="W177" i="11"/>
  <c r="BY97" i="11" s="1"/>
  <c r="V177" i="11"/>
  <c r="T177" i="11"/>
  <c r="AB21" i="3"/>
  <c r="AD21" i="3" s="1"/>
  <c r="AC21" i="3"/>
  <c r="AE21" i="3" s="1"/>
  <c r="AF21" i="3" s="1"/>
  <c r="BC21" i="3" s="1"/>
  <c r="BE21" i="3" s="1"/>
  <c r="BG21" i="3" s="1"/>
  <c r="W137" i="11"/>
  <c r="BV97" i="11" s="1"/>
  <c r="Y137" i="11"/>
  <c r="X137" i="11"/>
  <c r="AO137" i="11" s="1"/>
  <c r="AC176" i="17"/>
  <c r="AI176" i="17" s="1"/>
  <c r="L23" i="23"/>
  <c r="AL22" i="18"/>
  <c r="AN22" i="18" s="1"/>
  <c r="AM22" i="18"/>
  <c r="AO22" i="18" s="1"/>
  <c r="AP22" i="18" s="1"/>
  <c r="BJ22" i="18" s="1"/>
  <c r="BL22" i="18" s="1"/>
  <c r="BN22" i="18" s="1"/>
  <c r="AQ27" i="6"/>
  <c r="BC27" i="6"/>
  <c r="Y27" i="6"/>
  <c r="AE27" i="6"/>
  <c r="I183" i="11"/>
  <c r="AC22" i="3"/>
  <c r="AE22" i="3" s="1"/>
  <c r="AF22" i="3" s="1"/>
  <c r="BC22" i="3" s="1"/>
  <c r="BE22" i="3" s="1"/>
  <c r="BG22" i="3" s="1"/>
  <c r="AB22" i="3"/>
  <c r="B184" i="17"/>
  <c r="B185" i="11"/>
  <c r="B184" i="16"/>
  <c r="B94" i="19"/>
  <c r="B201" i="7"/>
  <c r="B94" i="18"/>
  <c r="B104" i="17"/>
  <c r="B144" i="17"/>
  <c r="B167" i="7"/>
  <c r="B104" i="16"/>
  <c r="B144" i="16"/>
  <c r="B145" i="11"/>
  <c r="B105" i="11"/>
  <c r="B94" i="3"/>
  <c r="B133" i="7"/>
  <c r="D108" i="4"/>
  <c r="BB64" i="10" s="1"/>
  <c r="E109" i="4"/>
  <c r="I182" i="17"/>
  <c r="E132" i="7"/>
  <c r="G132" i="7" s="1"/>
  <c r="AW132" i="7"/>
  <c r="C184" i="17"/>
  <c r="C184" i="16"/>
  <c r="C185" i="11"/>
  <c r="C144" i="17"/>
  <c r="C104" i="17"/>
  <c r="C104" i="16"/>
  <c r="C144" i="16"/>
  <c r="C145" i="11"/>
  <c r="C105" i="11"/>
  <c r="I182" i="16"/>
  <c r="AC22" i="19"/>
  <c r="AE22" i="19" s="1"/>
  <c r="AF22" i="19" s="1"/>
  <c r="BC22" i="19" s="1"/>
  <c r="BE22" i="19" s="1"/>
  <c r="BG22" i="19" s="1"/>
  <c r="AB22" i="19"/>
  <c r="AD22" i="19" s="1"/>
  <c r="E125" i="4"/>
  <c r="M125" i="4" s="1"/>
  <c r="D183" i="17"/>
  <c r="CA103" i="17" s="1"/>
  <c r="D183" i="16"/>
  <c r="CA103" i="16" s="1"/>
  <c r="D184" i="11"/>
  <c r="CA104" i="11" s="1"/>
  <c r="AM22" i="3"/>
  <c r="AO22" i="3" s="1"/>
  <c r="AP22" i="3" s="1"/>
  <c r="BJ22" i="3" s="1"/>
  <c r="BL22" i="3" s="1"/>
  <c r="BN22" i="3" s="1"/>
  <c r="AL22" i="3"/>
  <c r="AN22" i="3" s="1"/>
  <c r="BI82" i="3"/>
  <c r="AC136" i="16"/>
  <c r="F143" i="16"/>
  <c r="F144" i="11"/>
  <c r="F143" i="17"/>
  <c r="F183" i="17"/>
  <c r="F183" i="16"/>
  <c r="F184" i="11"/>
  <c r="I144" i="11"/>
  <c r="K102" i="6"/>
  <c r="K136" i="6"/>
  <c r="C126" i="4"/>
  <c r="B126" i="4"/>
  <c r="K126" i="4" s="1"/>
  <c r="AB136" i="17"/>
  <c r="W136" i="17"/>
  <c r="Z136" i="17"/>
  <c r="Y136" i="17"/>
  <c r="AA136" i="17"/>
  <c r="X136" i="17"/>
  <c r="AO136" i="17" s="1"/>
  <c r="I143" i="17"/>
  <c r="AH165" i="7"/>
  <c r="AK165" i="7"/>
  <c r="AI165" i="7"/>
  <c r="AG165" i="7"/>
  <c r="AO165" i="7"/>
  <c r="AJ165" i="7"/>
  <c r="AA165" i="7"/>
  <c r="AL165" i="7"/>
  <c r="AM130" i="7"/>
  <c r="AM164" i="7"/>
  <c r="AB177" i="11"/>
  <c r="Y177" i="11"/>
  <c r="AA177" i="11"/>
  <c r="E166" i="7"/>
  <c r="G166" i="7" s="1"/>
  <c r="AW166" i="7"/>
  <c r="AB137" i="11"/>
  <c r="Z137" i="11"/>
  <c r="AA137" i="11"/>
  <c r="I143" i="16"/>
  <c r="I104" i="11"/>
  <c r="I103" i="17"/>
  <c r="I103" i="16"/>
  <c r="AA131" i="7"/>
  <c r="AG131" i="7"/>
  <c r="AK131" i="7"/>
  <c r="AI131" i="7"/>
  <c r="AO131" i="7"/>
  <c r="AH131" i="7"/>
  <c r="AL131" i="7"/>
  <c r="AJ131" i="7"/>
  <c r="AC176" i="16"/>
  <c r="K170" i="6"/>
  <c r="K204" i="6"/>
  <c r="K68" i="6"/>
  <c r="K34" i="6"/>
  <c r="AM22" i="19"/>
  <c r="AO22" i="19" s="1"/>
  <c r="AP22" i="19" s="1"/>
  <c r="BJ22" i="19" s="1"/>
  <c r="BL22" i="19" s="1"/>
  <c r="BN22" i="19" s="1"/>
  <c r="AL22" i="19"/>
  <c r="AN22" i="19" s="1"/>
  <c r="D126" i="4"/>
  <c r="D104" i="17"/>
  <c r="D104" i="16"/>
  <c r="D144" i="16"/>
  <c r="BX104" i="16" s="1"/>
  <c r="D144" i="17"/>
  <c r="BX104" i="17" s="1"/>
  <c r="D145" i="11"/>
  <c r="BX105" i="11" s="1"/>
  <c r="D105" i="11"/>
  <c r="AW200" i="7"/>
  <c r="E200" i="7"/>
  <c r="G200" i="7" s="1"/>
  <c r="AA200" i="7" s="1"/>
  <c r="AC22" i="18"/>
  <c r="AE22" i="18" s="1"/>
  <c r="AF22" i="18" s="1"/>
  <c r="BC22" i="18" s="1"/>
  <c r="BE22" i="18" s="1"/>
  <c r="BG22" i="18" s="1"/>
  <c r="AB22" i="18"/>
  <c r="AD22" i="18" s="1"/>
  <c r="AA23" i="19"/>
  <c r="AA23" i="18"/>
  <c r="AK23" i="18"/>
  <c r="AK23" i="19"/>
  <c r="AK23" i="3"/>
  <c r="T84" i="18"/>
  <c r="BB84" i="18"/>
  <c r="BI84" i="18"/>
  <c r="BB83" i="3"/>
  <c r="BI83" i="3"/>
  <c r="A185" i="17"/>
  <c r="A207" i="6"/>
  <c r="A139" i="6"/>
  <c r="A71" i="6"/>
  <c r="BB84" i="19"/>
  <c r="BI84" i="19"/>
  <c r="AR22" i="6"/>
  <c r="BD22" i="6"/>
  <c r="AR23" i="6"/>
  <c r="BD23" i="6"/>
  <c r="AX21" i="6"/>
  <c r="Z22" i="6"/>
  <c r="AL22" i="6" s="1"/>
  <c r="AF22" i="6"/>
  <c r="Z23" i="6"/>
  <c r="AX23" i="6" s="1"/>
  <c r="AF23" i="6"/>
  <c r="O179" i="17"/>
  <c r="O180" i="17"/>
  <c r="H179" i="16"/>
  <c r="A95" i="19"/>
  <c r="A186" i="11"/>
  <c r="A185" i="16"/>
  <c r="O179" i="16"/>
  <c r="O180" i="16"/>
  <c r="W101" i="11"/>
  <c r="X101" i="11" s="1"/>
  <c r="O180" i="11"/>
  <c r="O181" i="11"/>
  <c r="H106" i="17"/>
  <c r="X106" i="17" s="1"/>
  <c r="H106" i="16"/>
  <c r="X106" i="16" s="1"/>
  <c r="H140" i="16"/>
  <c r="S85" i="19"/>
  <c r="U85" i="19" s="1"/>
  <c r="V85" i="19" s="1"/>
  <c r="R85" i="19"/>
  <c r="T85" i="19" s="1"/>
  <c r="A202" i="7"/>
  <c r="A165" i="8"/>
  <c r="A173" i="6"/>
  <c r="A131" i="8"/>
  <c r="A97" i="8"/>
  <c r="J86" i="8"/>
  <c r="S85" i="18"/>
  <c r="R85" i="18"/>
  <c r="A95" i="18"/>
  <c r="X99" i="17"/>
  <c r="X100" i="17"/>
  <c r="A168" i="7"/>
  <c r="A145" i="17"/>
  <c r="A105" i="17"/>
  <c r="A105" i="6"/>
  <c r="A145" i="16"/>
  <c r="A105" i="16"/>
  <c r="X99" i="16"/>
  <c r="X100" i="16"/>
  <c r="O139" i="16"/>
  <c r="O140" i="16"/>
  <c r="A106" i="11"/>
  <c r="A146" i="11"/>
  <c r="H107" i="11"/>
  <c r="O24" i="6"/>
  <c r="S24" i="6" s="1"/>
  <c r="Z85" i="8"/>
  <c r="H25" i="6" s="1"/>
  <c r="S84" i="3"/>
  <c r="U84" i="3" s="1"/>
  <c r="V84" i="3" s="1"/>
  <c r="T84" i="3"/>
  <c r="R85" i="8"/>
  <c r="G25" i="6" s="1"/>
  <c r="AH85" i="8"/>
  <c r="I25" i="6" s="1"/>
  <c r="S85" i="3"/>
  <c r="R85" i="3"/>
  <c r="A134" i="7"/>
  <c r="A127" i="4"/>
  <c r="A37" i="6"/>
  <c r="W36" i="6" s="1"/>
  <c r="BH36" i="6" s="1"/>
  <c r="A95" i="3"/>
  <c r="A227" i="9" l="1"/>
  <c r="A193" i="9"/>
  <c r="A261" i="9"/>
  <c r="A159" i="9"/>
  <c r="A91" i="9"/>
  <c r="A125" i="9"/>
  <c r="S254" i="9"/>
  <c r="Q254" i="9"/>
  <c r="D119" i="9"/>
  <c r="S153" i="9"/>
  <c r="Q153" i="9"/>
  <c r="D187" i="9"/>
  <c r="Q186" i="9"/>
  <c r="S186" i="9"/>
  <c r="D255" i="9"/>
  <c r="M255" i="9"/>
  <c r="P255" i="9"/>
  <c r="S119" i="9"/>
  <c r="Q119" i="9"/>
  <c r="S221" i="9"/>
  <c r="Q221" i="9"/>
  <c r="M187" i="9"/>
  <c r="P187" i="9"/>
  <c r="D221" i="9"/>
  <c r="L126" i="4"/>
  <c r="AG136" i="16"/>
  <c r="AE176" i="16"/>
  <c r="BZ96" i="16" s="1"/>
  <c r="AF176" i="17"/>
  <c r="BV96" i="17"/>
  <c r="AD22" i="3"/>
  <c r="AA23" i="3"/>
  <c r="AE176" i="17"/>
  <c r="AI136" i="16"/>
  <c r="AG176" i="17"/>
  <c r="AD176" i="17"/>
  <c r="AH176" i="17"/>
  <c r="AH136" i="16"/>
  <c r="AF136" i="16"/>
  <c r="AE136" i="16"/>
  <c r="E16" i="23"/>
  <c r="G16" i="23"/>
  <c r="M23" i="23"/>
  <c r="G22" i="23"/>
  <c r="E22" i="23"/>
  <c r="G19" i="23"/>
  <c r="E19" i="23"/>
  <c r="AM131" i="7"/>
  <c r="I144" i="16"/>
  <c r="I144" i="17"/>
  <c r="AC177" i="11"/>
  <c r="AB23" i="18"/>
  <c r="AD23" i="18" s="1"/>
  <c r="AC23" i="18"/>
  <c r="AE23" i="18" s="1"/>
  <c r="AF23" i="18" s="1"/>
  <c r="BC23" i="18" s="1"/>
  <c r="BE23" i="18" s="1"/>
  <c r="BG23" i="18" s="1"/>
  <c r="AC137" i="11"/>
  <c r="C127" i="4"/>
  <c r="B127" i="4"/>
  <c r="K127" i="4" s="1"/>
  <c r="AC23" i="19"/>
  <c r="AE23" i="19" s="1"/>
  <c r="AF23" i="19" s="1"/>
  <c r="BC23" i="19" s="1"/>
  <c r="BE23" i="19" s="1"/>
  <c r="BG23" i="19" s="1"/>
  <c r="AB23" i="19"/>
  <c r="AD23" i="19" s="1"/>
  <c r="D127" i="4"/>
  <c r="D105" i="17"/>
  <c r="D105" i="16"/>
  <c r="D145" i="16"/>
  <c r="BX105" i="16" s="1"/>
  <c r="D145" i="17"/>
  <c r="BX105" i="17" s="1"/>
  <c r="D146" i="11"/>
  <c r="BX106" i="11" s="1"/>
  <c r="D106" i="11"/>
  <c r="AM165" i="7"/>
  <c r="I184" i="11"/>
  <c r="E167" i="7"/>
  <c r="G167" i="7" s="1"/>
  <c r="AW167" i="7"/>
  <c r="AG176" i="16"/>
  <c r="AD176" i="16"/>
  <c r="I183" i="16"/>
  <c r="E108" i="4"/>
  <c r="D107" i="4"/>
  <c r="BB63" i="10" s="1"/>
  <c r="T85" i="18"/>
  <c r="T86" i="18" s="1"/>
  <c r="I183" i="17"/>
  <c r="AK27" i="6"/>
  <c r="AW27" i="6"/>
  <c r="E126" i="4"/>
  <c r="M126" i="4" s="1"/>
  <c r="D184" i="17"/>
  <c r="CA104" i="17" s="1"/>
  <c r="D185" i="11"/>
  <c r="CA105" i="11" s="1"/>
  <c r="D184" i="16"/>
  <c r="CA104" i="16" s="1"/>
  <c r="AF176" i="16"/>
  <c r="AM23" i="19"/>
  <c r="AO23" i="19" s="1"/>
  <c r="AP23" i="19" s="1"/>
  <c r="BJ23" i="19" s="1"/>
  <c r="BL23" i="19" s="1"/>
  <c r="BN23" i="19" s="1"/>
  <c r="AL23" i="19"/>
  <c r="AN23" i="19" s="1"/>
  <c r="B185" i="17"/>
  <c r="B186" i="11"/>
  <c r="B185" i="16"/>
  <c r="B95" i="19"/>
  <c r="B202" i="7"/>
  <c r="B95" i="18"/>
  <c r="B105" i="17"/>
  <c r="B145" i="17"/>
  <c r="B168" i="7"/>
  <c r="B145" i="16"/>
  <c r="B105" i="16"/>
  <c r="B146" i="11"/>
  <c r="B106" i="11"/>
  <c r="B134" i="7"/>
  <c r="B95" i="3"/>
  <c r="K35" i="6"/>
  <c r="K69" i="6"/>
  <c r="AK24" i="18"/>
  <c r="AK24" i="19"/>
  <c r="AK24" i="3"/>
  <c r="AA24" i="18"/>
  <c r="AA24" i="19"/>
  <c r="E201" i="7"/>
  <c r="G201" i="7" s="1"/>
  <c r="AA201" i="7" s="1"/>
  <c r="AW201" i="7"/>
  <c r="AM23" i="3"/>
  <c r="AO23" i="3" s="1"/>
  <c r="AP23" i="3" s="1"/>
  <c r="BJ23" i="3" s="1"/>
  <c r="BL23" i="3" s="1"/>
  <c r="BN23" i="3" s="1"/>
  <c r="AL23" i="3"/>
  <c r="AN23" i="3" s="1"/>
  <c r="K205" i="6"/>
  <c r="K171" i="6"/>
  <c r="K103" i="6"/>
  <c r="K137" i="6"/>
  <c r="C185" i="17"/>
  <c r="C186" i="11"/>
  <c r="C185" i="16"/>
  <c r="C145" i="17"/>
  <c r="C105" i="17"/>
  <c r="C145" i="16"/>
  <c r="C105" i="16"/>
  <c r="C146" i="11"/>
  <c r="C106" i="11"/>
  <c r="AH132" i="7"/>
  <c r="AL132" i="7"/>
  <c r="AA132" i="7"/>
  <c r="AG132" i="7"/>
  <c r="AJ132" i="7"/>
  <c r="AK132" i="7"/>
  <c r="AO132" i="7"/>
  <c r="AI132" i="7"/>
  <c r="I104" i="17"/>
  <c r="I104" i="16"/>
  <c r="I105" i="11"/>
  <c r="U85" i="18"/>
  <c r="V85" i="18" s="1"/>
  <c r="BI85" i="18" s="1"/>
  <c r="AM23" i="18"/>
  <c r="AO23" i="18" s="1"/>
  <c r="AP23" i="18" s="1"/>
  <c r="BJ23" i="18" s="1"/>
  <c r="BL23" i="18" s="1"/>
  <c r="BN23" i="18" s="1"/>
  <c r="AL23" i="18"/>
  <c r="AN23" i="18" s="1"/>
  <c r="AO166" i="7"/>
  <c r="AL166" i="7"/>
  <c r="AH166" i="7"/>
  <c r="AA166" i="7"/>
  <c r="AG166" i="7"/>
  <c r="AK166" i="7"/>
  <c r="AJ166" i="7"/>
  <c r="AI166" i="7"/>
  <c r="F185" i="11"/>
  <c r="F145" i="11"/>
  <c r="F144" i="16"/>
  <c r="F144" i="17"/>
  <c r="F184" i="17"/>
  <c r="F184" i="16"/>
  <c r="AI176" i="16"/>
  <c r="E133" i="7"/>
  <c r="G133" i="7" s="1"/>
  <c r="AW133" i="7"/>
  <c r="I145" i="11"/>
  <c r="AC136" i="17"/>
  <c r="AD136" i="16"/>
  <c r="AH176" i="16"/>
  <c r="BB85" i="19"/>
  <c r="BI85" i="19"/>
  <c r="A186" i="17"/>
  <c r="A72" i="6"/>
  <c r="A208" i="6"/>
  <c r="A140" i="6"/>
  <c r="BB84" i="3"/>
  <c r="BI84" i="3"/>
  <c r="AR24" i="6"/>
  <c r="BD24" i="6"/>
  <c r="AL23" i="6"/>
  <c r="AX22" i="6"/>
  <c r="Z24" i="6"/>
  <c r="AX24" i="6" s="1"/>
  <c r="AF24" i="6"/>
  <c r="Z86" i="8"/>
  <c r="H26" i="6" s="1"/>
  <c r="R86" i="8"/>
  <c r="G26" i="6" s="1"/>
  <c r="H180" i="16"/>
  <c r="A96" i="19"/>
  <c r="A186" i="16"/>
  <c r="A187" i="11"/>
  <c r="AH86" i="8"/>
  <c r="I26" i="6" s="1"/>
  <c r="H107" i="17"/>
  <c r="X107" i="17" s="1"/>
  <c r="H107" i="16"/>
  <c r="X107" i="16" s="1"/>
  <c r="T86" i="19"/>
  <c r="U86" i="19"/>
  <c r="V86" i="19" s="1"/>
  <c r="A203" i="7"/>
  <c r="A166" i="8"/>
  <c r="A174" i="6"/>
  <c r="A98" i="8"/>
  <c r="A132" i="8"/>
  <c r="A96" i="18"/>
  <c r="A169" i="7"/>
  <c r="A146" i="17"/>
  <c r="A106" i="6"/>
  <c r="A106" i="17"/>
  <c r="A146" i="16"/>
  <c r="A106" i="16"/>
  <c r="A107" i="11"/>
  <c r="A147" i="11"/>
  <c r="X107" i="11"/>
  <c r="H108" i="11"/>
  <c r="O25" i="6"/>
  <c r="S25" i="6" s="1"/>
  <c r="T85" i="3"/>
  <c r="T86" i="3" s="1"/>
  <c r="U85" i="3"/>
  <c r="V85" i="3" s="1"/>
  <c r="A135" i="7"/>
  <c r="A128" i="4"/>
  <c r="A96" i="3"/>
  <c r="A38" i="6"/>
  <c r="W37" i="6" s="1"/>
  <c r="BH37" i="6" s="1"/>
  <c r="A262" i="9" l="1"/>
  <c r="A126" i="9"/>
  <c r="A194" i="9"/>
  <c r="A160" i="9"/>
  <c r="A92" i="9"/>
  <c r="A228" i="9"/>
  <c r="Q187" i="9"/>
  <c r="S187" i="9"/>
  <c r="S255" i="9"/>
  <c r="Q255" i="9"/>
  <c r="U86" i="18"/>
  <c r="V86" i="18" s="1"/>
  <c r="L127" i="4"/>
  <c r="AD177" i="11"/>
  <c r="AH136" i="17"/>
  <c r="AE137" i="11"/>
  <c r="BW97" i="11" s="1"/>
  <c r="BZ96" i="17"/>
  <c r="BW96" i="16"/>
  <c r="AB23" i="3"/>
  <c r="AD23" i="3" s="1"/>
  <c r="AC23" i="3"/>
  <c r="AE23" i="3" s="1"/>
  <c r="AF23" i="3" s="1"/>
  <c r="BC23" i="3" s="1"/>
  <c r="BE23" i="3" s="1"/>
  <c r="BG23" i="3" s="1"/>
  <c r="AA24" i="3"/>
  <c r="AJ176" i="17"/>
  <c r="AJ136" i="16"/>
  <c r="AH137" i="11"/>
  <c r="F16" i="23"/>
  <c r="H16" i="23"/>
  <c r="AI177" i="11"/>
  <c r="AF137" i="11"/>
  <c r="AI137" i="11"/>
  <c r="AH177" i="11"/>
  <c r="BB85" i="18"/>
  <c r="AE177" i="11"/>
  <c r="AE136" i="17"/>
  <c r="H19" i="23"/>
  <c r="F19" i="23"/>
  <c r="AJ176" i="16"/>
  <c r="H22" i="23"/>
  <c r="F22" i="23"/>
  <c r="N23" i="23"/>
  <c r="AH133" i="7"/>
  <c r="AA133" i="7"/>
  <c r="AI133" i="7"/>
  <c r="AJ133" i="7"/>
  <c r="AG133" i="7"/>
  <c r="AO133" i="7"/>
  <c r="AK133" i="7"/>
  <c r="AL133" i="7"/>
  <c r="AW168" i="7"/>
  <c r="E168" i="7"/>
  <c r="G168" i="7" s="1"/>
  <c r="D128" i="4"/>
  <c r="D106" i="17"/>
  <c r="D146" i="17"/>
  <c r="BX106" i="17" s="1"/>
  <c r="D146" i="16"/>
  <c r="BX106" i="16" s="1"/>
  <c r="D106" i="16"/>
  <c r="D147" i="11"/>
  <c r="BX107" i="11" s="1"/>
  <c r="D107" i="11"/>
  <c r="AM24" i="18"/>
  <c r="AO24" i="18" s="1"/>
  <c r="AP24" i="18" s="1"/>
  <c r="BJ24" i="18" s="1"/>
  <c r="BL24" i="18" s="1"/>
  <c r="BN24" i="18" s="1"/>
  <c r="AL24" i="18"/>
  <c r="AN24" i="18" s="1"/>
  <c r="I184" i="16"/>
  <c r="AM166" i="7"/>
  <c r="K172" i="6"/>
  <c r="K206" i="6"/>
  <c r="I185" i="11"/>
  <c r="K138" i="6"/>
  <c r="K104" i="6"/>
  <c r="I184" i="17"/>
  <c r="AO167" i="7"/>
  <c r="AG167" i="7"/>
  <c r="AJ167" i="7"/>
  <c r="AK167" i="7"/>
  <c r="AL167" i="7"/>
  <c r="AI167" i="7"/>
  <c r="AH167" i="7"/>
  <c r="AA167" i="7"/>
  <c r="B186" i="17"/>
  <c r="B186" i="16"/>
  <c r="B187" i="11"/>
  <c r="B96" i="19"/>
  <c r="B203" i="7"/>
  <c r="B96" i="18"/>
  <c r="B106" i="17"/>
  <c r="B146" i="17"/>
  <c r="B169" i="7"/>
  <c r="B146" i="16"/>
  <c r="B106" i="16"/>
  <c r="B147" i="11"/>
  <c r="B107" i="11"/>
  <c r="B135" i="7"/>
  <c r="B96" i="3"/>
  <c r="AC24" i="19"/>
  <c r="AE24" i="19" s="1"/>
  <c r="AF24" i="19" s="1"/>
  <c r="BC24" i="19" s="1"/>
  <c r="BE24" i="19" s="1"/>
  <c r="BG24" i="19" s="1"/>
  <c r="AB24" i="19"/>
  <c r="AD24" i="19" s="1"/>
  <c r="AW202" i="7"/>
  <c r="E202" i="7"/>
  <c r="G202" i="7" s="1"/>
  <c r="AA202" i="7" s="1"/>
  <c r="E127" i="4"/>
  <c r="M127" i="4" s="1"/>
  <c r="D185" i="17"/>
  <c r="CA105" i="17" s="1"/>
  <c r="D186" i="11"/>
  <c r="CA106" i="11" s="1"/>
  <c r="D185" i="16"/>
  <c r="CA105" i="16" s="1"/>
  <c r="E107" i="4"/>
  <c r="D106" i="4"/>
  <c r="BB62" i="10" s="1"/>
  <c r="C186" i="17"/>
  <c r="C186" i="16"/>
  <c r="C187" i="11"/>
  <c r="C146" i="17"/>
  <c r="C106" i="17"/>
  <c r="C146" i="16"/>
  <c r="C106" i="16"/>
  <c r="C147" i="11"/>
  <c r="C107" i="11"/>
  <c r="K36" i="6"/>
  <c r="K70" i="6"/>
  <c r="AD136" i="17"/>
  <c r="AM132" i="7"/>
  <c r="I105" i="17"/>
  <c r="I105" i="16"/>
  <c r="I106" i="11"/>
  <c r="C128" i="4"/>
  <c r="B128" i="4"/>
  <c r="K128" i="4" s="1"/>
  <c r="AC24" i="18"/>
  <c r="AE24" i="18" s="1"/>
  <c r="AF24" i="18" s="1"/>
  <c r="BC24" i="18" s="1"/>
  <c r="BE24" i="18" s="1"/>
  <c r="BG24" i="18" s="1"/>
  <c r="AB24" i="18"/>
  <c r="AD24" i="18" s="1"/>
  <c r="E134" i="7"/>
  <c r="G134" i="7" s="1"/>
  <c r="AW134" i="7"/>
  <c r="I146" i="11"/>
  <c r="AF136" i="17"/>
  <c r="AL24" i="3"/>
  <c r="AN24" i="3" s="1"/>
  <c r="AM24" i="3"/>
  <c r="AO24" i="3" s="1"/>
  <c r="AP24" i="3" s="1"/>
  <c r="BJ24" i="3" s="1"/>
  <c r="BL24" i="3" s="1"/>
  <c r="BN24" i="3" s="1"/>
  <c r="AA25" i="18"/>
  <c r="AK25" i="18"/>
  <c r="AK25" i="19"/>
  <c r="AK25" i="3"/>
  <c r="AA25" i="19"/>
  <c r="I145" i="17"/>
  <c r="AF177" i="11"/>
  <c r="F145" i="17"/>
  <c r="F185" i="17"/>
  <c r="F146" i="11"/>
  <c r="F185" i="16"/>
  <c r="F145" i="16"/>
  <c r="F186" i="11"/>
  <c r="AG137" i="11"/>
  <c r="I145" i="16"/>
  <c r="AG136" i="17"/>
  <c r="AM24" i="19"/>
  <c r="AO24" i="19" s="1"/>
  <c r="AP24" i="19" s="1"/>
  <c r="BJ24" i="19" s="1"/>
  <c r="BL24" i="19" s="1"/>
  <c r="BN24" i="19" s="1"/>
  <c r="AL24" i="19"/>
  <c r="AN24" i="19" s="1"/>
  <c r="AI136" i="17"/>
  <c r="AG177" i="11"/>
  <c r="G182" i="16"/>
  <c r="G183" i="16" s="1"/>
  <c r="G184" i="16" s="1"/>
  <c r="G185" i="16" s="1"/>
  <c r="G142" i="16"/>
  <c r="G143" i="16" s="1"/>
  <c r="G144" i="16" s="1"/>
  <c r="G145" i="16" s="1"/>
  <c r="G182" i="17"/>
  <c r="G183" i="17" s="1"/>
  <c r="G184" i="17" s="1"/>
  <c r="G185" i="17" s="1"/>
  <c r="G142" i="17"/>
  <c r="G143" i="17" s="1"/>
  <c r="G144" i="17" s="1"/>
  <c r="G145" i="17" s="1"/>
  <c r="BB86" i="19"/>
  <c r="BI86" i="19"/>
  <c r="BB85" i="3"/>
  <c r="BI85" i="3"/>
  <c r="A187" i="17"/>
  <c r="A73" i="6"/>
  <c r="A209" i="6"/>
  <c r="A141" i="6"/>
  <c r="BB86" i="18"/>
  <c r="BI86" i="18"/>
  <c r="AR25" i="6"/>
  <c r="BD25" i="6"/>
  <c r="AL24" i="6"/>
  <c r="Z25" i="6"/>
  <c r="AX25" i="6" s="1"/>
  <c r="AF25" i="6"/>
  <c r="O26" i="6"/>
  <c r="S26" i="6" s="1"/>
  <c r="N182" i="17"/>
  <c r="O182" i="17" s="1"/>
  <c r="N182" i="16"/>
  <c r="O182" i="16" s="1"/>
  <c r="A97" i="19"/>
  <c r="A187" i="16"/>
  <c r="A188" i="11"/>
  <c r="N183" i="11"/>
  <c r="H108" i="17"/>
  <c r="X108" i="17" s="1"/>
  <c r="H108" i="16"/>
  <c r="X108" i="16" s="1"/>
  <c r="A204" i="7"/>
  <c r="A167" i="8"/>
  <c r="A175" i="6"/>
  <c r="A99" i="8"/>
  <c r="A133" i="8"/>
  <c r="A97" i="18"/>
  <c r="N142" i="17"/>
  <c r="O142" i="17" s="1"/>
  <c r="W102" i="17"/>
  <c r="X102" i="17" s="1"/>
  <c r="J102" i="17"/>
  <c r="J103" i="17" s="1"/>
  <c r="J104" i="17" s="1"/>
  <c r="J105" i="17" s="1"/>
  <c r="A170" i="7"/>
  <c r="A147" i="17"/>
  <c r="A107" i="17"/>
  <c r="A107" i="6"/>
  <c r="N143" i="11"/>
  <c r="O143" i="11" s="1"/>
  <c r="W103" i="11"/>
  <c r="X103" i="11" s="1"/>
  <c r="W102" i="16"/>
  <c r="X102" i="16" s="1"/>
  <c r="N142" i="16"/>
  <c r="O142" i="16" s="1"/>
  <c r="A147" i="16"/>
  <c r="A107" i="16"/>
  <c r="A108" i="11"/>
  <c r="A148" i="11"/>
  <c r="X108" i="11"/>
  <c r="H109" i="11"/>
  <c r="U86" i="3"/>
  <c r="V86" i="3" s="1"/>
  <c r="A136" i="7"/>
  <c r="A129" i="4"/>
  <c r="A39" i="6"/>
  <c r="W38" i="6" s="1"/>
  <c r="BH38" i="6" s="1"/>
  <c r="A97" i="3"/>
  <c r="A93" i="9" l="1"/>
  <c r="A127" i="9"/>
  <c r="A195" i="9"/>
  <c r="A161" i="9"/>
  <c r="A263" i="9"/>
  <c r="A229" i="9"/>
  <c r="L128" i="4"/>
  <c r="BZ97" i="11"/>
  <c r="BW96" i="17"/>
  <c r="AB24" i="3"/>
  <c r="AD24" i="3" s="1"/>
  <c r="AC24" i="3"/>
  <c r="AE24" i="3" s="1"/>
  <c r="AF24" i="3" s="1"/>
  <c r="BC24" i="3" s="1"/>
  <c r="BE24" i="3" s="1"/>
  <c r="BG24" i="3" s="1"/>
  <c r="AA25" i="3"/>
  <c r="AJ137" i="11"/>
  <c r="AJ136" i="17"/>
  <c r="AJ177" i="11"/>
  <c r="O23" i="23"/>
  <c r="K105" i="6"/>
  <c r="K139" i="6"/>
  <c r="AA26" i="18"/>
  <c r="AA26" i="19"/>
  <c r="AK26" i="19"/>
  <c r="AK26" i="18"/>
  <c r="AK26" i="3"/>
  <c r="AM25" i="18"/>
  <c r="AO25" i="18" s="1"/>
  <c r="AP25" i="18" s="1"/>
  <c r="BJ25" i="18" s="1"/>
  <c r="BL25" i="18" s="1"/>
  <c r="BN25" i="18" s="1"/>
  <c r="AL25" i="18"/>
  <c r="AN25" i="18" s="1"/>
  <c r="F146" i="17"/>
  <c r="F186" i="17"/>
  <c r="F186" i="16"/>
  <c r="F187" i="11"/>
  <c r="F147" i="11"/>
  <c r="F146" i="16"/>
  <c r="D105" i="4"/>
  <c r="BB61" i="10" s="1"/>
  <c r="E106" i="4"/>
  <c r="AM167" i="7"/>
  <c r="B187" i="17"/>
  <c r="B187" i="16"/>
  <c r="B188" i="11"/>
  <c r="B97" i="19"/>
  <c r="B204" i="7"/>
  <c r="B97" i="18"/>
  <c r="B107" i="17"/>
  <c r="B147" i="17"/>
  <c r="B170" i="7"/>
  <c r="B147" i="16"/>
  <c r="B107" i="16"/>
  <c r="B148" i="11"/>
  <c r="B108" i="11"/>
  <c r="B97" i="3"/>
  <c r="B136" i="7"/>
  <c r="AW203" i="7"/>
  <c r="E203" i="7"/>
  <c r="G203" i="7" s="1"/>
  <c r="AA203" i="7" s="1"/>
  <c r="AH168" i="7"/>
  <c r="AA168" i="7"/>
  <c r="AG168" i="7"/>
  <c r="AO168" i="7"/>
  <c r="AK168" i="7"/>
  <c r="AI168" i="7"/>
  <c r="AL168" i="7"/>
  <c r="AJ168" i="7"/>
  <c r="K37" i="6"/>
  <c r="K71" i="6"/>
  <c r="C187" i="17"/>
  <c r="C188" i="11"/>
  <c r="C187" i="16"/>
  <c r="C147" i="17"/>
  <c r="C107" i="17"/>
  <c r="C147" i="16"/>
  <c r="C107" i="16"/>
  <c r="C148" i="11"/>
  <c r="C108" i="11"/>
  <c r="I106" i="17"/>
  <c r="I107" i="11"/>
  <c r="I106" i="16"/>
  <c r="AG134" i="7"/>
  <c r="AJ134" i="7"/>
  <c r="AI134" i="7"/>
  <c r="AK134" i="7"/>
  <c r="AO134" i="7"/>
  <c r="AH134" i="7"/>
  <c r="AL134" i="7"/>
  <c r="AA134" i="7"/>
  <c r="I185" i="16"/>
  <c r="AM133" i="7"/>
  <c r="AM25" i="19"/>
  <c r="AO25" i="19" s="1"/>
  <c r="AP25" i="19" s="1"/>
  <c r="BJ25" i="19" s="1"/>
  <c r="BL25" i="19" s="1"/>
  <c r="BN25" i="19" s="1"/>
  <c r="AL25" i="19"/>
  <c r="AN25" i="19" s="1"/>
  <c r="AC25" i="18"/>
  <c r="AE25" i="18" s="1"/>
  <c r="AF25" i="18" s="1"/>
  <c r="BC25" i="18" s="1"/>
  <c r="BE25" i="18" s="1"/>
  <c r="BG25" i="18" s="1"/>
  <c r="AB25" i="18"/>
  <c r="AD25" i="18" s="1"/>
  <c r="I186" i="11"/>
  <c r="AW135" i="7"/>
  <c r="E135" i="7"/>
  <c r="G135" i="7" s="1"/>
  <c r="I147" i="11"/>
  <c r="I185" i="17"/>
  <c r="B129" i="4"/>
  <c r="K129" i="4" s="1"/>
  <c r="C129" i="4"/>
  <c r="E128" i="4"/>
  <c r="M128" i="4" s="1"/>
  <c r="D186" i="17"/>
  <c r="CA106" i="17" s="1"/>
  <c r="D186" i="16"/>
  <c r="CA106" i="16" s="1"/>
  <c r="D187" i="11"/>
  <c r="CA107" i="11" s="1"/>
  <c r="I146" i="16"/>
  <c r="I146" i="17"/>
  <c r="AB25" i="19"/>
  <c r="AD25" i="19" s="1"/>
  <c r="AC25" i="19"/>
  <c r="AE25" i="19" s="1"/>
  <c r="AF25" i="19" s="1"/>
  <c r="BC25" i="19" s="1"/>
  <c r="BE25" i="19" s="1"/>
  <c r="BG25" i="19" s="1"/>
  <c r="K173" i="6"/>
  <c r="K207" i="6"/>
  <c r="AL25" i="3"/>
  <c r="AN25" i="3" s="1"/>
  <c r="AM25" i="3"/>
  <c r="AO25" i="3" s="1"/>
  <c r="AP25" i="3" s="1"/>
  <c r="BJ25" i="3" s="1"/>
  <c r="BL25" i="3" s="1"/>
  <c r="BN25" i="3" s="1"/>
  <c r="E169" i="7"/>
  <c r="G169" i="7" s="1"/>
  <c r="AW169" i="7"/>
  <c r="D129" i="4"/>
  <c r="D147" i="17"/>
  <c r="BX107" i="17" s="1"/>
  <c r="D107" i="17"/>
  <c r="D107" i="16"/>
  <c r="D147" i="16"/>
  <c r="BX107" i="16" s="1"/>
  <c r="D148" i="11"/>
  <c r="BX108" i="11" s="1"/>
  <c r="D108" i="11"/>
  <c r="AL25" i="6"/>
  <c r="A188" i="17"/>
  <c r="A210" i="6"/>
  <c r="A74" i="6"/>
  <c r="A142" i="6"/>
  <c r="BB86" i="3"/>
  <c r="BI86" i="3"/>
  <c r="AR26" i="6"/>
  <c r="BD26" i="6"/>
  <c r="Z26" i="6"/>
  <c r="AF26" i="6"/>
  <c r="N183" i="17"/>
  <c r="H184" i="17"/>
  <c r="H183" i="17"/>
  <c r="H182" i="17"/>
  <c r="H184" i="16"/>
  <c r="A98" i="19"/>
  <c r="A189" i="11"/>
  <c r="A188" i="16"/>
  <c r="N183" i="16"/>
  <c r="H183" i="16"/>
  <c r="H182" i="16"/>
  <c r="N184" i="11"/>
  <c r="O183" i="11"/>
  <c r="H109" i="17"/>
  <c r="H109" i="16"/>
  <c r="H142" i="16"/>
  <c r="H142" i="17"/>
  <c r="N144" i="11"/>
  <c r="O144" i="11" s="1"/>
  <c r="A205" i="7"/>
  <c r="A168" i="8"/>
  <c r="A176" i="6"/>
  <c r="A100" i="8"/>
  <c r="A134" i="8"/>
  <c r="A98" i="18"/>
  <c r="N143" i="17"/>
  <c r="O143" i="17" s="1"/>
  <c r="K105" i="17"/>
  <c r="K104" i="17"/>
  <c r="K102" i="17"/>
  <c r="A171" i="7"/>
  <c r="A148" i="17"/>
  <c r="A108" i="17"/>
  <c r="A108" i="6"/>
  <c r="K103" i="17"/>
  <c r="W103" i="17"/>
  <c r="W104" i="11"/>
  <c r="X104" i="11" s="1"/>
  <c r="N143" i="16"/>
  <c r="O143" i="16" s="1"/>
  <c r="A148" i="16"/>
  <c r="A108" i="16"/>
  <c r="W103" i="16"/>
  <c r="A109" i="11"/>
  <c r="A149" i="11"/>
  <c r="X109" i="11"/>
  <c r="H110" i="11"/>
  <c r="Q110" i="11" s="1"/>
  <c r="A137" i="7"/>
  <c r="A40" i="6"/>
  <c r="W39" i="6" s="1"/>
  <c r="BH39" i="6" s="1"/>
  <c r="A130" i="4"/>
  <c r="A98" i="3"/>
  <c r="A230" i="9" l="1"/>
  <c r="A162" i="9"/>
  <c r="A94" i="9"/>
  <c r="A196" i="9"/>
  <c r="A128" i="9"/>
  <c r="A264" i="9"/>
  <c r="L129" i="4"/>
  <c r="H146" i="16"/>
  <c r="H185" i="17"/>
  <c r="H146" i="17"/>
  <c r="AB25" i="3"/>
  <c r="AD25" i="3" s="1"/>
  <c r="AC25" i="3"/>
  <c r="AE25" i="3" s="1"/>
  <c r="AF25" i="3" s="1"/>
  <c r="BC25" i="3" s="1"/>
  <c r="BE25" i="3" s="1"/>
  <c r="BG25" i="3" s="1"/>
  <c r="AA26" i="3"/>
  <c r="AC26" i="3" s="1"/>
  <c r="N145" i="11"/>
  <c r="O145" i="11" s="1"/>
  <c r="P23" i="23"/>
  <c r="I147" i="16"/>
  <c r="I186" i="16"/>
  <c r="K38" i="6"/>
  <c r="K72" i="6"/>
  <c r="AL26" i="19"/>
  <c r="AN26" i="19" s="1"/>
  <c r="AM26" i="19"/>
  <c r="AO26" i="19" s="1"/>
  <c r="AP26" i="19" s="1"/>
  <c r="BJ26" i="19" s="1"/>
  <c r="BL26" i="19" s="1"/>
  <c r="BN26" i="19" s="1"/>
  <c r="AL26" i="18"/>
  <c r="AN26" i="18" s="1"/>
  <c r="AM26" i="18"/>
  <c r="AO26" i="18" s="1"/>
  <c r="AP26" i="18" s="1"/>
  <c r="BJ26" i="18" s="1"/>
  <c r="BL26" i="18" s="1"/>
  <c r="BN26" i="18" s="1"/>
  <c r="I186" i="17"/>
  <c r="K174" i="6"/>
  <c r="K208" i="6"/>
  <c r="E204" i="7"/>
  <c r="G204" i="7" s="1"/>
  <c r="AA204" i="7" s="1"/>
  <c r="AW204" i="7"/>
  <c r="I187" i="11"/>
  <c r="E129" i="4"/>
  <c r="M129" i="4" s="1"/>
  <c r="D187" i="17"/>
  <c r="CA107" i="17" s="1"/>
  <c r="D187" i="16"/>
  <c r="CA107" i="16" s="1"/>
  <c r="D188" i="11"/>
  <c r="CA108" i="11" s="1"/>
  <c r="I108" i="11"/>
  <c r="I107" i="17"/>
  <c r="I107" i="16"/>
  <c r="E136" i="7"/>
  <c r="G136" i="7" s="1"/>
  <c r="AW136" i="7"/>
  <c r="D130" i="4"/>
  <c r="D148" i="17"/>
  <c r="BX108" i="17" s="1"/>
  <c r="D148" i="16"/>
  <c r="BX108" i="16" s="1"/>
  <c r="D108" i="17"/>
  <c r="D108" i="16"/>
  <c r="D149" i="11"/>
  <c r="BX109" i="11" s="1"/>
  <c r="D109" i="11"/>
  <c r="B188" i="17"/>
  <c r="B188" i="16"/>
  <c r="B189" i="11"/>
  <c r="B98" i="19"/>
  <c r="B205" i="7"/>
  <c r="B98" i="18"/>
  <c r="B148" i="17"/>
  <c r="B108" i="17"/>
  <c r="B171" i="7"/>
  <c r="B108" i="16"/>
  <c r="B148" i="16"/>
  <c r="B149" i="11"/>
  <c r="B109" i="11"/>
  <c r="B98" i="3"/>
  <c r="B137" i="7"/>
  <c r="F147" i="17"/>
  <c r="F187" i="17"/>
  <c r="F187" i="16"/>
  <c r="F188" i="11"/>
  <c r="F148" i="11"/>
  <c r="F147" i="16"/>
  <c r="AC26" i="19"/>
  <c r="AE26" i="19" s="1"/>
  <c r="AF26" i="19" s="1"/>
  <c r="BC26" i="19" s="1"/>
  <c r="BE26" i="19" s="1"/>
  <c r="BG26" i="19" s="1"/>
  <c r="AB26" i="19"/>
  <c r="AD26" i="19" s="1"/>
  <c r="K106" i="6"/>
  <c r="K140" i="6"/>
  <c r="AA27" i="18"/>
  <c r="AA27" i="19"/>
  <c r="AK27" i="3"/>
  <c r="AK27" i="19"/>
  <c r="AK27" i="18"/>
  <c r="AH169" i="7"/>
  <c r="AL169" i="7"/>
  <c r="AK169" i="7"/>
  <c r="AG169" i="7"/>
  <c r="AJ169" i="7"/>
  <c r="AO169" i="7"/>
  <c r="AI169" i="7"/>
  <c r="AA169" i="7"/>
  <c r="AC26" i="18"/>
  <c r="AE26" i="18" s="1"/>
  <c r="AF26" i="18" s="1"/>
  <c r="BC26" i="18" s="1"/>
  <c r="BE26" i="18" s="1"/>
  <c r="BG26" i="18" s="1"/>
  <c r="AB26" i="18"/>
  <c r="AD26" i="18" s="1"/>
  <c r="I147" i="17"/>
  <c r="C130" i="4"/>
  <c r="B130" i="4"/>
  <c r="K130" i="4" s="1"/>
  <c r="AM134" i="7"/>
  <c r="E105" i="4"/>
  <c r="D104" i="4"/>
  <c r="BB60" i="10" s="1"/>
  <c r="AO135" i="7"/>
  <c r="AI135" i="7"/>
  <c r="AL135" i="7"/>
  <c r="AA135" i="7"/>
  <c r="AK135" i="7"/>
  <c r="AH135" i="7"/>
  <c r="AG135" i="7"/>
  <c r="AJ135" i="7"/>
  <c r="AM168" i="7"/>
  <c r="AW170" i="7"/>
  <c r="E170" i="7"/>
  <c r="G170" i="7" s="1"/>
  <c r="I148" i="11"/>
  <c r="C188" i="17"/>
  <c r="C189" i="11"/>
  <c r="C188" i="16"/>
  <c r="C148" i="17"/>
  <c r="C108" i="17"/>
  <c r="C108" i="16"/>
  <c r="C148" i="16"/>
  <c r="C149" i="11"/>
  <c r="C109" i="11"/>
  <c r="AL26" i="3"/>
  <c r="AN26" i="3" s="1"/>
  <c r="AM26" i="3"/>
  <c r="AO26" i="3" s="1"/>
  <c r="AP26" i="3" s="1"/>
  <c r="BJ26" i="3" s="1"/>
  <c r="BL26" i="3" s="1"/>
  <c r="BN26" i="3" s="1"/>
  <c r="T109" i="17"/>
  <c r="S109" i="17"/>
  <c r="Q109" i="17"/>
  <c r="R109" i="17"/>
  <c r="T109" i="16"/>
  <c r="Q109" i="16"/>
  <c r="U109" i="16"/>
  <c r="R109" i="16"/>
  <c r="S109" i="16"/>
  <c r="A189" i="17"/>
  <c r="J177" i="17" s="1"/>
  <c r="J178" i="17" s="1"/>
  <c r="J179" i="17" s="1"/>
  <c r="J180" i="17" s="1"/>
  <c r="J181" i="17" s="1"/>
  <c r="J182" i="17" s="1"/>
  <c r="J183" i="17" s="1"/>
  <c r="J184" i="17" s="1"/>
  <c r="J185" i="17" s="1"/>
  <c r="J186" i="17" s="1"/>
  <c r="J187" i="17" s="1"/>
  <c r="J188" i="17" s="1"/>
  <c r="A211" i="6"/>
  <c r="A143" i="6"/>
  <c r="A75" i="6"/>
  <c r="AL26" i="6"/>
  <c r="AX26" i="6"/>
  <c r="O183" i="17"/>
  <c r="N184" i="17"/>
  <c r="O183" i="16"/>
  <c r="N184" i="16"/>
  <c r="H185" i="16"/>
  <c r="A99" i="19"/>
  <c r="A190" i="11"/>
  <c r="A189" i="16"/>
  <c r="O184" i="11"/>
  <c r="N185" i="11"/>
  <c r="H143" i="16"/>
  <c r="X109" i="17"/>
  <c r="U109" i="17"/>
  <c r="H110" i="17"/>
  <c r="H110" i="16"/>
  <c r="X109" i="16"/>
  <c r="N144" i="16"/>
  <c r="O144" i="16" s="1"/>
  <c r="H143" i="17"/>
  <c r="A206" i="7"/>
  <c r="A169" i="8"/>
  <c r="A177" i="6"/>
  <c r="A135" i="8"/>
  <c r="A101" i="8"/>
  <c r="A99" i="18"/>
  <c r="W105" i="11"/>
  <c r="X105" i="11" s="1"/>
  <c r="N144" i="17"/>
  <c r="O144" i="17" s="1"/>
  <c r="X103" i="17"/>
  <c r="W104" i="17"/>
  <c r="A172" i="7"/>
  <c r="A149" i="17"/>
  <c r="A109" i="17"/>
  <c r="A109" i="6"/>
  <c r="X103" i="16"/>
  <c r="W104" i="16"/>
  <c r="A149" i="16"/>
  <c r="A109" i="16"/>
  <c r="A110" i="11"/>
  <c r="A150" i="11"/>
  <c r="X110" i="11"/>
  <c r="U110" i="11"/>
  <c r="T110" i="11"/>
  <c r="S110" i="11"/>
  <c r="R110" i="11"/>
  <c r="H111" i="11"/>
  <c r="Q111" i="11" s="1"/>
  <c r="A138" i="7"/>
  <c r="A41" i="6"/>
  <c r="W40" i="6" s="1"/>
  <c r="BH40" i="6" s="1"/>
  <c r="A131" i="4"/>
  <c r="A99" i="3"/>
  <c r="A231" i="9" l="1"/>
  <c r="A265" i="9"/>
  <c r="A197" i="9"/>
  <c r="A163" i="9"/>
  <c r="A95" i="9"/>
  <c r="A129" i="9"/>
  <c r="L130" i="4"/>
  <c r="H186" i="17"/>
  <c r="H186" i="16"/>
  <c r="AE26" i="3"/>
  <c r="AF26" i="3" s="1"/>
  <c r="BC26" i="3" s="1"/>
  <c r="BE26" i="3" s="1"/>
  <c r="BG26" i="3" s="1"/>
  <c r="N146" i="11"/>
  <c r="O146" i="11" s="1"/>
  <c r="AA27" i="3"/>
  <c r="AB26" i="3"/>
  <c r="AD26" i="3" s="1"/>
  <c r="Q23" i="23"/>
  <c r="AM169" i="7"/>
  <c r="AM135" i="7"/>
  <c r="C189" i="17"/>
  <c r="C190" i="11"/>
  <c r="C189" i="16"/>
  <c r="C149" i="17"/>
  <c r="C109" i="17"/>
  <c r="C109" i="16"/>
  <c r="C149" i="16"/>
  <c r="C150" i="11"/>
  <c r="C110" i="11"/>
  <c r="AB27" i="19"/>
  <c r="AD27" i="19" s="1"/>
  <c r="AC27" i="19"/>
  <c r="AE27" i="19" s="1"/>
  <c r="AF27" i="19" s="1"/>
  <c r="BC27" i="19" s="1"/>
  <c r="BE27" i="19" s="1"/>
  <c r="BG27" i="19" s="1"/>
  <c r="I148" i="16"/>
  <c r="I188" i="11"/>
  <c r="AB27" i="18"/>
  <c r="AD27" i="18" s="1"/>
  <c r="AC27" i="18"/>
  <c r="AE27" i="18" s="1"/>
  <c r="AF27" i="18" s="1"/>
  <c r="BC27" i="18" s="1"/>
  <c r="BE27" i="18" s="1"/>
  <c r="BG27" i="18" s="1"/>
  <c r="I148" i="17"/>
  <c r="I187" i="16"/>
  <c r="B189" i="17"/>
  <c r="B190" i="11"/>
  <c r="B189" i="16"/>
  <c r="B99" i="19"/>
  <c r="B206" i="7"/>
  <c r="B99" i="18"/>
  <c r="B149" i="17"/>
  <c r="B109" i="17"/>
  <c r="B172" i="7"/>
  <c r="B109" i="16"/>
  <c r="B149" i="16"/>
  <c r="B150" i="11"/>
  <c r="B110" i="11"/>
  <c r="B99" i="3"/>
  <c r="B138" i="7"/>
  <c r="D131" i="4"/>
  <c r="D149" i="17"/>
  <c r="BX109" i="17" s="1"/>
  <c r="D149" i="16"/>
  <c r="BX109" i="16" s="1"/>
  <c r="D109" i="17"/>
  <c r="D109" i="16"/>
  <c r="D150" i="11"/>
  <c r="BX110" i="11" s="1"/>
  <c r="D110" i="11"/>
  <c r="I187" i="17"/>
  <c r="AW205" i="7"/>
  <c r="E205" i="7"/>
  <c r="G205" i="7" s="1"/>
  <c r="AA205" i="7" s="1"/>
  <c r="E130" i="4"/>
  <c r="M130" i="4" s="1"/>
  <c r="D188" i="17"/>
  <c r="CA108" i="17" s="1"/>
  <c r="D189" i="11"/>
  <c r="CA109" i="11" s="1"/>
  <c r="D188" i="16"/>
  <c r="CA108" i="16" s="1"/>
  <c r="F149" i="11"/>
  <c r="F148" i="16"/>
  <c r="F148" i="17"/>
  <c r="F188" i="17"/>
  <c r="F189" i="11"/>
  <c r="F188" i="16"/>
  <c r="AM27" i="18"/>
  <c r="AO27" i="18" s="1"/>
  <c r="AP27" i="18" s="1"/>
  <c r="BJ27" i="18" s="1"/>
  <c r="BL27" i="18" s="1"/>
  <c r="BN27" i="18" s="1"/>
  <c r="AL27" i="18"/>
  <c r="AN27" i="18" s="1"/>
  <c r="I108" i="16"/>
  <c r="I108" i="17"/>
  <c r="I109" i="11"/>
  <c r="AM27" i="19"/>
  <c r="AO27" i="19" s="1"/>
  <c r="AP27" i="19" s="1"/>
  <c r="BJ27" i="19" s="1"/>
  <c r="BL27" i="19" s="1"/>
  <c r="BN27" i="19" s="1"/>
  <c r="AL27" i="19"/>
  <c r="AN27" i="19" s="1"/>
  <c r="AW137" i="7"/>
  <c r="E137" i="7"/>
  <c r="G137" i="7" s="1"/>
  <c r="K73" i="6"/>
  <c r="K39" i="6"/>
  <c r="AL136" i="7"/>
  <c r="AI136" i="7"/>
  <c r="AJ136" i="7"/>
  <c r="AA136" i="7"/>
  <c r="AH136" i="7"/>
  <c r="AO136" i="7"/>
  <c r="AK136" i="7"/>
  <c r="AG136" i="7"/>
  <c r="K175" i="6"/>
  <c r="K209" i="6"/>
  <c r="E104" i="4"/>
  <c r="D103" i="4"/>
  <c r="BB59" i="10" s="1"/>
  <c r="E171" i="7"/>
  <c r="G171" i="7" s="1"/>
  <c r="AW171" i="7"/>
  <c r="AO170" i="7"/>
  <c r="AA170" i="7"/>
  <c r="AH170" i="7"/>
  <c r="AJ170" i="7"/>
  <c r="AK170" i="7"/>
  <c r="AG170" i="7"/>
  <c r="AI170" i="7"/>
  <c r="AL170" i="7"/>
  <c r="AA28" i="19"/>
  <c r="AK28" i="18"/>
  <c r="AA28" i="18"/>
  <c r="AK28" i="3"/>
  <c r="AK28" i="19"/>
  <c r="K107" i="6"/>
  <c r="K141" i="6"/>
  <c r="AM27" i="3"/>
  <c r="AO27" i="3" s="1"/>
  <c r="AP27" i="3" s="1"/>
  <c r="BJ27" i="3" s="1"/>
  <c r="BL27" i="3" s="1"/>
  <c r="BN27" i="3" s="1"/>
  <c r="AL27" i="3"/>
  <c r="AN27" i="3" s="1"/>
  <c r="I149" i="11"/>
  <c r="C131" i="4"/>
  <c r="B131" i="4"/>
  <c r="K131" i="4" s="1"/>
  <c r="Q110" i="17"/>
  <c r="T110" i="17"/>
  <c r="S110" i="17"/>
  <c r="R110" i="17"/>
  <c r="S110" i="16"/>
  <c r="T110" i="16"/>
  <c r="Q110" i="16"/>
  <c r="R110" i="16"/>
  <c r="U110" i="16"/>
  <c r="J189" i="11"/>
  <c r="J185" i="11"/>
  <c r="K185" i="11" s="1"/>
  <c r="J181" i="11"/>
  <c r="K181" i="11" s="1"/>
  <c r="AK181" i="11" s="1"/>
  <c r="G186" i="11"/>
  <c r="G182" i="11"/>
  <c r="G178" i="11"/>
  <c r="G145" i="11"/>
  <c r="J178" i="11"/>
  <c r="K178" i="11" s="1"/>
  <c r="AK178" i="11" s="1"/>
  <c r="G179" i="11"/>
  <c r="J188" i="11"/>
  <c r="J184" i="11"/>
  <c r="K184" i="11" s="1"/>
  <c r="J180" i="11"/>
  <c r="K180" i="11" s="1"/>
  <c r="AK180" i="11" s="1"/>
  <c r="G189" i="11"/>
  <c r="G185" i="11"/>
  <c r="G181" i="11"/>
  <c r="G140" i="11"/>
  <c r="G148" i="11"/>
  <c r="J182" i="11"/>
  <c r="K182" i="11" s="1"/>
  <c r="AK182" i="11" s="1"/>
  <c r="G187" i="11"/>
  <c r="J187" i="11"/>
  <c r="K187" i="11" s="1"/>
  <c r="AK187" i="11" s="1"/>
  <c r="J183" i="11"/>
  <c r="K183" i="11" s="1"/>
  <c r="AK183" i="11" s="1"/>
  <c r="J179" i="11"/>
  <c r="K179" i="11" s="1"/>
  <c r="AK179" i="11" s="1"/>
  <c r="G188" i="11"/>
  <c r="G184" i="11"/>
  <c r="G180" i="11"/>
  <c r="G141" i="11"/>
  <c r="H141" i="11" s="1"/>
  <c r="G149" i="11"/>
  <c r="G144" i="11"/>
  <c r="J186" i="11"/>
  <c r="K186" i="11" s="1"/>
  <c r="G183" i="11"/>
  <c r="G147" i="11"/>
  <c r="G138" i="11"/>
  <c r="G143" i="11"/>
  <c r="G139" i="11"/>
  <c r="G146" i="11"/>
  <c r="G142" i="11"/>
  <c r="N145" i="16"/>
  <c r="O145" i="16" s="1"/>
  <c r="O97" i="17"/>
  <c r="T97" i="17" s="1"/>
  <c r="L97" i="17"/>
  <c r="Q97" i="17" s="1"/>
  <c r="P97" i="17"/>
  <c r="P98" i="17" s="1"/>
  <c r="P99" i="17" s="1"/>
  <c r="P100" i="17" s="1"/>
  <c r="P101" i="17" s="1"/>
  <c r="P102" i="17" s="1"/>
  <c r="P103" i="17" s="1"/>
  <c r="P104" i="17" s="1"/>
  <c r="P105" i="17" s="1"/>
  <c r="P106" i="17" s="1"/>
  <c r="P107" i="17" s="1"/>
  <c r="P108" i="17" s="1"/>
  <c r="M97" i="17"/>
  <c r="R97" i="17" s="1"/>
  <c r="N97" i="17"/>
  <c r="S97" i="17" s="1"/>
  <c r="J137" i="17"/>
  <c r="J138" i="17" s="1"/>
  <c r="J139" i="17" s="1"/>
  <c r="J140" i="17" s="1"/>
  <c r="J141" i="17" s="1"/>
  <c r="J142" i="17" s="1"/>
  <c r="J143" i="17" s="1"/>
  <c r="J144" i="17" s="1"/>
  <c r="J145" i="17" s="1"/>
  <c r="J146" i="17" s="1"/>
  <c r="J147" i="17" s="1"/>
  <c r="J148" i="17" s="1"/>
  <c r="N97" i="16"/>
  <c r="S97" i="16" s="1"/>
  <c r="M97" i="16"/>
  <c r="O97" i="16"/>
  <c r="T97" i="16" s="1"/>
  <c r="J137" i="16"/>
  <c r="J138" i="16" s="1"/>
  <c r="J139" i="16" s="1"/>
  <c r="J140" i="16" s="1"/>
  <c r="J141" i="16" s="1"/>
  <c r="J142" i="16" s="1"/>
  <c r="J143" i="16" s="1"/>
  <c r="J144" i="16" s="1"/>
  <c r="J145" i="16" s="1"/>
  <c r="J146" i="16" s="1"/>
  <c r="J147" i="16" s="1"/>
  <c r="J148" i="16" s="1"/>
  <c r="J177" i="16"/>
  <c r="J178" i="16" s="1"/>
  <c r="J179" i="16" s="1"/>
  <c r="J180" i="16" s="1"/>
  <c r="J181" i="16" s="1"/>
  <c r="J182" i="16" s="1"/>
  <c r="J183" i="16" s="1"/>
  <c r="J184" i="16" s="1"/>
  <c r="J185" i="16" s="1"/>
  <c r="J186" i="16" s="1"/>
  <c r="J187" i="16" s="1"/>
  <c r="J188" i="16" s="1"/>
  <c r="N98" i="11"/>
  <c r="S98" i="11" s="1"/>
  <c r="J100" i="11"/>
  <c r="K100" i="11" s="1"/>
  <c r="J104" i="11"/>
  <c r="J108" i="11"/>
  <c r="J101" i="11"/>
  <c r="J105" i="11"/>
  <c r="J109" i="11"/>
  <c r="J99" i="11"/>
  <c r="J107" i="11"/>
  <c r="J102" i="11"/>
  <c r="J103" i="11"/>
  <c r="J106" i="11"/>
  <c r="J98" i="11"/>
  <c r="J141" i="11"/>
  <c r="J145" i="11"/>
  <c r="J138" i="11"/>
  <c r="K138" i="11" s="1"/>
  <c r="AK138" i="11" s="1"/>
  <c r="J142" i="11"/>
  <c r="J146" i="11"/>
  <c r="J143" i="11"/>
  <c r="J144" i="11"/>
  <c r="J139" i="11"/>
  <c r="J147" i="11"/>
  <c r="J140" i="11"/>
  <c r="J148" i="11"/>
  <c r="L97" i="16"/>
  <c r="Q97" i="16" s="1"/>
  <c r="A190" i="17"/>
  <c r="A212" i="6"/>
  <c r="A76" i="6"/>
  <c r="A144" i="6"/>
  <c r="O184" i="17"/>
  <c r="N185" i="17"/>
  <c r="O185" i="17" s="1"/>
  <c r="K177" i="17"/>
  <c r="AK177" i="17" s="1"/>
  <c r="A100" i="19"/>
  <c r="A190" i="16"/>
  <c r="A191" i="11"/>
  <c r="O184" i="16"/>
  <c r="N185" i="16"/>
  <c r="O185" i="16" s="1"/>
  <c r="O185" i="11"/>
  <c r="N186" i="11"/>
  <c r="O186" i="11" s="1"/>
  <c r="V109" i="16"/>
  <c r="Y109" i="16" s="1"/>
  <c r="Z109" i="16" s="1"/>
  <c r="X110" i="16"/>
  <c r="X110" i="17"/>
  <c r="U110" i="17"/>
  <c r="V109" i="17"/>
  <c r="Y109" i="17" s="1"/>
  <c r="Z109" i="17" s="1"/>
  <c r="H111" i="17"/>
  <c r="H111" i="16"/>
  <c r="H144" i="16"/>
  <c r="H144" i="17"/>
  <c r="M98" i="11"/>
  <c r="R98" i="11" s="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0" i="18"/>
  <c r="N145" i="17"/>
  <c r="O145" i="17" s="1"/>
  <c r="X104" i="17"/>
  <c r="W105" i="17"/>
  <c r="X105" i="17" s="1"/>
  <c r="E97" i="17"/>
  <c r="F97"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0" i="17"/>
  <c r="A110" i="17"/>
  <c r="A110" i="6"/>
  <c r="L98" i="11"/>
  <c r="Q98" i="11" s="1"/>
  <c r="E97" i="16"/>
  <c r="F97" i="16"/>
  <c r="O98" i="11"/>
  <c r="T98" i="11" s="1"/>
  <c r="P98" i="11"/>
  <c r="U98" i="11" s="1"/>
  <c r="P97" i="16"/>
  <c r="U97" i="16" s="1"/>
  <c r="X104" i="16"/>
  <c r="W105" i="16"/>
  <c r="X105" i="16" s="1"/>
  <c r="A150" i="16"/>
  <c r="A110" i="16"/>
  <c r="A111" i="11"/>
  <c r="A151" i="11"/>
  <c r="X111" i="11"/>
  <c r="U111" i="11"/>
  <c r="T111" i="11"/>
  <c r="S111" i="11"/>
  <c r="R111" i="11"/>
  <c r="V110" i="11"/>
  <c r="H112" i="11"/>
  <c r="Q112" i="11" s="1"/>
  <c r="A139" i="7"/>
  <c r="A132" i="4"/>
  <c r="A42" i="6"/>
  <c r="W41" i="6" s="1"/>
  <c r="BH41" i="6" s="1"/>
  <c r="A100" i="3"/>
  <c r="A266" i="9" l="1"/>
  <c r="A130" i="9"/>
  <c r="A232" i="9"/>
  <c r="A198" i="9"/>
  <c r="A164" i="9"/>
  <c r="A96" i="9"/>
  <c r="B128" i="9"/>
  <c r="B94" i="9"/>
  <c r="L131" i="4"/>
  <c r="G109" i="17"/>
  <c r="AR99" i="19" s="1"/>
  <c r="AU99" i="19" s="1"/>
  <c r="N98" i="16"/>
  <c r="S98" i="16" s="1"/>
  <c r="AC27" i="3"/>
  <c r="AE27" i="3" s="1"/>
  <c r="AF27" i="3" s="1"/>
  <c r="BC27" i="3" s="1"/>
  <c r="BE27" i="3" s="1"/>
  <c r="BG27" i="3" s="1"/>
  <c r="AB27" i="3"/>
  <c r="AD27" i="3" s="1"/>
  <c r="K188" i="11"/>
  <c r="P188" i="11" s="1"/>
  <c r="Q188" i="11" s="1"/>
  <c r="M185" i="11"/>
  <c r="AK185" i="11"/>
  <c r="M184" i="11"/>
  <c r="AK184" i="11"/>
  <c r="AA28" i="3"/>
  <c r="M186" i="11"/>
  <c r="AK186" i="11"/>
  <c r="R23" i="23"/>
  <c r="AM28" i="18"/>
  <c r="AO28" i="18" s="1"/>
  <c r="AP28" i="18" s="1"/>
  <c r="BJ28" i="18" s="1"/>
  <c r="BL28" i="18" s="1"/>
  <c r="BN28" i="18" s="1"/>
  <c r="AL28" i="18"/>
  <c r="AN28" i="18" s="1"/>
  <c r="AJ137" i="7"/>
  <c r="AK137" i="7"/>
  <c r="AG137" i="7"/>
  <c r="AH137" i="7"/>
  <c r="AL137" i="7"/>
  <c r="AA137" i="7"/>
  <c r="AO137" i="7"/>
  <c r="AI137" i="7"/>
  <c r="F149" i="17"/>
  <c r="F189" i="17"/>
  <c r="F150" i="11"/>
  <c r="F189" i="16"/>
  <c r="F149" i="16"/>
  <c r="F190" i="11"/>
  <c r="AC28" i="19"/>
  <c r="AE28" i="19" s="1"/>
  <c r="AF28" i="19" s="1"/>
  <c r="BC28" i="19" s="1"/>
  <c r="BE28" i="19" s="1"/>
  <c r="BG28" i="19" s="1"/>
  <c r="AB28" i="19"/>
  <c r="AD28" i="19" s="1"/>
  <c r="AA29" i="18"/>
  <c r="AA29" i="19"/>
  <c r="AK29" i="19"/>
  <c r="AK29" i="3"/>
  <c r="AK29" i="18"/>
  <c r="K74" i="6"/>
  <c r="K40" i="6"/>
  <c r="I150" i="11"/>
  <c r="B190" i="17"/>
  <c r="B191" i="11"/>
  <c r="B190" i="16"/>
  <c r="B100" i="19"/>
  <c r="B207" i="7"/>
  <c r="B100" i="18"/>
  <c r="B110" i="17"/>
  <c r="B150" i="17"/>
  <c r="B173" i="7"/>
  <c r="B150" i="16"/>
  <c r="B110" i="16"/>
  <c r="B151" i="11"/>
  <c r="B111" i="11"/>
  <c r="B100" i="3"/>
  <c r="B139" i="7"/>
  <c r="D102" i="4"/>
  <c r="BB58" i="10" s="1"/>
  <c r="E103" i="4"/>
  <c r="I188" i="16"/>
  <c r="AW172" i="7"/>
  <c r="E172" i="7"/>
  <c r="G172" i="7" s="1"/>
  <c r="P184" i="11"/>
  <c r="Q184" i="11" s="1"/>
  <c r="C190" i="17"/>
  <c r="C191" i="11"/>
  <c r="C190" i="16"/>
  <c r="C150" i="17"/>
  <c r="C110" i="17"/>
  <c r="C150" i="16"/>
  <c r="C110" i="16"/>
  <c r="C151" i="11"/>
  <c r="C111" i="11"/>
  <c r="AM170" i="7"/>
  <c r="I189" i="11"/>
  <c r="AW99" i="19"/>
  <c r="AV99" i="19"/>
  <c r="AM28" i="19"/>
  <c r="AO28" i="19" s="1"/>
  <c r="AP28" i="19" s="1"/>
  <c r="BJ28" i="19" s="1"/>
  <c r="BL28" i="19" s="1"/>
  <c r="BN28" i="19" s="1"/>
  <c r="AL28" i="19"/>
  <c r="AN28" i="19" s="1"/>
  <c r="I188" i="17"/>
  <c r="I149" i="16"/>
  <c r="AM28" i="3"/>
  <c r="AO28" i="3" s="1"/>
  <c r="AP28" i="3" s="1"/>
  <c r="BJ28" i="3" s="1"/>
  <c r="BL28" i="3" s="1"/>
  <c r="BN28" i="3" s="1"/>
  <c r="AL28" i="3"/>
  <c r="AN28" i="3" s="1"/>
  <c r="E131" i="4"/>
  <c r="M131" i="4" s="1"/>
  <c r="D190" i="11"/>
  <c r="CA110" i="11" s="1"/>
  <c r="D189" i="16"/>
  <c r="CA109" i="16" s="1"/>
  <c r="D189" i="17"/>
  <c r="CA109" i="17" s="1"/>
  <c r="I149" i="17"/>
  <c r="D132" i="4"/>
  <c r="D110" i="17"/>
  <c r="D110" i="16"/>
  <c r="D150" i="16"/>
  <c r="BX110" i="16" s="1"/>
  <c r="D150" i="17"/>
  <c r="BX110" i="17" s="1"/>
  <c r="D151" i="11"/>
  <c r="BX111" i="11" s="1"/>
  <c r="D111" i="11"/>
  <c r="AW206" i="7"/>
  <c r="E206" i="7"/>
  <c r="G206" i="7" s="1"/>
  <c r="AA171" i="7"/>
  <c r="AG171" i="7"/>
  <c r="AO171" i="7"/>
  <c r="AJ171" i="7"/>
  <c r="AI171" i="7"/>
  <c r="AL171" i="7"/>
  <c r="AK171" i="7"/>
  <c r="AH171" i="7"/>
  <c r="C132" i="4"/>
  <c r="B132" i="4"/>
  <c r="K132" i="4" s="1"/>
  <c r="AB28" i="18"/>
  <c r="AD28" i="18" s="1"/>
  <c r="AC28" i="18"/>
  <c r="AE28" i="18" s="1"/>
  <c r="AF28" i="18" s="1"/>
  <c r="BC28" i="18" s="1"/>
  <c r="BE28" i="18" s="1"/>
  <c r="BG28" i="18" s="1"/>
  <c r="K176" i="6"/>
  <c r="K210" i="6"/>
  <c r="I109" i="16"/>
  <c r="I110" i="11"/>
  <c r="I109" i="17"/>
  <c r="K189" i="11"/>
  <c r="P189" i="11" s="1"/>
  <c r="Q189" i="11" s="1"/>
  <c r="E138" i="7"/>
  <c r="G138" i="7" s="1"/>
  <c r="AW138" i="7"/>
  <c r="K108" i="6"/>
  <c r="K142" i="6"/>
  <c r="AM136" i="7"/>
  <c r="R111" i="17"/>
  <c r="Q111" i="17"/>
  <c r="S111" i="17"/>
  <c r="T111" i="17"/>
  <c r="R111" i="16"/>
  <c r="S111" i="16"/>
  <c r="T111" i="16"/>
  <c r="U111" i="16"/>
  <c r="Q111" i="16"/>
  <c r="N99" i="11"/>
  <c r="S99" i="11" s="1"/>
  <c r="M98" i="17"/>
  <c r="R98" i="17" s="1"/>
  <c r="M180" i="11"/>
  <c r="P180" i="11"/>
  <c r="Q180" i="11" s="1"/>
  <c r="M178" i="11"/>
  <c r="P178" i="11"/>
  <c r="Q178" i="11" s="1"/>
  <c r="P187" i="11"/>
  <c r="Q187" i="11" s="1"/>
  <c r="M187" i="11"/>
  <c r="U97" i="17"/>
  <c r="V97" i="17" s="1"/>
  <c r="L98" i="17"/>
  <c r="M181" i="11"/>
  <c r="P181" i="11"/>
  <c r="Q181" i="11" s="1"/>
  <c r="O98" i="16"/>
  <c r="O98" i="17"/>
  <c r="N98" i="17"/>
  <c r="M179" i="11"/>
  <c r="P179" i="11"/>
  <c r="Q179" i="11" s="1"/>
  <c r="M182" i="11"/>
  <c r="P182" i="11"/>
  <c r="Q182" i="11" s="1"/>
  <c r="S195" i="7"/>
  <c r="AL195" i="7" s="1"/>
  <c r="L98" i="16"/>
  <c r="M98" i="16"/>
  <c r="R97" i="16"/>
  <c r="V97" i="16" s="1"/>
  <c r="Y97" i="16" s="1"/>
  <c r="M183" i="11"/>
  <c r="P183" i="11"/>
  <c r="Q183" i="11" s="1"/>
  <c r="H179" i="11"/>
  <c r="A191" i="17"/>
  <c r="A77" i="6"/>
  <c r="A145" i="6"/>
  <c r="A213" i="6"/>
  <c r="K99" i="11"/>
  <c r="H140" i="11"/>
  <c r="H138" i="11"/>
  <c r="H139" i="11"/>
  <c r="H178" i="11"/>
  <c r="H147" i="11"/>
  <c r="K98" i="11"/>
  <c r="K107" i="11"/>
  <c r="V195" i="7"/>
  <c r="AP195" i="7" s="1"/>
  <c r="U195" i="7"/>
  <c r="AO195" i="7" s="1"/>
  <c r="W195" i="7"/>
  <c r="AQ195" i="7" s="1"/>
  <c r="M177" i="17"/>
  <c r="P177" i="17"/>
  <c r="Q177" i="17" s="1"/>
  <c r="K178" i="17"/>
  <c r="AK178" i="17" s="1"/>
  <c r="A101" i="19"/>
  <c r="A191" i="16"/>
  <c r="A192" i="11"/>
  <c r="P185" i="11"/>
  <c r="Q185" i="11" s="1"/>
  <c r="K101" i="11"/>
  <c r="P186" i="11"/>
  <c r="Q186" i="11" s="1"/>
  <c r="M138" i="11"/>
  <c r="P138" i="11"/>
  <c r="Q138" i="11" s="1"/>
  <c r="X111" i="17"/>
  <c r="U111" i="17"/>
  <c r="V110" i="17"/>
  <c r="Y110" i="17" s="1"/>
  <c r="Z110" i="17" s="1"/>
  <c r="H142" i="11"/>
  <c r="H112" i="17"/>
  <c r="H112" i="16"/>
  <c r="M99" i="11"/>
  <c r="R99" i="11" s="1"/>
  <c r="H145" i="16"/>
  <c r="X111" i="16"/>
  <c r="V110" i="16"/>
  <c r="Y110" i="16" s="1"/>
  <c r="Z110" i="16" s="1"/>
  <c r="H145" i="17"/>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K139" i="11"/>
  <c r="AK139" i="11" s="1"/>
  <c r="Y202" i="7"/>
  <c r="X195" i="7"/>
  <c r="AF194" i="7"/>
  <c r="G97" i="17"/>
  <c r="AR87" i="19" s="1"/>
  <c r="D194" i="7"/>
  <c r="E98" i="17"/>
  <c r="C194" i="7"/>
  <c r="A101" i="18"/>
  <c r="A174" i="7"/>
  <c r="A151" i="17"/>
  <c r="A111" i="17"/>
  <c r="A111" i="6"/>
  <c r="L99" i="11"/>
  <c r="Q99" i="11" s="1"/>
  <c r="V98" i="11"/>
  <c r="Y98" i="11" s="1"/>
  <c r="F98" i="17"/>
  <c r="D195" i="7" s="1"/>
  <c r="F98" i="16"/>
  <c r="D160" i="7"/>
  <c r="E98" i="16"/>
  <c r="C160" i="7"/>
  <c r="P98" i="16"/>
  <c r="U98" i="16" s="1"/>
  <c r="A151" i="16"/>
  <c r="A111" i="16"/>
  <c r="O99" i="11"/>
  <c r="T99" i="11" s="1"/>
  <c r="P99" i="11"/>
  <c r="U99" i="11" s="1"/>
  <c r="A112" i="11"/>
  <c r="A152" i="11"/>
  <c r="Y110" i="11"/>
  <c r="X112" i="11"/>
  <c r="U112" i="11"/>
  <c r="T112" i="11"/>
  <c r="R112" i="11"/>
  <c r="S112" i="11"/>
  <c r="V111" i="11"/>
  <c r="H113" i="11"/>
  <c r="Q113" i="11" s="1"/>
  <c r="A140" i="7"/>
  <c r="A133" i="4"/>
  <c r="A43" i="6"/>
  <c r="W42" i="6" s="1"/>
  <c r="BH42" i="6" s="1"/>
  <c r="A101" i="3"/>
  <c r="A97" i="9" l="1"/>
  <c r="A267" i="9"/>
  <c r="A131" i="9"/>
  <c r="A233" i="9"/>
  <c r="A199" i="9"/>
  <c r="A165" i="9"/>
  <c r="G128" i="9"/>
  <c r="T128" i="9" s="1"/>
  <c r="J128" i="9"/>
  <c r="W128" i="9" s="1"/>
  <c r="H128" i="9"/>
  <c r="U128" i="9" s="1"/>
  <c r="L132" i="4"/>
  <c r="AA98" i="11"/>
  <c r="S196" i="7"/>
  <c r="AL196" i="7" s="1"/>
  <c r="N99" i="16"/>
  <c r="N100" i="16" s="1"/>
  <c r="N101" i="16" s="1"/>
  <c r="G110" i="17"/>
  <c r="AR100" i="19" s="1"/>
  <c r="AU100" i="19" s="1"/>
  <c r="M189" i="11"/>
  <c r="AC28" i="3"/>
  <c r="AE28" i="3" s="1"/>
  <c r="AF28" i="3" s="1"/>
  <c r="BC28" i="3" s="1"/>
  <c r="BE28" i="3" s="1"/>
  <c r="BG28" i="3" s="1"/>
  <c r="AB28" i="3"/>
  <c r="AD28" i="3" s="1"/>
  <c r="R178" i="11"/>
  <c r="S178" i="11" s="1"/>
  <c r="V178" i="11" s="1"/>
  <c r="AA29" i="3"/>
  <c r="R179" i="11"/>
  <c r="S179" i="11" s="1"/>
  <c r="V179" i="11" s="1"/>
  <c r="AK188" i="11"/>
  <c r="M188" i="11"/>
  <c r="AK189" i="11"/>
  <c r="AM171" i="7"/>
  <c r="S23" i="23"/>
  <c r="I189" i="17"/>
  <c r="E173" i="7"/>
  <c r="G173" i="7" s="1"/>
  <c r="AW173" i="7"/>
  <c r="AB206" i="7"/>
  <c r="AC206" i="7"/>
  <c r="AP206" i="7"/>
  <c r="AI206" i="7"/>
  <c r="AD206" i="7"/>
  <c r="AJ206" i="7"/>
  <c r="AH206" i="7"/>
  <c r="AO206" i="7"/>
  <c r="AA206" i="7"/>
  <c r="AR206" i="7"/>
  <c r="AE206" i="7"/>
  <c r="AK206" i="7"/>
  <c r="AQ206" i="7"/>
  <c r="Z206" i="7"/>
  <c r="AL206" i="7"/>
  <c r="AG206" i="7"/>
  <c r="AN206" i="7"/>
  <c r="I189" i="16"/>
  <c r="AC29" i="18"/>
  <c r="AE29" i="18" s="1"/>
  <c r="AF29" i="18" s="1"/>
  <c r="BC29" i="18" s="1"/>
  <c r="BE29" i="18" s="1"/>
  <c r="BG29" i="18" s="1"/>
  <c r="AB29" i="18"/>
  <c r="AD29" i="18" s="1"/>
  <c r="K177" i="6"/>
  <c r="K211" i="6"/>
  <c r="I190" i="11"/>
  <c r="AW100" i="19"/>
  <c r="AV100" i="19"/>
  <c r="B191" i="17"/>
  <c r="B192" i="11"/>
  <c r="B191" i="16"/>
  <c r="B101" i="19"/>
  <c r="B208" i="7"/>
  <c r="B101" i="18"/>
  <c r="B151" i="17"/>
  <c r="B111" i="17"/>
  <c r="B174" i="7"/>
  <c r="B151" i="16"/>
  <c r="B111" i="16"/>
  <c r="B152" i="11"/>
  <c r="B112" i="11"/>
  <c r="B140" i="7"/>
  <c r="B101" i="3"/>
  <c r="E132" i="4"/>
  <c r="M132" i="4" s="1"/>
  <c r="D190" i="16"/>
  <c r="CA110" i="16" s="1"/>
  <c r="D190" i="17"/>
  <c r="CA110" i="17" s="1"/>
  <c r="D191" i="11"/>
  <c r="CA111" i="11" s="1"/>
  <c r="E102" i="4"/>
  <c r="D101" i="4"/>
  <c r="BB57" i="10" s="1"/>
  <c r="AM29" i="18"/>
  <c r="AO29" i="18" s="1"/>
  <c r="AP29" i="18" s="1"/>
  <c r="BJ29" i="18" s="1"/>
  <c r="BL29" i="18" s="1"/>
  <c r="BN29" i="18" s="1"/>
  <c r="AL29" i="18"/>
  <c r="AN29" i="18" s="1"/>
  <c r="AM137" i="7"/>
  <c r="AL138" i="7"/>
  <c r="AH138" i="7"/>
  <c r="AA138" i="7"/>
  <c r="AJ138" i="7"/>
  <c r="AI138" i="7"/>
  <c r="AG138" i="7"/>
  <c r="AO138" i="7"/>
  <c r="AK138" i="7"/>
  <c r="C191" i="17"/>
  <c r="C191" i="16"/>
  <c r="C192" i="11"/>
  <c r="C151" i="17"/>
  <c r="C111" i="17"/>
  <c r="C151" i="16"/>
  <c r="C111" i="16"/>
  <c r="C152" i="11"/>
  <c r="C112" i="11"/>
  <c r="I151" i="11"/>
  <c r="E207" i="7"/>
  <c r="G207" i="7" s="1"/>
  <c r="AW207" i="7"/>
  <c r="AL29" i="3"/>
  <c r="AN29" i="3" s="1"/>
  <c r="AM29" i="3"/>
  <c r="AO29" i="3" s="1"/>
  <c r="AP29" i="3" s="1"/>
  <c r="BJ29" i="3" s="1"/>
  <c r="BL29" i="3" s="1"/>
  <c r="BN29" i="3" s="1"/>
  <c r="K109" i="6"/>
  <c r="K143" i="6"/>
  <c r="I150" i="17"/>
  <c r="I110" i="16"/>
  <c r="I111" i="11"/>
  <c r="I110" i="17"/>
  <c r="AL29" i="19"/>
  <c r="AN29" i="19" s="1"/>
  <c r="AM29" i="19"/>
  <c r="AO29" i="19" s="1"/>
  <c r="AP29" i="19" s="1"/>
  <c r="BJ29" i="19" s="1"/>
  <c r="BL29" i="19" s="1"/>
  <c r="BN29" i="19" s="1"/>
  <c r="F150" i="17"/>
  <c r="F190" i="17"/>
  <c r="F190" i="16"/>
  <c r="F191" i="11"/>
  <c r="F151" i="11"/>
  <c r="F150" i="16"/>
  <c r="K75" i="6"/>
  <c r="K41" i="6"/>
  <c r="I150" i="16"/>
  <c r="AW139" i="7"/>
  <c r="E139" i="7"/>
  <c r="G139" i="7" s="1"/>
  <c r="C133" i="4"/>
  <c r="B133" i="4"/>
  <c r="K133" i="4" s="1"/>
  <c r="AK30" i="3"/>
  <c r="AK30" i="18"/>
  <c r="AK30" i="19"/>
  <c r="AA30" i="18"/>
  <c r="AA30" i="19"/>
  <c r="D133" i="4"/>
  <c r="D111" i="17"/>
  <c r="D151" i="16"/>
  <c r="BX111" i="16" s="1"/>
  <c r="D111" i="16"/>
  <c r="D151" i="17"/>
  <c r="BX111" i="17" s="1"/>
  <c r="D152" i="11"/>
  <c r="BX112" i="11" s="1"/>
  <c r="D112" i="11"/>
  <c r="AI172" i="7"/>
  <c r="AL172" i="7"/>
  <c r="AE172" i="7"/>
  <c r="AR172" i="7"/>
  <c r="AJ172" i="7"/>
  <c r="AQ172" i="7"/>
  <c r="AD172" i="7"/>
  <c r="AH172" i="7"/>
  <c r="AP172" i="7"/>
  <c r="AK172" i="7"/>
  <c r="AB172" i="7"/>
  <c r="AC172" i="7"/>
  <c r="AA172" i="7"/>
  <c r="AO172" i="7"/>
  <c r="AG172" i="7"/>
  <c r="AN172" i="7"/>
  <c r="AB29" i="19"/>
  <c r="AD29" i="19" s="1"/>
  <c r="AC29" i="19"/>
  <c r="AE29" i="19" s="1"/>
  <c r="AF29" i="19" s="1"/>
  <c r="BC29" i="19" s="1"/>
  <c r="BE29" i="19" s="1"/>
  <c r="BG29" i="19" s="1"/>
  <c r="N100" i="11"/>
  <c r="S100" i="11" s="1"/>
  <c r="U196" i="7"/>
  <c r="AO196" i="7" s="1"/>
  <c r="M99" i="17"/>
  <c r="M100" i="17" s="1"/>
  <c r="S112" i="17"/>
  <c r="R112" i="17"/>
  <c r="Q112" i="17"/>
  <c r="T112" i="17"/>
  <c r="S99" i="16"/>
  <c r="Q112" i="16"/>
  <c r="U112" i="16"/>
  <c r="R112" i="16"/>
  <c r="S112" i="16"/>
  <c r="T112" i="16"/>
  <c r="M100" i="11"/>
  <c r="R100" i="11" s="1"/>
  <c r="T178" i="11"/>
  <c r="AI28" i="6" s="1"/>
  <c r="L99" i="16"/>
  <c r="Q98" i="16"/>
  <c r="G187" i="16"/>
  <c r="G188" i="16" s="1"/>
  <c r="G189" i="16" s="1"/>
  <c r="G190" i="16" s="1"/>
  <c r="G147" i="16"/>
  <c r="G148" i="16" s="1"/>
  <c r="G149" i="16" s="1"/>
  <c r="G150" i="16" s="1"/>
  <c r="G147" i="17"/>
  <c r="G148" i="17" s="1"/>
  <c r="G149" i="17" s="1"/>
  <c r="G150" i="17" s="1"/>
  <c r="G187" i="17"/>
  <c r="G188" i="17" s="1"/>
  <c r="G189" i="17" s="1"/>
  <c r="G190" i="17" s="1"/>
  <c r="U179" i="11"/>
  <c r="CE99" i="11" s="1"/>
  <c r="N99" i="17"/>
  <c r="S98" i="17"/>
  <c r="T98" i="16"/>
  <c r="O99" i="16"/>
  <c r="R138" i="11"/>
  <c r="S138" i="11" s="1"/>
  <c r="R98" i="16"/>
  <c r="M99" i="16"/>
  <c r="T98" i="17"/>
  <c r="O99" i="17"/>
  <c r="L99" i="17"/>
  <c r="Q98" i="17"/>
  <c r="R177" i="17"/>
  <c r="S177" i="17" s="1"/>
  <c r="J102" i="16"/>
  <c r="K102" i="16" s="1"/>
  <c r="J107" i="16"/>
  <c r="J108" i="16" s="1"/>
  <c r="J109" i="16" s="1"/>
  <c r="V196" i="7"/>
  <c r="AP196" i="7" s="1"/>
  <c r="A192" i="17"/>
  <c r="A214" i="6"/>
  <c r="A78" i="6"/>
  <c r="A146" i="6"/>
  <c r="R180" i="11"/>
  <c r="S180" i="11" s="1"/>
  <c r="H180" i="11"/>
  <c r="K102" i="11"/>
  <c r="W196" i="7"/>
  <c r="AQ196" i="7" s="1"/>
  <c r="M178" i="17"/>
  <c r="P178" i="17"/>
  <c r="Q178" i="17" s="1"/>
  <c r="K179" i="17"/>
  <c r="AK179" i="17" s="1"/>
  <c r="A102" i="19"/>
  <c r="A193" i="11"/>
  <c r="A192" i="16"/>
  <c r="M139" i="11"/>
  <c r="P139" i="11"/>
  <c r="Q139" i="11" s="1"/>
  <c r="V111" i="16"/>
  <c r="Y111" i="16" s="1"/>
  <c r="Z111" i="16" s="1"/>
  <c r="X112" i="16"/>
  <c r="X112" i="17"/>
  <c r="U112" i="17"/>
  <c r="H143" i="11"/>
  <c r="H113" i="17"/>
  <c r="H113" i="16"/>
  <c r="V111" i="17"/>
  <c r="H196" i="7"/>
  <c r="L196" i="7"/>
  <c r="AD196" i="7" s="1"/>
  <c r="P196" i="7"/>
  <c r="AI196" i="7" s="1"/>
  <c r="J196" i="7"/>
  <c r="AB196" i="7" s="1"/>
  <c r="AS195" i="7"/>
  <c r="T196" i="7"/>
  <c r="T197" i="7" s="1"/>
  <c r="N196" i="7"/>
  <c r="K140" i="11"/>
  <c r="AK140" i="11" s="1"/>
  <c r="AV194" i="7"/>
  <c r="AH195" i="7"/>
  <c r="O196" i="7"/>
  <c r="AC195" i="7"/>
  <c r="K196" i="7"/>
  <c r="AJ195" i="7"/>
  <c r="Q196" i="7"/>
  <c r="AE195" i="7"/>
  <c r="M196" i="7"/>
  <c r="AR195" i="7"/>
  <c r="X196" i="7"/>
  <c r="A172" i="8"/>
  <c r="A180" i="6"/>
  <c r="A209" i="7"/>
  <c r="A138" i="8"/>
  <c r="A104" i="8"/>
  <c r="Y203" i="7"/>
  <c r="AK195" i="7"/>
  <c r="R196" i="7"/>
  <c r="L100" i="11"/>
  <c r="Q100" i="11" s="1"/>
  <c r="E99" i="17"/>
  <c r="C195" i="7"/>
  <c r="A102" i="18"/>
  <c r="U98" i="17"/>
  <c r="J107" i="17"/>
  <c r="J108" i="17" s="1"/>
  <c r="G98" i="17"/>
  <c r="AR88" i="19" s="1"/>
  <c r="F99" i="17"/>
  <c r="D196" i="7" s="1"/>
  <c r="Y97" i="17"/>
  <c r="A175" i="7"/>
  <c r="A152" i="17"/>
  <c r="A112" i="17"/>
  <c r="A112" i="6"/>
  <c r="V99" i="11"/>
  <c r="Y99" i="11" s="1"/>
  <c r="F99" i="16"/>
  <c r="D161" i="7"/>
  <c r="E99" i="16"/>
  <c r="C161" i="7"/>
  <c r="Z97" i="16"/>
  <c r="AA97" i="16"/>
  <c r="P99" i="16"/>
  <c r="U99" i="16" s="1"/>
  <c r="P100" i="11"/>
  <c r="U100" i="11" s="1"/>
  <c r="A152" i="16"/>
  <c r="A112" i="16"/>
  <c r="O100" i="11"/>
  <c r="T100" i="11" s="1"/>
  <c r="A113" i="11"/>
  <c r="A153" i="11"/>
  <c r="Z110" i="11"/>
  <c r="Z98" i="11"/>
  <c r="X113" i="11"/>
  <c r="Y111" i="11"/>
  <c r="V112" i="11"/>
  <c r="U113" i="11"/>
  <c r="T113" i="11"/>
  <c r="R113" i="11"/>
  <c r="S113" i="11"/>
  <c r="N101" i="11"/>
  <c r="S101" i="11" s="1"/>
  <c r="H114" i="11"/>
  <c r="Q114" i="11" s="1"/>
  <c r="K103" i="11"/>
  <c r="A141" i="7"/>
  <c r="A134" i="4"/>
  <c r="A44" i="6"/>
  <c r="W43" i="6" s="1"/>
  <c r="BH43" i="6" s="1"/>
  <c r="A102" i="3"/>
  <c r="A166" i="9" l="1"/>
  <c r="A268" i="9"/>
  <c r="A132" i="9"/>
  <c r="A98" i="9"/>
  <c r="A234" i="9"/>
  <c r="A200" i="9"/>
  <c r="S197" i="7"/>
  <c r="B232" i="9"/>
  <c r="B266" i="9"/>
  <c r="B198" i="9"/>
  <c r="B164" i="9"/>
  <c r="M101" i="11"/>
  <c r="R101" i="11" s="1"/>
  <c r="L133" i="4"/>
  <c r="U197" i="7"/>
  <c r="T179" i="11"/>
  <c r="AI29" i="6" s="1"/>
  <c r="G111" i="17"/>
  <c r="AR101" i="19" s="1"/>
  <c r="AU101" i="19" s="1"/>
  <c r="AV101" i="19" s="1"/>
  <c r="U178" i="11"/>
  <c r="AA178" i="11" s="1"/>
  <c r="S100" i="16"/>
  <c r="K189" i="16"/>
  <c r="AK189" i="16" s="1"/>
  <c r="K189" i="17"/>
  <c r="AK189" i="17" s="1"/>
  <c r="AL178" i="11"/>
  <c r="AL179" i="11"/>
  <c r="Z179" i="11"/>
  <c r="AM179" i="11"/>
  <c r="X179" i="11"/>
  <c r="AB29" i="3"/>
  <c r="AD29" i="3" s="1"/>
  <c r="AC29" i="3"/>
  <c r="AE29" i="3" s="1"/>
  <c r="AF29" i="3" s="1"/>
  <c r="BC29" i="3" s="1"/>
  <c r="BE29" i="3" s="1"/>
  <c r="BG29" i="3" s="1"/>
  <c r="K190" i="11"/>
  <c r="M190" i="11" s="1"/>
  <c r="AA30" i="3"/>
  <c r="T23" i="23"/>
  <c r="I151" i="17"/>
  <c r="AL30" i="3"/>
  <c r="AN30" i="3" s="1"/>
  <c r="AM30" i="3"/>
  <c r="AO30" i="3" s="1"/>
  <c r="AP30" i="3" s="1"/>
  <c r="BJ30" i="3" s="1"/>
  <c r="BL30" i="3" s="1"/>
  <c r="BN30" i="3" s="1"/>
  <c r="K42" i="6"/>
  <c r="K76" i="6"/>
  <c r="AW140" i="7"/>
  <c r="E140" i="7"/>
  <c r="G140" i="7" s="1"/>
  <c r="I151" i="16"/>
  <c r="AT206" i="7"/>
  <c r="E101" i="4"/>
  <c r="D100" i="4"/>
  <c r="BB56" i="10" s="1"/>
  <c r="AM206" i="7"/>
  <c r="I152" i="11"/>
  <c r="D134" i="4"/>
  <c r="D152" i="17"/>
  <c r="BX112" i="17" s="1"/>
  <c r="D112" i="16"/>
  <c r="D152" i="16"/>
  <c r="BX112" i="16" s="1"/>
  <c r="D112" i="17"/>
  <c r="D153" i="11"/>
  <c r="BX113" i="11" s="1"/>
  <c r="D113" i="11"/>
  <c r="AJ207" i="7"/>
  <c r="AD207" i="7"/>
  <c r="AI207" i="7"/>
  <c r="AP207" i="7"/>
  <c r="AB207" i="7"/>
  <c r="AE207" i="7"/>
  <c r="AH207" i="7"/>
  <c r="AO207" i="7"/>
  <c r="AA207" i="7"/>
  <c r="AL207" i="7"/>
  <c r="AK207" i="7"/>
  <c r="AC207" i="7"/>
  <c r="AR207" i="7"/>
  <c r="Z207" i="7"/>
  <c r="AQ207" i="7"/>
  <c r="AG207" i="7"/>
  <c r="AN207" i="7"/>
  <c r="AT172" i="7"/>
  <c r="AB30" i="19"/>
  <c r="AD30" i="19" s="1"/>
  <c r="AC30" i="19"/>
  <c r="AE30" i="19" s="1"/>
  <c r="AF30" i="19" s="1"/>
  <c r="BC30" i="19" s="1"/>
  <c r="BE30" i="19" s="1"/>
  <c r="BG30" i="19" s="1"/>
  <c r="AW174" i="7"/>
  <c r="E174" i="7"/>
  <c r="G174" i="7" s="1"/>
  <c r="AF206" i="7"/>
  <c r="AH139" i="7"/>
  <c r="AL139" i="7"/>
  <c r="AO139" i="7"/>
  <c r="AA139" i="7"/>
  <c r="AK139" i="7"/>
  <c r="AI139" i="7"/>
  <c r="AJ139" i="7"/>
  <c r="AG139" i="7"/>
  <c r="AM172" i="7"/>
  <c r="AC30" i="18"/>
  <c r="AE30" i="18" s="1"/>
  <c r="AF30" i="18" s="1"/>
  <c r="BC30" i="18" s="1"/>
  <c r="BE30" i="18" s="1"/>
  <c r="BG30" i="18" s="1"/>
  <c r="AB30" i="18"/>
  <c r="AD30" i="18" s="1"/>
  <c r="B192" i="17"/>
  <c r="B193" i="11"/>
  <c r="B192" i="16"/>
  <c r="B102" i="19"/>
  <c r="B209" i="7"/>
  <c r="B102" i="18"/>
  <c r="B152" i="17"/>
  <c r="B112" i="17"/>
  <c r="B175" i="7"/>
  <c r="B152" i="16"/>
  <c r="B112" i="16"/>
  <c r="B153" i="11"/>
  <c r="B113" i="11"/>
  <c r="B141" i="7"/>
  <c r="B102" i="3"/>
  <c r="F152" i="11"/>
  <c r="F151" i="16"/>
  <c r="F151" i="17"/>
  <c r="F191" i="17"/>
  <c r="F192" i="11"/>
  <c r="F191" i="16"/>
  <c r="AM138" i="7"/>
  <c r="I191" i="11"/>
  <c r="AW101" i="19"/>
  <c r="AL30" i="19"/>
  <c r="AN30" i="19" s="1"/>
  <c r="AM30" i="19"/>
  <c r="AO30" i="19" s="1"/>
  <c r="AP30" i="19" s="1"/>
  <c r="BJ30" i="19" s="1"/>
  <c r="BL30" i="19" s="1"/>
  <c r="BN30" i="19" s="1"/>
  <c r="C192" i="17"/>
  <c r="C192" i="16"/>
  <c r="C193" i="11"/>
  <c r="C152" i="17"/>
  <c r="C112" i="17"/>
  <c r="C152" i="16"/>
  <c r="C112" i="16"/>
  <c r="C153" i="11"/>
  <c r="C113" i="11"/>
  <c r="I190" i="17"/>
  <c r="K110" i="6"/>
  <c r="K144" i="6"/>
  <c r="I190" i="16"/>
  <c r="AE173" i="7"/>
  <c r="AI173" i="7"/>
  <c r="AH173" i="7"/>
  <c r="AL173" i="7"/>
  <c r="AK173" i="7"/>
  <c r="AJ173" i="7"/>
  <c r="AR173" i="7"/>
  <c r="AO173" i="7"/>
  <c r="AP173" i="7"/>
  <c r="AC173" i="7"/>
  <c r="AA173" i="7"/>
  <c r="AQ173" i="7"/>
  <c r="AD173" i="7"/>
  <c r="AB173" i="7"/>
  <c r="AG173" i="7"/>
  <c r="AN173" i="7"/>
  <c r="C134" i="4"/>
  <c r="B134" i="4"/>
  <c r="K134" i="4" s="1"/>
  <c r="AL30" i="18"/>
  <c r="AN30" i="18" s="1"/>
  <c r="AM30" i="18"/>
  <c r="AO30" i="18" s="1"/>
  <c r="AP30" i="18" s="1"/>
  <c r="BJ30" i="18" s="1"/>
  <c r="BL30" i="18" s="1"/>
  <c r="BN30" i="18" s="1"/>
  <c r="E133" i="4"/>
  <c r="M133" i="4" s="1"/>
  <c r="D191" i="17"/>
  <c r="CA111" i="17" s="1"/>
  <c r="D191" i="16"/>
  <c r="CA111" i="16" s="1"/>
  <c r="D192" i="11"/>
  <c r="CA112" i="11" s="1"/>
  <c r="E208" i="7"/>
  <c r="G208" i="7" s="1"/>
  <c r="AW208" i="7"/>
  <c r="M189" i="17"/>
  <c r="AK31" i="3"/>
  <c r="AK31" i="19"/>
  <c r="AA31" i="18"/>
  <c r="AA31" i="19"/>
  <c r="AK31" i="18"/>
  <c r="K178" i="6"/>
  <c r="K212" i="6"/>
  <c r="I112" i="11"/>
  <c r="I111" i="17"/>
  <c r="I111" i="16"/>
  <c r="K107" i="16"/>
  <c r="R99" i="17"/>
  <c r="V197" i="7"/>
  <c r="AP197" i="7" s="1"/>
  <c r="Y111" i="17"/>
  <c r="AA111" i="17" s="1"/>
  <c r="T113" i="17"/>
  <c r="S113" i="17"/>
  <c r="R113" i="17"/>
  <c r="Q113" i="17"/>
  <c r="T113" i="16"/>
  <c r="Q113" i="16"/>
  <c r="U113" i="16"/>
  <c r="R113" i="16"/>
  <c r="S113" i="16"/>
  <c r="R178" i="17"/>
  <c r="S178" i="17" s="1"/>
  <c r="L100" i="17"/>
  <c r="Q99" i="17"/>
  <c r="N100" i="17"/>
  <c r="S99" i="17"/>
  <c r="W179" i="11"/>
  <c r="Y179" i="11"/>
  <c r="AB179" i="11"/>
  <c r="AA179" i="11"/>
  <c r="V138" i="11"/>
  <c r="U138" i="11"/>
  <c r="T138" i="11"/>
  <c r="AC28" i="6" s="1"/>
  <c r="T177" i="17"/>
  <c r="U177" i="17"/>
  <c r="V177" i="17"/>
  <c r="T99" i="16"/>
  <c r="O100" i="16"/>
  <c r="V180" i="11"/>
  <c r="U180" i="11"/>
  <c r="CE100" i="11" s="1"/>
  <c r="T180" i="11"/>
  <c r="AI30" i="6" s="1"/>
  <c r="S101" i="16"/>
  <c r="N102" i="16"/>
  <c r="O100" i="17"/>
  <c r="T99" i="17"/>
  <c r="L100" i="16"/>
  <c r="Q99" i="16"/>
  <c r="R139" i="11"/>
  <c r="S139" i="11" s="1"/>
  <c r="R99" i="16"/>
  <c r="M100" i="16"/>
  <c r="M101" i="17"/>
  <c r="R100" i="17"/>
  <c r="J110" i="16"/>
  <c r="K109" i="16"/>
  <c r="A193" i="17"/>
  <c r="A215" i="6"/>
  <c r="A147" i="6"/>
  <c r="A79" i="6"/>
  <c r="W197" i="7"/>
  <c r="AQ197" i="7" s="1"/>
  <c r="H181" i="11"/>
  <c r="R181" i="11"/>
  <c r="S181" i="11" s="1"/>
  <c r="J103" i="16"/>
  <c r="J165" i="6"/>
  <c r="P165" i="6" s="1"/>
  <c r="T165" i="6" s="1"/>
  <c r="AY28" i="6" s="1"/>
  <c r="J199" i="6"/>
  <c r="P199" i="6" s="1"/>
  <c r="T199" i="6" s="1"/>
  <c r="BE28" i="6" s="1"/>
  <c r="AB97" i="16"/>
  <c r="H189" i="17"/>
  <c r="M179" i="17"/>
  <c r="P179" i="17"/>
  <c r="Q179" i="17" s="1"/>
  <c r="K180" i="17"/>
  <c r="AK180" i="17" s="1"/>
  <c r="H188" i="17"/>
  <c r="H187" i="17"/>
  <c r="H188" i="16"/>
  <c r="A103" i="19"/>
  <c r="A194" i="11"/>
  <c r="A193" i="16"/>
  <c r="H187" i="16"/>
  <c r="M140" i="11"/>
  <c r="P140" i="11"/>
  <c r="Q140" i="11" s="1"/>
  <c r="V112" i="16"/>
  <c r="Y112" i="16" s="1"/>
  <c r="Z112" i="16" s="1"/>
  <c r="H147" i="16"/>
  <c r="X113" i="17"/>
  <c r="U113" i="17"/>
  <c r="H114" i="17"/>
  <c r="H114" i="16"/>
  <c r="X113" i="16"/>
  <c r="H144" i="11"/>
  <c r="V112" i="17"/>
  <c r="L197" i="7"/>
  <c r="L198" i="7" s="1"/>
  <c r="Z196" i="7"/>
  <c r="H197" i="7"/>
  <c r="J197" i="7"/>
  <c r="AB197" i="7" s="1"/>
  <c r="H147" i="17"/>
  <c r="P197" i="7"/>
  <c r="AI197" i="7" s="1"/>
  <c r="AT195" i="7"/>
  <c r="AN196" i="7"/>
  <c r="AG196" i="7"/>
  <c r="N197" i="7"/>
  <c r="AS196" i="7"/>
  <c r="L101" i="11"/>
  <c r="Q101" i="11" s="1"/>
  <c r="AD197" i="7"/>
  <c r="K141" i="11"/>
  <c r="AK141" i="11" s="1"/>
  <c r="AM195" i="7"/>
  <c r="AF195" i="7"/>
  <c r="AN197" i="7"/>
  <c r="T198" i="7"/>
  <c r="AC196" i="7"/>
  <c r="K197" i="7"/>
  <c r="AE196" i="7"/>
  <c r="M197" i="7"/>
  <c r="AO197" i="7"/>
  <c r="U198" i="7"/>
  <c r="AJ196" i="7"/>
  <c r="Q197" i="7"/>
  <c r="AL197" i="7"/>
  <c r="S198" i="7"/>
  <c r="AH196" i="7"/>
  <c r="O197" i="7"/>
  <c r="A173" i="8"/>
  <c r="A181" i="6"/>
  <c r="A210" i="7"/>
  <c r="A139" i="8"/>
  <c r="A105" i="8"/>
  <c r="Y204" i="7"/>
  <c r="AK196" i="7"/>
  <c r="R197" i="7"/>
  <c r="AR196" i="7"/>
  <c r="X197" i="7"/>
  <c r="E100" i="17"/>
  <c r="C196" i="7"/>
  <c r="A103" i="18"/>
  <c r="Z97" i="17"/>
  <c r="AA97" i="17"/>
  <c r="U99" i="17"/>
  <c r="K107" i="17"/>
  <c r="V98" i="17"/>
  <c r="A176" i="7"/>
  <c r="A153" i="17"/>
  <c r="A113" i="17"/>
  <c r="A113" i="6"/>
  <c r="K108" i="17"/>
  <c r="V100" i="11"/>
  <c r="Y100" i="11" s="1"/>
  <c r="G99" i="17"/>
  <c r="AR89" i="19" s="1"/>
  <c r="F100" i="17"/>
  <c r="D197" i="7" s="1"/>
  <c r="J109" i="17"/>
  <c r="F100" i="16"/>
  <c r="D162" i="7"/>
  <c r="E100" i="16"/>
  <c r="C162" i="7"/>
  <c r="O101" i="11"/>
  <c r="T101" i="11" s="1"/>
  <c r="P101" i="11"/>
  <c r="U101" i="11" s="1"/>
  <c r="P100" i="16"/>
  <c r="U100" i="16" s="1"/>
  <c r="A153" i="16"/>
  <c r="A113" i="16"/>
  <c r="V98" i="16"/>
  <c r="A114" i="11"/>
  <c r="A154" i="11"/>
  <c r="AB98" i="11"/>
  <c r="Z111" i="11"/>
  <c r="Z99" i="11"/>
  <c r="X114" i="11"/>
  <c r="Y112" i="11"/>
  <c r="AA99" i="11"/>
  <c r="V113" i="11"/>
  <c r="U114" i="11"/>
  <c r="T114" i="11"/>
  <c r="R114" i="11"/>
  <c r="S114" i="11"/>
  <c r="H115" i="11"/>
  <c r="Q115" i="11" s="1"/>
  <c r="K104" i="11"/>
  <c r="K142" i="11"/>
  <c r="AK142" i="11" s="1"/>
  <c r="N102" i="11"/>
  <c r="S102" i="11" s="1"/>
  <c r="A142" i="7"/>
  <c r="A45" i="6"/>
  <c r="W44" i="6" s="1"/>
  <c r="BH44" i="6" s="1"/>
  <c r="A135" i="4"/>
  <c r="A103" i="3"/>
  <c r="B233" i="9" l="1"/>
  <c r="B267" i="9"/>
  <c r="G198" i="9"/>
  <c r="T198" i="9" s="1"/>
  <c r="J198" i="9"/>
  <c r="W198" i="9" s="1"/>
  <c r="H198" i="9"/>
  <c r="U198" i="9" s="1"/>
  <c r="G232" i="9"/>
  <c r="T232" i="9" s="1"/>
  <c r="J232" i="9"/>
  <c r="W232" i="9" s="1"/>
  <c r="H232" i="9"/>
  <c r="U232" i="9" s="1"/>
  <c r="A235" i="9"/>
  <c r="A201" i="9"/>
  <c r="A167" i="9"/>
  <c r="A269" i="9"/>
  <c r="A133" i="9"/>
  <c r="A99" i="9"/>
  <c r="P189" i="17"/>
  <c r="Q189" i="17" s="1"/>
  <c r="R189" i="17" s="1"/>
  <c r="S189" i="17" s="1"/>
  <c r="B199" i="9"/>
  <c r="B165" i="9"/>
  <c r="G266" i="9"/>
  <c r="T266" i="9" s="1"/>
  <c r="H266" i="9"/>
  <c r="U266" i="9" s="1"/>
  <c r="J266" i="9"/>
  <c r="W266" i="9" s="1"/>
  <c r="M102" i="11"/>
  <c r="R102" i="11" s="1"/>
  <c r="M189" i="16"/>
  <c r="L134" i="4"/>
  <c r="P189" i="16"/>
  <c r="Q189" i="16" s="1"/>
  <c r="R189" i="16" s="1"/>
  <c r="S189" i="16" s="1"/>
  <c r="H151" i="16"/>
  <c r="X178" i="11"/>
  <c r="CE98" i="11"/>
  <c r="W178" i="11"/>
  <c r="AB178" i="11"/>
  <c r="CE97" i="17"/>
  <c r="AL177" i="17"/>
  <c r="AM177" i="17"/>
  <c r="K190" i="16"/>
  <c r="AK190" i="16" s="1"/>
  <c r="K190" i="17"/>
  <c r="AK190" i="17" s="1"/>
  <c r="H151" i="17"/>
  <c r="AN179" i="11"/>
  <c r="AO179" i="11" s="1"/>
  <c r="AH88" i="3"/>
  <c r="AM178" i="11"/>
  <c r="AH87" i="3" s="1"/>
  <c r="CC98" i="11"/>
  <c r="AL138" i="11"/>
  <c r="AM138" i="11"/>
  <c r="X87" i="3" s="1"/>
  <c r="Y178" i="11"/>
  <c r="G112" i="17"/>
  <c r="AR102" i="19" s="1"/>
  <c r="AU102" i="19" s="1"/>
  <c r="AW102" i="19" s="1"/>
  <c r="Z178" i="11"/>
  <c r="AL180" i="11"/>
  <c r="Z180" i="11"/>
  <c r="AM180" i="11"/>
  <c r="AH89" i="3" s="1"/>
  <c r="X180" i="11"/>
  <c r="Z111" i="17"/>
  <c r="P190" i="11"/>
  <c r="Q190" i="11" s="1"/>
  <c r="AK190" i="11"/>
  <c r="AC30" i="3"/>
  <c r="AE30" i="3" s="1"/>
  <c r="AF30" i="3" s="1"/>
  <c r="BC30" i="3" s="1"/>
  <c r="BE30" i="3" s="1"/>
  <c r="BG30" i="3" s="1"/>
  <c r="AB30" i="3"/>
  <c r="AD30" i="3" s="1"/>
  <c r="AA31" i="3"/>
  <c r="K191" i="11"/>
  <c r="AK191" i="11" s="1"/>
  <c r="W138" i="11"/>
  <c r="X138" i="11"/>
  <c r="AF207" i="7"/>
  <c r="U23" i="23"/>
  <c r="AM31" i="3"/>
  <c r="AO31" i="3" s="1"/>
  <c r="AP31" i="3" s="1"/>
  <c r="BJ31" i="3" s="1"/>
  <c r="BL31" i="3" s="1"/>
  <c r="BN31" i="3" s="1"/>
  <c r="AL31" i="3"/>
  <c r="AN31" i="3" s="1"/>
  <c r="AE174" i="7"/>
  <c r="AI174" i="7"/>
  <c r="AL174" i="7"/>
  <c r="AK174" i="7"/>
  <c r="AJ174" i="7"/>
  <c r="AH174" i="7"/>
  <c r="AR174" i="7"/>
  <c r="AO174" i="7"/>
  <c r="AC174" i="7"/>
  <c r="AD174" i="7"/>
  <c r="AB174" i="7"/>
  <c r="AQ174" i="7"/>
  <c r="AA174" i="7"/>
  <c r="AP174" i="7"/>
  <c r="AN174" i="7"/>
  <c r="AG174" i="7"/>
  <c r="M190" i="16"/>
  <c r="P190" i="16"/>
  <c r="Q190" i="16" s="1"/>
  <c r="K111" i="6"/>
  <c r="K145" i="6"/>
  <c r="AK32" i="18"/>
  <c r="AA32" i="18"/>
  <c r="AA32" i="19"/>
  <c r="AK32" i="3"/>
  <c r="AK32" i="19"/>
  <c r="E100" i="4"/>
  <c r="AW175" i="7"/>
  <c r="E175" i="7"/>
  <c r="G175" i="7" s="1"/>
  <c r="AM139" i="7"/>
  <c r="AK140" i="7"/>
  <c r="AL140" i="7"/>
  <c r="AI140" i="7"/>
  <c r="AJ140" i="7"/>
  <c r="AH140" i="7"/>
  <c r="AG140" i="7"/>
  <c r="AA140" i="7"/>
  <c r="AO140" i="7"/>
  <c r="B135" i="4"/>
  <c r="K135" i="4" s="1"/>
  <c r="C135" i="4"/>
  <c r="K43" i="6"/>
  <c r="K77" i="6"/>
  <c r="AM31" i="18"/>
  <c r="AO31" i="18" s="1"/>
  <c r="AP31" i="18" s="1"/>
  <c r="BJ31" i="18" s="1"/>
  <c r="BL31" i="18" s="1"/>
  <c r="BN31" i="18" s="1"/>
  <c r="AL31" i="18"/>
  <c r="AN31" i="18" s="1"/>
  <c r="I153" i="11"/>
  <c r="K179" i="6"/>
  <c r="K213" i="6"/>
  <c r="AE208" i="7"/>
  <c r="AJ208" i="7"/>
  <c r="AI208" i="7"/>
  <c r="AK208" i="7"/>
  <c r="AH208" i="7"/>
  <c r="AL208" i="7"/>
  <c r="AA208" i="7"/>
  <c r="AO208" i="7"/>
  <c r="AC208" i="7"/>
  <c r="AP208" i="7"/>
  <c r="AD208" i="7"/>
  <c r="AR208" i="7"/>
  <c r="AB208" i="7"/>
  <c r="Z208" i="7"/>
  <c r="AQ208" i="7"/>
  <c r="AN208" i="7"/>
  <c r="AG208" i="7"/>
  <c r="B193" i="17"/>
  <c r="B193" i="16"/>
  <c r="B194" i="11"/>
  <c r="B103" i="19"/>
  <c r="B210" i="7"/>
  <c r="B103" i="18"/>
  <c r="B153" i="17"/>
  <c r="B113" i="17"/>
  <c r="B176" i="7"/>
  <c r="B153" i="16"/>
  <c r="B113" i="16"/>
  <c r="B154" i="11"/>
  <c r="B114" i="11"/>
  <c r="B142" i="7"/>
  <c r="B103" i="3"/>
  <c r="E209" i="7"/>
  <c r="G209" i="7" s="1"/>
  <c r="AW209" i="7"/>
  <c r="I152" i="16"/>
  <c r="AB31" i="19"/>
  <c r="AD31" i="19" s="1"/>
  <c r="AC31" i="19"/>
  <c r="AE31" i="19" s="1"/>
  <c r="AF31" i="19" s="1"/>
  <c r="BC31" i="19" s="1"/>
  <c r="BE31" i="19" s="1"/>
  <c r="BG31" i="19" s="1"/>
  <c r="I192" i="11"/>
  <c r="C193" i="17"/>
  <c r="C194" i="11"/>
  <c r="C193" i="16"/>
  <c r="C153" i="17"/>
  <c r="C113" i="17"/>
  <c r="C113" i="16"/>
  <c r="C153" i="16"/>
  <c r="C154" i="11"/>
  <c r="C114" i="11"/>
  <c r="I112" i="16"/>
  <c r="I113" i="11"/>
  <c r="I112" i="17"/>
  <c r="AV206" i="7"/>
  <c r="AC31" i="18"/>
  <c r="AE31" i="18" s="1"/>
  <c r="AF31" i="18" s="1"/>
  <c r="BC31" i="18" s="1"/>
  <c r="BE31" i="18" s="1"/>
  <c r="BG31" i="18" s="1"/>
  <c r="AB31" i="18"/>
  <c r="AD31" i="18" s="1"/>
  <c r="I191" i="16"/>
  <c r="AT173" i="7"/>
  <c r="F153" i="11"/>
  <c r="F152" i="16"/>
  <c r="F152" i="17"/>
  <c r="F192" i="17"/>
  <c r="F193" i="11"/>
  <c r="F192" i="16"/>
  <c r="AT207" i="7"/>
  <c r="I152" i="17"/>
  <c r="E134" i="4"/>
  <c r="M134" i="4" s="1"/>
  <c r="D192" i="17"/>
  <c r="CA112" i="17" s="1"/>
  <c r="D192" i="16"/>
  <c r="CA112" i="16" s="1"/>
  <c r="D193" i="11"/>
  <c r="CA113" i="11" s="1"/>
  <c r="AL31" i="19"/>
  <c r="AN31" i="19" s="1"/>
  <c r="AM31" i="19"/>
  <c r="AO31" i="19" s="1"/>
  <c r="AP31" i="19" s="1"/>
  <c r="BJ31" i="19" s="1"/>
  <c r="BL31" i="19" s="1"/>
  <c r="BN31" i="19" s="1"/>
  <c r="I191" i="17"/>
  <c r="AM173" i="7"/>
  <c r="E141" i="7"/>
  <c r="G141" i="7" s="1"/>
  <c r="AW141" i="7"/>
  <c r="AM207" i="7"/>
  <c r="D135" i="4"/>
  <c r="D113" i="17"/>
  <c r="D153" i="16"/>
  <c r="BX113" i="16" s="1"/>
  <c r="D113" i="16"/>
  <c r="D153" i="17"/>
  <c r="BX113" i="17" s="1"/>
  <c r="D154" i="11"/>
  <c r="BX114" i="11" s="1"/>
  <c r="D114" i="11"/>
  <c r="W198" i="7"/>
  <c r="W199" i="7" s="1"/>
  <c r="V198" i="7"/>
  <c r="V199" i="7" s="1"/>
  <c r="AP199" i="7" s="1"/>
  <c r="Q114" i="17"/>
  <c r="T114" i="17"/>
  <c r="R114" i="17"/>
  <c r="S114" i="17"/>
  <c r="S114" i="16"/>
  <c r="T114" i="16"/>
  <c r="U114" i="16"/>
  <c r="Q114" i="16"/>
  <c r="R114" i="16"/>
  <c r="U178" i="17"/>
  <c r="T178" i="17"/>
  <c r="V178" i="17"/>
  <c r="R179" i="17"/>
  <c r="S179" i="17" s="1"/>
  <c r="O101" i="17"/>
  <c r="T100" i="17"/>
  <c r="N101" i="17"/>
  <c r="S100" i="17"/>
  <c r="AE98" i="11"/>
  <c r="AD98" i="11"/>
  <c r="AC98" i="11"/>
  <c r="R140" i="11"/>
  <c r="S140" i="11" s="1"/>
  <c r="AC179" i="11"/>
  <c r="AD179" i="11" s="1"/>
  <c r="W180" i="11"/>
  <c r="Y180" i="11"/>
  <c r="AB180" i="11"/>
  <c r="AA180" i="11"/>
  <c r="Y138" i="11"/>
  <c r="AB138" i="11"/>
  <c r="AA138" i="11"/>
  <c r="Z138" i="11"/>
  <c r="M102" i="17"/>
  <c r="R101" i="17"/>
  <c r="T189" i="17"/>
  <c r="V189" i="17"/>
  <c r="U189" i="17"/>
  <c r="R100" i="16"/>
  <c r="M101" i="16"/>
  <c r="L101" i="16"/>
  <c r="Q100" i="16"/>
  <c r="S102" i="16"/>
  <c r="N103" i="16"/>
  <c r="Z177" i="17"/>
  <c r="W177" i="17"/>
  <c r="Y177" i="17"/>
  <c r="AB177" i="17"/>
  <c r="AA177" i="17"/>
  <c r="X177" i="17"/>
  <c r="L101" i="17"/>
  <c r="Q100" i="17"/>
  <c r="T181" i="11"/>
  <c r="AI31" i="6" s="1"/>
  <c r="V181" i="11"/>
  <c r="U181" i="11"/>
  <c r="CE101" i="11" s="1"/>
  <c r="T139" i="11"/>
  <c r="AC29" i="6" s="1"/>
  <c r="V139" i="11"/>
  <c r="U139" i="11"/>
  <c r="T100" i="16"/>
  <c r="O101" i="16"/>
  <c r="AE97" i="16"/>
  <c r="AD97" i="16"/>
  <c r="AC97" i="16"/>
  <c r="J104" i="16"/>
  <c r="K103" i="16"/>
  <c r="A194" i="17"/>
  <c r="A80" i="6"/>
  <c r="A216" i="6"/>
  <c r="A148" i="6"/>
  <c r="H182" i="11"/>
  <c r="R182" i="11"/>
  <c r="S182" i="11" s="1"/>
  <c r="H190" i="17"/>
  <c r="M180" i="17"/>
  <c r="P180" i="17"/>
  <c r="Q180" i="17" s="1"/>
  <c r="K181" i="17"/>
  <c r="AK181" i="17" s="1"/>
  <c r="A104" i="19"/>
  <c r="A195" i="11"/>
  <c r="A194" i="16"/>
  <c r="H189" i="16"/>
  <c r="P142" i="11"/>
  <c r="Q142" i="11" s="1"/>
  <c r="M142" i="11"/>
  <c r="M141" i="11"/>
  <c r="P141" i="11"/>
  <c r="Q141" i="11" s="1"/>
  <c r="AI98" i="11"/>
  <c r="H115" i="17"/>
  <c r="H115" i="16"/>
  <c r="X114" i="16"/>
  <c r="AI97" i="16"/>
  <c r="H148" i="16"/>
  <c r="X114" i="17"/>
  <c r="U114" i="17"/>
  <c r="H145" i="11"/>
  <c r="V113" i="17"/>
  <c r="V113" i="16"/>
  <c r="Y113" i="16" s="1"/>
  <c r="Z113" i="16" s="1"/>
  <c r="Y112" i="17"/>
  <c r="AB111" i="17"/>
  <c r="J198" i="7"/>
  <c r="AB198" i="7" s="1"/>
  <c r="P198" i="7"/>
  <c r="P199" i="7" s="1"/>
  <c r="H198" i="7"/>
  <c r="Z197" i="7"/>
  <c r="H148" i="17"/>
  <c r="H149" i="17"/>
  <c r="AT196" i="7"/>
  <c r="AM196" i="7"/>
  <c r="L102" i="11"/>
  <c r="Q102" i="11" s="1"/>
  <c r="AV195" i="7"/>
  <c r="L199" i="7"/>
  <c r="AD198" i="7"/>
  <c r="AS197" i="7"/>
  <c r="AG197" i="7"/>
  <c r="N198" i="7"/>
  <c r="AQ198" i="7"/>
  <c r="AJ197" i="7"/>
  <c r="Q198" i="7"/>
  <c r="AE197" i="7"/>
  <c r="M198" i="7"/>
  <c r="AC197" i="7"/>
  <c r="K198" i="7"/>
  <c r="AL198" i="7"/>
  <c r="S199" i="7"/>
  <c r="AO198" i="7"/>
  <c r="U199" i="7"/>
  <c r="AF196" i="7"/>
  <c r="AH197" i="7"/>
  <c r="O198" i="7"/>
  <c r="AN198" i="7"/>
  <c r="T199" i="7"/>
  <c r="A211" i="7"/>
  <c r="A174" i="8"/>
  <c r="A182" i="6"/>
  <c r="A106" i="8"/>
  <c r="A140" i="8"/>
  <c r="AR197" i="7"/>
  <c r="X198" i="7"/>
  <c r="Y205" i="7"/>
  <c r="AK197" i="7"/>
  <c r="R198" i="7"/>
  <c r="E101" i="17"/>
  <c r="C197" i="7"/>
  <c r="A104" i="18"/>
  <c r="AB97" i="17"/>
  <c r="A177" i="7"/>
  <c r="A154" i="17"/>
  <c r="A114" i="17"/>
  <c r="A114" i="6"/>
  <c r="K109" i="17"/>
  <c r="AA109" i="17" s="1"/>
  <c r="AB109" i="17" s="1"/>
  <c r="J110" i="17"/>
  <c r="V99" i="17"/>
  <c r="G100" i="17"/>
  <c r="AR90" i="19" s="1"/>
  <c r="F101" i="17"/>
  <c r="D198" i="7" s="1"/>
  <c r="U100" i="17"/>
  <c r="K108" i="16"/>
  <c r="Y98" i="17"/>
  <c r="F101" i="16"/>
  <c r="D163" i="7"/>
  <c r="E101" i="16"/>
  <c r="C163" i="7"/>
  <c r="O102" i="11"/>
  <c r="T102" i="11" s="1"/>
  <c r="V101" i="11"/>
  <c r="Y101" i="11" s="1"/>
  <c r="AH97" i="16"/>
  <c r="P101" i="16"/>
  <c r="U101" i="16" s="1"/>
  <c r="AJ97" i="16"/>
  <c r="Y98" i="16"/>
  <c r="A154" i="16"/>
  <c r="A114" i="16"/>
  <c r="P102" i="11"/>
  <c r="U102" i="11" s="1"/>
  <c r="V99" i="16"/>
  <c r="A115" i="11"/>
  <c r="A155" i="11"/>
  <c r="AJ98" i="11"/>
  <c r="AH98" i="11"/>
  <c r="AB99" i="11"/>
  <c r="Z112" i="11"/>
  <c r="AA100" i="11"/>
  <c r="Z100" i="11"/>
  <c r="X115" i="11"/>
  <c r="Y113" i="11"/>
  <c r="V114" i="11"/>
  <c r="U115" i="11"/>
  <c r="S115" i="11"/>
  <c r="T115" i="11"/>
  <c r="R115" i="11"/>
  <c r="K143" i="11"/>
  <c r="AK143" i="11" s="1"/>
  <c r="H116" i="11"/>
  <c r="Q116" i="11" s="1"/>
  <c r="K105" i="11"/>
  <c r="N103" i="11"/>
  <c r="S103" i="11" s="1"/>
  <c r="M103" i="11"/>
  <c r="R103" i="11" s="1"/>
  <c r="A143" i="7"/>
  <c r="A136" i="4"/>
  <c r="A46" i="6"/>
  <c r="W45" i="6" s="1"/>
  <c r="BH45" i="6" s="1"/>
  <c r="A104" i="3"/>
  <c r="G199" i="9" l="1"/>
  <c r="T199" i="9" s="1"/>
  <c r="J199" i="9"/>
  <c r="W199" i="9" s="1"/>
  <c r="H199" i="9"/>
  <c r="U199" i="9" s="1"/>
  <c r="A270" i="9"/>
  <c r="A236" i="9"/>
  <c r="A134" i="9"/>
  <c r="A202" i="9"/>
  <c r="A168" i="9"/>
  <c r="A100" i="9"/>
  <c r="G267" i="9"/>
  <c r="T267" i="9" s="1"/>
  <c r="H267" i="9"/>
  <c r="U267" i="9" s="1"/>
  <c r="J267" i="9"/>
  <c r="W267" i="9" s="1"/>
  <c r="B166" i="9"/>
  <c r="B200" i="9"/>
  <c r="B150" i="9"/>
  <c r="B184" i="9"/>
  <c r="B116" i="9"/>
  <c r="B82" i="9"/>
  <c r="B268" i="9"/>
  <c r="B234" i="9"/>
  <c r="H233" i="9"/>
  <c r="U233" i="9" s="1"/>
  <c r="J233" i="9"/>
  <c r="W233" i="9" s="1"/>
  <c r="G233" i="9"/>
  <c r="T233" i="9" s="1"/>
  <c r="AN178" i="11"/>
  <c r="AO178" i="11" s="1"/>
  <c r="AC178" i="11"/>
  <c r="AG178" i="11" s="1"/>
  <c r="L135" i="4"/>
  <c r="AN138" i="11"/>
  <c r="AO138" i="11" s="1"/>
  <c r="CC99" i="11"/>
  <c r="AL139" i="11"/>
  <c r="AM139" i="11"/>
  <c r="X88" i="3" s="1"/>
  <c r="CE98" i="17"/>
  <c r="AL178" i="17"/>
  <c r="AM178" i="17"/>
  <c r="AH88" i="19" s="1"/>
  <c r="H152" i="16"/>
  <c r="M190" i="17"/>
  <c r="AV102" i="19"/>
  <c r="CK97" i="16"/>
  <c r="CG97" i="16"/>
  <c r="CB97" i="16"/>
  <c r="CI97" i="16"/>
  <c r="CD97" i="16"/>
  <c r="CH97" i="16"/>
  <c r="CJ97" i="16"/>
  <c r="CE109" i="17"/>
  <c r="AL189" i="17"/>
  <c r="AM189" i="17"/>
  <c r="AH99" i="19" s="1"/>
  <c r="CH98" i="11"/>
  <c r="CJ98" i="11"/>
  <c r="CK98" i="11"/>
  <c r="CG98" i="11"/>
  <c r="CB98" i="11"/>
  <c r="CD98" i="11"/>
  <c r="CI98" i="11"/>
  <c r="H152" i="17"/>
  <c r="P190" i="17"/>
  <c r="Q190" i="17" s="1"/>
  <c r="R190" i="17" s="1"/>
  <c r="S190" i="17" s="1"/>
  <c r="T190" i="17" s="1"/>
  <c r="G113" i="17"/>
  <c r="AR103" i="19" s="1"/>
  <c r="AU103" i="19" s="1"/>
  <c r="AW103" i="19" s="1"/>
  <c r="AN177" i="17"/>
  <c r="AO177" i="17" s="1"/>
  <c r="AH87" i="19"/>
  <c r="AL181" i="11"/>
  <c r="AM181" i="11"/>
  <c r="Z181" i="11"/>
  <c r="X181" i="11"/>
  <c r="AN180" i="11"/>
  <c r="AO180" i="11" s="1"/>
  <c r="AC31" i="3"/>
  <c r="AE31" i="3" s="1"/>
  <c r="AF31" i="3" s="1"/>
  <c r="BC31" i="3" s="1"/>
  <c r="BE31" i="3" s="1"/>
  <c r="BG31" i="3" s="1"/>
  <c r="AB31" i="3"/>
  <c r="AD31" i="3" s="1"/>
  <c r="K192" i="11"/>
  <c r="AK192" i="11" s="1"/>
  <c r="M191" i="11"/>
  <c r="AA32" i="3"/>
  <c r="AB32" i="3" s="1"/>
  <c r="P191" i="11"/>
  <c r="Q191" i="11" s="1"/>
  <c r="AI179" i="11"/>
  <c r="AV207" i="7"/>
  <c r="J212" i="6" s="1"/>
  <c r="P212" i="6" s="1"/>
  <c r="T212" i="6" s="1"/>
  <c r="BE41" i="6" s="1"/>
  <c r="V23" i="23"/>
  <c r="AM32" i="3"/>
  <c r="AO32" i="3" s="1"/>
  <c r="AP32" i="3" s="1"/>
  <c r="BJ32" i="3" s="1"/>
  <c r="BL32" i="3" s="1"/>
  <c r="BN32" i="3" s="1"/>
  <c r="AL32" i="3"/>
  <c r="AN32" i="3" s="1"/>
  <c r="AP198" i="7"/>
  <c r="AJ141" i="7"/>
  <c r="AH141" i="7"/>
  <c r="AA141" i="7"/>
  <c r="AG141" i="7"/>
  <c r="AL141" i="7"/>
  <c r="AO141" i="7"/>
  <c r="AK141" i="7"/>
  <c r="AI141" i="7"/>
  <c r="J178" i="6"/>
  <c r="P178" i="6" s="1"/>
  <c r="T178" i="6" s="1"/>
  <c r="AY41" i="6" s="1"/>
  <c r="J177" i="6"/>
  <c r="P177" i="6" s="1"/>
  <c r="T177" i="6" s="1"/>
  <c r="AY40" i="6" s="1"/>
  <c r="J211" i="6"/>
  <c r="P211" i="6" s="1"/>
  <c r="T211" i="6" s="1"/>
  <c r="BE40" i="6" s="1"/>
  <c r="I114" i="11"/>
  <c r="I113" i="17"/>
  <c r="I113" i="16"/>
  <c r="AC32" i="19"/>
  <c r="AE32" i="19" s="1"/>
  <c r="AF32" i="19" s="1"/>
  <c r="BC32" i="19" s="1"/>
  <c r="BE32" i="19" s="1"/>
  <c r="BG32" i="19" s="1"/>
  <c r="AB32" i="19"/>
  <c r="AD32" i="19" s="1"/>
  <c r="AA33" i="19"/>
  <c r="AK33" i="18"/>
  <c r="AA33" i="18"/>
  <c r="AK33" i="19"/>
  <c r="AK33" i="3"/>
  <c r="K191" i="17"/>
  <c r="AK191" i="17" s="1"/>
  <c r="H191" i="17"/>
  <c r="E142" i="7"/>
  <c r="G142" i="7" s="1"/>
  <c r="AW142" i="7"/>
  <c r="AE175" i="7"/>
  <c r="AI175" i="7"/>
  <c r="AJ175" i="7"/>
  <c r="AR175" i="7"/>
  <c r="AH175" i="7"/>
  <c r="AK175" i="7"/>
  <c r="AL175" i="7"/>
  <c r="AQ175" i="7"/>
  <c r="AO175" i="7"/>
  <c r="AD175" i="7"/>
  <c r="AB175" i="7"/>
  <c r="AP175" i="7"/>
  <c r="AC175" i="7"/>
  <c r="AA175" i="7"/>
  <c r="AN175" i="7"/>
  <c r="AG175" i="7"/>
  <c r="AC32" i="18"/>
  <c r="AE32" i="18" s="1"/>
  <c r="AF32" i="18" s="1"/>
  <c r="BC32" i="18" s="1"/>
  <c r="BE32" i="18" s="1"/>
  <c r="BG32" i="18" s="1"/>
  <c r="AB32" i="18"/>
  <c r="AD32" i="18" s="1"/>
  <c r="C194" i="17"/>
  <c r="C195" i="11"/>
  <c r="C194" i="16"/>
  <c r="C154" i="17"/>
  <c r="C114" i="17"/>
  <c r="C114" i="16"/>
  <c r="C154" i="16"/>
  <c r="C155" i="11"/>
  <c r="C115" i="11"/>
  <c r="K146" i="6"/>
  <c r="K112" i="6"/>
  <c r="AM174" i="7"/>
  <c r="I154" i="11"/>
  <c r="F153" i="17"/>
  <c r="F193" i="17"/>
  <c r="F193" i="16"/>
  <c r="F194" i="11"/>
  <c r="F154" i="11"/>
  <c r="F153" i="16"/>
  <c r="AM208" i="7"/>
  <c r="B194" i="17"/>
  <c r="B194" i="16"/>
  <c r="B195" i="11"/>
  <c r="B104" i="19"/>
  <c r="B211" i="7"/>
  <c r="B104" i="18"/>
  <c r="B114" i="17"/>
  <c r="B154" i="17"/>
  <c r="B177" i="7"/>
  <c r="B114" i="16"/>
  <c r="B154" i="16"/>
  <c r="B155" i="11"/>
  <c r="B115" i="11"/>
  <c r="B143" i="7"/>
  <c r="B104" i="3"/>
  <c r="AM32" i="18"/>
  <c r="AO32" i="18" s="1"/>
  <c r="AP32" i="18" s="1"/>
  <c r="BJ32" i="18" s="1"/>
  <c r="BL32" i="18" s="1"/>
  <c r="BN32" i="18" s="1"/>
  <c r="AL32" i="18"/>
  <c r="AN32" i="18" s="1"/>
  <c r="AT174" i="7"/>
  <c r="I153" i="17"/>
  <c r="AT208" i="7"/>
  <c r="K44" i="6"/>
  <c r="K78" i="6"/>
  <c r="I193" i="11"/>
  <c r="C136" i="4"/>
  <c r="B136" i="4"/>
  <c r="K136" i="4" s="1"/>
  <c r="I153" i="16"/>
  <c r="I192" i="16"/>
  <c r="E176" i="7"/>
  <c r="G176" i="7" s="1"/>
  <c r="AW176" i="7"/>
  <c r="AF208" i="7"/>
  <c r="AM140" i="7"/>
  <c r="I192" i="17"/>
  <c r="K191" i="16"/>
  <c r="AK191" i="16" s="1"/>
  <c r="H191" i="16"/>
  <c r="K180" i="6"/>
  <c r="K214" i="6"/>
  <c r="AV103" i="19"/>
  <c r="AM32" i="19"/>
  <c r="AO32" i="19" s="1"/>
  <c r="AP32" i="19" s="1"/>
  <c r="BJ32" i="19" s="1"/>
  <c r="BL32" i="19" s="1"/>
  <c r="BN32" i="19" s="1"/>
  <c r="AL32" i="19"/>
  <c r="AN32" i="19" s="1"/>
  <c r="AW210" i="7"/>
  <c r="E210" i="7"/>
  <c r="G210" i="7" s="1"/>
  <c r="V200" i="7"/>
  <c r="AP200" i="7" s="1"/>
  <c r="D136" i="4"/>
  <c r="D114" i="16"/>
  <c r="D114" i="17"/>
  <c r="D154" i="16"/>
  <c r="BX114" i="16" s="1"/>
  <c r="D154" i="17"/>
  <c r="BX114" i="17" s="1"/>
  <c r="D155" i="11"/>
  <c r="BX115" i="11" s="1"/>
  <c r="D115" i="11"/>
  <c r="E135" i="4"/>
  <c r="M135" i="4" s="1"/>
  <c r="D193" i="17"/>
  <c r="CA113" i="17" s="1"/>
  <c r="D194" i="11"/>
  <c r="CA114" i="11" s="1"/>
  <c r="D193" i="16"/>
  <c r="CA113" i="16" s="1"/>
  <c r="AE209" i="7"/>
  <c r="AH209" i="7"/>
  <c r="AL209" i="7"/>
  <c r="AK209" i="7"/>
  <c r="AI209" i="7"/>
  <c r="AJ209" i="7"/>
  <c r="AO209" i="7"/>
  <c r="AA209" i="7"/>
  <c r="AR209" i="7"/>
  <c r="AC209" i="7"/>
  <c r="AP209" i="7"/>
  <c r="AB209" i="7"/>
  <c r="AD209" i="7"/>
  <c r="AQ209" i="7"/>
  <c r="Z209" i="7"/>
  <c r="AN209" i="7"/>
  <c r="AG209" i="7"/>
  <c r="AH178" i="11"/>
  <c r="AI198" i="7"/>
  <c r="AC111" i="17"/>
  <c r="AE111" i="17"/>
  <c r="AD111" i="17"/>
  <c r="AJ111" i="17"/>
  <c r="AI111" i="17"/>
  <c r="AH111" i="17"/>
  <c r="Y113" i="17"/>
  <c r="Z113" i="17" s="1"/>
  <c r="R115" i="17"/>
  <c r="Q115" i="17"/>
  <c r="T115" i="17"/>
  <c r="S115" i="17"/>
  <c r="R115" i="16"/>
  <c r="S115" i="16"/>
  <c r="Q115" i="16"/>
  <c r="T115" i="16"/>
  <c r="U115" i="16"/>
  <c r="AE99" i="11"/>
  <c r="AD99" i="11"/>
  <c r="AC99" i="11"/>
  <c r="AJ109" i="17"/>
  <c r="AE109" i="17"/>
  <c r="AI109" i="17"/>
  <c r="AD109" i="17"/>
  <c r="AC109" i="17"/>
  <c r="AH109" i="17"/>
  <c r="L102" i="16"/>
  <c r="Q101" i="16"/>
  <c r="R101" i="16"/>
  <c r="M102" i="16"/>
  <c r="AC180" i="11"/>
  <c r="AD180" i="11" s="1"/>
  <c r="O102" i="17"/>
  <c r="T101" i="17"/>
  <c r="AJ97" i="17"/>
  <c r="AE97" i="17"/>
  <c r="AI97" i="17"/>
  <c r="AD97" i="17"/>
  <c r="AC97" i="17"/>
  <c r="AH97" i="17"/>
  <c r="R142" i="11"/>
  <c r="S142" i="11" s="1"/>
  <c r="R180" i="17"/>
  <c r="S180" i="17" s="1"/>
  <c r="W139" i="11"/>
  <c r="AB139" i="11"/>
  <c r="AA139" i="11"/>
  <c r="Y139" i="11"/>
  <c r="Z139" i="11"/>
  <c r="X139" i="11"/>
  <c r="W181" i="11"/>
  <c r="AB181" i="11"/>
  <c r="AA181" i="11"/>
  <c r="Y181" i="11"/>
  <c r="S103" i="16"/>
  <c r="N104" i="16"/>
  <c r="U140" i="11"/>
  <c r="T140" i="11"/>
  <c r="AC30" i="6" s="1"/>
  <c r="V140" i="11"/>
  <c r="R141" i="11"/>
  <c r="S141" i="11" s="1"/>
  <c r="V189" i="16"/>
  <c r="U189" i="16"/>
  <c r="T189" i="16"/>
  <c r="T101" i="16"/>
  <c r="O102" i="16"/>
  <c r="W189" i="17"/>
  <c r="Z189" i="17"/>
  <c r="Y189" i="17"/>
  <c r="AA189" i="17"/>
  <c r="X189" i="17"/>
  <c r="AB189" i="17"/>
  <c r="AC138" i="11"/>
  <c r="AH138" i="11" s="1"/>
  <c r="AF179" i="11"/>
  <c r="AE179" i="11"/>
  <c r="AK88" i="3" s="1"/>
  <c r="AG179" i="11"/>
  <c r="AX98" i="11"/>
  <c r="AW98" i="11"/>
  <c r="AV98" i="11"/>
  <c r="AF98" i="11"/>
  <c r="AU98" i="11"/>
  <c r="AS98" i="11"/>
  <c r="AR98" i="11"/>
  <c r="BA98" i="11"/>
  <c r="AZ98" i="11"/>
  <c r="AT98" i="11"/>
  <c r="AY98" i="11"/>
  <c r="BB98" i="11"/>
  <c r="AG98" i="11"/>
  <c r="AK98" i="11" s="1"/>
  <c r="N102" i="17"/>
  <c r="S101" i="17"/>
  <c r="V179" i="17"/>
  <c r="U179" i="17"/>
  <c r="T179" i="17"/>
  <c r="U182" i="11"/>
  <c r="CE102" i="11" s="1"/>
  <c r="T182" i="11"/>
  <c r="AI32" i="6" s="1"/>
  <c r="V182" i="11"/>
  <c r="L102" i="17"/>
  <c r="Q101" i="17"/>
  <c r="AC177" i="17"/>
  <c r="AH177" i="17" s="1"/>
  <c r="M103" i="17"/>
  <c r="R102" i="17"/>
  <c r="AH179" i="11"/>
  <c r="AA178" i="17"/>
  <c r="Y178" i="17"/>
  <c r="AB178" i="17"/>
  <c r="Z178" i="17"/>
  <c r="W178" i="17"/>
  <c r="X178" i="17"/>
  <c r="AF97" i="16"/>
  <c r="AW97" i="16"/>
  <c r="AS97" i="16"/>
  <c r="AZ97" i="16"/>
  <c r="AV97" i="16"/>
  <c r="AR97" i="16"/>
  <c r="AY97" i="16"/>
  <c r="AU97" i="16"/>
  <c r="BB97" i="16"/>
  <c r="AX97" i="16"/>
  <c r="AT97" i="16"/>
  <c r="BA97" i="16"/>
  <c r="AG97" i="16"/>
  <c r="AK97" i="16" s="1"/>
  <c r="J105" i="16"/>
  <c r="K105" i="16" s="1"/>
  <c r="K104" i="16"/>
  <c r="A195" i="17"/>
  <c r="A81" i="6"/>
  <c r="A217" i="6"/>
  <c r="A149" i="6"/>
  <c r="H183" i="11"/>
  <c r="R183" i="11"/>
  <c r="S183" i="11" s="1"/>
  <c r="J166" i="6"/>
  <c r="P166" i="6" s="1"/>
  <c r="T166" i="6" s="1"/>
  <c r="AY29" i="6" s="1"/>
  <c r="J200" i="6"/>
  <c r="P200" i="6" s="1"/>
  <c r="T200" i="6" s="1"/>
  <c r="BE29" i="6" s="1"/>
  <c r="J199" i="7"/>
  <c r="AB199" i="7" s="1"/>
  <c r="M181" i="17"/>
  <c r="P181" i="17"/>
  <c r="Q181" i="17" s="1"/>
  <c r="K182" i="17"/>
  <c r="AK182" i="17" s="1"/>
  <c r="R190" i="16"/>
  <c r="S190" i="16" s="1"/>
  <c r="H190" i="16"/>
  <c r="A105" i="19"/>
  <c r="A196" i="11"/>
  <c r="A195" i="16"/>
  <c r="M143" i="11"/>
  <c r="P143" i="11"/>
  <c r="Q143" i="11" s="1"/>
  <c r="V102" i="11"/>
  <c r="Y102" i="11" s="1"/>
  <c r="AI99" i="11"/>
  <c r="H146" i="11"/>
  <c r="V114" i="16"/>
  <c r="Y114" i="16" s="1"/>
  <c r="Z114" i="16" s="1"/>
  <c r="Z112" i="17"/>
  <c r="AA112" i="17"/>
  <c r="X115" i="16"/>
  <c r="V114" i="17"/>
  <c r="H116" i="17"/>
  <c r="H116" i="16"/>
  <c r="L103" i="11"/>
  <c r="Q103" i="11" s="1"/>
  <c r="H150" i="16"/>
  <c r="H149" i="16"/>
  <c r="X115" i="17"/>
  <c r="U115" i="17"/>
  <c r="Z198" i="7"/>
  <c r="H199" i="7"/>
  <c r="H150" i="1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2" i="17"/>
  <c r="C198" i="7"/>
  <c r="A105" i="18"/>
  <c r="A178" i="7"/>
  <c r="A155" i="17"/>
  <c r="A115" i="17"/>
  <c r="A115" i="6"/>
  <c r="Z98" i="17"/>
  <c r="AA98" i="17"/>
  <c r="K110" i="16"/>
  <c r="U101" i="17"/>
  <c r="Y99" i="17"/>
  <c r="K110" i="17"/>
  <c r="AA110" i="17" s="1"/>
  <c r="AB110" i="17" s="1"/>
  <c r="G101" i="17"/>
  <c r="AR91" i="19" s="1"/>
  <c r="F102" i="17"/>
  <c r="D199" i="7" s="1"/>
  <c r="V100" i="17"/>
  <c r="F102" i="16"/>
  <c r="D164" i="7"/>
  <c r="E102" i="16"/>
  <c r="C164" i="7"/>
  <c r="O103" i="11"/>
  <c r="T103" i="11" s="1"/>
  <c r="P103" i="11"/>
  <c r="U103" i="11" s="1"/>
  <c r="V100" i="16"/>
  <c r="Y100" i="16" s="1"/>
  <c r="Y99" i="16"/>
  <c r="Z98" i="16"/>
  <c r="AA98" i="16"/>
  <c r="A155" i="16"/>
  <c r="A115" i="16"/>
  <c r="P102" i="16"/>
  <c r="U102" i="16" s="1"/>
  <c r="A116" i="11"/>
  <c r="A156" i="11"/>
  <c r="AH99" i="11"/>
  <c r="AJ99" i="11"/>
  <c r="Z113" i="11"/>
  <c r="AB100" i="11"/>
  <c r="AA101" i="11"/>
  <c r="Z101" i="11"/>
  <c r="Y114" i="11"/>
  <c r="X116" i="11"/>
  <c r="K106" i="11"/>
  <c r="V115" i="11"/>
  <c r="U116" i="11"/>
  <c r="S116" i="11"/>
  <c r="T116" i="11"/>
  <c r="R116" i="11"/>
  <c r="H117" i="11"/>
  <c r="Q117" i="11" s="1"/>
  <c r="N104" i="11"/>
  <c r="S104" i="11" s="1"/>
  <c r="M104" i="11"/>
  <c r="R104" i="11" s="1"/>
  <c r="K144" i="11"/>
  <c r="AK144" i="11" s="1"/>
  <c r="A144" i="7"/>
  <c r="A137" i="4"/>
  <c r="A47" i="6"/>
  <c r="W46" i="6" s="1"/>
  <c r="BH46" i="6" s="1"/>
  <c r="A105" i="3"/>
  <c r="B269" i="9" l="1"/>
  <c r="B235" i="9"/>
  <c r="B117" i="9"/>
  <c r="B83" i="9"/>
  <c r="AI178" i="11"/>
  <c r="B167" i="9"/>
  <c r="B201" i="9"/>
  <c r="G268" i="9"/>
  <c r="T268" i="9" s="1"/>
  <c r="H268" i="9"/>
  <c r="U268" i="9" s="1"/>
  <c r="J268" i="9"/>
  <c r="W268" i="9" s="1"/>
  <c r="G150" i="9"/>
  <c r="T150" i="9" s="1"/>
  <c r="J150" i="9"/>
  <c r="W150" i="9" s="1"/>
  <c r="H150" i="9"/>
  <c r="U150" i="9" s="1"/>
  <c r="B218" i="9"/>
  <c r="B252" i="9"/>
  <c r="AE178" i="11"/>
  <c r="AK87" i="3" s="1"/>
  <c r="G82" i="9"/>
  <c r="T82" i="9" s="1"/>
  <c r="H82" i="9"/>
  <c r="U82" i="9" s="1"/>
  <c r="J82" i="9"/>
  <c r="W82" i="9" s="1"/>
  <c r="G200" i="9"/>
  <c r="T200" i="9" s="1"/>
  <c r="J200" i="9"/>
  <c r="W200" i="9" s="1"/>
  <c r="H200" i="9"/>
  <c r="U200" i="9" s="1"/>
  <c r="G234" i="9"/>
  <c r="T234" i="9" s="1"/>
  <c r="H234" i="9"/>
  <c r="U234" i="9" s="1"/>
  <c r="J234" i="9"/>
  <c r="W234" i="9" s="1"/>
  <c r="G184" i="9"/>
  <c r="T184" i="9" s="1"/>
  <c r="H184" i="9"/>
  <c r="U184" i="9" s="1"/>
  <c r="J184" i="9"/>
  <c r="W184" i="9" s="1"/>
  <c r="A271" i="9"/>
  <c r="A101" i="9"/>
  <c r="A237" i="9"/>
  <c r="A135" i="9"/>
  <c r="A203" i="9"/>
  <c r="A169" i="9"/>
  <c r="B264" i="9"/>
  <c r="B230" i="9"/>
  <c r="AF178" i="11"/>
  <c r="G116" i="9"/>
  <c r="T116" i="9" s="1"/>
  <c r="J116" i="9"/>
  <c r="W116" i="9" s="1"/>
  <c r="H116" i="9"/>
  <c r="U116" i="9" s="1"/>
  <c r="AD178" i="11"/>
  <c r="V190" i="17"/>
  <c r="L136" i="4"/>
  <c r="AN178" i="17"/>
  <c r="AO178" i="17" s="1"/>
  <c r="CC100" i="11"/>
  <c r="AL140" i="11"/>
  <c r="AM140" i="11"/>
  <c r="X89" i="3" s="1"/>
  <c r="G114" i="17"/>
  <c r="AR104" i="19" s="1"/>
  <c r="AU104" i="19" s="1"/>
  <c r="CL98" i="11"/>
  <c r="CM98" i="11" s="1"/>
  <c r="CE99" i="17"/>
  <c r="AL179" i="17"/>
  <c r="AM179" i="17"/>
  <c r="AH89" i="19" s="1"/>
  <c r="BY98" i="11"/>
  <c r="BV98" i="11"/>
  <c r="CI109" i="17"/>
  <c r="CD109" i="17"/>
  <c r="CJ109" i="17"/>
  <c r="CK109" i="17"/>
  <c r="CB109" i="17"/>
  <c r="CH109" i="17"/>
  <c r="CG109" i="17"/>
  <c r="CI111" i="17"/>
  <c r="CD111" i="17"/>
  <c r="CH111" i="17"/>
  <c r="CB111" i="17"/>
  <c r="CJ111" i="17"/>
  <c r="CG111" i="17"/>
  <c r="CK111" i="17"/>
  <c r="H153" i="16"/>
  <c r="M192" i="11"/>
  <c r="AN189" i="17"/>
  <c r="AO189" i="17" s="1"/>
  <c r="CL97" i="16"/>
  <c r="CM97" i="16" s="1"/>
  <c r="U190" i="17"/>
  <c r="CI97" i="17"/>
  <c r="CD97" i="17"/>
  <c r="CH97" i="17"/>
  <c r="CB97" i="17"/>
  <c r="CG97" i="17"/>
  <c r="CJ97" i="17"/>
  <c r="CK97" i="17"/>
  <c r="AN139" i="11"/>
  <c r="AO139" i="11" s="1"/>
  <c r="CE109" i="16"/>
  <c r="AL189" i="16"/>
  <c r="AM189" i="16"/>
  <c r="CJ99" i="11"/>
  <c r="CH99" i="11"/>
  <c r="CI99" i="11"/>
  <c r="CD99" i="11"/>
  <c r="CK99" i="11"/>
  <c r="CG99" i="11"/>
  <c r="CB99" i="11"/>
  <c r="H153" i="17"/>
  <c r="P192" i="11"/>
  <c r="Q192" i="11" s="1"/>
  <c r="AN181" i="11"/>
  <c r="AO181" i="11" s="1"/>
  <c r="AH90" i="3"/>
  <c r="AD32" i="3"/>
  <c r="AL182" i="11"/>
  <c r="Z182" i="11"/>
  <c r="AM182" i="11"/>
  <c r="AH91" i="3" s="1"/>
  <c r="X182" i="11"/>
  <c r="V201" i="7"/>
  <c r="AC32" i="3"/>
  <c r="AE32" i="3" s="1"/>
  <c r="AF32" i="3" s="1"/>
  <c r="BC32" i="3" s="1"/>
  <c r="BE32" i="3" s="1"/>
  <c r="BG32" i="3" s="1"/>
  <c r="AA33" i="3"/>
  <c r="K193" i="11"/>
  <c r="AK193" i="11" s="1"/>
  <c r="AV208" i="7"/>
  <c r="J179" i="6" s="1"/>
  <c r="P179" i="6" s="1"/>
  <c r="T179" i="6" s="1"/>
  <c r="AY42" i="6" s="1"/>
  <c r="W23" i="23"/>
  <c r="E136" i="4"/>
  <c r="M136" i="4" s="1"/>
  <c r="D194" i="16"/>
  <c r="CA114" i="16" s="1"/>
  <c r="D194" i="17"/>
  <c r="CA114" i="17" s="1"/>
  <c r="D195" i="11"/>
  <c r="CA115" i="11" s="1"/>
  <c r="AE176" i="7"/>
  <c r="AI176" i="7"/>
  <c r="AK176" i="7"/>
  <c r="AR176" i="7"/>
  <c r="AL176" i="7"/>
  <c r="AH176" i="7"/>
  <c r="AJ176" i="7"/>
  <c r="AQ176" i="7"/>
  <c r="AD176" i="7"/>
  <c r="AA176" i="7"/>
  <c r="AC176" i="7"/>
  <c r="AO176" i="7"/>
  <c r="AB176" i="7"/>
  <c r="AP176" i="7"/>
  <c r="AN176" i="7"/>
  <c r="AG176" i="7"/>
  <c r="E177" i="7"/>
  <c r="G177" i="7" s="1"/>
  <c r="AW177" i="7"/>
  <c r="AL33" i="19"/>
  <c r="AN33" i="19" s="1"/>
  <c r="AM33" i="19"/>
  <c r="AO33" i="19" s="1"/>
  <c r="AP33" i="19" s="1"/>
  <c r="BJ33" i="19" s="1"/>
  <c r="BL33" i="19" s="1"/>
  <c r="BN33" i="19" s="1"/>
  <c r="K192" i="16"/>
  <c r="AK192" i="16" s="1"/>
  <c r="H192" i="16"/>
  <c r="I155" i="11"/>
  <c r="AW104" i="19"/>
  <c r="AV104" i="19"/>
  <c r="AM175" i="7"/>
  <c r="AC33" i="18"/>
  <c r="AE33" i="18" s="1"/>
  <c r="AF33" i="18" s="1"/>
  <c r="BC33" i="18" s="1"/>
  <c r="BE33" i="18" s="1"/>
  <c r="BG33" i="18" s="1"/>
  <c r="AB33" i="18"/>
  <c r="AD33" i="18" s="1"/>
  <c r="I154" i="17"/>
  <c r="AT175" i="7"/>
  <c r="AM33" i="18"/>
  <c r="AO33" i="18" s="1"/>
  <c r="AP33" i="18" s="1"/>
  <c r="BJ33" i="18" s="1"/>
  <c r="BL33" i="18" s="1"/>
  <c r="BN33" i="18" s="1"/>
  <c r="AL33" i="18"/>
  <c r="AN33" i="18" s="1"/>
  <c r="AM209" i="7"/>
  <c r="I154" i="16"/>
  <c r="E211" i="7"/>
  <c r="G211" i="7" s="1"/>
  <c r="AW211" i="7"/>
  <c r="AM141" i="7"/>
  <c r="K147" i="6"/>
  <c r="K113" i="6"/>
  <c r="AT209" i="7"/>
  <c r="B195" i="17"/>
  <c r="B196" i="11"/>
  <c r="B195" i="16"/>
  <c r="B105" i="19"/>
  <c r="B212" i="7"/>
  <c r="B105" i="18"/>
  <c r="B115" i="17"/>
  <c r="B155" i="17"/>
  <c r="B178" i="7"/>
  <c r="B115" i="16"/>
  <c r="B155" i="16"/>
  <c r="B156" i="11"/>
  <c r="B116" i="11"/>
  <c r="B144" i="7"/>
  <c r="B105" i="3"/>
  <c r="I115" i="11"/>
  <c r="I114" i="17"/>
  <c r="I114" i="16"/>
  <c r="AF209" i="7"/>
  <c r="M191" i="16"/>
  <c r="P191" i="16"/>
  <c r="Q191" i="16" s="1"/>
  <c r="C195" i="17"/>
  <c r="C195" i="16"/>
  <c r="C196" i="11"/>
  <c r="C155" i="17"/>
  <c r="C115" i="17"/>
  <c r="C115" i="16"/>
  <c r="C155" i="16"/>
  <c r="C156" i="11"/>
  <c r="C116" i="11"/>
  <c r="K45" i="6"/>
  <c r="K79" i="6"/>
  <c r="D137" i="4"/>
  <c r="D115" i="17"/>
  <c r="D155" i="16"/>
  <c r="BX115" i="16" s="1"/>
  <c r="D155" i="17"/>
  <c r="BX115" i="17" s="1"/>
  <c r="D115" i="16"/>
  <c r="D156" i="11"/>
  <c r="BX116" i="11" s="1"/>
  <c r="D116" i="11"/>
  <c r="K192" i="17"/>
  <c r="AK192" i="17" s="1"/>
  <c r="H192" i="17"/>
  <c r="AW143" i="7"/>
  <c r="E143" i="7"/>
  <c r="G143" i="7" s="1"/>
  <c r="AA142" i="7"/>
  <c r="AH142" i="7"/>
  <c r="AK142" i="7"/>
  <c r="AG142" i="7"/>
  <c r="AI142" i="7"/>
  <c r="AO142" i="7"/>
  <c r="AL142" i="7"/>
  <c r="AJ142" i="7"/>
  <c r="AC33" i="19"/>
  <c r="AE33" i="19" s="1"/>
  <c r="AF33" i="19" s="1"/>
  <c r="BC33" i="19" s="1"/>
  <c r="BE33" i="19" s="1"/>
  <c r="BG33" i="19" s="1"/>
  <c r="AB33" i="19"/>
  <c r="AD33" i="19" s="1"/>
  <c r="I193" i="17"/>
  <c r="AJ178" i="11"/>
  <c r="I193" i="16"/>
  <c r="AE210" i="7"/>
  <c r="AH210" i="7"/>
  <c r="AO210" i="7"/>
  <c r="AL210" i="7"/>
  <c r="AK210" i="7"/>
  <c r="AJ210" i="7"/>
  <c r="AI210" i="7"/>
  <c r="AB210" i="7"/>
  <c r="AD210" i="7"/>
  <c r="AP210" i="7"/>
  <c r="AA210" i="7"/>
  <c r="AR210" i="7"/>
  <c r="AC210" i="7"/>
  <c r="Z210" i="7"/>
  <c r="AQ210" i="7"/>
  <c r="AN210" i="7"/>
  <c r="AG210" i="7"/>
  <c r="P191" i="17"/>
  <c r="Q191" i="17" s="1"/>
  <c r="M191" i="17"/>
  <c r="J213" i="6"/>
  <c r="P213" i="6" s="1"/>
  <c r="T213" i="6" s="1"/>
  <c r="BE42" i="6" s="1"/>
  <c r="C137" i="4"/>
  <c r="B137" i="4"/>
  <c r="K137" i="4" s="1"/>
  <c r="I194" i="11"/>
  <c r="K181" i="6"/>
  <c r="K215" i="6"/>
  <c r="F154" i="17"/>
  <c r="F194" i="17"/>
  <c r="F155" i="11"/>
  <c r="F194" i="16"/>
  <c r="F154" i="16"/>
  <c r="F195" i="11"/>
  <c r="AL33" i="3"/>
  <c r="AN33" i="3" s="1"/>
  <c r="AM33" i="3"/>
  <c r="AO33" i="3" s="1"/>
  <c r="AP33" i="3" s="1"/>
  <c r="BJ33" i="3" s="1"/>
  <c r="BL33" i="3" s="1"/>
  <c r="BN33" i="3" s="1"/>
  <c r="AA34" i="18"/>
  <c r="AK34" i="18"/>
  <c r="AK34" i="19"/>
  <c r="AK34" i="3"/>
  <c r="AA34" i="19"/>
  <c r="AU40" i="6"/>
  <c r="BG40" i="6"/>
  <c r="J200" i="7"/>
  <c r="AA113" i="17"/>
  <c r="AB113" i="17" s="1"/>
  <c r="AF111" i="17"/>
  <c r="AX111" i="17"/>
  <c r="AU111" i="17"/>
  <c r="AW111" i="17"/>
  <c r="AV111" i="17"/>
  <c r="BB111" i="17"/>
  <c r="AS111" i="17"/>
  <c r="AY111" i="17"/>
  <c r="AR111" i="17"/>
  <c r="AT111" i="17"/>
  <c r="BA111" i="17"/>
  <c r="AZ111" i="17"/>
  <c r="AG111" i="17"/>
  <c r="AK111" i="17" s="1"/>
  <c r="S116" i="17"/>
  <c r="R116" i="17"/>
  <c r="Q116" i="17"/>
  <c r="T116" i="17"/>
  <c r="AL97" i="16"/>
  <c r="Q116" i="16"/>
  <c r="U116" i="16"/>
  <c r="R116" i="16"/>
  <c r="S116" i="16"/>
  <c r="T116" i="16"/>
  <c r="C87" i="3"/>
  <c r="AI138" i="11"/>
  <c r="AL88" i="3"/>
  <c r="AM88" i="3"/>
  <c r="AF138" i="11"/>
  <c r="AG138" i="11"/>
  <c r="AE138" i="11"/>
  <c r="AA87" i="3" s="1"/>
  <c r="BC98" i="11"/>
  <c r="BH98" i="11" s="1"/>
  <c r="V141" i="11"/>
  <c r="U141" i="11"/>
  <c r="T141" i="11"/>
  <c r="AC31" i="6" s="1"/>
  <c r="AC181" i="11"/>
  <c r="AD181" i="11" s="1"/>
  <c r="R102" i="16"/>
  <c r="M103" i="16"/>
  <c r="AC110" i="17"/>
  <c r="AJ110" i="17"/>
  <c r="AI110" i="17"/>
  <c r="AE110" i="17"/>
  <c r="AD110" i="17"/>
  <c r="AH110" i="17"/>
  <c r="V190" i="16"/>
  <c r="U190" i="16"/>
  <c r="T190" i="16"/>
  <c r="R181" i="17"/>
  <c r="S181" i="17" s="1"/>
  <c r="V183" i="11"/>
  <c r="U183" i="11"/>
  <c r="CE103" i="11" s="1"/>
  <c r="T183" i="11"/>
  <c r="AI33" i="6" s="1"/>
  <c r="AD177" i="17"/>
  <c r="AI177" i="17"/>
  <c r="AE177" i="17"/>
  <c r="AF177" i="17"/>
  <c r="AG177" i="17"/>
  <c r="AC189" i="17"/>
  <c r="AI189" i="17" s="1"/>
  <c r="Y189" i="16"/>
  <c r="Z189" i="16"/>
  <c r="AA189" i="16"/>
  <c r="X189" i="16"/>
  <c r="AB189" i="16"/>
  <c r="W189" i="16"/>
  <c r="W140" i="11"/>
  <c r="AA140" i="11"/>
  <c r="Y140" i="11"/>
  <c r="AB140" i="11"/>
  <c r="Z140" i="11"/>
  <c r="X140" i="11"/>
  <c r="S104" i="16"/>
  <c r="N105" i="16"/>
  <c r="T180" i="17"/>
  <c r="V180" i="17"/>
  <c r="U180" i="17"/>
  <c r="AF97" i="17"/>
  <c r="AW97" i="17"/>
  <c r="AV97" i="17"/>
  <c r="AU97" i="17"/>
  <c r="AX97" i="17"/>
  <c r="AS97" i="17"/>
  <c r="AR97" i="17"/>
  <c r="AT97" i="17"/>
  <c r="AY97" i="17"/>
  <c r="BA97" i="17"/>
  <c r="AZ97" i="17"/>
  <c r="BB97" i="17"/>
  <c r="AG97" i="17"/>
  <c r="AK97" i="17" s="1"/>
  <c r="M104" i="17"/>
  <c r="R103" i="17"/>
  <c r="W179" i="17"/>
  <c r="Y179" i="17"/>
  <c r="AA179" i="17"/>
  <c r="AB179" i="17"/>
  <c r="Z179" i="17"/>
  <c r="X179" i="17"/>
  <c r="W182" i="11"/>
  <c r="AA182" i="11"/>
  <c r="Y182" i="11"/>
  <c r="AB182" i="11"/>
  <c r="AJ179" i="11"/>
  <c r="AC139" i="11"/>
  <c r="O103" i="17"/>
  <c r="T102" i="17"/>
  <c r="AF109" i="17"/>
  <c r="AW109" i="17"/>
  <c r="AG109" i="17"/>
  <c r="AK109" i="17" s="1"/>
  <c r="AV109" i="17"/>
  <c r="BA109" i="17"/>
  <c r="AU109" i="17"/>
  <c r="AS109" i="17"/>
  <c r="AX109" i="17"/>
  <c r="AR109" i="17"/>
  <c r="AZ109" i="17"/>
  <c r="AT109" i="17"/>
  <c r="AY109" i="17"/>
  <c r="BB109" i="17"/>
  <c r="AV99" i="11"/>
  <c r="AU99" i="11"/>
  <c r="AX99" i="11"/>
  <c r="AW99" i="11"/>
  <c r="AF99" i="11"/>
  <c r="AS99" i="11"/>
  <c r="AR99" i="11"/>
  <c r="AZ99" i="11"/>
  <c r="BB99" i="11"/>
  <c r="BA99" i="11"/>
  <c r="AY99" i="11"/>
  <c r="AT99" i="11"/>
  <c r="AG99" i="11"/>
  <c r="AK99" i="11" s="1"/>
  <c r="AC100" i="11"/>
  <c r="AE100" i="11"/>
  <c r="AD100" i="11"/>
  <c r="R143" i="11"/>
  <c r="S143" i="11" s="1"/>
  <c r="AC178" i="17"/>
  <c r="L103" i="17"/>
  <c r="Q102" i="17"/>
  <c r="N103" i="17"/>
  <c r="S102" i="17"/>
  <c r="T102" i="16"/>
  <c r="O103" i="16"/>
  <c r="X190" i="17"/>
  <c r="Z190" i="17"/>
  <c r="W190" i="17"/>
  <c r="Y190" i="17"/>
  <c r="AB190" i="17"/>
  <c r="AA190" i="17"/>
  <c r="V142" i="11"/>
  <c r="U142" i="11"/>
  <c r="T142" i="11"/>
  <c r="AC32" i="6" s="1"/>
  <c r="AI180" i="11"/>
  <c r="AF180" i="11"/>
  <c r="AH180" i="11"/>
  <c r="AG180" i="11"/>
  <c r="AE180" i="11"/>
  <c r="AK89" i="3" s="1"/>
  <c r="L103" i="16"/>
  <c r="Q102" i="16"/>
  <c r="AT198" i="7"/>
  <c r="BC97" i="16"/>
  <c r="BJ97" i="16" s="1"/>
  <c r="A196" i="17"/>
  <c r="A218" i="6"/>
  <c r="A82" i="6"/>
  <c r="A150" i="6"/>
  <c r="R184" i="11"/>
  <c r="S184" i="11" s="1"/>
  <c r="H184" i="11"/>
  <c r="AM87" i="3"/>
  <c r="AL87" i="3"/>
  <c r="J167" i="6"/>
  <c r="P167" i="6" s="1"/>
  <c r="T167" i="6" s="1"/>
  <c r="AY30" i="6" s="1"/>
  <c r="J201" i="6"/>
  <c r="P201" i="6" s="1"/>
  <c r="T201" i="6" s="1"/>
  <c r="BE30" i="6" s="1"/>
  <c r="AB98" i="16"/>
  <c r="M182" i="17"/>
  <c r="P182" i="17"/>
  <c r="Q182" i="17" s="1"/>
  <c r="R182" i="17" s="1"/>
  <c r="K183" i="17"/>
  <c r="AK183" i="17" s="1"/>
  <c r="A106" i="19"/>
  <c r="A196" i="16"/>
  <c r="A197" i="11"/>
  <c r="O104" i="11"/>
  <c r="T104" i="11" s="1"/>
  <c r="V115" i="16"/>
  <c r="Y115" i="16" s="1"/>
  <c r="Z115" i="16" s="1"/>
  <c r="M144" i="11"/>
  <c r="P144" i="11"/>
  <c r="Q144" i="11" s="1"/>
  <c r="AB112" i="17"/>
  <c r="AI100" i="11"/>
  <c r="H117" i="17"/>
  <c r="H117" i="16"/>
  <c r="AL98" i="11"/>
  <c r="X116" i="16"/>
  <c r="Y114" i="17"/>
  <c r="L104" i="11"/>
  <c r="Q104" i="11" s="1"/>
  <c r="X116" i="17"/>
  <c r="U116" i="17"/>
  <c r="V115" i="17"/>
  <c r="AP97" i="16"/>
  <c r="B123" i="8" s="1"/>
  <c r="Z199" i="7"/>
  <c r="H200" i="7"/>
  <c r="AF198" i="7"/>
  <c r="AV197" i="7"/>
  <c r="AG199" i="7"/>
  <c r="AS199" i="7"/>
  <c r="N200" i="7"/>
  <c r="AD200" i="7"/>
  <c r="L201" i="7"/>
  <c r="AB200" i="7"/>
  <c r="J201" i="7"/>
  <c r="W201" i="7"/>
  <c r="AQ200" i="7"/>
  <c r="AP201" i="7"/>
  <c r="V202" i="7"/>
  <c r="AM198" i="7"/>
  <c r="AO200" i="7"/>
  <c r="U201" i="7"/>
  <c r="AC199" i="7"/>
  <c r="K200" i="7"/>
  <c r="AL200" i="7"/>
  <c r="S201" i="7"/>
  <c r="AE199" i="7"/>
  <c r="M200" i="7"/>
  <c r="Q200" i="7"/>
  <c r="AJ199" i="7"/>
  <c r="AH199" i="7"/>
  <c r="O200" i="7"/>
  <c r="AN200" i="7"/>
  <c r="T201" i="7"/>
  <c r="A176" i="8"/>
  <c r="A184" i="6"/>
  <c r="A213" i="7"/>
  <c r="A108" i="8"/>
  <c r="A142" i="8"/>
  <c r="V103" i="11"/>
  <c r="Y103" i="11" s="1"/>
  <c r="AI200" i="7"/>
  <c r="P201" i="7"/>
  <c r="AR199" i="7"/>
  <c r="X200" i="7"/>
  <c r="AK199" i="7"/>
  <c r="R200" i="7"/>
  <c r="E103" i="17"/>
  <c r="C199" i="7"/>
  <c r="A106" i="18"/>
  <c r="AB98" i="17"/>
  <c r="A179" i="7"/>
  <c r="A156" i="17"/>
  <c r="A116" i="17"/>
  <c r="A116" i="6"/>
  <c r="U102" i="17"/>
  <c r="G102" i="17"/>
  <c r="AR92" i="19" s="1"/>
  <c r="F103" i="17"/>
  <c r="D200" i="7" s="1"/>
  <c r="Z99" i="17"/>
  <c r="AA99" i="17"/>
  <c r="P104" i="11"/>
  <c r="U104" i="11" s="1"/>
  <c r="Y100" i="17"/>
  <c r="V101" i="17"/>
  <c r="F103" i="16"/>
  <c r="D165" i="7"/>
  <c r="E103" i="16"/>
  <c r="C165" i="7"/>
  <c r="V101" i="16"/>
  <c r="Y101" i="16" s="1"/>
  <c r="A156" i="16"/>
  <c r="A116" i="16"/>
  <c r="AM97" i="16"/>
  <c r="D87" i="18" s="1"/>
  <c r="AO97" i="16"/>
  <c r="AN97" i="16"/>
  <c r="Z100" i="16"/>
  <c r="AA100" i="16"/>
  <c r="P103" i="16"/>
  <c r="U103" i="16" s="1"/>
  <c r="Z99" i="16"/>
  <c r="AA99" i="16"/>
  <c r="A117" i="11"/>
  <c r="A157" i="11"/>
  <c r="AO98" i="11"/>
  <c r="AM98" i="11"/>
  <c r="AN98" i="11"/>
  <c r="AP98" i="11"/>
  <c r="B89" i="8" s="1"/>
  <c r="AJ100" i="11"/>
  <c r="AH100" i="11"/>
  <c r="AB101" i="11"/>
  <c r="Z114" i="11"/>
  <c r="AA102" i="11"/>
  <c r="Z102" i="11"/>
  <c r="X117" i="11"/>
  <c r="Y115" i="11"/>
  <c r="V116" i="11"/>
  <c r="U117" i="11"/>
  <c r="S117" i="11"/>
  <c r="R117" i="11"/>
  <c r="T117" i="11"/>
  <c r="H118" i="11"/>
  <c r="Q118" i="11" s="1"/>
  <c r="K145" i="11"/>
  <c r="AK145" i="11" s="1"/>
  <c r="N105" i="11"/>
  <c r="S105" i="11" s="1"/>
  <c r="M105" i="11"/>
  <c r="R105" i="11" s="1"/>
  <c r="K117" i="11"/>
  <c r="A145" i="7"/>
  <c r="A138" i="4"/>
  <c r="A48" i="6"/>
  <c r="W47" i="6" s="1"/>
  <c r="BH47" i="6" s="1"/>
  <c r="A106" i="3"/>
  <c r="B202" i="9" l="1"/>
  <c r="B168" i="9"/>
  <c r="J230" i="9"/>
  <c r="W230" i="9" s="1"/>
  <c r="G230" i="9"/>
  <c r="T230" i="9" s="1"/>
  <c r="H230" i="9"/>
  <c r="U230" i="9" s="1"/>
  <c r="B118" i="9"/>
  <c r="B84" i="9"/>
  <c r="G264" i="9"/>
  <c r="T264" i="9" s="1"/>
  <c r="J264" i="9"/>
  <c r="W264" i="9" s="1"/>
  <c r="H264" i="9"/>
  <c r="U264" i="9" s="1"/>
  <c r="G252" i="9"/>
  <c r="T252" i="9" s="1"/>
  <c r="H252" i="9"/>
  <c r="U252" i="9" s="1"/>
  <c r="J252" i="9"/>
  <c r="W252" i="9" s="1"/>
  <c r="G201" i="9"/>
  <c r="T201" i="9" s="1"/>
  <c r="J201" i="9"/>
  <c r="W201" i="9" s="1"/>
  <c r="H201" i="9"/>
  <c r="U201" i="9" s="1"/>
  <c r="G117" i="9"/>
  <c r="T117" i="9" s="1"/>
  <c r="H117" i="9"/>
  <c r="U117" i="9" s="1"/>
  <c r="J117" i="9"/>
  <c r="W117" i="9" s="1"/>
  <c r="A170" i="9"/>
  <c r="A272" i="9"/>
  <c r="A204" i="9"/>
  <c r="A238" i="9"/>
  <c r="A136" i="9"/>
  <c r="A102" i="9"/>
  <c r="B265" i="9"/>
  <c r="B231" i="9"/>
  <c r="G218" i="9"/>
  <c r="T218" i="9" s="1"/>
  <c r="H218" i="9"/>
  <c r="U218" i="9" s="1"/>
  <c r="J218" i="9"/>
  <c r="W218" i="9" s="1"/>
  <c r="G235" i="9"/>
  <c r="T235" i="9" s="1"/>
  <c r="J235" i="9"/>
  <c r="W235" i="9" s="1"/>
  <c r="H235" i="9"/>
  <c r="U235" i="9" s="1"/>
  <c r="B236" i="9"/>
  <c r="B270" i="9"/>
  <c r="G269" i="9"/>
  <c r="T269" i="9" s="1"/>
  <c r="H269" i="9"/>
  <c r="U269" i="9" s="1"/>
  <c r="J269" i="9"/>
  <c r="W269" i="9" s="1"/>
  <c r="BW98" i="11"/>
  <c r="M193" i="11"/>
  <c r="P193" i="11"/>
  <c r="Q193" i="11" s="1"/>
  <c r="H83" i="9"/>
  <c r="U83" i="9" s="1"/>
  <c r="J83" i="9"/>
  <c r="W83" i="9" s="1"/>
  <c r="G83" i="9"/>
  <c r="T83" i="9" s="1"/>
  <c r="L137" i="4"/>
  <c r="BK97" i="16"/>
  <c r="BG97" i="16"/>
  <c r="BE97" i="16"/>
  <c r="E87" i="18" s="1"/>
  <c r="BZ98" i="11"/>
  <c r="AN179" i="17"/>
  <c r="AO179" i="17" s="1"/>
  <c r="CC102" i="11"/>
  <c r="AL142" i="11"/>
  <c r="AM142" i="11"/>
  <c r="X91" i="3" s="1"/>
  <c r="CH100" i="11"/>
  <c r="CJ100" i="11"/>
  <c r="CK100" i="11"/>
  <c r="CG100" i="11"/>
  <c r="CB100" i="11"/>
  <c r="CI100" i="11"/>
  <c r="CD100" i="11"/>
  <c r="BF98" i="11"/>
  <c r="F87" i="3" s="1"/>
  <c r="BI98" i="11"/>
  <c r="I87" i="3" s="1"/>
  <c r="BY97" i="17"/>
  <c r="CK110" i="17"/>
  <c r="CG110" i="17"/>
  <c r="CB110" i="17"/>
  <c r="CI110" i="17"/>
  <c r="CJ110" i="17"/>
  <c r="CH110" i="17"/>
  <c r="CD110" i="17"/>
  <c r="H154" i="17"/>
  <c r="BG98" i="11"/>
  <c r="G87" i="3" s="1"/>
  <c r="BK98" i="11"/>
  <c r="K87" i="3" s="1"/>
  <c r="AN140" i="11"/>
  <c r="AO140" i="11" s="1"/>
  <c r="G87" i="18"/>
  <c r="BY109" i="17"/>
  <c r="CE100" i="17"/>
  <c r="AL180" i="17"/>
  <c r="AM180" i="17"/>
  <c r="AH90" i="19" s="1"/>
  <c r="CE110" i="16"/>
  <c r="AL190" i="16"/>
  <c r="AM190" i="16"/>
  <c r="AH100" i="18" s="1"/>
  <c r="CC101" i="11"/>
  <c r="AL141" i="11"/>
  <c r="AM141" i="11"/>
  <c r="G115" i="17"/>
  <c r="AR105" i="19" s="1"/>
  <c r="AU105" i="19" s="1"/>
  <c r="CE110" i="17"/>
  <c r="AL190" i="17"/>
  <c r="AM190" i="17"/>
  <c r="AH100" i="19" s="1"/>
  <c r="BI97" i="16"/>
  <c r="CL109" i="17"/>
  <c r="CM109" i="17" s="1"/>
  <c r="CL99" i="11"/>
  <c r="CM99" i="11" s="1"/>
  <c r="BY99" i="11"/>
  <c r="BV99" i="11"/>
  <c r="H154" i="16"/>
  <c r="AN189" i="16"/>
  <c r="AO189" i="16" s="1"/>
  <c r="AH99" i="18"/>
  <c r="BF97" i="16"/>
  <c r="F87" i="18" s="1"/>
  <c r="CL97" i="17"/>
  <c r="CM97" i="17" s="1"/>
  <c r="BJ98" i="11"/>
  <c r="J87" i="3" s="1"/>
  <c r="BE98" i="11"/>
  <c r="E87" i="3" s="1"/>
  <c r="CL111" i="17"/>
  <c r="CM111" i="17" s="1"/>
  <c r="BH97" i="16"/>
  <c r="AL183" i="11"/>
  <c r="Z183" i="11"/>
  <c r="AM183" i="11"/>
  <c r="AH92" i="3" s="1"/>
  <c r="X183" i="11"/>
  <c r="AN182" i="11"/>
  <c r="AO182" i="11" s="1"/>
  <c r="AT210" i="7"/>
  <c r="AB33" i="3"/>
  <c r="AD33" i="3" s="1"/>
  <c r="AC33" i="3"/>
  <c r="AE33" i="3" s="1"/>
  <c r="AF33" i="3" s="1"/>
  <c r="BC33" i="3" s="1"/>
  <c r="BE33" i="3" s="1"/>
  <c r="BG33" i="3" s="1"/>
  <c r="AA34" i="3"/>
  <c r="K194" i="11"/>
  <c r="AK194" i="11" s="1"/>
  <c r="AE189" i="17"/>
  <c r="AK99" i="19" s="1"/>
  <c r="AM99" i="19" s="1"/>
  <c r="AH189" i="17"/>
  <c r="X23" i="23"/>
  <c r="AM210" i="7"/>
  <c r="C196" i="17"/>
  <c r="C197" i="11"/>
  <c r="C196" i="16"/>
  <c r="C156" i="17"/>
  <c r="C116" i="17"/>
  <c r="C156" i="16"/>
  <c r="C116" i="16"/>
  <c r="C157" i="11"/>
  <c r="C117" i="11"/>
  <c r="AL34" i="3"/>
  <c r="AN34" i="3" s="1"/>
  <c r="AM34" i="3"/>
  <c r="AO34" i="3" s="1"/>
  <c r="AP34" i="3" s="1"/>
  <c r="BJ34" i="3" s="1"/>
  <c r="BL34" i="3" s="1"/>
  <c r="BN34" i="3" s="1"/>
  <c r="AF210" i="7"/>
  <c r="AT176" i="7"/>
  <c r="M192" i="17"/>
  <c r="P192" i="17"/>
  <c r="Q192" i="17" s="1"/>
  <c r="AL34" i="19"/>
  <c r="AN34" i="19" s="1"/>
  <c r="AM34" i="19"/>
  <c r="AO34" i="19" s="1"/>
  <c r="AP34" i="19" s="1"/>
  <c r="BJ34" i="19" s="1"/>
  <c r="BL34" i="19" s="1"/>
  <c r="BN34" i="19" s="1"/>
  <c r="I156" i="11"/>
  <c r="E212" i="7"/>
  <c r="G212" i="7" s="1"/>
  <c r="AW212" i="7"/>
  <c r="F156" i="11"/>
  <c r="F155" i="17"/>
  <c r="F155" i="16"/>
  <c r="F195" i="17"/>
  <c r="F196" i="11"/>
  <c r="F195" i="16"/>
  <c r="AE177" i="7"/>
  <c r="AI177" i="7"/>
  <c r="AJ177" i="7"/>
  <c r="AH177" i="7"/>
  <c r="AK177" i="7"/>
  <c r="AR177" i="7"/>
  <c r="AL177" i="7"/>
  <c r="AA177" i="7"/>
  <c r="AD177" i="7"/>
  <c r="AC177" i="7"/>
  <c r="AB177" i="7"/>
  <c r="AQ177" i="7"/>
  <c r="AP177" i="7"/>
  <c r="AO177" i="7"/>
  <c r="AG177" i="7"/>
  <c r="AN177" i="7"/>
  <c r="AW105" i="19"/>
  <c r="AV105" i="19"/>
  <c r="AM34" i="18"/>
  <c r="AO34" i="18" s="1"/>
  <c r="AP34" i="18" s="1"/>
  <c r="BJ34" i="18" s="1"/>
  <c r="BL34" i="18" s="1"/>
  <c r="BN34" i="18" s="1"/>
  <c r="AL34" i="18"/>
  <c r="AN34" i="18" s="1"/>
  <c r="K193" i="16"/>
  <c r="AK193" i="16" s="1"/>
  <c r="H193" i="16"/>
  <c r="I116" i="11"/>
  <c r="I115" i="17"/>
  <c r="I115" i="16"/>
  <c r="K46" i="6"/>
  <c r="K80" i="6"/>
  <c r="AM142" i="7"/>
  <c r="I155" i="17"/>
  <c r="I195" i="11"/>
  <c r="B196" i="17"/>
  <c r="B197" i="11"/>
  <c r="B196" i="16"/>
  <c r="B106" i="19"/>
  <c r="B213" i="7"/>
  <c r="B106" i="18"/>
  <c r="B116" i="17"/>
  <c r="B156" i="17"/>
  <c r="B179" i="7"/>
  <c r="B156" i="16"/>
  <c r="B116" i="16"/>
  <c r="B157" i="11"/>
  <c r="B117" i="11"/>
  <c r="B145" i="7"/>
  <c r="B106" i="3"/>
  <c r="C138" i="4"/>
  <c r="B138" i="4"/>
  <c r="K138" i="4" s="1"/>
  <c r="I155" i="16"/>
  <c r="E144" i="7"/>
  <c r="G144" i="7" s="1"/>
  <c r="AW144" i="7"/>
  <c r="I194" i="17"/>
  <c r="AC34" i="18"/>
  <c r="AE34" i="18" s="1"/>
  <c r="AF34" i="18" s="1"/>
  <c r="BC34" i="18" s="1"/>
  <c r="BE34" i="18" s="1"/>
  <c r="BG34" i="18" s="1"/>
  <c r="AB34" i="18"/>
  <c r="AD34" i="18" s="1"/>
  <c r="K182" i="6"/>
  <c r="K216" i="6"/>
  <c r="AM176" i="7"/>
  <c r="I194" i="16"/>
  <c r="AW178" i="7"/>
  <c r="E178" i="7"/>
  <c r="G178" i="7" s="1"/>
  <c r="AC34" i="19"/>
  <c r="AE34" i="19" s="1"/>
  <c r="AF34" i="19" s="1"/>
  <c r="BC34" i="19" s="1"/>
  <c r="BE34" i="19" s="1"/>
  <c r="BG34" i="19" s="1"/>
  <c r="AB34" i="19"/>
  <c r="AD34" i="19" s="1"/>
  <c r="AK35" i="18"/>
  <c r="AK35" i="19"/>
  <c r="AK35" i="3"/>
  <c r="AA35" i="18"/>
  <c r="AA35" i="19"/>
  <c r="D138" i="4"/>
  <c r="D156" i="16"/>
  <c r="BX116" i="16" s="1"/>
  <c r="D116" i="17"/>
  <c r="D156" i="17"/>
  <c r="BX116" i="17" s="1"/>
  <c r="D116" i="16"/>
  <c r="D157" i="11"/>
  <c r="BX117" i="11" s="1"/>
  <c r="D117" i="11"/>
  <c r="AV209" i="7"/>
  <c r="P192" i="16"/>
  <c r="Q192" i="16" s="1"/>
  <c r="M192" i="16"/>
  <c r="E137" i="4"/>
  <c r="M137" i="4" s="1"/>
  <c r="D195" i="17"/>
  <c r="CA115" i="17" s="1"/>
  <c r="D195" i="16"/>
  <c r="CA115" i="16" s="1"/>
  <c r="D196" i="11"/>
  <c r="CA116" i="11" s="1"/>
  <c r="K114" i="6"/>
  <c r="K148" i="6"/>
  <c r="AE211" i="7"/>
  <c r="AK211" i="7"/>
  <c r="AO211" i="7"/>
  <c r="AH211" i="7"/>
  <c r="AL211" i="7"/>
  <c r="AI211" i="7"/>
  <c r="AJ211" i="7"/>
  <c r="AR211" i="7"/>
  <c r="AC211" i="7"/>
  <c r="AP211" i="7"/>
  <c r="AB211" i="7"/>
  <c r="AA211" i="7"/>
  <c r="AD211" i="7"/>
  <c r="AQ211" i="7"/>
  <c r="Z211" i="7"/>
  <c r="AN211" i="7"/>
  <c r="AG211" i="7"/>
  <c r="K193" i="17"/>
  <c r="AK193" i="17" s="1"/>
  <c r="H193" i="17"/>
  <c r="R191" i="16"/>
  <c r="S191" i="16" s="1"/>
  <c r="R191" i="17"/>
  <c r="S191" i="17" s="1"/>
  <c r="AI143" i="7"/>
  <c r="AK143" i="7"/>
  <c r="AJ143" i="7"/>
  <c r="AL143" i="7"/>
  <c r="AH143" i="7"/>
  <c r="AO143" i="7"/>
  <c r="AG143" i="7"/>
  <c r="AA143" i="7"/>
  <c r="BD98" i="11"/>
  <c r="C88" i="3"/>
  <c r="BG41" i="6"/>
  <c r="AU41" i="6"/>
  <c r="H87" i="3"/>
  <c r="J123" i="8"/>
  <c r="K87" i="18"/>
  <c r="BC99" i="11"/>
  <c r="BF99" i="11" s="1"/>
  <c r="J89" i="8"/>
  <c r="AP111" i="17"/>
  <c r="B171" i="8" s="1"/>
  <c r="T117" i="17"/>
  <c r="S117" i="17"/>
  <c r="Q117" i="17"/>
  <c r="R117" i="17"/>
  <c r="AE113" i="17"/>
  <c r="AD113" i="17"/>
  <c r="AC113" i="17"/>
  <c r="AJ113" i="17"/>
  <c r="AI113" i="17"/>
  <c r="AH113" i="17"/>
  <c r="BC111" i="17"/>
  <c r="BG111" i="17" s="1"/>
  <c r="AL111" i="17"/>
  <c r="AF189" i="17"/>
  <c r="AD112" i="17"/>
  <c r="AC112" i="17"/>
  <c r="AE112" i="17"/>
  <c r="AJ112" i="17"/>
  <c r="AI112" i="17"/>
  <c r="AH112" i="17"/>
  <c r="T117" i="16"/>
  <c r="Q117" i="16"/>
  <c r="U117" i="16"/>
  <c r="R117" i="16"/>
  <c r="S117" i="16"/>
  <c r="AJ138" i="11"/>
  <c r="AC189" i="16"/>
  <c r="AI189" i="16" s="1"/>
  <c r="BD97" i="16"/>
  <c r="H87" i="18"/>
  <c r="AD101" i="11"/>
  <c r="AC101" i="11"/>
  <c r="AE101" i="11"/>
  <c r="O104" i="17"/>
  <c r="T103" i="17"/>
  <c r="AC182" i="11"/>
  <c r="AD182" i="11" s="1"/>
  <c r="AL97" i="17"/>
  <c r="AB180" i="17"/>
  <c r="W180" i="17"/>
  <c r="AA180" i="17"/>
  <c r="Z180" i="17"/>
  <c r="Y180" i="17"/>
  <c r="X180" i="17"/>
  <c r="AD189" i="17"/>
  <c r="AG189" i="17"/>
  <c r="Y190" i="16"/>
  <c r="AA190" i="16"/>
  <c r="Z190" i="16"/>
  <c r="X190" i="16"/>
  <c r="AB190" i="16"/>
  <c r="W190" i="16"/>
  <c r="AE181" i="11"/>
  <c r="AG181" i="11"/>
  <c r="AI181" i="11"/>
  <c r="AH181" i="11"/>
  <c r="AF181" i="11"/>
  <c r="L104" i="16"/>
  <c r="Q103" i="16"/>
  <c r="AC190" i="17"/>
  <c r="AD190" i="17" s="1"/>
  <c r="N104" i="17"/>
  <c r="S103" i="17"/>
  <c r="AD178" i="17"/>
  <c r="AE178" i="17"/>
  <c r="AH178" i="17"/>
  <c r="AG178" i="17"/>
  <c r="AF178" i="17"/>
  <c r="AX100" i="11"/>
  <c r="AF100" i="11"/>
  <c r="AW100" i="11"/>
  <c r="AV100" i="11"/>
  <c r="AU100" i="11"/>
  <c r="AS100" i="11"/>
  <c r="AR100" i="11"/>
  <c r="AZ100" i="11"/>
  <c r="AY100" i="11"/>
  <c r="AT100" i="11"/>
  <c r="BA100" i="11"/>
  <c r="BB100" i="11"/>
  <c r="AG100" i="11"/>
  <c r="AK100" i="11" s="1"/>
  <c r="AC98" i="17"/>
  <c r="AJ98" i="17"/>
  <c r="AI98" i="17"/>
  <c r="AE98" i="17"/>
  <c r="AD98" i="17"/>
  <c r="AH98" i="17"/>
  <c r="AJ180" i="11"/>
  <c r="W142" i="11"/>
  <c r="Y142" i="11"/>
  <c r="AB142" i="11"/>
  <c r="AA142" i="11"/>
  <c r="Z142" i="11"/>
  <c r="X142" i="11"/>
  <c r="T103" i="16"/>
  <c r="O104" i="16"/>
  <c r="BC109" i="17"/>
  <c r="BG109" i="17" s="1"/>
  <c r="AL109" i="17"/>
  <c r="M105" i="17"/>
  <c r="R104" i="17"/>
  <c r="BC97" i="17"/>
  <c r="BF97" i="17" s="1"/>
  <c r="S105" i="16"/>
  <c r="N106" i="16"/>
  <c r="T181" i="17"/>
  <c r="U181" i="17"/>
  <c r="V181" i="17"/>
  <c r="W141" i="11"/>
  <c r="Y141" i="11"/>
  <c r="AB141" i="11"/>
  <c r="AA141" i="11"/>
  <c r="Z141" i="11"/>
  <c r="X141" i="11"/>
  <c r="R144" i="11"/>
  <c r="S144" i="11" s="1"/>
  <c r="V184" i="11"/>
  <c r="U184" i="11"/>
  <c r="CE104" i="11" s="1"/>
  <c r="T184" i="11"/>
  <c r="AI34" i="6" s="1"/>
  <c r="AL89" i="3"/>
  <c r="AM89" i="3"/>
  <c r="L104" i="17"/>
  <c r="Q103" i="17"/>
  <c r="T143" i="11"/>
  <c r="AC33" i="6" s="1"/>
  <c r="V143" i="11"/>
  <c r="U143" i="11"/>
  <c r="AE139" i="11"/>
  <c r="AI139" i="11"/>
  <c r="AG139" i="11"/>
  <c r="AH139" i="11"/>
  <c r="AF139" i="11"/>
  <c r="AI178" i="17"/>
  <c r="AC179" i="17"/>
  <c r="AE179" i="17" s="1"/>
  <c r="AK89" i="19" s="1"/>
  <c r="AC140" i="11"/>
  <c r="AK87" i="19"/>
  <c r="AJ177" i="17"/>
  <c r="W183" i="11"/>
  <c r="Y183" i="11"/>
  <c r="AB183" i="11"/>
  <c r="AA183" i="11"/>
  <c r="AF110" i="17"/>
  <c r="BA110" i="17"/>
  <c r="AU110" i="17"/>
  <c r="AG110" i="17"/>
  <c r="AK110" i="17" s="1"/>
  <c r="AX110" i="17"/>
  <c r="AS110" i="17"/>
  <c r="AW110" i="17"/>
  <c r="AV110" i="17"/>
  <c r="AT110" i="17"/>
  <c r="AR110" i="17"/>
  <c r="BB110" i="17"/>
  <c r="AZ110" i="17"/>
  <c r="AY110" i="17"/>
  <c r="R103" i="16"/>
  <c r="M104" i="16"/>
  <c r="AE98" i="16"/>
  <c r="AC98" i="16"/>
  <c r="AD98" i="16"/>
  <c r="AO111" i="17"/>
  <c r="A197" i="17"/>
  <c r="A219" i="6"/>
  <c r="A151" i="6"/>
  <c r="A83" i="6"/>
  <c r="H185" i="11"/>
  <c r="R185" i="11"/>
  <c r="S185" i="11" s="1"/>
  <c r="J168" i="6"/>
  <c r="P168" i="6" s="1"/>
  <c r="T168" i="6" s="1"/>
  <c r="AY31" i="6" s="1"/>
  <c r="J202" i="6"/>
  <c r="P202" i="6" s="1"/>
  <c r="T202" i="6" s="1"/>
  <c r="BE31" i="6" s="1"/>
  <c r="AT199" i="7"/>
  <c r="AB99" i="16"/>
  <c r="AB100" i="16"/>
  <c r="O105" i="11"/>
  <c r="T105" i="11" s="1"/>
  <c r="M183" i="17"/>
  <c r="P183" i="17"/>
  <c r="Q183" i="17" s="1"/>
  <c r="K184" i="17"/>
  <c r="AK184" i="17" s="1"/>
  <c r="S182" i="17"/>
  <c r="A107" i="19"/>
  <c r="A197" i="16"/>
  <c r="A198" i="11"/>
  <c r="M145" i="11"/>
  <c r="P145" i="11"/>
  <c r="Q145" i="11" s="1"/>
  <c r="L105" i="11"/>
  <c r="Q105" i="11" s="1"/>
  <c r="V104" i="11"/>
  <c r="Y104" i="11" s="1"/>
  <c r="AI101" i="11"/>
  <c r="AN111" i="17"/>
  <c r="H118" i="17"/>
  <c r="H118" i="16"/>
  <c r="V116" i="16"/>
  <c r="AI98" i="16"/>
  <c r="AV198" i="7"/>
  <c r="V116" i="17"/>
  <c r="X117" i="16"/>
  <c r="AO99" i="11"/>
  <c r="AM111" i="17"/>
  <c r="Z114" i="17"/>
  <c r="AA114" i="17"/>
  <c r="X117" i="17"/>
  <c r="U117" i="17"/>
  <c r="Y115" i="17"/>
  <c r="Z200" i="7"/>
  <c r="H201" i="7"/>
  <c r="AM97" i="17"/>
  <c r="D87" i="19" s="1"/>
  <c r="N87" i="19" s="1"/>
  <c r="AM109" i="17"/>
  <c r="D99" i="19" s="1"/>
  <c r="AM199" i="7"/>
  <c r="AG200" i="7"/>
  <c r="N201" i="7"/>
  <c r="AS200" i="7"/>
  <c r="AN97" i="17"/>
  <c r="L202" i="7"/>
  <c r="AD201" i="7"/>
  <c r="AQ201" i="7"/>
  <c r="W202" i="7"/>
  <c r="P105" i="11"/>
  <c r="U105" i="11" s="1"/>
  <c r="AP202" i="7"/>
  <c r="V203" i="7"/>
  <c r="AB201" i="7"/>
  <c r="J202" i="7"/>
  <c r="AO97" i="17"/>
  <c r="AH200" i="7"/>
  <c r="O201" i="7"/>
  <c r="M201" i="7"/>
  <c r="AE200" i="7"/>
  <c r="AL201" i="7"/>
  <c r="S202" i="7"/>
  <c r="AO201" i="7"/>
  <c r="U202" i="7"/>
  <c r="AP109" i="17"/>
  <c r="B169" i="8" s="1"/>
  <c r="J87" i="18"/>
  <c r="AN109" i="17"/>
  <c r="AP97" i="17"/>
  <c r="B157" i="8" s="1"/>
  <c r="AN201" i="7"/>
  <c r="T202" i="7"/>
  <c r="AC200" i="7"/>
  <c r="K201" i="7"/>
  <c r="AJ200" i="7"/>
  <c r="Q201" i="7"/>
  <c r="AF199" i="7"/>
  <c r="AK200" i="7"/>
  <c r="R201" i="7"/>
  <c r="AI201" i="7"/>
  <c r="P202" i="7"/>
  <c r="A214" i="7"/>
  <c r="A177" i="8"/>
  <c r="A185" i="6"/>
  <c r="A143" i="8"/>
  <c r="A109" i="8"/>
  <c r="AR200" i="7"/>
  <c r="X201" i="7"/>
  <c r="AO109" i="17"/>
  <c r="E104" i="17"/>
  <c r="C200" i="7"/>
  <c r="AB99" i="17"/>
  <c r="V102" i="17"/>
  <c r="AC87" i="3"/>
  <c r="AB87" i="3"/>
  <c r="A107" i="18"/>
  <c r="N87" i="18"/>
  <c r="D87" i="3"/>
  <c r="N87" i="3" s="1"/>
  <c r="Y101" i="17"/>
  <c r="G103" i="17"/>
  <c r="AR93" i="19" s="1"/>
  <c r="F104" i="17"/>
  <c r="D201" i="7" s="1"/>
  <c r="Z100" i="17"/>
  <c r="AA100" i="17"/>
  <c r="A180" i="7"/>
  <c r="A157" i="17"/>
  <c r="A117" i="17"/>
  <c r="A117" i="6"/>
  <c r="U103" i="17"/>
  <c r="F104" i="16"/>
  <c r="D166" i="7"/>
  <c r="E104" i="16"/>
  <c r="C166" i="7"/>
  <c r="AQ97" i="16"/>
  <c r="Z101" i="16"/>
  <c r="AA101" i="16"/>
  <c r="V102" i="16"/>
  <c r="A157" i="16"/>
  <c r="A117" i="16"/>
  <c r="P104" i="16"/>
  <c r="U104" i="16" s="1"/>
  <c r="AJ98" i="16"/>
  <c r="AH98" i="16"/>
  <c r="A118" i="11"/>
  <c r="A158" i="11"/>
  <c r="AQ98" i="11"/>
  <c r="AN99" i="11"/>
  <c r="AM99" i="11"/>
  <c r="BZ99" i="11" s="1"/>
  <c r="AL99" i="11"/>
  <c r="AP99" i="11"/>
  <c r="B90" i="8" s="1"/>
  <c r="Z115" i="11"/>
  <c r="AJ101" i="11"/>
  <c r="AH101" i="11"/>
  <c r="AB102" i="11"/>
  <c r="AA103" i="11"/>
  <c r="Z103" i="11"/>
  <c r="X118" i="11"/>
  <c r="Y116" i="11"/>
  <c r="U118" i="11"/>
  <c r="T118" i="11"/>
  <c r="R118" i="11"/>
  <c r="S118" i="11"/>
  <c r="V117" i="11"/>
  <c r="H119" i="11"/>
  <c r="Q119" i="11" s="1"/>
  <c r="M106" i="11"/>
  <c r="R106" i="11" s="1"/>
  <c r="K146" i="11"/>
  <c r="AK146" i="11" s="1"/>
  <c r="N106" i="11"/>
  <c r="S106" i="11" s="1"/>
  <c r="A146" i="7"/>
  <c r="A49" i="6"/>
  <c r="W48" i="6" s="1"/>
  <c r="BH48" i="6" s="1"/>
  <c r="A139" i="4"/>
  <c r="A107" i="3"/>
  <c r="B253" i="9" l="1"/>
  <c r="B219" i="9"/>
  <c r="B203" i="9"/>
  <c r="B169" i="9"/>
  <c r="B237" i="9"/>
  <c r="B271" i="9"/>
  <c r="G270" i="9"/>
  <c r="T270" i="9" s="1"/>
  <c r="J270" i="9"/>
  <c r="W270" i="9" s="1"/>
  <c r="H270" i="9"/>
  <c r="U270" i="9" s="1"/>
  <c r="G231" i="9"/>
  <c r="T231" i="9" s="1"/>
  <c r="J231" i="9"/>
  <c r="W231" i="9" s="1"/>
  <c r="H231" i="9"/>
  <c r="U231" i="9" s="1"/>
  <c r="A239" i="9"/>
  <c r="A205" i="9"/>
  <c r="A171" i="9"/>
  <c r="A103" i="9"/>
  <c r="A273" i="9"/>
  <c r="A137" i="9"/>
  <c r="B151" i="9"/>
  <c r="B185" i="9"/>
  <c r="B85" i="9"/>
  <c r="B119" i="9"/>
  <c r="B101" i="9"/>
  <c r="B135" i="9"/>
  <c r="AV210" i="7"/>
  <c r="J236" i="9"/>
  <c r="W236" i="9" s="1"/>
  <c r="G236" i="9"/>
  <c r="T236" i="9" s="1"/>
  <c r="H236" i="9"/>
  <c r="U236" i="9" s="1"/>
  <c r="G265" i="9"/>
  <c r="T265" i="9" s="1"/>
  <c r="J265" i="9"/>
  <c r="W265" i="9" s="1"/>
  <c r="H265" i="9"/>
  <c r="U265" i="9" s="1"/>
  <c r="G118" i="9"/>
  <c r="T118" i="9" s="1"/>
  <c r="J118" i="9"/>
  <c r="W118" i="9" s="1"/>
  <c r="H118" i="9"/>
  <c r="U118" i="9" s="1"/>
  <c r="G202" i="9"/>
  <c r="T202" i="9" s="1"/>
  <c r="J202" i="9"/>
  <c r="W202" i="9" s="1"/>
  <c r="H202" i="9"/>
  <c r="U202" i="9" s="1"/>
  <c r="G84" i="9"/>
  <c r="T84" i="9" s="1"/>
  <c r="J84" i="9"/>
  <c r="W84" i="9" s="1"/>
  <c r="H84" i="9"/>
  <c r="U84" i="9" s="1"/>
  <c r="M194" i="11"/>
  <c r="L138" i="4"/>
  <c r="P194" i="11"/>
  <c r="Q194" i="11" s="1"/>
  <c r="BL97" i="16"/>
  <c r="BI111" i="17"/>
  <c r="BF111" i="17"/>
  <c r="BE111" i="17"/>
  <c r="BK109" i="17"/>
  <c r="AN142" i="11"/>
  <c r="AO142" i="11" s="1"/>
  <c r="BH109" i="17"/>
  <c r="H99" i="19" s="1"/>
  <c r="BK97" i="17"/>
  <c r="K87" i="19" s="1"/>
  <c r="BF109" i="17"/>
  <c r="BK111" i="17"/>
  <c r="AN180" i="17"/>
  <c r="AO180" i="17" s="1"/>
  <c r="CC103" i="11"/>
  <c r="AL143" i="11"/>
  <c r="AM143" i="11"/>
  <c r="X92" i="3" s="1"/>
  <c r="BY110" i="17"/>
  <c r="CJ101" i="11"/>
  <c r="CH101" i="11"/>
  <c r="CI101" i="11"/>
  <c r="CD101" i="11"/>
  <c r="CB101" i="11"/>
  <c r="CK101" i="11"/>
  <c r="CG101" i="11"/>
  <c r="H155" i="16"/>
  <c r="BI97" i="17"/>
  <c r="I87" i="19" s="1"/>
  <c r="BI99" i="11"/>
  <c r="I88" i="3" s="1"/>
  <c r="BI109" i="17"/>
  <c r="BJ99" i="11"/>
  <c r="BZ97" i="17"/>
  <c r="BK99" i="11"/>
  <c r="BJ97" i="17"/>
  <c r="CK112" i="17"/>
  <c r="CG112" i="17"/>
  <c r="CB112" i="17"/>
  <c r="CH112" i="17"/>
  <c r="CI112" i="17"/>
  <c r="CD112" i="17"/>
  <c r="CJ112" i="17"/>
  <c r="BZ109" i="17"/>
  <c r="CJ98" i="17"/>
  <c r="CG98" i="17"/>
  <c r="CK98" i="17"/>
  <c r="CI98" i="17"/>
  <c r="CB98" i="17"/>
  <c r="CH98" i="17"/>
  <c r="CD98" i="17"/>
  <c r="G116" i="17"/>
  <c r="AR106" i="19" s="1"/>
  <c r="AU106" i="19" s="1"/>
  <c r="AV106" i="19" s="1"/>
  <c r="BE97" i="17"/>
  <c r="E87" i="19" s="1"/>
  <c r="BW99" i="11"/>
  <c r="BE99" i="11"/>
  <c r="E88" i="3" s="1"/>
  <c r="BG99" i="11"/>
  <c r="G88" i="3" s="1"/>
  <c r="AN190" i="17"/>
  <c r="AO190" i="17" s="1"/>
  <c r="AN141" i="11"/>
  <c r="AO141" i="11" s="1"/>
  <c r="X90" i="3"/>
  <c r="BH97" i="17"/>
  <c r="H87" i="19" s="1"/>
  <c r="BH99" i="11"/>
  <c r="H88" i="3" s="1"/>
  <c r="CL110" i="17"/>
  <c r="CM110" i="17" s="1"/>
  <c r="CL100" i="11"/>
  <c r="CM100" i="11" s="1"/>
  <c r="CI98" i="16"/>
  <c r="CD98" i="16"/>
  <c r="CH98" i="16"/>
  <c r="CB98" i="16"/>
  <c r="CK98" i="16"/>
  <c r="CJ98" i="16"/>
  <c r="CG98" i="16"/>
  <c r="CE101" i="17"/>
  <c r="AL181" i="17"/>
  <c r="AM181" i="17"/>
  <c r="AH91" i="19" s="1"/>
  <c r="BY100" i="11"/>
  <c r="BV100" i="11"/>
  <c r="CI113" i="17"/>
  <c r="CD113" i="17"/>
  <c r="CG113" i="17"/>
  <c r="CH113" i="17"/>
  <c r="CK113" i="17"/>
  <c r="CB113" i="17"/>
  <c r="CJ113" i="17"/>
  <c r="H155" i="17"/>
  <c r="BL98" i="11"/>
  <c r="BJ109" i="17"/>
  <c r="BH111" i="17"/>
  <c r="BJ111" i="17"/>
  <c r="AN190" i="16"/>
  <c r="AO190" i="16" s="1"/>
  <c r="BG97" i="17"/>
  <c r="BE109" i="17"/>
  <c r="AL184" i="11"/>
  <c r="Z184" i="11"/>
  <c r="AM184" i="11"/>
  <c r="AH93" i="3" s="1"/>
  <c r="X184" i="11"/>
  <c r="AN183" i="11"/>
  <c r="AO183" i="11" s="1"/>
  <c r="AL99" i="19"/>
  <c r="AB34" i="3"/>
  <c r="AD34" i="3" s="1"/>
  <c r="AC34" i="3"/>
  <c r="AE34" i="3" s="1"/>
  <c r="AF34" i="3" s="1"/>
  <c r="BC34" i="3" s="1"/>
  <c r="BE34" i="3" s="1"/>
  <c r="BG34" i="3" s="1"/>
  <c r="AA35" i="3"/>
  <c r="K195" i="11"/>
  <c r="AK195" i="11" s="1"/>
  <c r="AG182" i="11"/>
  <c r="BD111" i="17"/>
  <c r="K101" i="19"/>
  <c r="AA88" i="3"/>
  <c r="AI182" i="11"/>
  <c r="F88" i="3"/>
  <c r="BD99" i="11"/>
  <c r="AJ189" i="17"/>
  <c r="Y23" i="23"/>
  <c r="AM143" i="7"/>
  <c r="K183" i="6"/>
  <c r="K217" i="6"/>
  <c r="AE212" i="7"/>
  <c r="AJ212" i="7"/>
  <c r="AH212" i="7"/>
  <c r="AI212" i="7"/>
  <c r="AL212" i="7"/>
  <c r="AO212" i="7"/>
  <c r="AK212" i="7"/>
  <c r="AD212" i="7"/>
  <c r="AR212" i="7"/>
  <c r="AC212" i="7"/>
  <c r="AP212" i="7"/>
  <c r="AA212" i="7"/>
  <c r="AB212" i="7"/>
  <c r="Z212" i="7"/>
  <c r="AQ212" i="7"/>
  <c r="AG212" i="7"/>
  <c r="AN212" i="7"/>
  <c r="AM35" i="18"/>
  <c r="AO35" i="18" s="1"/>
  <c r="AP35" i="18" s="1"/>
  <c r="BJ35" i="18" s="1"/>
  <c r="BL35" i="18" s="1"/>
  <c r="BN35" i="18" s="1"/>
  <c r="AL35" i="18"/>
  <c r="AN35" i="18" s="1"/>
  <c r="T191" i="16"/>
  <c r="V191" i="16"/>
  <c r="U191" i="16"/>
  <c r="I195" i="16"/>
  <c r="I156" i="16"/>
  <c r="AA36" i="18"/>
  <c r="AK36" i="18"/>
  <c r="AK36" i="19"/>
  <c r="AA36" i="19"/>
  <c r="AK36" i="3"/>
  <c r="AM177" i="7"/>
  <c r="AL35" i="19"/>
  <c r="AN35" i="19" s="1"/>
  <c r="AM35" i="19"/>
  <c r="AO35" i="19" s="1"/>
  <c r="AP35" i="19" s="1"/>
  <c r="BJ35" i="19" s="1"/>
  <c r="BL35" i="19" s="1"/>
  <c r="BN35" i="19" s="1"/>
  <c r="I195" i="17"/>
  <c r="D139" i="4"/>
  <c r="D157" i="16"/>
  <c r="BX117" i="16" s="1"/>
  <c r="D117" i="16"/>
  <c r="D157" i="17"/>
  <c r="BX117" i="17" s="1"/>
  <c r="D117" i="17"/>
  <c r="D158" i="11"/>
  <c r="BX118" i="11" s="1"/>
  <c r="D118" i="11"/>
  <c r="B197" i="17"/>
  <c r="B198" i="11"/>
  <c r="B197" i="16"/>
  <c r="B107" i="19"/>
  <c r="B214" i="7"/>
  <c r="B107" i="18"/>
  <c r="B117" i="17"/>
  <c r="B157" i="17"/>
  <c r="B180" i="7"/>
  <c r="B157" i="16"/>
  <c r="B117" i="16"/>
  <c r="B158" i="11"/>
  <c r="B118" i="11"/>
  <c r="B146" i="7"/>
  <c r="B107" i="3"/>
  <c r="I156" i="17"/>
  <c r="I196" i="11"/>
  <c r="P193" i="17"/>
  <c r="Q193" i="17" s="1"/>
  <c r="M193" i="17"/>
  <c r="E138" i="4"/>
  <c r="M138" i="4" s="1"/>
  <c r="D197" i="11"/>
  <c r="CA117" i="11" s="1"/>
  <c r="D196" i="17"/>
  <c r="CA116" i="17" s="1"/>
  <c r="D196" i="16"/>
  <c r="CA116" i="16" s="1"/>
  <c r="AC35" i="19"/>
  <c r="AE35" i="19" s="1"/>
  <c r="AF35" i="19" s="1"/>
  <c r="BC35" i="19" s="1"/>
  <c r="BE35" i="19" s="1"/>
  <c r="BG35" i="19" s="1"/>
  <c r="AB35" i="19"/>
  <c r="AD35" i="19" s="1"/>
  <c r="C197" i="17"/>
  <c r="C198" i="11"/>
  <c r="C197" i="16"/>
  <c r="C157" i="17"/>
  <c r="C117" i="17"/>
  <c r="C157" i="16"/>
  <c r="C117" i="16"/>
  <c r="C158" i="11"/>
  <c r="C118" i="11"/>
  <c r="E213" i="7"/>
  <c r="G213" i="7" s="1"/>
  <c r="AW213" i="7"/>
  <c r="AE190" i="17"/>
  <c r="AK100" i="19" s="1"/>
  <c r="AL100" i="19" s="1"/>
  <c r="AM211" i="7"/>
  <c r="AB35" i="18"/>
  <c r="AD35" i="18" s="1"/>
  <c r="AC35" i="18"/>
  <c r="AE35" i="18" s="1"/>
  <c r="AF35" i="18" s="1"/>
  <c r="BC35" i="18" s="1"/>
  <c r="BE35" i="18" s="1"/>
  <c r="BG35" i="18" s="1"/>
  <c r="I116" i="17"/>
  <c r="I116" i="16"/>
  <c r="I117" i="11"/>
  <c r="R192" i="17"/>
  <c r="S192" i="17" s="1"/>
  <c r="AW179" i="7"/>
  <c r="E179" i="7"/>
  <c r="G179" i="7" s="1"/>
  <c r="AT177" i="7"/>
  <c r="D29" i="6"/>
  <c r="I18" i="23" s="1"/>
  <c r="AT211" i="7"/>
  <c r="R192" i="16"/>
  <c r="S192" i="16" s="1"/>
  <c r="AE178" i="7"/>
  <c r="AI178" i="7"/>
  <c r="AL178" i="7"/>
  <c r="AJ178" i="7"/>
  <c r="AH178" i="7"/>
  <c r="AR178" i="7"/>
  <c r="AK178" i="7"/>
  <c r="AB178" i="7"/>
  <c r="AA178" i="7"/>
  <c r="AC178" i="7"/>
  <c r="AQ178" i="7"/>
  <c r="AP178" i="7"/>
  <c r="AD178" i="7"/>
  <c r="AO178" i="7"/>
  <c r="AN178" i="7"/>
  <c r="AG178" i="7"/>
  <c r="AG190" i="1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P193" i="16"/>
  <c r="Q193" i="16" s="1"/>
  <c r="M193" i="16"/>
  <c r="K194" i="17"/>
  <c r="AK194" i="17" s="1"/>
  <c r="H194" i="17"/>
  <c r="F156" i="17"/>
  <c r="F196" i="17"/>
  <c r="F196" i="16"/>
  <c r="F197" i="11"/>
  <c r="F157" i="11"/>
  <c r="F156" i="16"/>
  <c r="V191" i="17"/>
  <c r="U191" i="17"/>
  <c r="T191" i="17"/>
  <c r="J181" i="6"/>
  <c r="P181" i="6" s="1"/>
  <c r="T181" i="6" s="1"/>
  <c r="AY44" i="6" s="1"/>
  <c r="J215" i="6"/>
  <c r="P215" i="6" s="1"/>
  <c r="T215" i="6" s="1"/>
  <c r="BE44" i="6" s="1"/>
  <c r="I157" i="11"/>
  <c r="AL35" i="3"/>
  <c r="AN35" i="3" s="1"/>
  <c r="AM35" i="3"/>
  <c r="AO35" i="3" s="1"/>
  <c r="AP35" i="3" s="1"/>
  <c r="BJ35" i="3" s="1"/>
  <c r="BL35" i="3" s="1"/>
  <c r="BN35" i="3" s="1"/>
  <c r="K194" i="16"/>
  <c r="AK194" i="16" s="1"/>
  <c r="H194" i="16"/>
  <c r="J88" i="3"/>
  <c r="J87" i="19"/>
  <c r="J169" i="8"/>
  <c r="J171" i="8"/>
  <c r="J157" i="8"/>
  <c r="AD189" i="16"/>
  <c r="AH190" i="17"/>
  <c r="AF190" i="17"/>
  <c r="J101" i="19"/>
  <c r="AI190" i="17"/>
  <c r="AF113" i="17"/>
  <c r="AU113" i="17"/>
  <c r="AW113" i="17"/>
  <c r="AV113" i="17"/>
  <c r="AX113" i="17"/>
  <c r="BB113" i="17"/>
  <c r="AT113" i="17"/>
  <c r="AY113" i="17"/>
  <c r="BA113" i="17"/>
  <c r="AZ113" i="17"/>
  <c r="AS113" i="17"/>
  <c r="AR113" i="17"/>
  <c r="AG113" i="17"/>
  <c r="AK113" i="17" s="1"/>
  <c r="Q118" i="17"/>
  <c r="T118" i="17"/>
  <c r="S118" i="17"/>
  <c r="R118" i="17"/>
  <c r="E101" i="19"/>
  <c r="I101" i="19"/>
  <c r="Y116" i="17"/>
  <c r="AA116" i="17" s="1"/>
  <c r="F101" i="19"/>
  <c r="BD109" i="17"/>
  <c r="G101" i="19"/>
  <c r="AF112" i="17"/>
  <c r="AU112" i="17"/>
  <c r="AV112" i="17"/>
  <c r="AX112" i="17"/>
  <c r="AW112" i="17"/>
  <c r="BB112" i="17"/>
  <c r="AS112" i="17"/>
  <c r="AR112" i="17"/>
  <c r="AY112" i="17"/>
  <c r="AZ112" i="17"/>
  <c r="BA112" i="17"/>
  <c r="AT112" i="17"/>
  <c r="AG112" i="17"/>
  <c r="AK112" i="17" s="1"/>
  <c r="AH189" i="16"/>
  <c r="AG189" i="16"/>
  <c r="S118" i="16"/>
  <c r="T118" i="16"/>
  <c r="Q118" i="16"/>
  <c r="R118" i="16"/>
  <c r="U118" i="16"/>
  <c r="AE189" i="16"/>
  <c r="AK99" i="18" s="1"/>
  <c r="AM99" i="18" s="1"/>
  <c r="AF189" i="16"/>
  <c r="C89" i="3"/>
  <c r="F29" i="6"/>
  <c r="L106" i="11"/>
  <c r="Q106" i="11" s="1"/>
  <c r="AE182" i="11"/>
  <c r="AK91" i="3" s="1"/>
  <c r="J90" i="8"/>
  <c r="BC100" i="11"/>
  <c r="BI100" i="11" s="1"/>
  <c r="O106" i="11"/>
  <c r="T106" i="11" s="1"/>
  <c r="I99" i="19"/>
  <c r="I87" i="18"/>
  <c r="L87" i="18" s="1"/>
  <c r="BD97" i="17"/>
  <c r="J99" i="19"/>
  <c r="F99" i="19"/>
  <c r="G99" i="19"/>
  <c r="K99" i="19"/>
  <c r="F87" i="19"/>
  <c r="G87" i="19"/>
  <c r="AH182" i="11"/>
  <c r="E30" i="6"/>
  <c r="Y102" i="17"/>
  <c r="Z102" i="17" s="1"/>
  <c r="R104" i="16"/>
  <c r="M105" i="16"/>
  <c r="W143" i="11"/>
  <c r="AB143" i="11"/>
  <c r="AA143" i="11"/>
  <c r="Y143" i="11"/>
  <c r="Z143" i="11"/>
  <c r="X143" i="11"/>
  <c r="L105" i="17"/>
  <c r="Q104" i="17"/>
  <c r="W184" i="11"/>
  <c r="Y184" i="11"/>
  <c r="AB184" i="11"/>
  <c r="AA184" i="11"/>
  <c r="T104" i="16"/>
  <c r="O105" i="16"/>
  <c r="L105" i="16"/>
  <c r="Q104" i="16"/>
  <c r="AF182" i="11"/>
  <c r="R145" i="11"/>
  <c r="S145" i="11" s="1"/>
  <c r="U182" i="17"/>
  <c r="T182" i="17"/>
  <c r="V182" i="17"/>
  <c r="R183" i="17"/>
  <c r="S183" i="17" s="1"/>
  <c r="T185" i="11"/>
  <c r="AI35" i="6" s="1"/>
  <c r="V185" i="11"/>
  <c r="U185" i="11"/>
  <c r="CE105" i="11" s="1"/>
  <c r="BC110" i="17"/>
  <c r="BG110" i="17" s="1"/>
  <c r="AL89" i="19"/>
  <c r="AM89" i="19"/>
  <c r="AC141" i="11"/>
  <c r="W181" i="17"/>
  <c r="Y181" i="17"/>
  <c r="Z181" i="17"/>
  <c r="AA181" i="17"/>
  <c r="AB181" i="17"/>
  <c r="X181" i="17"/>
  <c r="N105" i="17"/>
  <c r="S104" i="17"/>
  <c r="AE102" i="11"/>
  <c r="AD102" i="11"/>
  <c r="AC102" i="11"/>
  <c r="AD99" i="17"/>
  <c r="AJ99" i="17"/>
  <c r="AC99" i="17"/>
  <c r="AE99" i="17"/>
  <c r="AI99" i="17"/>
  <c r="AH99" i="17"/>
  <c r="AN110" i="17"/>
  <c r="AL110" i="17"/>
  <c r="AL87" i="19"/>
  <c r="AM87" i="19"/>
  <c r="AD179" i="17"/>
  <c r="AG179" i="17"/>
  <c r="AI179" i="17"/>
  <c r="AH179" i="17"/>
  <c r="AF179" i="17"/>
  <c r="S106" i="16"/>
  <c r="N107" i="16"/>
  <c r="AC142" i="11"/>
  <c r="AK88" i="19"/>
  <c r="AJ178" i="17"/>
  <c r="AJ181" i="11"/>
  <c r="AC180" i="17"/>
  <c r="AI180" i="17" s="1"/>
  <c r="O105" i="17"/>
  <c r="T104" i="17"/>
  <c r="AW101" i="11"/>
  <c r="AV101" i="11"/>
  <c r="AF101" i="11"/>
  <c r="AU101" i="11"/>
  <c r="AX101" i="11"/>
  <c r="AR101" i="11"/>
  <c r="AS101" i="11"/>
  <c r="AZ101" i="11"/>
  <c r="AY101" i="11"/>
  <c r="BB101" i="11"/>
  <c r="AT101" i="11"/>
  <c r="BA101" i="11"/>
  <c r="AG101" i="11"/>
  <c r="AK101" i="11" s="1"/>
  <c r="AC183" i="11"/>
  <c r="AD183" i="11" s="1"/>
  <c r="AF140" i="11"/>
  <c r="AH140" i="11"/>
  <c r="AE140" i="11"/>
  <c r="AI140" i="11"/>
  <c r="AG140" i="11"/>
  <c r="AJ139" i="11"/>
  <c r="U144" i="11"/>
  <c r="T144" i="11"/>
  <c r="AC34" i="6" s="1"/>
  <c r="V144" i="11"/>
  <c r="M106" i="17"/>
  <c r="R105" i="17"/>
  <c r="AF98" i="17"/>
  <c r="AU98" i="17"/>
  <c r="AX98" i="17"/>
  <c r="AS98" i="17"/>
  <c r="AW98" i="17"/>
  <c r="AV98" i="17"/>
  <c r="AR98" i="17"/>
  <c r="AY98" i="17"/>
  <c r="BB98" i="17"/>
  <c r="BA98" i="17"/>
  <c r="AZ98" i="17"/>
  <c r="AT98" i="17"/>
  <c r="AG98" i="17"/>
  <c r="AK98" i="17" s="1"/>
  <c r="D63" i="6"/>
  <c r="M63" i="6" s="1"/>
  <c r="F63" i="6"/>
  <c r="E63" i="6"/>
  <c r="AK90" i="3"/>
  <c r="AC190" i="16"/>
  <c r="AE190" i="16" s="1"/>
  <c r="AK100" i="18" s="1"/>
  <c r="AD100" i="16"/>
  <c r="AE100" i="16"/>
  <c r="AC100" i="16"/>
  <c r="AC99" i="16"/>
  <c r="AE99" i="16"/>
  <c r="AD99" i="16"/>
  <c r="AF98" i="16"/>
  <c r="AT98" i="16"/>
  <c r="AX98" i="16"/>
  <c r="BB98" i="16"/>
  <c r="AU98" i="16"/>
  <c r="AY98" i="16"/>
  <c r="AR98" i="16"/>
  <c r="AV98" i="16"/>
  <c r="AS98" i="16"/>
  <c r="AW98" i="16"/>
  <c r="BA98" i="16"/>
  <c r="AZ98" i="16"/>
  <c r="AG98" i="16"/>
  <c r="AK98" i="16" s="1"/>
  <c r="A198" i="17"/>
  <c r="A220" i="6"/>
  <c r="A84" i="6"/>
  <c r="A152" i="6"/>
  <c r="H186" i="11"/>
  <c r="R186" i="11"/>
  <c r="S186" i="11" s="1"/>
  <c r="J169" i="6"/>
  <c r="P169" i="6" s="1"/>
  <c r="T169" i="6" s="1"/>
  <c r="AY32" i="6" s="1"/>
  <c r="J203" i="6"/>
  <c r="P203" i="6" s="1"/>
  <c r="T203" i="6" s="1"/>
  <c r="BE32" i="6" s="1"/>
  <c r="AB101" i="16"/>
  <c r="M184" i="17"/>
  <c r="P184" i="17"/>
  <c r="Q184" i="17" s="1"/>
  <c r="K185" i="17"/>
  <c r="AK185" i="17" s="1"/>
  <c r="A108" i="19"/>
  <c r="A198" i="16"/>
  <c r="A199" i="11"/>
  <c r="Z123" i="8"/>
  <c r="H97" i="6" s="1"/>
  <c r="AF200" i="7"/>
  <c r="V105" i="11"/>
  <c r="Y105" i="11" s="1"/>
  <c r="P106" i="11"/>
  <c r="P107" i="11" s="1"/>
  <c r="U107" i="11" s="1"/>
  <c r="M146" i="11"/>
  <c r="P146" i="11"/>
  <c r="Q146" i="11" s="1"/>
  <c r="AI102" i="11"/>
  <c r="R123" i="8"/>
  <c r="G97" i="6" s="1"/>
  <c r="AH123" i="8"/>
  <c r="H149" i="11"/>
  <c r="K108" i="11"/>
  <c r="AI100" i="16"/>
  <c r="X118" i="16"/>
  <c r="H119" i="17"/>
  <c r="H119" i="16"/>
  <c r="Z115" i="17"/>
  <c r="AA115" i="17"/>
  <c r="V117" i="17"/>
  <c r="X118" i="17"/>
  <c r="U118" i="17"/>
  <c r="Y116" i="16"/>
  <c r="H148" i="11"/>
  <c r="AI99" i="16"/>
  <c r="AB114" i="17"/>
  <c r="D101" i="19"/>
  <c r="AQ111" i="17"/>
  <c r="V117" i="16"/>
  <c r="Y117" i="16" s="1"/>
  <c r="Z117" i="16" s="1"/>
  <c r="Z201" i="7"/>
  <c r="H202" i="7"/>
  <c r="AM110" i="17"/>
  <c r="D100" i="19" s="1"/>
  <c r="AV199" i="7"/>
  <c r="AT200" i="7"/>
  <c r="L203" i="7"/>
  <c r="AD202" i="7"/>
  <c r="AS201" i="7"/>
  <c r="AG201" i="7"/>
  <c r="N202" i="7"/>
  <c r="AO110" i="17"/>
  <c r="AP110" i="17"/>
  <c r="B170" i="8" s="1"/>
  <c r="AQ97" i="17"/>
  <c r="AM200" i="7"/>
  <c r="AB202" i="7"/>
  <c r="J203" i="7"/>
  <c r="AP203" i="7"/>
  <c r="V204" i="7"/>
  <c r="W203" i="7"/>
  <c r="AQ202" i="7"/>
  <c r="AN202" i="7"/>
  <c r="T203" i="7"/>
  <c r="M202" i="7"/>
  <c r="AE201" i="7"/>
  <c r="AL202" i="7"/>
  <c r="S203" i="7"/>
  <c r="AH201" i="7"/>
  <c r="O202" i="7"/>
  <c r="AQ109" i="17"/>
  <c r="AJ201" i="7"/>
  <c r="Q202" i="7"/>
  <c r="AC201" i="7"/>
  <c r="K202" i="7"/>
  <c r="AO202" i="7"/>
  <c r="U203" i="7"/>
  <c r="A178" i="8"/>
  <c r="A186" i="6"/>
  <c r="A215" i="7"/>
  <c r="A110" i="8"/>
  <c r="A144" i="8"/>
  <c r="AI202" i="7"/>
  <c r="P203" i="7"/>
  <c r="AR201" i="7"/>
  <c r="X202" i="7"/>
  <c r="AK201" i="7"/>
  <c r="R202" i="7"/>
  <c r="Z89" i="8"/>
  <c r="AH89" i="8"/>
  <c r="R89" i="8"/>
  <c r="E105" i="17"/>
  <c r="C201" i="7"/>
  <c r="AB100" i="17"/>
  <c r="K88" i="3"/>
  <c r="A108" i="18"/>
  <c r="D88" i="3"/>
  <c r="N88" i="3" s="1"/>
  <c r="L87" i="3"/>
  <c r="P87" i="3"/>
  <c r="Q87" i="3" s="1"/>
  <c r="G104" i="17"/>
  <c r="AR94" i="19" s="1"/>
  <c r="F105" i="17"/>
  <c r="D202" i="7" s="1"/>
  <c r="U104" i="17"/>
  <c r="A181" i="7"/>
  <c r="A158" i="17"/>
  <c r="A118" i="17"/>
  <c r="A118" i="6"/>
  <c r="V103" i="17"/>
  <c r="Z101" i="17"/>
  <c r="AA101" i="17"/>
  <c r="E29" i="6"/>
  <c r="F105" i="16"/>
  <c r="D167" i="7"/>
  <c r="E105" i="16"/>
  <c r="C167" i="7"/>
  <c r="AH99" i="16"/>
  <c r="AH100" i="16"/>
  <c r="AJ100" i="16"/>
  <c r="AJ99" i="16"/>
  <c r="Y102" i="16"/>
  <c r="A158" i="16"/>
  <c r="A118" i="16"/>
  <c r="P105" i="16"/>
  <c r="U105" i="16" s="1"/>
  <c r="V103" i="16"/>
  <c r="A119" i="11"/>
  <c r="A159" i="11"/>
  <c r="AQ99" i="11"/>
  <c r="Z116" i="11"/>
  <c r="AJ102" i="11"/>
  <c r="AH102" i="11"/>
  <c r="AO100" i="11"/>
  <c r="AM100" i="11"/>
  <c r="BZ100" i="11" s="1"/>
  <c r="AN100" i="11"/>
  <c r="AP100" i="11"/>
  <c r="B91" i="8" s="1"/>
  <c r="AL100" i="11"/>
  <c r="AB103" i="11"/>
  <c r="AA104" i="11"/>
  <c r="Z104" i="11"/>
  <c r="X119" i="11"/>
  <c r="Y117" i="11"/>
  <c r="V118" i="11"/>
  <c r="U119" i="11"/>
  <c r="T119" i="11"/>
  <c r="S119" i="11"/>
  <c r="R119" i="11"/>
  <c r="N107" i="11"/>
  <c r="S107" i="11" s="1"/>
  <c r="K147" i="11"/>
  <c r="AK147" i="11" s="1"/>
  <c r="H120" i="11"/>
  <c r="Q120" i="11" s="1"/>
  <c r="M107" i="11"/>
  <c r="R107" i="11" s="1"/>
  <c r="A147" i="7"/>
  <c r="A140" i="4"/>
  <c r="A50" i="6"/>
  <c r="W49" i="6" s="1"/>
  <c r="BH49" i="6" s="1"/>
  <c r="A108" i="3"/>
  <c r="B152" i="9" l="1"/>
  <c r="B186" i="9"/>
  <c r="B153" i="9"/>
  <c r="B187" i="9"/>
  <c r="B120" i="9"/>
  <c r="B86" i="9"/>
  <c r="B220" i="9"/>
  <c r="B254" i="9"/>
  <c r="G135" i="9"/>
  <c r="T135" i="9" s="1"/>
  <c r="J135" i="9"/>
  <c r="W135" i="9" s="1"/>
  <c r="H135" i="9"/>
  <c r="U135" i="9" s="1"/>
  <c r="G185" i="9"/>
  <c r="T185" i="9" s="1"/>
  <c r="H185" i="9"/>
  <c r="U185" i="9" s="1"/>
  <c r="J185" i="9"/>
  <c r="W185" i="9" s="1"/>
  <c r="AW106" i="19"/>
  <c r="G151" i="9"/>
  <c r="T151" i="9" s="1"/>
  <c r="H151" i="9"/>
  <c r="U151" i="9" s="1"/>
  <c r="J151" i="9"/>
  <c r="W151" i="9" s="1"/>
  <c r="G203" i="9"/>
  <c r="T203" i="9" s="1"/>
  <c r="J203" i="9"/>
  <c r="W203" i="9" s="1"/>
  <c r="H203" i="9"/>
  <c r="U203" i="9" s="1"/>
  <c r="A274" i="9"/>
  <c r="A138" i="9"/>
  <c r="A206" i="9"/>
  <c r="A104" i="9"/>
  <c r="A172" i="9"/>
  <c r="A240" i="9"/>
  <c r="B204" i="9"/>
  <c r="B170" i="9"/>
  <c r="B272" i="9"/>
  <c r="B238" i="9"/>
  <c r="G119" i="9"/>
  <c r="T119" i="9" s="1"/>
  <c r="J119" i="9"/>
  <c r="W119" i="9" s="1"/>
  <c r="H119" i="9"/>
  <c r="U119" i="9" s="1"/>
  <c r="G271" i="9"/>
  <c r="T271" i="9" s="1"/>
  <c r="H271" i="9"/>
  <c r="U271" i="9" s="1"/>
  <c r="J271" i="9"/>
  <c r="W271" i="9" s="1"/>
  <c r="G219" i="9"/>
  <c r="T219" i="9" s="1"/>
  <c r="H219" i="9"/>
  <c r="U219" i="9" s="1"/>
  <c r="J219" i="9"/>
  <c r="W219" i="9" s="1"/>
  <c r="J237" i="9"/>
  <c r="W237" i="9" s="1"/>
  <c r="H237" i="9"/>
  <c r="U237" i="9" s="1"/>
  <c r="G237" i="9"/>
  <c r="T237" i="9" s="1"/>
  <c r="G253" i="9"/>
  <c r="T253" i="9" s="1"/>
  <c r="H253" i="9"/>
  <c r="U253" i="9" s="1"/>
  <c r="J253" i="9"/>
  <c r="W253" i="9" s="1"/>
  <c r="BL109" i="17"/>
  <c r="J153" i="9"/>
  <c r="W153" i="9" s="1"/>
  <c r="G153" i="9"/>
  <c r="T153" i="9" s="1"/>
  <c r="H153" i="9"/>
  <c r="U153" i="9" s="1"/>
  <c r="H85" i="9"/>
  <c r="U85" i="9" s="1"/>
  <c r="G85" i="9"/>
  <c r="T85" i="9" s="1"/>
  <c r="J85" i="9"/>
  <c r="W85" i="9" s="1"/>
  <c r="L139" i="4"/>
  <c r="E99" i="19"/>
  <c r="BH100" i="11"/>
  <c r="H89" i="3" s="1"/>
  <c r="BE110" i="17"/>
  <c r="BF100" i="11"/>
  <c r="F89" i="3" s="1"/>
  <c r="BK110" i="17"/>
  <c r="BZ110" i="17"/>
  <c r="AN181" i="17"/>
  <c r="AO181" i="17" s="1"/>
  <c r="CL112" i="17"/>
  <c r="CM112" i="17" s="1"/>
  <c r="CK99" i="16"/>
  <c r="CG99" i="16"/>
  <c r="CB99" i="16"/>
  <c r="CH99" i="16"/>
  <c r="CI99" i="16"/>
  <c r="CD99" i="16"/>
  <c r="CJ99" i="16"/>
  <c r="BY98" i="17"/>
  <c r="G117" i="17"/>
  <c r="AR107" i="19" s="1"/>
  <c r="AU107" i="19" s="1"/>
  <c r="AW107" i="19" s="1"/>
  <c r="CL113" i="17"/>
  <c r="CM113" i="17" s="1"/>
  <c r="CI100" i="16"/>
  <c r="CD100" i="16"/>
  <c r="CG100" i="16"/>
  <c r="CH100" i="16"/>
  <c r="CK100" i="16"/>
  <c r="CB100" i="16"/>
  <c r="CJ100" i="16"/>
  <c r="CC104" i="11"/>
  <c r="AL144" i="11"/>
  <c r="AM144" i="11"/>
  <c r="X93" i="3" s="1"/>
  <c r="BY101" i="11"/>
  <c r="BV101" i="11"/>
  <c r="CH102" i="11"/>
  <c r="CJ102" i="11"/>
  <c r="CK102" i="11"/>
  <c r="CG102" i="11"/>
  <c r="CB102" i="11"/>
  <c r="CI102" i="11"/>
  <c r="CD102" i="11"/>
  <c r="H156" i="17"/>
  <c r="BW100" i="11"/>
  <c r="CL98" i="16"/>
  <c r="CM98" i="16" s="1"/>
  <c r="BG100" i="11"/>
  <c r="BH110" i="17"/>
  <c r="BJ100" i="11"/>
  <c r="J89" i="3" s="1"/>
  <c r="CE102" i="17"/>
  <c r="AL182" i="17"/>
  <c r="AM182" i="17"/>
  <c r="H156" i="16"/>
  <c r="CE111" i="16"/>
  <c r="AL191" i="16"/>
  <c r="AM191" i="16"/>
  <c r="AH101" i="18" s="1"/>
  <c r="BL111" i="17"/>
  <c r="BL99" i="11"/>
  <c r="BL97" i="17"/>
  <c r="BJ110" i="17"/>
  <c r="J100" i="19" s="1"/>
  <c r="CL101" i="11"/>
  <c r="CM101" i="11" s="1"/>
  <c r="BE100" i="11"/>
  <c r="E89" i="3" s="1"/>
  <c r="CH99" i="17"/>
  <c r="CK99" i="17"/>
  <c r="CJ99" i="17"/>
  <c r="CB99" i="17"/>
  <c r="CI99" i="17"/>
  <c r="CG99" i="17"/>
  <c r="CD99" i="17"/>
  <c r="CE111" i="17"/>
  <c r="AL191" i="17"/>
  <c r="AM191" i="17"/>
  <c r="AH101" i="19" s="1"/>
  <c r="BK100" i="11"/>
  <c r="K89" i="3" s="1"/>
  <c r="BF110" i="17"/>
  <c r="H101" i="19"/>
  <c r="CL98" i="17"/>
  <c r="CM98" i="17" s="1"/>
  <c r="BI110" i="17"/>
  <c r="AN143" i="11"/>
  <c r="AO143" i="11" s="1"/>
  <c r="AN184" i="11"/>
  <c r="AO184" i="11" s="1"/>
  <c r="AL185" i="11"/>
  <c r="Z185" i="11"/>
  <c r="AM185" i="11"/>
  <c r="AH94" i="3" s="1"/>
  <c r="X185" i="11"/>
  <c r="M195" i="11"/>
  <c r="P195" i="11"/>
  <c r="Q195" i="11" s="1"/>
  <c r="AB35" i="3"/>
  <c r="AD35" i="3" s="1"/>
  <c r="AC35" i="3"/>
  <c r="AE35" i="3" s="1"/>
  <c r="AF35" i="3" s="1"/>
  <c r="BC35" i="3" s="1"/>
  <c r="BE35" i="3" s="1"/>
  <c r="BG35" i="3" s="1"/>
  <c r="K196" i="11"/>
  <c r="AK196" i="11" s="1"/>
  <c r="AA36" i="3"/>
  <c r="AA102" i="17"/>
  <c r="AB102" i="17" s="1"/>
  <c r="AF183" i="11"/>
  <c r="AB88" i="3"/>
  <c r="AC88" i="3"/>
  <c r="AG142" i="11"/>
  <c r="AE141" i="11"/>
  <c r="AA90" i="3" s="1"/>
  <c r="AM100" i="19"/>
  <c r="I21" i="23"/>
  <c r="Z23" i="23"/>
  <c r="D140" i="4"/>
  <c r="D118" i="16"/>
  <c r="D158" i="16"/>
  <c r="BX118" i="16" s="1"/>
  <c r="D118" i="17"/>
  <c r="D158" i="17"/>
  <c r="BX118" i="17" s="1"/>
  <c r="D159" i="11"/>
  <c r="BX119" i="11" s="1"/>
  <c r="D119" i="11"/>
  <c r="R193" i="16"/>
  <c r="S193" i="16" s="1"/>
  <c r="F158" i="11"/>
  <c r="F157" i="16"/>
  <c r="F157" i="17"/>
  <c r="F197" i="17"/>
  <c r="F197" i="16"/>
  <c r="F198" i="11"/>
  <c r="M194" i="16"/>
  <c r="P194" i="16"/>
  <c r="Q194" i="16" s="1"/>
  <c r="I196" i="17"/>
  <c r="B198" i="17"/>
  <c r="B198" i="16"/>
  <c r="B199" i="11"/>
  <c r="B108" i="19"/>
  <c r="B215" i="7"/>
  <c r="B108" i="18"/>
  <c r="B158" i="17"/>
  <c r="B118" i="17"/>
  <c r="B181" i="7"/>
  <c r="B158" i="16"/>
  <c r="B118" i="16"/>
  <c r="B159" i="11"/>
  <c r="B119" i="11"/>
  <c r="B108" i="3"/>
  <c r="B147" i="7"/>
  <c r="AJ145" i="7"/>
  <c r="AG145" i="7"/>
  <c r="AH145" i="7"/>
  <c r="AK145" i="7"/>
  <c r="AO145" i="7"/>
  <c r="AL145" i="7"/>
  <c r="AI145" i="7"/>
  <c r="AA145" i="7"/>
  <c r="AM178" i="7"/>
  <c r="T192" i="17"/>
  <c r="V192" i="17"/>
  <c r="U192" i="17"/>
  <c r="I197" i="11"/>
  <c r="C198" i="17"/>
  <c r="C198" i="16"/>
  <c r="C199" i="11"/>
  <c r="C158" i="17"/>
  <c r="C118" i="17"/>
  <c r="C158" i="16"/>
  <c r="C118" i="16"/>
  <c r="C159" i="11"/>
  <c r="C119" i="11"/>
  <c r="K48" i="6"/>
  <c r="K82" i="6"/>
  <c r="AT178" i="7"/>
  <c r="E139" i="4"/>
  <c r="M139" i="4" s="1"/>
  <c r="D198" i="11"/>
  <c r="CA118" i="11" s="1"/>
  <c r="D197" i="16"/>
  <c r="CA117" i="16" s="1"/>
  <c r="D197" i="17"/>
  <c r="CA117" i="17" s="1"/>
  <c r="AT212" i="7"/>
  <c r="K184" i="6"/>
  <c r="K218" i="6"/>
  <c r="AE213" i="7"/>
  <c r="AL213" i="7"/>
  <c r="AK213" i="7"/>
  <c r="AO213" i="7"/>
  <c r="AJ213" i="7"/>
  <c r="AI213" i="7"/>
  <c r="AH213" i="7"/>
  <c r="AR213" i="7"/>
  <c r="AB213" i="7"/>
  <c r="AC213" i="7"/>
  <c r="AP213" i="7"/>
  <c r="AA213" i="7"/>
  <c r="AD213" i="7"/>
  <c r="AQ213" i="7"/>
  <c r="Z213" i="7"/>
  <c r="AG213" i="7"/>
  <c r="AN213" i="7"/>
  <c r="AM212" i="7"/>
  <c r="R193" i="17"/>
  <c r="S193" i="17" s="1"/>
  <c r="E180" i="7"/>
  <c r="G180" i="7" s="1"/>
  <c r="AW180" i="7"/>
  <c r="I158" i="11"/>
  <c r="K195" i="17"/>
  <c r="AK195" i="17" s="1"/>
  <c r="H195" i="17"/>
  <c r="AK37" i="18"/>
  <c r="AK37" i="19"/>
  <c r="AK37" i="3"/>
  <c r="AA37" i="18"/>
  <c r="AA37" i="19"/>
  <c r="K150" i="6"/>
  <c r="K116" i="6"/>
  <c r="AM36" i="3"/>
  <c r="AO36" i="3" s="1"/>
  <c r="AP36" i="3" s="1"/>
  <c r="BJ36" i="3" s="1"/>
  <c r="BL36" i="3" s="1"/>
  <c r="BN36" i="3" s="1"/>
  <c r="AL36" i="3"/>
  <c r="AN36" i="3" s="1"/>
  <c r="AF212" i="7"/>
  <c r="B140" i="4"/>
  <c r="K140" i="4" s="1"/>
  <c r="C140" i="4"/>
  <c r="AB36" i="18"/>
  <c r="AD36" i="18" s="1"/>
  <c r="AC36" i="18"/>
  <c r="AE36" i="18" s="1"/>
  <c r="AF36" i="18" s="1"/>
  <c r="BC36" i="18" s="1"/>
  <c r="BE36" i="18" s="1"/>
  <c r="BG36" i="18" s="1"/>
  <c r="AE179" i="7"/>
  <c r="AI179" i="7"/>
  <c r="AH179" i="7"/>
  <c r="AL179" i="7"/>
  <c r="AR179" i="7"/>
  <c r="AJ179" i="7"/>
  <c r="AK179" i="7"/>
  <c r="AD179" i="7"/>
  <c r="AA179" i="7"/>
  <c r="AQ179" i="7"/>
  <c r="AP179" i="7"/>
  <c r="AO179" i="7"/>
  <c r="AC179" i="7"/>
  <c r="AB179" i="7"/>
  <c r="AN179" i="7"/>
  <c r="AG179" i="7"/>
  <c r="V192" i="16"/>
  <c r="T192" i="16"/>
  <c r="U192" i="16"/>
  <c r="AV107" i="19"/>
  <c r="I157" i="17"/>
  <c r="AB36" i="19"/>
  <c r="AD36" i="19" s="1"/>
  <c r="AC36" i="19"/>
  <c r="AE36" i="19" s="1"/>
  <c r="AF36" i="19" s="1"/>
  <c r="BC36" i="19" s="1"/>
  <c r="BE36" i="19" s="1"/>
  <c r="BG36" i="19" s="1"/>
  <c r="K195" i="16"/>
  <c r="AK195" i="16" s="1"/>
  <c r="H195" i="16"/>
  <c r="AU42" i="6"/>
  <c r="BG42" i="6"/>
  <c r="E146" i="7"/>
  <c r="G146" i="7" s="1"/>
  <c r="AW146" i="7"/>
  <c r="AV211" i="7"/>
  <c r="AM36" i="19"/>
  <c r="AO36" i="19" s="1"/>
  <c r="AP36" i="19" s="1"/>
  <c r="BJ36" i="19" s="1"/>
  <c r="BL36" i="19" s="1"/>
  <c r="BN36" i="19" s="1"/>
  <c r="AL36" i="19"/>
  <c r="AN36" i="19" s="1"/>
  <c r="I117" i="17"/>
  <c r="I117" i="16"/>
  <c r="I118" i="11"/>
  <c r="I196" i="16"/>
  <c r="AB191" i="17"/>
  <c r="W191" i="17"/>
  <c r="BY111" i="17" s="1"/>
  <c r="Z191" i="17"/>
  <c r="AA191" i="17"/>
  <c r="Y191" i="17"/>
  <c r="X191" i="17"/>
  <c r="M194" i="17"/>
  <c r="P194" i="17"/>
  <c r="Q194" i="17" s="1"/>
  <c r="AM144" i="7"/>
  <c r="AW214" i="7"/>
  <c r="E214" i="7"/>
  <c r="G214" i="7" s="1"/>
  <c r="I157" i="16"/>
  <c r="AM36" i="18"/>
  <c r="AO36" i="18" s="1"/>
  <c r="AP36" i="18" s="1"/>
  <c r="BJ36" i="18" s="1"/>
  <c r="BL36" i="18" s="1"/>
  <c r="BN36" i="18" s="1"/>
  <c r="AL36" i="18"/>
  <c r="AN36" i="18" s="1"/>
  <c r="W191" i="16"/>
  <c r="AB191" i="16"/>
  <c r="Y191" i="16"/>
  <c r="AA191" i="16"/>
  <c r="Z191" i="16"/>
  <c r="X191" i="16"/>
  <c r="M29" i="6"/>
  <c r="I100" i="19"/>
  <c r="N63" i="6"/>
  <c r="R63" i="6" s="1"/>
  <c r="AE28" i="6" s="1"/>
  <c r="AI183" i="11"/>
  <c r="N29" i="6"/>
  <c r="L87" i="19"/>
  <c r="AH142" i="11"/>
  <c r="AH183" i="11"/>
  <c r="AJ182" i="11"/>
  <c r="AJ190" i="17"/>
  <c r="AH171" i="8"/>
  <c r="I179" i="6" s="1"/>
  <c r="Z116" i="17"/>
  <c r="AE183" i="11"/>
  <c r="AK92" i="3" s="1"/>
  <c r="AF142" i="11"/>
  <c r="BD100" i="11"/>
  <c r="C90" i="3"/>
  <c r="J91" i="8"/>
  <c r="L107" i="11"/>
  <c r="Q107" i="11" s="1"/>
  <c r="AI142" i="11"/>
  <c r="G89" i="3"/>
  <c r="Z171" i="8"/>
  <c r="H179" i="6" s="1"/>
  <c r="R171" i="8"/>
  <c r="G179" i="6" s="1"/>
  <c r="P87" i="19"/>
  <c r="J170" i="8"/>
  <c r="AE114" i="17"/>
  <c r="AD114" i="17"/>
  <c r="AC114" i="17"/>
  <c r="AJ114" i="17"/>
  <c r="AI114" i="17"/>
  <c r="AH114" i="17"/>
  <c r="BC112" i="17"/>
  <c r="BK112" i="17" s="1"/>
  <c r="R119" i="17"/>
  <c r="Q119" i="17"/>
  <c r="S119" i="17"/>
  <c r="T119" i="17"/>
  <c r="AL113" i="17"/>
  <c r="H100" i="19"/>
  <c r="F100" i="19"/>
  <c r="AP112" i="17"/>
  <c r="B172" i="8" s="1"/>
  <c r="K100" i="19"/>
  <c r="G100" i="19"/>
  <c r="E100" i="19"/>
  <c r="BD110" i="17"/>
  <c r="AL112" i="17"/>
  <c r="BC113" i="17"/>
  <c r="BG113" i="17" s="1"/>
  <c r="AD190" i="16"/>
  <c r="P87" i="18"/>
  <c r="Q87" i="18" s="1"/>
  <c r="S87" i="18" s="1"/>
  <c r="U87" i="18" s="1"/>
  <c r="V87" i="18" s="1"/>
  <c r="AI190" i="16"/>
  <c r="AL99" i="18"/>
  <c r="AG190" i="16"/>
  <c r="AJ189" i="16"/>
  <c r="V118" i="16"/>
  <c r="Y118" i="16" s="1"/>
  <c r="Z118" i="16" s="1"/>
  <c r="R119" i="16"/>
  <c r="S119" i="16"/>
  <c r="T119" i="16"/>
  <c r="U119" i="16"/>
  <c r="Q119" i="16"/>
  <c r="AL98" i="16"/>
  <c r="AF190" i="16"/>
  <c r="AH190" i="16"/>
  <c r="BC101" i="11"/>
  <c r="BI101" i="11" s="1"/>
  <c r="U106" i="11"/>
  <c r="V106" i="11" s="1"/>
  <c r="Y106" i="11" s="1"/>
  <c r="F30" i="6"/>
  <c r="D30" i="6"/>
  <c r="O107" i="11"/>
  <c r="T107" i="11" s="1"/>
  <c r="W144" i="11"/>
  <c r="AA144" i="11"/>
  <c r="Y144" i="11"/>
  <c r="AB144" i="11"/>
  <c r="Z144" i="11"/>
  <c r="X144" i="11"/>
  <c r="AJ179" i="17"/>
  <c r="W185" i="11"/>
  <c r="AB185" i="11"/>
  <c r="AA185" i="11"/>
  <c r="Y185" i="11"/>
  <c r="V183" i="17"/>
  <c r="U183" i="17"/>
  <c r="T183" i="17"/>
  <c r="T105" i="16"/>
  <c r="O106" i="16"/>
  <c r="AE100" i="17"/>
  <c r="AJ100" i="17"/>
  <c r="AD100" i="17"/>
  <c r="AI100" i="17"/>
  <c r="AC100" i="17"/>
  <c r="AH100" i="17"/>
  <c r="R184" i="17"/>
  <c r="S184" i="17" s="1"/>
  <c r="AM90" i="3"/>
  <c r="AL90" i="3"/>
  <c r="AL98" i="17"/>
  <c r="AA89" i="3"/>
  <c r="AJ140" i="11"/>
  <c r="O106" i="17"/>
  <c r="T105" i="17"/>
  <c r="S107" i="16"/>
  <c r="N108" i="16"/>
  <c r="S108" i="16" s="1"/>
  <c r="N106" i="17"/>
  <c r="S105" i="17"/>
  <c r="AC181" i="17"/>
  <c r="V145" i="11"/>
  <c r="U145" i="11"/>
  <c r="T145" i="11"/>
  <c r="AC35" i="6" s="1"/>
  <c r="R105" i="16"/>
  <c r="M106" i="16"/>
  <c r="AE103" i="11"/>
  <c r="AD103" i="11"/>
  <c r="AC103" i="11"/>
  <c r="AG183" i="11"/>
  <c r="AM88" i="19"/>
  <c r="AL88" i="19"/>
  <c r="AF99" i="17"/>
  <c r="AW99" i="17"/>
  <c r="AV99" i="17"/>
  <c r="AU99" i="17"/>
  <c r="AX99" i="17"/>
  <c r="AS99" i="17"/>
  <c r="AR99" i="17"/>
  <c r="AY99" i="17"/>
  <c r="BB99" i="17"/>
  <c r="AT99" i="17"/>
  <c r="AZ99" i="17"/>
  <c r="BA99" i="17"/>
  <c r="AG99" i="17"/>
  <c r="AK99" i="17" s="1"/>
  <c r="AW102" i="11"/>
  <c r="AV102" i="11"/>
  <c r="AU102" i="11"/>
  <c r="AF102" i="11"/>
  <c r="AX102" i="11"/>
  <c r="AS102" i="11"/>
  <c r="AR102" i="11"/>
  <c r="AZ102" i="11"/>
  <c r="AY102" i="11"/>
  <c r="BB102" i="11"/>
  <c r="BA102" i="11"/>
  <c r="AT102" i="11"/>
  <c r="AG102" i="11"/>
  <c r="AK102" i="11" s="1"/>
  <c r="L106" i="16"/>
  <c r="Q105" i="16"/>
  <c r="L106" i="17"/>
  <c r="Q105" i="17"/>
  <c r="D64" i="6"/>
  <c r="M64" i="6" s="1"/>
  <c r="F64" i="6"/>
  <c r="E64" i="6"/>
  <c r="F31" i="6"/>
  <c r="R146" i="11"/>
  <c r="S146" i="11" s="1"/>
  <c r="U186" i="11"/>
  <c r="CE106" i="11" s="1"/>
  <c r="T186" i="11"/>
  <c r="AI36" i="6" s="1"/>
  <c r="V186" i="11"/>
  <c r="AP98" i="16"/>
  <c r="B124" i="8" s="1"/>
  <c r="BC98" i="17"/>
  <c r="BK98" i="17" s="1"/>
  <c r="M107" i="17"/>
  <c r="R106" i="17"/>
  <c r="AD180" i="17"/>
  <c r="AF180" i="17"/>
  <c r="AG180" i="17"/>
  <c r="AE180" i="17"/>
  <c r="AH180" i="17"/>
  <c r="AE142" i="11"/>
  <c r="AG141" i="11"/>
  <c r="AI141" i="11"/>
  <c r="AH141" i="11"/>
  <c r="AF141" i="11"/>
  <c r="X182" i="17"/>
  <c r="AA182" i="17"/>
  <c r="W182" i="17"/>
  <c r="AB182" i="17"/>
  <c r="Y182" i="17"/>
  <c r="Z182" i="17"/>
  <c r="AC184" i="11"/>
  <c r="AD184" i="11" s="1"/>
  <c r="AC143" i="11"/>
  <c r="AI143" i="11" s="1"/>
  <c r="AN112" i="17"/>
  <c r="AM112" i="17"/>
  <c r="AN113" i="17"/>
  <c r="AO112" i="17"/>
  <c r="AE101" i="16"/>
  <c r="AD101" i="16"/>
  <c r="AC101" i="16"/>
  <c r="AM98" i="16"/>
  <c r="D88" i="18" s="1"/>
  <c r="N88" i="18" s="1"/>
  <c r="AN98" i="16"/>
  <c r="AO98" i="16"/>
  <c r="AF99" i="16"/>
  <c r="AU99" i="16"/>
  <c r="AR99" i="16"/>
  <c r="AV99" i="16"/>
  <c r="AZ99" i="16"/>
  <c r="AS99" i="16"/>
  <c r="AW99" i="16"/>
  <c r="AT99" i="16"/>
  <c r="AX99" i="16"/>
  <c r="BB99" i="16"/>
  <c r="AY99" i="16"/>
  <c r="BA99" i="16"/>
  <c r="AG99" i="16"/>
  <c r="AK99" i="16" s="1"/>
  <c r="BC98" i="16"/>
  <c r="BI98" i="16" s="1"/>
  <c r="AF100" i="16"/>
  <c r="AR100" i="16"/>
  <c r="AV100" i="16"/>
  <c r="AZ100" i="16"/>
  <c r="AS100" i="16"/>
  <c r="AW100" i="16"/>
  <c r="BA100" i="16"/>
  <c r="AX100" i="16"/>
  <c r="AY100" i="16"/>
  <c r="AU100" i="16"/>
  <c r="BB100" i="16"/>
  <c r="AT100" i="16"/>
  <c r="AG100" i="16"/>
  <c r="AK100" i="16" s="1"/>
  <c r="AP113" i="17"/>
  <c r="B173" i="8" s="1"/>
  <c r="AM113" i="17"/>
  <c r="D103" i="19" s="1"/>
  <c r="AO113" i="17"/>
  <c r="AL91" i="3"/>
  <c r="AM91" i="3"/>
  <c r="A199" i="17"/>
  <c r="A153" i="6"/>
  <c r="A221" i="6"/>
  <c r="A85" i="6"/>
  <c r="H187" i="11"/>
  <c r="R187" i="11"/>
  <c r="S187" i="11" s="1"/>
  <c r="J170" i="6"/>
  <c r="P170" i="6" s="1"/>
  <c r="T170" i="6" s="1"/>
  <c r="AY33" i="6" s="1"/>
  <c r="J204" i="6"/>
  <c r="P204" i="6" s="1"/>
  <c r="T204" i="6" s="1"/>
  <c r="BE33" i="6" s="1"/>
  <c r="H131" i="6"/>
  <c r="G131" i="6"/>
  <c r="I97" i="6"/>
  <c r="I131" i="6"/>
  <c r="H29" i="6"/>
  <c r="H63" i="6"/>
  <c r="G29" i="6"/>
  <c r="I16" i="23" s="1"/>
  <c r="G63" i="6"/>
  <c r="I29" i="6"/>
  <c r="I63" i="6"/>
  <c r="AL100" i="18"/>
  <c r="AM100" i="18"/>
  <c r="P108" i="11"/>
  <c r="P109" i="11" s="1"/>
  <c r="U109" i="11" s="1"/>
  <c r="M185" i="17"/>
  <c r="P185" i="17"/>
  <c r="Q185" i="17" s="1"/>
  <c r="K186" i="17"/>
  <c r="AK186" i="17" s="1"/>
  <c r="A109" i="19"/>
  <c r="A200" i="11"/>
  <c r="A199" i="16"/>
  <c r="P147" i="11"/>
  <c r="Q147" i="11" s="1"/>
  <c r="M147" i="11"/>
  <c r="AI103" i="11"/>
  <c r="Z116" i="16"/>
  <c r="AA116" i="16"/>
  <c r="H150" i="11"/>
  <c r="AO101" i="11"/>
  <c r="P101" i="19"/>
  <c r="L101" i="19"/>
  <c r="X119" i="16"/>
  <c r="AB116" i="17"/>
  <c r="Y117" i="17"/>
  <c r="AI101" i="16"/>
  <c r="V118" i="17"/>
  <c r="H120" i="17"/>
  <c r="H120" i="16"/>
  <c r="AV200" i="7"/>
  <c r="AB115" i="17"/>
  <c r="X119" i="17"/>
  <c r="U119" i="17"/>
  <c r="Z202" i="7"/>
  <c r="H203" i="7"/>
  <c r="AM98" i="17"/>
  <c r="D88" i="19" s="1"/>
  <c r="N88" i="19" s="1"/>
  <c r="AH157" i="8"/>
  <c r="R169" i="8"/>
  <c r="AT201" i="7"/>
  <c r="AP98" i="17"/>
  <c r="B158" i="8" s="1"/>
  <c r="Z157" i="8"/>
  <c r="AS202" i="7"/>
  <c r="AG202" i="7"/>
  <c r="N203" i="7"/>
  <c r="L204" i="7"/>
  <c r="AD203" i="7"/>
  <c r="AQ110" i="17"/>
  <c r="R157" i="8"/>
  <c r="Z169" i="8"/>
  <c r="AH169" i="8"/>
  <c r="J204" i="7"/>
  <c r="AB203" i="7"/>
  <c r="V205" i="7"/>
  <c r="AP205" i="7" s="1"/>
  <c r="AP204" i="7"/>
  <c r="AF201" i="7"/>
  <c r="W204" i="7"/>
  <c r="AQ203" i="7"/>
  <c r="AO203" i="7"/>
  <c r="U204" i="7"/>
  <c r="AC202" i="7"/>
  <c r="K203" i="7"/>
  <c r="AN203" i="7"/>
  <c r="T204" i="7"/>
  <c r="AJ202" i="7"/>
  <c r="Q203" i="7"/>
  <c r="AL203" i="7"/>
  <c r="S204" i="7"/>
  <c r="AH90" i="8"/>
  <c r="AM201" i="7"/>
  <c r="O203" i="7"/>
  <c r="AH202" i="7"/>
  <c r="AE202" i="7"/>
  <c r="M203" i="7"/>
  <c r="AR202" i="7"/>
  <c r="X203" i="7"/>
  <c r="AI203" i="7"/>
  <c r="P204" i="7"/>
  <c r="AK202" i="7"/>
  <c r="R203" i="7"/>
  <c r="A216" i="7"/>
  <c r="A179" i="8"/>
  <c r="A187" i="6"/>
  <c r="A111" i="8"/>
  <c r="A145" i="8"/>
  <c r="R90" i="8"/>
  <c r="AN98" i="17"/>
  <c r="AO98" i="17"/>
  <c r="Z90" i="8"/>
  <c r="E106" i="17"/>
  <c r="C202" i="7"/>
  <c r="S87" i="3"/>
  <c r="U87" i="3" s="1"/>
  <c r="V87" i="3" s="1"/>
  <c r="R87" i="3"/>
  <c r="T87" i="3" s="1"/>
  <c r="P88" i="3"/>
  <c r="Q88" i="3" s="1"/>
  <c r="L88" i="3"/>
  <c r="D89" i="3"/>
  <c r="N89" i="3" s="1"/>
  <c r="A109" i="18"/>
  <c r="I89" i="3"/>
  <c r="AB101" i="17"/>
  <c r="A182" i="7"/>
  <c r="A159" i="17"/>
  <c r="A119" i="17"/>
  <c r="A119" i="6"/>
  <c r="Y103" i="17"/>
  <c r="G105" i="17"/>
  <c r="AR95" i="19" s="1"/>
  <c r="F106" i="17"/>
  <c r="D203" i="7" s="1"/>
  <c r="U105" i="17"/>
  <c r="K109" i="11"/>
  <c r="V104" i="17"/>
  <c r="F106" i="16"/>
  <c r="D168" i="7"/>
  <c r="E106" i="16"/>
  <c r="C168" i="7"/>
  <c r="AJ101" i="16"/>
  <c r="AH101" i="16"/>
  <c r="Y103" i="16"/>
  <c r="V104" i="16"/>
  <c r="A159" i="16"/>
  <c r="A119" i="16"/>
  <c r="P106" i="16"/>
  <c r="U106" i="16" s="1"/>
  <c r="Z102" i="16"/>
  <c r="AA102" i="16"/>
  <c r="A120" i="11"/>
  <c r="A160" i="11"/>
  <c r="AM101" i="11"/>
  <c r="BZ101" i="11" s="1"/>
  <c r="AP101" i="11"/>
  <c r="B92" i="8" s="1"/>
  <c r="AN101" i="11"/>
  <c r="AL101" i="11"/>
  <c r="Z105" i="11"/>
  <c r="AJ103" i="11"/>
  <c r="AH103" i="11"/>
  <c r="AQ100" i="11"/>
  <c r="AB104" i="11"/>
  <c r="AA117" i="11"/>
  <c r="Z117" i="11"/>
  <c r="AA105" i="11"/>
  <c r="Y118" i="11"/>
  <c r="X120" i="11"/>
  <c r="U120" i="11"/>
  <c r="S120" i="11"/>
  <c r="R120" i="11"/>
  <c r="T120" i="11"/>
  <c r="V119" i="11"/>
  <c r="H121" i="11"/>
  <c r="Q121" i="11" s="1"/>
  <c r="M108" i="11"/>
  <c r="R108" i="11" s="1"/>
  <c r="K148" i="11"/>
  <c r="AK148" i="11" s="1"/>
  <c r="N108" i="11"/>
  <c r="S108" i="11" s="1"/>
  <c r="A148" i="7"/>
  <c r="A141" i="4"/>
  <c r="A51" i="6"/>
  <c r="W50" i="6" s="1"/>
  <c r="BH50" i="6" s="1"/>
  <c r="A109" i="3"/>
  <c r="B188" i="9" l="1"/>
  <c r="B154" i="9"/>
  <c r="B273" i="9"/>
  <c r="B239" i="9"/>
  <c r="G204" i="9"/>
  <c r="T204" i="9" s="1"/>
  <c r="J204" i="9"/>
  <c r="W204" i="9" s="1"/>
  <c r="H204" i="9"/>
  <c r="U204" i="9" s="1"/>
  <c r="G254" i="9"/>
  <c r="T254" i="9" s="1"/>
  <c r="J254" i="9"/>
  <c r="W254" i="9" s="1"/>
  <c r="H254" i="9"/>
  <c r="U254" i="9" s="1"/>
  <c r="G187" i="9"/>
  <c r="T187" i="9" s="1"/>
  <c r="J187" i="9"/>
  <c r="W187" i="9" s="1"/>
  <c r="H187" i="9"/>
  <c r="U187" i="9" s="1"/>
  <c r="B171" i="9"/>
  <c r="B205" i="9"/>
  <c r="H238" i="9"/>
  <c r="U238" i="9" s="1"/>
  <c r="J238" i="9"/>
  <c r="W238" i="9" s="1"/>
  <c r="G238" i="9"/>
  <c r="T238" i="9" s="1"/>
  <c r="G220" i="9"/>
  <c r="T220" i="9" s="1"/>
  <c r="H220" i="9"/>
  <c r="U220" i="9" s="1"/>
  <c r="J220" i="9"/>
  <c r="W220" i="9" s="1"/>
  <c r="B221" i="9"/>
  <c r="B255" i="9"/>
  <c r="A241" i="9"/>
  <c r="A105" i="9"/>
  <c r="A139" i="9"/>
  <c r="A207" i="9"/>
  <c r="A275" i="9"/>
  <c r="A173" i="9"/>
  <c r="B121" i="9"/>
  <c r="B87" i="9"/>
  <c r="G272" i="9"/>
  <c r="T272" i="9" s="1"/>
  <c r="H272" i="9"/>
  <c r="U272" i="9" s="1"/>
  <c r="J272" i="9"/>
  <c r="W272" i="9" s="1"/>
  <c r="G186" i="9"/>
  <c r="T186" i="9" s="1"/>
  <c r="H186" i="9"/>
  <c r="U186" i="9" s="1"/>
  <c r="J186" i="9"/>
  <c r="W186" i="9" s="1"/>
  <c r="G120" i="9"/>
  <c r="T120" i="9" s="1"/>
  <c r="H120" i="9"/>
  <c r="U120" i="9" s="1"/>
  <c r="J120" i="9"/>
  <c r="W120" i="9" s="1"/>
  <c r="G152" i="9"/>
  <c r="T152" i="9" s="1"/>
  <c r="H152" i="9"/>
  <c r="U152" i="9" s="1"/>
  <c r="J152" i="9"/>
  <c r="W152" i="9" s="1"/>
  <c r="P196" i="11"/>
  <c r="Q196" i="11" s="1"/>
  <c r="G86" i="9"/>
  <c r="T86" i="9" s="1"/>
  <c r="H86" i="9"/>
  <c r="U86" i="9" s="1"/>
  <c r="J86" i="9"/>
  <c r="W86" i="9" s="1"/>
  <c r="M196" i="11"/>
  <c r="L140" i="4"/>
  <c r="BI113" i="17"/>
  <c r="BF98" i="16"/>
  <c r="F88" i="18" s="1"/>
  <c r="BJ98" i="16"/>
  <c r="BG112" i="17"/>
  <c r="CL102" i="11"/>
  <c r="CM102" i="11" s="1"/>
  <c r="BE98" i="16"/>
  <c r="E88" i="18" s="1"/>
  <c r="BL110" i="17"/>
  <c r="BJ112" i="17"/>
  <c r="H157" i="16"/>
  <c r="BG101" i="11"/>
  <c r="G90" i="3" s="1"/>
  <c r="BJ98" i="17"/>
  <c r="BH101" i="11"/>
  <c r="H90" i="3" s="1"/>
  <c r="BJ101" i="11"/>
  <c r="J90" i="3" s="1"/>
  <c r="CL100" i="16"/>
  <c r="CM100" i="16" s="1"/>
  <c r="CK101" i="16"/>
  <c r="CG101" i="16"/>
  <c r="CB101" i="16"/>
  <c r="CH101" i="16"/>
  <c r="CJ101" i="16"/>
  <c r="CI101" i="16"/>
  <c r="CD101" i="16"/>
  <c r="CJ103" i="11"/>
  <c r="CH103" i="11"/>
  <c r="CI103" i="11"/>
  <c r="CD103" i="11"/>
  <c r="CG103" i="11"/>
  <c r="CB103" i="11"/>
  <c r="CK103" i="11"/>
  <c r="BE113" i="17"/>
  <c r="BH98" i="17"/>
  <c r="H88" i="19" s="1"/>
  <c r="AN191" i="16"/>
  <c r="AO191" i="16" s="1"/>
  <c r="BK113" i="17"/>
  <c r="BH113" i="17"/>
  <c r="BK101" i="11"/>
  <c r="K90" i="3" s="1"/>
  <c r="BJ113" i="17"/>
  <c r="CJ100" i="17"/>
  <c r="CK100" i="17"/>
  <c r="CD100" i="17"/>
  <c r="CI100" i="17"/>
  <c r="CB100" i="17"/>
  <c r="CH100" i="17"/>
  <c r="CG100" i="17"/>
  <c r="CJ114" i="17"/>
  <c r="CI114" i="17"/>
  <c r="CD114" i="17"/>
  <c r="CH114" i="17"/>
  <c r="CB114" i="17"/>
  <c r="CK114" i="17"/>
  <c r="CG114" i="17"/>
  <c r="AN182" i="17"/>
  <c r="AO182" i="17" s="1"/>
  <c r="AH92" i="19"/>
  <c r="BY102" i="11"/>
  <c r="BV102" i="11"/>
  <c r="CC105" i="11"/>
  <c r="AL145" i="11"/>
  <c r="AM145" i="11"/>
  <c r="CE103" i="17"/>
  <c r="AL183" i="17"/>
  <c r="AM183" i="17"/>
  <c r="AH93" i="19" s="1"/>
  <c r="H157" i="17"/>
  <c r="CE112" i="16"/>
  <c r="AL192" i="16"/>
  <c r="AM192" i="16"/>
  <c r="AH102" i="18" s="1"/>
  <c r="CE112" i="17"/>
  <c r="AL192" i="17"/>
  <c r="AM192" i="17"/>
  <c r="G118" i="17"/>
  <c r="AR108" i="19" s="1"/>
  <c r="AU108" i="19" s="1"/>
  <c r="AV108" i="19" s="1"/>
  <c r="AN191" i="17"/>
  <c r="AO191" i="17" s="1"/>
  <c r="BH112" i="17"/>
  <c r="CL99" i="17"/>
  <c r="CM99" i="17" s="1"/>
  <c r="BI98" i="17"/>
  <c r="BL100" i="11"/>
  <c r="BI112" i="17"/>
  <c r="BE98" i="17"/>
  <c r="E88" i="19" s="1"/>
  <c r="BW101" i="11"/>
  <c r="BF98" i="17"/>
  <c r="CL99" i="16"/>
  <c r="CM99" i="16" s="1"/>
  <c r="I90" i="3"/>
  <c r="BY99" i="17"/>
  <c r="G103" i="19"/>
  <c r="BF101" i="11"/>
  <c r="F90" i="3" s="1"/>
  <c r="BH98" i="16"/>
  <c r="H88" i="18" s="1"/>
  <c r="BE101" i="11"/>
  <c r="BF112" i="17"/>
  <c r="F102" i="19" s="1"/>
  <c r="BG98" i="16"/>
  <c r="BF113" i="17"/>
  <c r="BE112" i="17"/>
  <c r="BL112" i="17" s="1"/>
  <c r="AN144" i="11"/>
  <c r="AO144" i="11" s="1"/>
  <c r="BG98" i="17"/>
  <c r="G88" i="19" s="1"/>
  <c r="BK98" i="16"/>
  <c r="BZ98" i="17"/>
  <c r="R87" i="18"/>
  <c r="T87" i="18" s="1"/>
  <c r="AL186" i="11"/>
  <c r="AM186" i="11"/>
  <c r="Z186" i="11"/>
  <c r="X186" i="11"/>
  <c r="AN185" i="11"/>
  <c r="AO185" i="11" s="1"/>
  <c r="G213" i="6"/>
  <c r="I213" i="6"/>
  <c r="AC36" i="3"/>
  <c r="AE36" i="3" s="1"/>
  <c r="AF36" i="3" s="1"/>
  <c r="BC36" i="3" s="1"/>
  <c r="BE36" i="3" s="1"/>
  <c r="BG36" i="3" s="1"/>
  <c r="AB36" i="3"/>
  <c r="AD36" i="3" s="1"/>
  <c r="AA37" i="3"/>
  <c r="K197" i="11"/>
  <c r="AK197" i="11" s="1"/>
  <c r="AA91" i="3"/>
  <c r="AB91" i="3" s="1"/>
  <c r="AF143" i="11"/>
  <c r="AM179" i="7"/>
  <c r="R29" i="6"/>
  <c r="Y28" i="6" s="1"/>
  <c r="I22" i="23"/>
  <c r="AA23" i="23"/>
  <c r="I19" i="23"/>
  <c r="AV212" i="7"/>
  <c r="J217" i="6" s="1"/>
  <c r="P217" i="6" s="1"/>
  <c r="T217" i="6" s="1"/>
  <c r="BE46" i="6" s="1"/>
  <c r="J21" i="23"/>
  <c r="K185" i="6"/>
  <c r="K219" i="6"/>
  <c r="AT179" i="7"/>
  <c r="R194" i="17"/>
  <c r="S194" i="17" s="1"/>
  <c r="I197" i="17"/>
  <c r="K196" i="17"/>
  <c r="AK196" i="17" s="1"/>
  <c r="H196" i="17"/>
  <c r="AB37" i="19"/>
  <c r="AD37" i="19" s="1"/>
  <c r="AC37" i="19"/>
  <c r="AE37" i="19" s="1"/>
  <c r="AF37" i="19" s="1"/>
  <c r="BC37" i="19" s="1"/>
  <c r="BE37" i="19" s="1"/>
  <c r="BG37" i="19" s="1"/>
  <c r="P195" i="17"/>
  <c r="Q195" i="17" s="1"/>
  <c r="M195" i="17"/>
  <c r="I197" i="16"/>
  <c r="T193" i="16"/>
  <c r="V193" i="16"/>
  <c r="U193" i="16"/>
  <c r="AC191" i="17"/>
  <c r="I198" i="11"/>
  <c r="AM37" i="18"/>
  <c r="AO37" i="18" s="1"/>
  <c r="AP37" i="18" s="1"/>
  <c r="BJ37" i="18" s="1"/>
  <c r="BL37" i="18" s="1"/>
  <c r="BN37" i="18" s="1"/>
  <c r="AL37" i="18"/>
  <c r="AN37" i="18" s="1"/>
  <c r="AB37" i="18"/>
  <c r="AD37" i="18" s="1"/>
  <c r="AC37" i="18"/>
  <c r="AE37" i="18" s="1"/>
  <c r="AF37" i="18" s="1"/>
  <c r="BC37" i="18" s="1"/>
  <c r="BE37" i="18" s="1"/>
  <c r="BG37" i="18" s="1"/>
  <c r="AT213" i="7"/>
  <c r="E140" i="4"/>
  <c r="M140" i="4" s="1"/>
  <c r="D199" i="11"/>
  <c r="CA119" i="11" s="1"/>
  <c r="D198" i="16"/>
  <c r="CA118" i="16" s="1"/>
  <c r="D198" i="17"/>
  <c r="CA118" i="17" s="1"/>
  <c r="AW181" i="7"/>
  <c r="E181" i="7"/>
  <c r="G181" i="7" s="1"/>
  <c r="I159" i="11"/>
  <c r="AE214" i="7"/>
  <c r="AO214" i="7"/>
  <c r="AH214" i="7"/>
  <c r="AK214" i="7"/>
  <c r="AI214" i="7"/>
  <c r="AJ214" i="7"/>
  <c r="AL214" i="7"/>
  <c r="AD214" i="7"/>
  <c r="AC214" i="7"/>
  <c r="AR214" i="7"/>
  <c r="AA214" i="7"/>
  <c r="AB214" i="7"/>
  <c r="AP214" i="7"/>
  <c r="Z214" i="7"/>
  <c r="AQ214" i="7"/>
  <c r="AG214" i="7"/>
  <c r="AN214" i="7"/>
  <c r="AW147" i="7"/>
  <c r="E147" i="7"/>
  <c r="G147" i="7" s="1"/>
  <c r="J183" i="6"/>
  <c r="P183" i="6" s="1"/>
  <c r="T183" i="6" s="1"/>
  <c r="AY46" i="6" s="1"/>
  <c r="J216" i="6"/>
  <c r="P216" i="6" s="1"/>
  <c r="T216" i="6" s="1"/>
  <c r="BE45" i="6" s="1"/>
  <c r="J182" i="6"/>
  <c r="P182" i="6" s="1"/>
  <c r="T182" i="6" s="1"/>
  <c r="AY45" i="6" s="1"/>
  <c r="C199" i="17"/>
  <c r="C200" i="11"/>
  <c r="C199" i="16"/>
  <c r="C159" i="17"/>
  <c r="C119" i="17"/>
  <c r="C159" i="16"/>
  <c r="C119" i="16"/>
  <c r="C160" i="11"/>
  <c r="C120" i="11"/>
  <c r="K117" i="6"/>
  <c r="K151" i="6"/>
  <c r="AM213" i="7"/>
  <c r="AW108" i="19"/>
  <c r="R194" i="16"/>
  <c r="S194" i="16" s="1"/>
  <c r="I158" i="17"/>
  <c r="K49" i="6"/>
  <c r="K83" i="6"/>
  <c r="B199" i="17"/>
  <c r="B199" i="16"/>
  <c r="B200" i="11"/>
  <c r="B109" i="19"/>
  <c r="B216" i="7"/>
  <c r="B109" i="18"/>
  <c r="B159" i="17"/>
  <c r="B119" i="17"/>
  <c r="B182" i="7"/>
  <c r="B159" i="16"/>
  <c r="B119" i="16"/>
  <c r="B160" i="11"/>
  <c r="B120" i="11"/>
  <c r="B109" i="3"/>
  <c r="B148" i="7"/>
  <c r="AL37" i="3"/>
  <c r="AN37" i="3" s="1"/>
  <c r="AM37" i="3"/>
  <c r="AO37" i="3" s="1"/>
  <c r="AP37" i="3" s="1"/>
  <c r="BJ37" i="3" s="1"/>
  <c r="BL37" i="3" s="1"/>
  <c r="BN37" i="3" s="1"/>
  <c r="AE180" i="7"/>
  <c r="AI180" i="7"/>
  <c r="AJ180" i="7"/>
  <c r="AH180" i="7"/>
  <c r="AL180" i="7"/>
  <c r="AR180" i="7"/>
  <c r="AK180" i="7"/>
  <c r="AB180" i="7"/>
  <c r="AP180" i="7"/>
  <c r="AC180" i="7"/>
  <c r="AO180" i="7"/>
  <c r="AQ180" i="7"/>
  <c r="AA180" i="7"/>
  <c r="AD180" i="7"/>
  <c r="AG180" i="7"/>
  <c r="AN180" i="7"/>
  <c r="AF213" i="7"/>
  <c r="K196" i="16"/>
  <c r="AK196" i="16" s="1"/>
  <c r="H196" i="16"/>
  <c r="AL146" i="7"/>
  <c r="AA146" i="7"/>
  <c r="AK146" i="7"/>
  <c r="AJ146" i="7"/>
  <c r="AO146" i="7"/>
  <c r="AG146" i="7"/>
  <c r="AI146" i="7"/>
  <c r="AH146" i="7"/>
  <c r="AB192" i="16"/>
  <c r="W192" i="16"/>
  <c r="Z192" i="16"/>
  <c r="Y192" i="16"/>
  <c r="AA192" i="16"/>
  <c r="X192" i="16"/>
  <c r="AM145" i="7"/>
  <c r="I158" i="16"/>
  <c r="B141" i="4"/>
  <c r="K141" i="4" s="1"/>
  <c r="C141" i="4"/>
  <c r="P195" i="16"/>
  <c r="Q195" i="16" s="1"/>
  <c r="M195" i="16"/>
  <c r="BG43" i="6"/>
  <c r="AU43" i="6"/>
  <c r="AL37" i="19"/>
  <c r="AN37" i="19" s="1"/>
  <c r="AM37" i="19"/>
  <c r="AO37" i="19" s="1"/>
  <c r="AP37" i="19" s="1"/>
  <c r="BJ37" i="19" s="1"/>
  <c r="BL37" i="19" s="1"/>
  <c r="BN37" i="19" s="1"/>
  <c r="U193" i="17"/>
  <c r="T193" i="17"/>
  <c r="V193" i="17"/>
  <c r="F158" i="17"/>
  <c r="F159" i="11"/>
  <c r="F198" i="17"/>
  <c r="F198" i="16"/>
  <c r="F199" i="11"/>
  <c r="F158" i="16"/>
  <c r="E215" i="7"/>
  <c r="G215" i="7" s="1"/>
  <c r="AW215" i="7"/>
  <c r="AC191" i="16"/>
  <c r="AD191" i="16" s="1"/>
  <c r="AK38" i="3"/>
  <c r="AA38" i="19"/>
  <c r="AA38" i="18"/>
  <c r="AK38" i="19"/>
  <c r="AK38" i="18"/>
  <c r="Z192" i="17"/>
  <c r="AB192" i="17"/>
  <c r="W192" i="17"/>
  <c r="Y192" i="17"/>
  <c r="AA192" i="17"/>
  <c r="X192" i="17"/>
  <c r="I118" i="17"/>
  <c r="I119" i="11"/>
  <c r="I118" i="16"/>
  <c r="D141" i="4"/>
  <c r="D159" i="16"/>
  <c r="BX119" i="16" s="1"/>
  <c r="D119" i="16"/>
  <c r="D119" i="17"/>
  <c r="D159" i="17"/>
  <c r="BX119" i="17" s="1"/>
  <c r="D160" i="11"/>
  <c r="BX120" i="11" s="1"/>
  <c r="D120" i="11"/>
  <c r="M30" i="6"/>
  <c r="N30" i="6"/>
  <c r="AJ183" i="11"/>
  <c r="BD101" i="11"/>
  <c r="J124" i="8"/>
  <c r="L108" i="11"/>
  <c r="Q108" i="11" s="1"/>
  <c r="F88" i="19"/>
  <c r="H213" i="6"/>
  <c r="K103" i="19"/>
  <c r="AJ190" i="16"/>
  <c r="J88" i="18"/>
  <c r="V107" i="11"/>
  <c r="Y107" i="11" s="1"/>
  <c r="AH143" i="11"/>
  <c r="E90" i="3"/>
  <c r="E103" i="19"/>
  <c r="J88" i="19"/>
  <c r="J103" i="19"/>
  <c r="J158" i="8"/>
  <c r="F103" i="19"/>
  <c r="S120" i="17"/>
  <c r="R120" i="17"/>
  <c r="Q120" i="17"/>
  <c r="T120" i="17"/>
  <c r="J172" i="8"/>
  <c r="AC115" i="17"/>
  <c r="AE115" i="17"/>
  <c r="AD115" i="17"/>
  <c r="AJ115" i="17"/>
  <c r="AI115" i="17"/>
  <c r="AH115" i="17"/>
  <c r="AD116" i="17"/>
  <c r="AC116" i="17"/>
  <c r="AE116" i="17"/>
  <c r="AJ116" i="17"/>
  <c r="AI116" i="17"/>
  <c r="AH116" i="17"/>
  <c r="J173" i="8"/>
  <c r="J102" i="19"/>
  <c r="K102" i="19"/>
  <c r="I102" i="19"/>
  <c r="BD112" i="17"/>
  <c r="H102" i="19"/>
  <c r="AF114" i="17"/>
  <c r="AV114" i="17"/>
  <c r="AU114" i="17"/>
  <c r="AW114" i="17"/>
  <c r="AX114" i="17"/>
  <c r="AS114" i="17"/>
  <c r="AY114" i="17"/>
  <c r="BA114" i="17"/>
  <c r="BB114" i="17"/>
  <c r="AR114" i="17"/>
  <c r="AT114" i="17"/>
  <c r="AZ114" i="17"/>
  <c r="AG114" i="17"/>
  <c r="AK114" i="17" s="1"/>
  <c r="K88" i="19"/>
  <c r="I88" i="19"/>
  <c r="BD98" i="17"/>
  <c r="Y118" i="17"/>
  <c r="Z118" i="17" s="1"/>
  <c r="BD113" i="17"/>
  <c r="I103" i="19"/>
  <c r="H103" i="19"/>
  <c r="G102" i="19"/>
  <c r="Q120" i="16"/>
  <c r="U120" i="16"/>
  <c r="R120" i="16"/>
  <c r="S120" i="16"/>
  <c r="T120" i="16"/>
  <c r="AL99" i="16"/>
  <c r="AL100" i="16"/>
  <c r="O108" i="11"/>
  <c r="T108" i="11" s="1"/>
  <c r="E31" i="6"/>
  <c r="N31" i="6" s="1"/>
  <c r="D31" i="6"/>
  <c r="U108" i="11"/>
  <c r="BC102" i="11"/>
  <c r="BH102" i="11" s="1"/>
  <c r="J92" i="8"/>
  <c r="AG143" i="11"/>
  <c r="C91" i="3"/>
  <c r="AE143" i="11"/>
  <c r="AJ142" i="11"/>
  <c r="N64" i="6"/>
  <c r="R64" i="6" s="1"/>
  <c r="AE29" i="6" s="1"/>
  <c r="AJ141" i="11"/>
  <c r="AB90" i="3"/>
  <c r="AC90" i="3"/>
  <c r="AC104" i="11"/>
  <c r="AE104" i="11"/>
  <c r="AD104" i="11"/>
  <c r="G198" i="11"/>
  <c r="G194" i="11"/>
  <c r="G153" i="11"/>
  <c r="G195" i="11"/>
  <c r="G197" i="11"/>
  <c r="G193" i="11"/>
  <c r="G157" i="11"/>
  <c r="G196" i="11"/>
  <c r="G192" i="11"/>
  <c r="G191" i="11"/>
  <c r="G199" i="11"/>
  <c r="G154" i="11"/>
  <c r="G156" i="11"/>
  <c r="G159" i="11"/>
  <c r="G158" i="11"/>
  <c r="G152" i="11"/>
  <c r="G155" i="11"/>
  <c r="G151" i="11"/>
  <c r="AJ101" i="17"/>
  <c r="AE101" i="17"/>
  <c r="AI101" i="17"/>
  <c r="AD101" i="17"/>
  <c r="AC101" i="17"/>
  <c r="AH101" i="17"/>
  <c r="AC102" i="17"/>
  <c r="AJ102" i="17"/>
  <c r="AE102" i="17"/>
  <c r="AD102" i="17"/>
  <c r="AI102" i="17"/>
  <c r="AH102" i="17"/>
  <c r="R185" i="17"/>
  <c r="S185" i="17" s="1"/>
  <c r="M108" i="17"/>
  <c r="R108" i="17" s="1"/>
  <c r="R107" i="17"/>
  <c r="L107" i="16"/>
  <c r="Q106" i="16"/>
  <c r="AF100" i="17"/>
  <c r="AU100" i="17"/>
  <c r="AX100" i="17"/>
  <c r="AS100" i="17"/>
  <c r="AW100" i="17"/>
  <c r="AV100" i="17"/>
  <c r="AR100" i="17"/>
  <c r="AY100" i="17"/>
  <c r="BB100" i="17"/>
  <c r="AZ100" i="17"/>
  <c r="AT100" i="17"/>
  <c r="BA100" i="17"/>
  <c r="AG100" i="17"/>
  <c r="AK100" i="17" s="1"/>
  <c r="T106" i="16"/>
  <c r="O107" i="16"/>
  <c r="Y183" i="17"/>
  <c r="W183" i="17"/>
  <c r="AB183" i="17"/>
  <c r="AA183" i="17"/>
  <c r="Z183" i="17"/>
  <c r="X183" i="17"/>
  <c r="R147" i="11"/>
  <c r="S147" i="11" s="1"/>
  <c r="V187" i="11"/>
  <c r="U187" i="11"/>
  <c r="CE107" i="11" s="1"/>
  <c r="T187" i="11"/>
  <c r="AI37" i="6" s="1"/>
  <c r="AE184" i="11"/>
  <c r="AK93" i="3" s="1"/>
  <c r="AH184" i="11"/>
  <c r="AF184" i="11"/>
  <c r="AI184" i="11"/>
  <c r="AG184" i="11"/>
  <c r="W186" i="11"/>
  <c r="AA186" i="11"/>
  <c r="Y186" i="11"/>
  <c r="AB186" i="11"/>
  <c r="AL99" i="17"/>
  <c r="AU103" i="11"/>
  <c r="AX103" i="11"/>
  <c r="AW103" i="11"/>
  <c r="AF103" i="11"/>
  <c r="AV103" i="11"/>
  <c r="AS103" i="11"/>
  <c r="AR103" i="11"/>
  <c r="AY103" i="11"/>
  <c r="AZ103" i="11"/>
  <c r="BA103" i="11"/>
  <c r="BB103" i="11"/>
  <c r="AT103" i="11"/>
  <c r="AG103" i="11"/>
  <c r="AK103" i="11" s="1"/>
  <c r="AD181" i="17"/>
  <c r="AH181" i="17"/>
  <c r="AE181" i="17"/>
  <c r="AF181" i="17"/>
  <c r="AG181" i="17"/>
  <c r="AB89" i="3"/>
  <c r="AC89" i="3"/>
  <c r="R106" i="16"/>
  <c r="M107" i="16"/>
  <c r="W145" i="11"/>
  <c r="Y145" i="11"/>
  <c r="AB145" i="11"/>
  <c r="AA145" i="11"/>
  <c r="Z145" i="11"/>
  <c r="X145" i="11"/>
  <c r="V184" i="17"/>
  <c r="U184" i="17"/>
  <c r="T184" i="17"/>
  <c r="AC185" i="11"/>
  <c r="AD185" i="11" s="1"/>
  <c r="AP100" i="16"/>
  <c r="B126" i="8" s="1"/>
  <c r="F32" i="6"/>
  <c r="AP99" i="16"/>
  <c r="B125" i="8" s="1"/>
  <c r="L107" i="17"/>
  <c r="Q106" i="17"/>
  <c r="AC182" i="17"/>
  <c r="AI182" i="17" s="1"/>
  <c r="AK90" i="19"/>
  <c r="AJ180" i="17"/>
  <c r="V146" i="11"/>
  <c r="U146" i="11"/>
  <c r="T146" i="11"/>
  <c r="AC36" i="6" s="1"/>
  <c r="E65" i="6"/>
  <c r="D65" i="6"/>
  <c r="M65" i="6" s="1"/>
  <c r="F65" i="6"/>
  <c r="AI181" i="17"/>
  <c r="BC99" i="17"/>
  <c r="BE99" i="17" s="1"/>
  <c r="N107" i="17"/>
  <c r="S106" i="17"/>
  <c r="O107" i="17"/>
  <c r="T106" i="17"/>
  <c r="AC144" i="11"/>
  <c r="AQ112" i="17"/>
  <c r="AQ113" i="17"/>
  <c r="D102" i="19"/>
  <c r="K88" i="18"/>
  <c r="AO100" i="16"/>
  <c r="AM99" i="16"/>
  <c r="D89" i="18" s="1"/>
  <c r="N89" i="18" s="1"/>
  <c r="AF101" i="16"/>
  <c r="AS101" i="16"/>
  <c r="AW101" i="16"/>
  <c r="AT101" i="16"/>
  <c r="AX101" i="16"/>
  <c r="BB101" i="16"/>
  <c r="AU101" i="16"/>
  <c r="AR101" i="16"/>
  <c r="AV101" i="16"/>
  <c r="AZ101" i="16"/>
  <c r="BA101" i="16"/>
  <c r="AY101" i="16"/>
  <c r="AG101" i="16"/>
  <c r="AK101" i="16" s="1"/>
  <c r="BC100" i="16"/>
  <c r="BF100" i="16" s="1"/>
  <c r="AN99" i="16"/>
  <c r="BD98" i="16"/>
  <c r="I88" i="18"/>
  <c r="AM100" i="16"/>
  <c r="D90" i="18" s="1"/>
  <c r="N90" i="18" s="1"/>
  <c r="AN100" i="16"/>
  <c r="BC99" i="16"/>
  <c r="BF99" i="16" s="1"/>
  <c r="AO99" i="16"/>
  <c r="O179" i="6"/>
  <c r="S179" i="6" s="1"/>
  <c r="AX42" i="6" s="1"/>
  <c r="H188" i="11"/>
  <c r="R188" i="11"/>
  <c r="S188" i="11" s="1"/>
  <c r="A200" i="17"/>
  <c r="A222" i="6"/>
  <c r="A86" i="6"/>
  <c r="A154" i="6"/>
  <c r="AM92" i="3"/>
  <c r="AL92" i="3"/>
  <c r="I165" i="6"/>
  <c r="I199" i="6"/>
  <c r="G165" i="6"/>
  <c r="G199" i="6"/>
  <c r="I177" i="6"/>
  <c r="I211" i="6"/>
  <c r="G177" i="6"/>
  <c r="G211" i="6"/>
  <c r="J171" i="6"/>
  <c r="P171" i="6" s="1"/>
  <c r="T171" i="6" s="1"/>
  <c r="AY34" i="6" s="1"/>
  <c r="J205" i="6"/>
  <c r="P205" i="6" s="1"/>
  <c r="T205" i="6" s="1"/>
  <c r="BE34" i="6" s="1"/>
  <c r="H177" i="6"/>
  <c r="H211" i="6"/>
  <c r="H165" i="6"/>
  <c r="H199" i="6"/>
  <c r="AB102" i="16"/>
  <c r="AB116" i="16"/>
  <c r="AJ116" i="16" s="1"/>
  <c r="O29" i="6"/>
  <c r="S29" i="6" s="1"/>
  <c r="Z28" i="6" s="1"/>
  <c r="O131" i="6"/>
  <c r="S131" i="6" s="1"/>
  <c r="AR28" i="6" s="1"/>
  <c r="O97" i="6"/>
  <c r="S97" i="6" s="1"/>
  <c r="AL28" i="6" s="1"/>
  <c r="BI87" i="18"/>
  <c r="BB87" i="18"/>
  <c r="G30" i="6"/>
  <c r="G64" i="6"/>
  <c r="I30" i="6"/>
  <c r="I64" i="6"/>
  <c r="H30" i="6"/>
  <c r="H64" i="6"/>
  <c r="O63" i="6"/>
  <c r="S63" i="6" s="1"/>
  <c r="AF28" i="6" s="1"/>
  <c r="BB87" i="3"/>
  <c r="BI87" i="3"/>
  <c r="AP99" i="17"/>
  <c r="B159" i="8" s="1"/>
  <c r="P186" i="17"/>
  <c r="Q186" i="17" s="1"/>
  <c r="M186" i="17"/>
  <c r="K188" i="17"/>
  <c r="AK188" i="17" s="1"/>
  <c r="K187" i="17"/>
  <c r="AK187" i="17" s="1"/>
  <c r="A110" i="19"/>
  <c r="A200" i="16"/>
  <c r="A201" i="11"/>
  <c r="H190" i="11"/>
  <c r="R190" i="11"/>
  <c r="S190" i="11" s="1"/>
  <c r="U190" i="11" s="1"/>
  <c r="CE110" i="11" s="1"/>
  <c r="P148" i="11"/>
  <c r="Q148" i="11" s="1"/>
  <c r="M148" i="11"/>
  <c r="AI104" i="11"/>
  <c r="V119" i="17"/>
  <c r="Y119" i="17" s="1"/>
  <c r="X120" i="16"/>
  <c r="V119" i="16"/>
  <c r="Y119" i="16" s="1"/>
  <c r="Z119" i="16" s="1"/>
  <c r="AM102" i="11"/>
  <c r="D91" i="3" s="1"/>
  <c r="Z117" i="17"/>
  <c r="AA117" i="17"/>
  <c r="H121" i="17"/>
  <c r="H121" i="16"/>
  <c r="X120" i="17"/>
  <c r="U120" i="17"/>
  <c r="Z203" i="7"/>
  <c r="H204" i="7"/>
  <c r="AM99" i="17"/>
  <c r="D89" i="19" s="1"/>
  <c r="N89" i="19" s="1"/>
  <c r="AQ98" i="17"/>
  <c r="AV201" i="7"/>
  <c r="AH170" i="8"/>
  <c r="R170" i="8"/>
  <c r="AT202" i="7"/>
  <c r="AM202" i="7"/>
  <c r="Z170" i="8"/>
  <c r="AD204" i="7"/>
  <c r="L205" i="7"/>
  <c r="AD205" i="7" s="1"/>
  <c r="AS203" i="7"/>
  <c r="AG203" i="7"/>
  <c r="N204" i="7"/>
  <c r="AF202" i="7"/>
  <c r="AO99" i="17"/>
  <c r="W205" i="7"/>
  <c r="AQ205" i="7" s="1"/>
  <c r="AQ204" i="7"/>
  <c r="J205" i="7"/>
  <c r="AB205" i="7" s="1"/>
  <c r="AB204" i="7"/>
  <c r="AN99" i="17"/>
  <c r="AE203" i="7"/>
  <c r="M204" i="7"/>
  <c r="AN204" i="7"/>
  <c r="T205" i="7"/>
  <c r="AN205" i="7" s="1"/>
  <c r="AO204" i="7"/>
  <c r="U205" i="7"/>
  <c r="AO205" i="7" s="1"/>
  <c r="AH203" i="7"/>
  <c r="O204" i="7"/>
  <c r="S205" i="7"/>
  <c r="AL205" i="7" s="1"/>
  <c r="AL204" i="7"/>
  <c r="Q204" i="7"/>
  <c r="AJ203" i="7"/>
  <c r="K110" i="11"/>
  <c r="AA110" i="11" s="1"/>
  <c r="AB110" i="11" s="1"/>
  <c r="AC203" i="7"/>
  <c r="K204" i="7"/>
  <c r="A180" i="8"/>
  <c r="A188" i="6"/>
  <c r="A217" i="7"/>
  <c r="A146" i="8"/>
  <c r="A112" i="8"/>
  <c r="AR203" i="7"/>
  <c r="X204" i="7"/>
  <c r="AI204" i="7"/>
  <c r="P205" i="7"/>
  <c r="AI205" i="7" s="1"/>
  <c r="AK203" i="7"/>
  <c r="R204" i="7"/>
  <c r="R91" i="8"/>
  <c r="AH91" i="8"/>
  <c r="Z91" i="8"/>
  <c r="E107" i="17"/>
  <c r="C203" i="7"/>
  <c r="D90" i="3"/>
  <c r="N90" i="3" s="1"/>
  <c r="R88" i="3"/>
  <c r="T88" i="3" s="1"/>
  <c r="S88" i="3"/>
  <c r="U88" i="3" s="1"/>
  <c r="V88" i="3" s="1"/>
  <c r="A110" i="18"/>
  <c r="L89" i="3"/>
  <c r="P89" i="3"/>
  <c r="Q89" i="3" s="1"/>
  <c r="A183" i="7"/>
  <c r="A160" i="17"/>
  <c r="A120" i="17"/>
  <c r="A120" i="6"/>
  <c r="V105" i="17"/>
  <c r="Y104" i="17"/>
  <c r="Z103" i="17"/>
  <c r="AA103" i="17"/>
  <c r="G106" i="17"/>
  <c r="AR96" i="19" s="1"/>
  <c r="F107" i="17"/>
  <c r="D204" i="7" s="1"/>
  <c r="U106" i="17"/>
  <c r="J111" i="11"/>
  <c r="J112" i="11" s="1"/>
  <c r="F107" i="16"/>
  <c r="D169" i="7"/>
  <c r="E107" i="16"/>
  <c r="C169" i="7"/>
  <c r="V105" i="16"/>
  <c r="Y105" i="16" s="1"/>
  <c r="AQ98" i="16"/>
  <c r="P107" i="16"/>
  <c r="U107" i="16" s="1"/>
  <c r="Z103" i="16"/>
  <c r="AA103" i="16"/>
  <c r="A160" i="16"/>
  <c r="A120" i="16"/>
  <c r="Y104" i="16"/>
  <c r="AA109" i="16"/>
  <c r="A121" i="11"/>
  <c r="A161" i="11"/>
  <c r="AO102" i="11"/>
  <c r="AQ101" i="11"/>
  <c r="AP102" i="11"/>
  <c r="B93" i="8" s="1"/>
  <c r="AL102" i="11"/>
  <c r="AN102" i="11"/>
  <c r="AB105" i="11"/>
  <c r="AJ104" i="11"/>
  <c r="AH104" i="11"/>
  <c r="Z118" i="11"/>
  <c r="AB117" i="11"/>
  <c r="AA106" i="11"/>
  <c r="Z106" i="11"/>
  <c r="X121" i="11"/>
  <c r="Y119" i="11"/>
  <c r="V120" i="11"/>
  <c r="U121" i="11"/>
  <c r="S121" i="11"/>
  <c r="T121" i="11"/>
  <c r="R121" i="11"/>
  <c r="H122" i="11"/>
  <c r="Q122" i="11" s="1"/>
  <c r="N109" i="11"/>
  <c r="S109" i="11" s="1"/>
  <c r="M109" i="11"/>
  <c r="R109" i="11" s="1"/>
  <c r="A149" i="7"/>
  <c r="A142" i="4"/>
  <c r="A110" i="3"/>
  <c r="A52" i="6"/>
  <c r="W51" i="6" s="1"/>
  <c r="BH51" i="6" s="1"/>
  <c r="J239" i="9" l="1"/>
  <c r="W239" i="9" s="1"/>
  <c r="H239" i="9"/>
  <c r="U239" i="9" s="1"/>
  <c r="G239" i="9"/>
  <c r="T239" i="9" s="1"/>
  <c r="A276" i="9"/>
  <c r="A174" i="9"/>
  <c r="A242" i="9"/>
  <c r="A140" i="9"/>
  <c r="A106" i="9"/>
  <c r="A208" i="9"/>
  <c r="B122" i="9"/>
  <c r="B88" i="9"/>
  <c r="B257" i="9"/>
  <c r="B223" i="9"/>
  <c r="B222" i="9"/>
  <c r="B256" i="9"/>
  <c r="O213" i="6"/>
  <c r="S213" i="6" s="1"/>
  <c r="BD42" i="6" s="1"/>
  <c r="G255" i="9"/>
  <c r="T255" i="9" s="1"/>
  <c r="H255" i="9"/>
  <c r="U255" i="9" s="1"/>
  <c r="J255" i="9"/>
  <c r="W255" i="9" s="1"/>
  <c r="G205" i="9"/>
  <c r="T205" i="9" s="1"/>
  <c r="J205" i="9"/>
  <c r="W205" i="9" s="1"/>
  <c r="H205" i="9"/>
  <c r="U205" i="9" s="1"/>
  <c r="G273" i="9"/>
  <c r="T273" i="9" s="1"/>
  <c r="J273" i="9"/>
  <c r="W273" i="9" s="1"/>
  <c r="H273" i="9"/>
  <c r="U273" i="9" s="1"/>
  <c r="B240" i="9"/>
  <c r="B274" i="9"/>
  <c r="G121" i="9"/>
  <c r="T121" i="9" s="1"/>
  <c r="J121" i="9"/>
  <c r="W121" i="9" s="1"/>
  <c r="H121" i="9"/>
  <c r="U121" i="9" s="1"/>
  <c r="G221" i="9"/>
  <c r="T221" i="9" s="1"/>
  <c r="J221" i="9"/>
  <c r="W221" i="9" s="1"/>
  <c r="H221" i="9"/>
  <c r="U221" i="9" s="1"/>
  <c r="G154" i="9"/>
  <c r="T154" i="9" s="1"/>
  <c r="J154" i="9"/>
  <c r="W154" i="9" s="1"/>
  <c r="H154" i="9"/>
  <c r="U154" i="9" s="1"/>
  <c r="B206" i="9"/>
  <c r="B172" i="9"/>
  <c r="G188" i="9"/>
  <c r="T188" i="9" s="1"/>
  <c r="J188" i="9"/>
  <c r="W188" i="9" s="1"/>
  <c r="H188" i="9"/>
  <c r="U188" i="9" s="1"/>
  <c r="J87" i="9"/>
  <c r="W87" i="9" s="1"/>
  <c r="H87" i="9"/>
  <c r="U87" i="9" s="1"/>
  <c r="G87" i="9"/>
  <c r="T87" i="9" s="1"/>
  <c r="L109" i="11"/>
  <c r="Q109" i="11" s="1"/>
  <c r="L141" i="4"/>
  <c r="BL98" i="16"/>
  <c r="BG102" i="11"/>
  <c r="G91" i="3" s="1"/>
  <c r="BK99" i="16"/>
  <c r="BJ99" i="16"/>
  <c r="J89" i="18" s="1"/>
  <c r="BH100" i="16"/>
  <c r="BZ102" i="11"/>
  <c r="BK100" i="16"/>
  <c r="CL103" i="11"/>
  <c r="CM103" i="11" s="1"/>
  <c r="BF102" i="11"/>
  <c r="F91" i="3" s="1"/>
  <c r="CL101" i="16"/>
  <c r="CM101" i="16" s="1"/>
  <c r="BI99" i="16"/>
  <c r="CE104" i="17"/>
  <c r="AL184" i="17"/>
  <c r="AM184" i="17"/>
  <c r="AH94" i="19" s="1"/>
  <c r="CI116" i="17"/>
  <c r="CD116" i="17"/>
  <c r="CH116" i="17"/>
  <c r="CK116" i="17"/>
  <c r="CG116" i="17"/>
  <c r="CB116" i="17"/>
  <c r="CJ116" i="17"/>
  <c r="H158" i="17"/>
  <c r="AE191" i="17"/>
  <c r="BZ111" i="17" s="1"/>
  <c r="BY103" i="11"/>
  <c r="BV103" i="11"/>
  <c r="BY100" i="17"/>
  <c r="CJ102" i="17"/>
  <c r="CI102" i="17"/>
  <c r="CH102" i="17"/>
  <c r="CG102" i="17"/>
  <c r="CD102" i="17"/>
  <c r="CK102" i="17"/>
  <c r="CB102" i="17"/>
  <c r="CH104" i="11"/>
  <c r="CJ104" i="11"/>
  <c r="CK104" i="11"/>
  <c r="CG104" i="11"/>
  <c r="CB104" i="11"/>
  <c r="CI104" i="11"/>
  <c r="CD104" i="11"/>
  <c r="BY112" i="17"/>
  <c r="CE113" i="17"/>
  <c r="AL193" i="17"/>
  <c r="AM193" i="17"/>
  <c r="BZ99" i="17"/>
  <c r="BH99" i="16"/>
  <c r="H89" i="18" s="1"/>
  <c r="BG100" i="16"/>
  <c r="BI100" i="16"/>
  <c r="AN192" i="17"/>
  <c r="AO192" i="17" s="1"/>
  <c r="AH102" i="19"/>
  <c r="AN192" i="16"/>
  <c r="AO192" i="16" s="1"/>
  <c r="BJ102" i="11"/>
  <c r="J91" i="3" s="1"/>
  <c r="BI99" i="17"/>
  <c r="BG99" i="16"/>
  <c r="G89" i="18" s="1"/>
  <c r="BG99" i="17"/>
  <c r="F90" i="18"/>
  <c r="G88" i="18"/>
  <c r="P88" i="18" s="1"/>
  <c r="Q88" i="18" s="1"/>
  <c r="R88" i="18" s="1"/>
  <c r="T88" i="18" s="1"/>
  <c r="CC106" i="11"/>
  <c r="AL146" i="11"/>
  <c r="AM146" i="11"/>
  <c r="X95" i="3" s="1"/>
  <c r="H158" i="16"/>
  <c r="G119" i="17"/>
  <c r="AR109" i="19" s="1"/>
  <c r="AU109" i="19" s="1"/>
  <c r="AV109" i="19" s="1"/>
  <c r="AN145" i="11"/>
  <c r="AO145" i="11" s="1"/>
  <c r="X94" i="3"/>
  <c r="BJ99" i="17"/>
  <c r="BK102" i="11"/>
  <c r="K91" i="3" s="1"/>
  <c r="BL98" i="17"/>
  <c r="BE100" i="16"/>
  <c r="J89" i="19"/>
  <c r="CK115" i="17"/>
  <c r="CG115" i="17"/>
  <c r="CB115" i="17"/>
  <c r="CJ115" i="17"/>
  <c r="CI115" i="17"/>
  <c r="CD115" i="17"/>
  <c r="CH115" i="17"/>
  <c r="CH101" i="17"/>
  <c r="CJ101" i="17"/>
  <c r="CD101" i="17"/>
  <c r="CI101" i="17"/>
  <c r="CG101" i="17"/>
  <c r="CB101" i="17"/>
  <c r="CK101" i="17"/>
  <c r="CE113" i="16"/>
  <c r="AL193" i="16"/>
  <c r="AM193" i="16"/>
  <c r="AN186" i="11"/>
  <c r="AO186" i="11" s="1"/>
  <c r="AH95" i="3"/>
  <c r="BL101" i="11"/>
  <c r="BK99" i="17"/>
  <c r="K89" i="19" s="1"/>
  <c r="BE102" i="11"/>
  <c r="E91" i="3" s="1"/>
  <c r="AN183" i="17"/>
  <c r="AO183" i="17" s="1"/>
  <c r="BF99" i="17"/>
  <c r="BW102" i="11"/>
  <c r="BE99" i="16"/>
  <c r="CL114" i="17"/>
  <c r="CM114" i="17" s="1"/>
  <c r="CL100" i="17"/>
  <c r="CM100" i="17" s="1"/>
  <c r="BL113" i="17"/>
  <c r="BI102" i="11"/>
  <c r="I91" i="3" s="1"/>
  <c r="BJ100" i="16"/>
  <c r="BH99" i="17"/>
  <c r="H89" i="19" s="1"/>
  <c r="AL190" i="11"/>
  <c r="AM190" i="11"/>
  <c r="AH99" i="3" s="1"/>
  <c r="Z190" i="11"/>
  <c r="X190" i="11"/>
  <c r="AL187" i="11"/>
  <c r="Z187" i="11"/>
  <c r="AM187" i="11"/>
  <c r="AH96" i="3" s="1"/>
  <c r="X187" i="11"/>
  <c r="AC37" i="3"/>
  <c r="AE37" i="3" s="1"/>
  <c r="AF37" i="3" s="1"/>
  <c r="BC37" i="3" s="1"/>
  <c r="BE37" i="3" s="1"/>
  <c r="BG37" i="3" s="1"/>
  <c r="AB37" i="3"/>
  <c r="AD37" i="3" s="1"/>
  <c r="AA38" i="3"/>
  <c r="P197" i="11"/>
  <c r="Q197" i="11" s="1"/>
  <c r="R197" i="11" s="1"/>
  <c r="S197" i="11" s="1"/>
  <c r="U197" i="11" s="1"/>
  <c r="CE117" i="11" s="1"/>
  <c r="AC91" i="3"/>
  <c r="M197" i="11"/>
  <c r="K198" i="11"/>
  <c r="AK198" i="11" s="1"/>
  <c r="D32" i="6"/>
  <c r="M32" i="6" s="1"/>
  <c r="AI185" i="11"/>
  <c r="AG191" i="17"/>
  <c r="AI191" i="17"/>
  <c r="AE144" i="11"/>
  <c r="AH144" i="11"/>
  <c r="AG144" i="11"/>
  <c r="AF182" i="17"/>
  <c r="AH191" i="17"/>
  <c r="J18" i="23"/>
  <c r="AF191" i="17"/>
  <c r="AH173" i="8"/>
  <c r="I181" i="6" s="1"/>
  <c r="AE191" i="16"/>
  <c r="AK101" i="18" s="1"/>
  <c r="AB23" i="23"/>
  <c r="AT180" i="7"/>
  <c r="AF191" i="16"/>
  <c r="K21" i="23"/>
  <c r="R30" i="6"/>
  <c r="Y29" i="6" s="1"/>
  <c r="AM214" i="7"/>
  <c r="AF214" i="7"/>
  <c r="AK101" i="19"/>
  <c r="K220" i="6"/>
  <c r="K186" i="6"/>
  <c r="M196" i="16"/>
  <c r="P196" i="16"/>
  <c r="Q196" i="16" s="1"/>
  <c r="AG191" i="16"/>
  <c r="AE215" i="7"/>
  <c r="AK215" i="7"/>
  <c r="AL215" i="7"/>
  <c r="AJ215" i="7"/>
  <c r="AO215" i="7"/>
  <c r="AH215" i="7"/>
  <c r="AI215" i="7"/>
  <c r="AD215" i="7"/>
  <c r="AR215" i="7"/>
  <c r="AA215" i="7"/>
  <c r="AC215" i="7"/>
  <c r="AB215" i="7"/>
  <c r="AP215" i="7"/>
  <c r="AQ215" i="7"/>
  <c r="Z215" i="7"/>
  <c r="AG215" i="7"/>
  <c r="AN215" i="7"/>
  <c r="AC192" i="17"/>
  <c r="AV213" i="7"/>
  <c r="AB193" i="16"/>
  <c r="W193" i="16"/>
  <c r="AA193" i="16"/>
  <c r="Z193" i="16"/>
  <c r="Y193" i="16"/>
  <c r="X193" i="16"/>
  <c r="AB38" i="18"/>
  <c r="AD38" i="18" s="1"/>
  <c r="AC38" i="18"/>
  <c r="AE38" i="18" s="1"/>
  <c r="AF38" i="18" s="1"/>
  <c r="BC38" i="18" s="1"/>
  <c r="BE38" i="18" s="1"/>
  <c r="BG38" i="18" s="1"/>
  <c r="AM146" i="7"/>
  <c r="AE181" i="7"/>
  <c r="AI181" i="7"/>
  <c r="AH181" i="7"/>
  <c r="AJ181" i="7"/>
  <c r="AK181" i="7"/>
  <c r="AR181" i="7"/>
  <c r="AL181" i="7"/>
  <c r="AQ181" i="7"/>
  <c r="AC181" i="7"/>
  <c r="AB181" i="7"/>
  <c r="AO181" i="7"/>
  <c r="AA181" i="7"/>
  <c r="AP181" i="7"/>
  <c r="AD181" i="7"/>
  <c r="AN181" i="7"/>
  <c r="AG181" i="7"/>
  <c r="M196" i="17"/>
  <c r="P196" i="17"/>
  <c r="Q196" i="17" s="1"/>
  <c r="AM180" i="7"/>
  <c r="E182" i="7"/>
  <c r="G182" i="7" s="1"/>
  <c r="AW182" i="7"/>
  <c r="F160" i="11"/>
  <c r="F159" i="17"/>
  <c r="F159" i="16"/>
  <c r="F199" i="17"/>
  <c r="F199" i="16"/>
  <c r="F200" i="11"/>
  <c r="K118" i="6"/>
  <c r="K152" i="6"/>
  <c r="BG44" i="6"/>
  <c r="AU44" i="6"/>
  <c r="K197" i="17"/>
  <c r="AK197" i="17" s="1"/>
  <c r="H197" i="17"/>
  <c r="AA39" i="18"/>
  <c r="AK39" i="19"/>
  <c r="AK39" i="18"/>
  <c r="AK39" i="3"/>
  <c r="AA39" i="19"/>
  <c r="I160" i="11"/>
  <c r="K197" i="16"/>
  <c r="AK197" i="16" s="1"/>
  <c r="H197" i="16"/>
  <c r="I159" i="17"/>
  <c r="AC38" i="19"/>
  <c r="AE38" i="19" s="1"/>
  <c r="AF38" i="19" s="1"/>
  <c r="BC38" i="19" s="1"/>
  <c r="BE38" i="19" s="1"/>
  <c r="BG38" i="19" s="1"/>
  <c r="AB38" i="19"/>
  <c r="AD38" i="19" s="1"/>
  <c r="AC192" i="16"/>
  <c r="AD192" i="16" s="1"/>
  <c r="AL147" i="7"/>
  <c r="AG147" i="7"/>
  <c r="AA147" i="7"/>
  <c r="AK147" i="7"/>
  <c r="AH147" i="7"/>
  <c r="AO147" i="7"/>
  <c r="AI147" i="7"/>
  <c r="AJ147" i="7"/>
  <c r="I198" i="17"/>
  <c r="AM38" i="19"/>
  <c r="AO38" i="19" s="1"/>
  <c r="AP38" i="19" s="1"/>
  <c r="BJ38" i="19" s="1"/>
  <c r="BL38" i="19" s="1"/>
  <c r="BN38" i="19" s="1"/>
  <c r="AL38" i="19"/>
  <c r="AN38" i="19" s="1"/>
  <c r="BD99" i="17"/>
  <c r="AM38" i="3"/>
  <c r="AO38" i="3" s="1"/>
  <c r="AP38" i="3" s="1"/>
  <c r="BJ38" i="3" s="1"/>
  <c r="BL38" i="3" s="1"/>
  <c r="BN38" i="3" s="1"/>
  <c r="AL38" i="3"/>
  <c r="AN38" i="3" s="1"/>
  <c r="K50" i="6"/>
  <c r="K84" i="6"/>
  <c r="I198" i="16"/>
  <c r="T194" i="17"/>
  <c r="V194" i="17"/>
  <c r="U194" i="17"/>
  <c r="AB193" i="17"/>
  <c r="W193" i="17"/>
  <c r="BY113" i="17" s="1"/>
  <c r="AA193" i="17"/>
  <c r="Y193" i="17"/>
  <c r="Z193" i="17"/>
  <c r="X193" i="17"/>
  <c r="B200" i="17"/>
  <c r="B200" i="16"/>
  <c r="B201" i="11"/>
  <c r="B110" i="19"/>
  <c r="B217" i="7"/>
  <c r="B110" i="18"/>
  <c r="B160" i="17"/>
  <c r="B120" i="17"/>
  <c r="B183" i="7"/>
  <c r="B120" i="16"/>
  <c r="B160" i="16"/>
  <c r="B161" i="11"/>
  <c r="B121" i="11"/>
  <c r="B110" i="3"/>
  <c r="B149" i="7"/>
  <c r="AW216" i="7"/>
  <c r="E216" i="7"/>
  <c r="G216" i="7" s="1"/>
  <c r="U194" i="16"/>
  <c r="T194" i="16"/>
  <c r="V194" i="16"/>
  <c r="AT214" i="7"/>
  <c r="I199" i="11"/>
  <c r="AD191" i="17"/>
  <c r="R195" i="17"/>
  <c r="S195" i="17" s="1"/>
  <c r="C200" i="17"/>
  <c r="C201" i="11"/>
  <c r="C200" i="16"/>
  <c r="C160" i="17"/>
  <c r="C120" i="17"/>
  <c r="C120" i="16"/>
  <c r="C160" i="16"/>
  <c r="C161" i="11"/>
  <c r="C121" i="11"/>
  <c r="I159" i="16"/>
  <c r="AL38" i="18"/>
  <c r="AN38" i="18" s="1"/>
  <c r="AM38" i="18"/>
  <c r="AO38" i="18" s="1"/>
  <c r="AP38" i="18" s="1"/>
  <c r="BJ38" i="18" s="1"/>
  <c r="BL38" i="18" s="1"/>
  <c r="BN38" i="18" s="1"/>
  <c r="I120" i="11"/>
  <c r="I119" i="17"/>
  <c r="I119" i="16"/>
  <c r="E141" i="4"/>
  <c r="M141" i="4" s="1"/>
  <c r="D199" i="17"/>
  <c r="CA119" i="17" s="1"/>
  <c r="D200" i="11"/>
  <c r="CA120" i="11" s="1"/>
  <c r="D199" i="16"/>
  <c r="CA119" i="16" s="1"/>
  <c r="AI191" i="16"/>
  <c r="C142" i="4"/>
  <c r="B142" i="4"/>
  <c r="K142" i="4" s="1"/>
  <c r="E89" i="19"/>
  <c r="D142" i="4"/>
  <c r="D120" i="17"/>
  <c r="D120" i="16"/>
  <c r="D160" i="17"/>
  <c r="BX120" i="17" s="1"/>
  <c r="D160" i="16"/>
  <c r="BX120" i="16" s="1"/>
  <c r="D161" i="11"/>
  <c r="BX121" i="11" s="1"/>
  <c r="D121" i="11"/>
  <c r="R195" i="16"/>
  <c r="S195" i="16" s="1"/>
  <c r="E148" i="7"/>
  <c r="G148" i="7" s="1"/>
  <c r="AW148" i="7"/>
  <c r="AH191" i="16"/>
  <c r="AH185" i="11"/>
  <c r="E32" i="6"/>
  <c r="N32" i="6" s="1"/>
  <c r="M31" i="6"/>
  <c r="R31" i="6" s="1"/>
  <c r="Y30" i="6" s="1"/>
  <c r="AE182" i="17"/>
  <c r="AK92" i="19" s="1"/>
  <c r="AM92" i="19" s="1"/>
  <c r="BD100" i="16"/>
  <c r="G90" i="18"/>
  <c r="I90" i="18"/>
  <c r="I89" i="19"/>
  <c r="F89" i="19"/>
  <c r="G89" i="19"/>
  <c r="N91" i="3"/>
  <c r="AJ143" i="11"/>
  <c r="J90" i="18"/>
  <c r="L103" i="19"/>
  <c r="R173" i="8"/>
  <c r="G181" i="6" s="1"/>
  <c r="Z173" i="8"/>
  <c r="H181" i="6" s="1"/>
  <c r="Z172" i="8"/>
  <c r="H180" i="6" s="1"/>
  <c r="AC183" i="17"/>
  <c r="AD183" i="17" s="1"/>
  <c r="J159" i="8"/>
  <c r="J125" i="8"/>
  <c r="I89" i="18"/>
  <c r="BD99" i="16"/>
  <c r="O109" i="11"/>
  <c r="T109" i="11" s="1"/>
  <c r="H91" i="3"/>
  <c r="J93" i="8"/>
  <c r="V108" i="11"/>
  <c r="Y108" i="11" s="1"/>
  <c r="BD102" i="11"/>
  <c r="BC103" i="11"/>
  <c r="BI103" i="11" s="1"/>
  <c r="AG182" i="17"/>
  <c r="P103" i="19"/>
  <c r="R172" i="8"/>
  <c r="G214" i="6" s="1"/>
  <c r="AH172" i="8"/>
  <c r="I214" i="6" s="1"/>
  <c r="AF116" i="17"/>
  <c r="AX116" i="17"/>
  <c r="AU116" i="17"/>
  <c r="AW116" i="17"/>
  <c r="AV116" i="17"/>
  <c r="AT116" i="17"/>
  <c r="AZ116" i="17"/>
  <c r="AY116" i="17"/>
  <c r="AS116" i="17"/>
  <c r="BA116" i="17"/>
  <c r="AR116" i="17"/>
  <c r="BB116" i="17"/>
  <c r="AG116" i="17"/>
  <c r="AK116" i="17" s="1"/>
  <c r="AF115" i="17"/>
  <c r="AW115" i="17"/>
  <c r="AU115" i="17"/>
  <c r="AX115" i="17"/>
  <c r="AV115" i="17"/>
  <c r="AR115" i="17"/>
  <c r="AT115" i="17"/>
  <c r="AZ115" i="17"/>
  <c r="BB115" i="17"/>
  <c r="AS115" i="17"/>
  <c r="AY115" i="17"/>
  <c r="BA115" i="17"/>
  <c r="AG115" i="17"/>
  <c r="AK115" i="17" s="1"/>
  <c r="AL114" i="17"/>
  <c r="AA118" i="17"/>
  <c r="AB118" i="17" s="1"/>
  <c r="E102" i="19"/>
  <c r="T121" i="17"/>
  <c r="S121" i="17"/>
  <c r="R121" i="17"/>
  <c r="Q121" i="17"/>
  <c r="BC114" i="17"/>
  <c r="BF114" i="17" s="1"/>
  <c r="J126" i="8"/>
  <c r="K90" i="18"/>
  <c r="H90" i="18"/>
  <c r="T121" i="16"/>
  <c r="Q121" i="16"/>
  <c r="U121" i="16"/>
  <c r="R121" i="16"/>
  <c r="S121" i="16"/>
  <c r="AL101" i="16"/>
  <c r="E90" i="18"/>
  <c r="N65" i="6"/>
  <c r="R65" i="6" s="1"/>
  <c r="AE30" i="6" s="1"/>
  <c r="AL93" i="3"/>
  <c r="AM93" i="3"/>
  <c r="AD110" i="11"/>
  <c r="AC110" i="11"/>
  <c r="AE110" i="11"/>
  <c r="AE185" i="11"/>
  <c r="AK94" i="3" s="1"/>
  <c r="AF144" i="11"/>
  <c r="V190" i="11"/>
  <c r="T190" i="11"/>
  <c r="AI40" i="6" s="1"/>
  <c r="AF185" i="11"/>
  <c r="AA92" i="3"/>
  <c r="AC92" i="3" s="1"/>
  <c r="AE117" i="11"/>
  <c r="AC117" i="11"/>
  <c r="AD117" i="11"/>
  <c r="AI144" i="11"/>
  <c r="C92" i="3"/>
  <c r="AD105" i="11"/>
  <c r="AC105" i="11"/>
  <c r="AE105" i="11"/>
  <c r="O108" i="17"/>
  <c r="T108" i="17" s="1"/>
  <c r="T107" i="17"/>
  <c r="AG185" i="11"/>
  <c r="AC145" i="11"/>
  <c r="T147" i="11"/>
  <c r="AC37" i="6" s="1"/>
  <c r="V147" i="11"/>
  <c r="U147" i="11"/>
  <c r="T107" i="16"/>
  <c r="O108" i="16"/>
  <c r="T108" i="16" s="1"/>
  <c r="BC100" i="17"/>
  <c r="BH100" i="17" s="1"/>
  <c r="AF102" i="17"/>
  <c r="AU102" i="17"/>
  <c r="AX102" i="17"/>
  <c r="AW102" i="17"/>
  <c r="AV102" i="17"/>
  <c r="AR102" i="17"/>
  <c r="AS102" i="17"/>
  <c r="AY102" i="17"/>
  <c r="AT102" i="17"/>
  <c r="BA102" i="17"/>
  <c r="BB102" i="17"/>
  <c r="AZ102" i="17"/>
  <c r="AG102" i="17"/>
  <c r="AK102" i="17" s="1"/>
  <c r="AF101" i="17"/>
  <c r="AW101" i="17"/>
  <c r="AV101" i="17"/>
  <c r="AU101" i="17"/>
  <c r="AS101" i="17"/>
  <c r="AX101" i="17"/>
  <c r="AR101" i="17"/>
  <c r="AY101" i="17"/>
  <c r="BA101" i="17"/>
  <c r="AZ101" i="17"/>
  <c r="AT101" i="17"/>
  <c r="BB101" i="17"/>
  <c r="AG101" i="17"/>
  <c r="AK101" i="17" s="1"/>
  <c r="AJ184" i="11"/>
  <c r="W187" i="11"/>
  <c r="Y187" i="11"/>
  <c r="AB187" i="11"/>
  <c r="AA187" i="11"/>
  <c r="L108" i="16"/>
  <c r="Q108" i="16" s="1"/>
  <c r="Q107" i="16"/>
  <c r="T185" i="17"/>
  <c r="U185" i="17"/>
  <c r="V185" i="17"/>
  <c r="AP101" i="16"/>
  <c r="B127" i="8" s="1"/>
  <c r="V188" i="11"/>
  <c r="U188" i="11"/>
  <c r="CE108" i="11" s="1"/>
  <c r="T188" i="11"/>
  <c r="AI38" i="6" s="1"/>
  <c r="W146" i="11"/>
  <c r="Y146" i="11"/>
  <c r="AB146" i="11"/>
  <c r="AA146" i="11"/>
  <c r="Z146" i="11"/>
  <c r="X146" i="11"/>
  <c r="AL90" i="19"/>
  <c r="AM90" i="19"/>
  <c r="D66" i="6"/>
  <c r="M66" i="6" s="1"/>
  <c r="F66" i="6"/>
  <c r="E66" i="6"/>
  <c r="R107" i="16"/>
  <c r="M108" i="16"/>
  <c r="R108" i="16" s="1"/>
  <c r="AK91" i="19"/>
  <c r="AJ181" i="17"/>
  <c r="AL100" i="17"/>
  <c r="R148" i="11"/>
  <c r="S148" i="11" s="1"/>
  <c r="R186" i="17"/>
  <c r="S186" i="17" s="1"/>
  <c r="N108" i="17"/>
  <c r="S108" i="17" s="1"/>
  <c r="S107" i="17"/>
  <c r="AD182" i="17"/>
  <c r="AH182" i="17"/>
  <c r="L108" i="17"/>
  <c r="Q108" i="17" s="1"/>
  <c r="Q107" i="17"/>
  <c r="Z184" i="17"/>
  <c r="Y184" i="17"/>
  <c r="AB184" i="17"/>
  <c r="W184" i="17"/>
  <c r="AA184" i="17"/>
  <c r="X184" i="17"/>
  <c r="AC186" i="11"/>
  <c r="AD186" i="11" s="1"/>
  <c r="AW104" i="11"/>
  <c r="AF104" i="11"/>
  <c r="AV104" i="11"/>
  <c r="AU104" i="11"/>
  <c r="AX104" i="11"/>
  <c r="AS104" i="11"/>
  <c r="AR104" i="11"/>
  <c r="AY104" i="11"/>
  <c r="AZ104" i="11"/>
  <c r="AT104" i="11"/>
  <c r="BA104" i="11"/>
  <c r="BB104" i="11"/>
  <c r="AG104" i="11"/>
  <c r="AK104" i="11" s="1"/>
  <c r="F89" i="18"/>
  <c r="AN101" i="16"/>
  <c r="K89" i="18"/>
  <c r="E89" i="18"/>
  <c r="AE102" i="16"/>
  <c r="AC102" i="16"/>
  <c r="AD102" i="16"/>
  <c r="AO101" i="16"/>
  <c r="AM101" i="16"/>
  <c r="D91" i="18" s="1"/>
  <c r="N91" i="18" s="1"/>
  <c r="AD116" i="16"/>
  <c r="AC116" i="16"/>
  <c r="AE116" i="16"/>
  <c r="AH116" i="16"/>
  <c r="BC101" i="16"/>
  <c r="BE101" i="16" s="1"/>
  <c r="O165" i="6"/>
  <c r="S165" i="6" s="1"/>
  <c r="AX28" i="6" s="1"/>
  <c r="O177" i="6"/>
  <c r="S177" i="6" s="1"/>
  <c r="AX40" i="6" s="1"/>
  <c r="AN114" i="17"/>
  <c r="H197" i="11"/>
  <c r="A201" i="17"/>
  <c r="A223" i="6"/>
  <c r="A155" i="6"/>
  <c r="A87" i="6"/>
  <c r="R189" i="11"/>
  <c r="S189" i="11" s="1"/>
  <c r="U189" i="11" s="1"/>
  <c r="CE109" i="11" s="1"/>
  <c r="H189" i="11"/>
  <c r="J172" i="6"/>
  <c r="P172" i="6" s="1"/>
  <c r="T172" i="6" s="1"/>
  <c r="AY35" i="6" s="1"/>
  <c r="J206" i="6"/>
  <c r="P206" i="6" s="1"/>
  <c r="T206" i="6" s="1"/>
  <c r="BE35" i="6" s="1"/>
  <c r="O211" i="6"/>
  <c r="S211" i="6" s="1"/>
  <c r="BD40" i="6" s="1"/>
  <c r="H178" i="6"/>
  <c r="H212" i="6"/>
  <c r="G178" i="6"/>
  <c r="G212" i="6"/>
  <c r="O199" i="6"/>
  <c r="S199" i="6" s="1"/>
  <c r="BD28" i="6" s="1"/>
  <c r="I178" i="6"/>
  <c r="I212" i="6"/>
  <c r="AB103" i="16"/>
  <c r="AB109" i="16"/>
  <c r="AJ109" i="16" s="1"/>
  <c r="AI116" i="16"/>
  <c r="AJ102" i="16"/>
  <c r="O30" i="6"/>
  <c r="S30" i="6" s="1"/>
  <c r="Z29" i="6" s="1"/>
  <c r="I31" i="6"/>
  <c r="I65" i="6"/>
  <c r="O64" i="6"/>
  <c r="S64" i="6" s="1"/>
  <c r="AF29" i="6" s="1"/>
  <c r="H31" i="6"/>
  <c r="H65" i="6"/>
  <c r="G31" i="6"/>
  <c r="J16" i="23" s="1"/>
  <c r="G65" i="6"/>
  <c r="BB88" i="3"/>
  <c r="BI88" i="3"/>
  <c r="M187" i="17"/>
  <c r="P187" i="17"/>
  <c r="Q187" i="17" s="1"/>
  <c r="M188" i="17"/>
  <c r="P188" i="17"/>
  <c r="Q188" i="17" s="1"/>
  <c r="A111" i="19"/>
  <c r="A201" i="16"/>
  <c r="A202" i="11"/>
  <c r="H191" i="11"/>
  <c r="R191" i="11"/>
  <c r="S191" i="11" s="1"/>
  <c r="U191" i="11" s="1"/>
  <c r="CE111" i="11" s="1"/>
  <c r="V120" i="16"/>
  <c r="Y120" i="16" s="1"/>
  <c r="Z120" i="16" s="1"/>
  <c r="AI110" i="11"/>
  <c r="AI117" i="11"/>
  <c r="AI105" i="11"/>
  <c r="AO103" i="11"/>
  <c r="AI102" i="16"/>
  <c r="V120" i="17"/>
  <c r="X121" i="16"/>
  <c r="AM114" i="17"/>
  <c r="AO114" i="17"/>
  <c r="X121" i="17"/>
  <c r="U121" i="17"/>
  <c r="H122" i="17"/>
  <c r="H122" i="16"/>
  <c r="J113" i="11"/>
  <c r="J114" i="11" s="1"/>
  <c r="Z119" i="17"/>
  <c r="AA119" i="17"/>
  <c r="AB117" i="17"/>
  <c r="AP114" i="17"/>
  <c r="B174" i="8" s="1"/>
  <c r="Z204" i="7"/>
  <c r="H205" i="7"/>
  <c r="Z205" i="7" s="1"/>
  <c r="AM100" i="17"/>
  <c r="D90" i="19" s="1"/>
  <c r="N90" i="19" s="1"/>
  <c r="AQ99" i="17"/>
  <c r="R158" i="8"/>
  <c r="AV202" i="7"/>
  <c r="Z158" i="8"/>
  <c r="AH158" i="8"/>
  <c r="AT203" i="7"/>
  <c r="AP100" i="17"/>
  <c r="B160" i="8" s="1"/>
  <c r="AQ100" i="16"/>
  <c r="AN100" i="17"/>
  <c r="AO100" i="17"/>
  <c r="AG204" i="7"/>
  <c r="N205" i="7"/>
  <c r="AS204" i="7"/>
  <c r="AM203" i="7"/>
  <c r="AF203" i="7"/>
  <c r="Z124" i="8"/>
  <c r="AQ99" i="16"/>
  <c r="AH204" i="7"/>
  <c r="O205" i="7"/>
  <c r="AH205" i="7" s="1"/>
  <c r="L88" i="19"/>
  <c r="P88" i="19"/>
  <c r="AE204" i="7"/>
  <c r="M205" i="7"/>
  <c r="AE205" i="7" s="1"/>
  <c r="L88" i="18"/>
  <c r="AH124" i="8"/>
  <c r="AC204" i="7"/>
  <c r="K205" i="7"/>
  <c r="AC205" i="7" s="1"/>
  <c r="Q205" i="7"/>
  <c r="AJ205" i="7" s="1"/>
  <c r="AJ204" i="7"/>
  <c r="A218" i="7"/>
  <c r="A181" i="8"/>
  <c r="A189" i="6"/>
  <c r="A147" i="8"/>
  <c r="A113" i="8"/>
  <c r="AR204" i="7"/>
  <c r="X205" i="7"/>
  <c r="AR205" i="7" s="1"/>
  <c r="AK204" i="7"/>
  <c r="R205" i="7"/>
  <c r="AK205" i="7" s="1"/>
  <c r="R124" i="8"/>
  <c r="AH92" i="8"/>
  <c r="K112" i="11"/>
  <c r="AA112" i="11" s="1"/>
  <c r="AB112" i="11" s="1"/>
  <c r="K111" i="11"/>
  <c r="AA111" i="11" s="1"/>
  <c r="AB111" i="11" s="1"/>
  <c r="Z92" i="8"/>
  <c r="R92" i="8"/>
  <c r="E108" i="17"/>
  <c r="C205" i="7" s="1"/>
  <c r="C204" i="7"/>
  <c r="R89" i="3"/>
  <c r="T89" i="3" s="1"/>
  <c r="S89" i="3"/>
  <c r="U89" i="3" s="1"/>
  <c r="V89" i="3" s="1"/>
  <c r="V106" i="17"/>
  <c r="L90" i="3"/>
  <c r="P90" i="3"/>
  <c r="Q90" i="3" s="1"/>
  <c r="A111" i="18"/>
  <c r="AB103" i="17"/>
  <c r="G107" i="17"/>
  <c r="AR97" i="19" s="1"/>
  <c r="F108" i="17"/>
  <c r="A184" i="7"/>
  <c r="A161" i="17"/>
  <c r="A121" i="17"/>
  <c r="A121" i="6"/>
  <c r="U107" i="17"/>
  <c r="U108" i="17"/>
  <c r="Z104" i="17"/>
  <c r="AA104" i="17"/>
  <c r="Y105" i="17"/>
  <c r="F108" i="16"/>
  <c r="D171" i="7" s="1"/>
  <c r="D170" i="7"/>
  <c r="E108" i="16"/>
  <c r="C171" i="7" s="1"/>
  <c r="C170" i="7"/>
  <c r="AH102" i="16"/>
  <c r="AA110" i="16"/>
  <c r="Z104" i="16"/>
  <c r="AA104" i="16"/>
  <c r="V106" i="16"/>
  <c r="Z105" i="16"/>
  <c r="AA105" i="16"/>
  <c r="A161" i="16"/>
  <c r="A121" i="16"/>
  <c r="P108" i="16"/>
  <c r="U108" i="16" s="1"/>
  <c r="A122" i="11"/>
  <c r="A162" i="11"/>
  <c r="AP103" i="11"/>
  <c r="B94" i="8" s="1"/>
  <c r="AN103" i="11"/>
  <c r="AM103" i="11"/>
  <c r="BZ103" i="11" s="1"/>
  <c r="AQ102" i="11"/>
  <c r="AJ105" i="11"/>
  <c r="AL103" i="11"/>
  <c r="AH105" i="11"/>
  <c r="Z119" i="11"/>
  <c r="AJ117" i="11"/>
  <c r="AH117" i="11"/>
  <c r="AJ110" i="11"/>
  <c r="AH110" i="11"/>
  <c r="AB106" i="11"/>
  <c r="AA107" i="11"/>
  <c r="Z107" i="11"/>
  <c r="Y120" i="11"/>
  <c r="X122" i="11"/>
  <c r="V121" i="11"/>
  <c r="U122" i="11"/>
  <c r="R122" i="11"/>
  <c r="S122" i="11"/>
  <c r="T122" i="11"/>
  <c r="H123" i="11"/>
  <c r="Q123" i="11" s="1"/>
  <c r="A150" i="7"/>
  <c r="A53" i="6"/>
  <c r="W52" i="6" s="1"/>
  <c r="BH52" i="6" s="1"/>
  <c r="A143" i="4"/>
  <c r="A111" i="3"/>
  <c r="H214" i="6" l="1"/>
  <c r="G215" i="6"/>
  <c r="A243" i="9"/>
  <c r="A209" i="9"/>
  <c r="A277" i="9"/>
  <c r="A175" i="9"/>
  <c r="A141" i="9"/>
  <c r="A107" i="9"/>
  <c r="B155" i="9"/>
  <c r="B189" i="9"/>
  <c r="B241" i="9"/>
  <c r="B275" i="9"/>
  <c r="G274" i="9"/>
  <c r="T274" i="9" s="1"/>
  <c r="H274" i="9"/>
  <c r="U274" i="9" s="1"/>
  <c r="J274" i="9"/>
  <c r="W274" i="9" s="1"/>
  <c r="G256" i="9"/>
  <c r="T256" i="9" s="1"/>
  <c r="H256" i="9"/>
  <c r="U256" i="9" s="1"/>
  <c r="J256" i="9"/>
  <c r="W256" i="9" s="1"/>
  <c r="J240" i="9"/>
  <c r="W240" i="9" s="1"/>
  <c r="H240" i="9"/>
  <c r="U240" i="9" s="1"/>
  <c r="G240" i="9"/>
  <c r="T240" i="9" s="1"/>
  <c r="H222" i="9"/>
  <c r="U222" i="9" s="1"/>
  <c r="J222" i="9"/>
  <c r="W222" i="9" s="1"/>
  <c r="G222" i="9"/>
  <c r="T222" i="9" s="1"/>
  <c r="G122" i="9"/>
  <c r="T122" i="9" s="1"/>
  <c r="H122" i="9"/>
  <c r="U122" i="9" s="1"/>
  <c r="J122" i="9"/>
  <c r="W122" i="9" s="1"/>
  <c r="J257" i="9"/>
  <c r="W257" i="9" s="1"/>
  <c r="H257" i="9"/>
  <c r="U257" i="9" s="1"/>
  <c r="G257" i="9"/>
  <c r="T257" i="9" s="1"/>
  <c r="B89" i="9"/>
  <c r="B123" i="9"/>
  <c r="B207" i="9"/>
  <c r="B173" i="9"/>
  <c r="G206" i="9"/>
  <c r="T206" i="9" s="1"/>
  <c r="J206" i="9"/>
  <c r="W206" i="9" s="1"/>
  <c r="H206" i="9"/>
  <c r="U206" i="9" s="1"/>
  <c r="G223" i="9"/>
  <c r="T223" i="9" s="1"/>
  <c r="H223" i="9"/>
  <c r="U223" i="9" s="1"/>
  <c r="J223" i="9"/>
  <c r="W223" i="9" s="1"/>
  <c r="G170" i="9"/>
  <c r="T170" i="9" s="1"/>
  <c r="J170" i="9"/>
  <c r="W170" i="9" s="1"/>
  <c r="H170" i="9"/>
  <c r="U170" i="9" s="1"/>
  <c r="V109" i="11"/>
  <c r="M198" i="11"/>
  <c r="H88" i="9"/>
  <c r="U88" i="9" s="1"/>
  <c r="G88" i="9"/>
  <c r="T88" i="9" s="1"/>
  <c r="J88" i="9"/>
  <c r="W88" i="9" s="1"/>
  <c r="L142" i="4"/>
  <c r="AW109" i="19"/>
  <c r="AN184" i="17"/>
  <c r="AO184" i="17" s="1"/>
  <c r="BL99" i="17"/>
  <c r="CL115" i="17"/>
  <c r="CM115" i="17" s="1"/>
  <c r="BG114" i="17"/>
  <c r="G104" i="19" s="1"/>
  <c r="CL104" i="11"/>
  <c r="CM104" i="11" s="1"/>
  <c r="CL102" i="17"/>
  <c r="CM102" i="17" s="1"/>
  <c r="CL101" i="17"/>
  <c r="CM101" i="17" s="1"/>
  <c r="BI114" i="17"/>
  <c r="BJ114" i="17"/>
  <c r="J104" i="19" s="1"/>
  <c r="BL102" i="11"/>
  <c r="BK114" i="17"/>
  <c r="K104" i="19" s="1"/>
  <c r="BY102" i="17"/>
  <c r="CC107" i="11"/>
  <c r="AM147" i="11"/>
  <c r="X96" i="3" s="1"/>
  <c r="AL147" i="11"/>
  <c r="CH110" i="11"/>
  <c r="CJ110" i="11"/>
  <c r="CK110" i="11"/>
  <c r="CG110" i="11"/>
  <c r="CB110" i="11"/>
  <c r="CI110" i="11"/>
  <c r="CD110" i="11"/>
  <c r="AN193" i="16"/>
  <c r="AO193" i="16" s="1"/>
  <c r="AH103" i="18"/>
  <c r="BG100" i="17"/>
  <c r="G90" i="19" s="1"/>
  <c r="BH101" i="16"/>
  <c r="G120" i="17"/>
  <c r="AR110" i="19" s="1"/>
  <c r="AU110" i="19" s="1"/>
  <c r="AW110" i="19" s="1"/>
  <c r="BI100" i="17"/>
  <c r="BH103" i="11"/>
  <c r="H92" i="3" s="1"/>
  <c r="CI102" i="16"/>
  <c r="CD102" i="16"/>
  <c r="CK102" i="16"/>
  <c r="CG102" i="16"/>
  <c r="CJ102" i="16"/>
  <c r="CB102" i="16"/>
  <c r="CH102" i="16"/>
  <c r="H90" i="19"/>
  <c r="CK117" i="11"/>
  <c r="CG117" i="11"/>
  <c r="CB117" i="11"/>
  <c r="CI117" i="11"/>
  <c r="CH117" i="11"/>
  <c r="CJ117" i="11"/>
  <c r="CD117" i="11"/>
  <c r="CE114" i="17"/>
  <c r="AL194" i="17"/>
  <c r="AM194" i="17"/>
  <c r="AH104" i="19" s="1"/>
  <c r="BI101" i="16"/>
  <c r="BG103" i="11"/>
  <c r="G92" i="3" s="1"/>
  <c r="BJ100" i="17"/>
  <c r="BW103" i="11"/>
  <c r="CH116" i="16"/>
  <c r="CG116" i="16"/>
  <c r="CK116" i="16"/>
  <c r="CJ116" i="16"/>
  <c r="CD116" i="16"/>
  <c r="CB116" i="16"/>
  <c r="CI116" i="16"/>
  <c r="BY104" i="11"/>
  <c r="BV104" i="11"/>
  <c r="CE105" i="17"/>
  <c r="AL185" i="17"/>
  <c r="AM185" i="17"/>
  <c r="CJ105" i="11"/>
  <c r="CH105" i="11"/>
  <c r="CI105" i="11"/>
  <c r="CD105" i="11"/>
  <c r="CK105" i="11"/>
  <c r="CG105" i="11"/>
  <c r="CB105" i="11"/>
  <c r="H159" i="17"/>
  <c r="BJ103" i="11"/>
  <c r="J92" i="3" s="1"/>
  <c r="I215" i="6"/>
  <c r="BY101" i="17"/>
  <c r="H159" i="16"/>
  <c r="CE114" i="16"/>
  <c r="AL194" i="16"/>
  <c r="AM194" i="16"/>
  <c r="AH104" i="18" s="1"/>
  <c r="AE192" i="17"/>
  <c r="BZ112" i="17" s="1"/>
  <c r="BK100" i="17"/>
  <c r="K90" i="19" s="1"/>
  <c r="BE103" i="11"/>
  <c r="BE114" i="17"/>
  <c r="AN146" i="11"/>
  <c r="AO146" i="11" s="1"/>
  <c r="BF101" i="16"/>
  <c r="F91" i="18" s="1"/>
  <c r="BK103" i="11"/>
  <c r="K92" i="3" s="1"/>
  <c r="AN193" i="17"/>
  <c r="AO193" i="17" s="1"/>
  <c r="AH103" i="19"/>
  <c r="BZ100" i="17"/>
  <c r="P198" i="11"/>
  <c r="Q198" i="11" s="1"/>
  <c r="BL99" i="16"/>
  <c r="BE100" i="17"/>
  <c r="E90" i="19" s="1"/>
  <c r="BK101" i="16"/>
  <c r="K91" i="18" s="1"/>
  <c r="BF103" i="11"/>
  <c r="BL100" i="16"/>
  <c r="BF100" i="17"/>
  <c r="F90" i="19" s="1"/>
  <c r="BG101" i="16"/>
  <c r="G91" i="18" s="1"/>
  <c r="BH114" i="17"/>
  <c r="H104" i="19" s="1"/>
  <c r="BJ101" i="16"/>
  <c r="J91" i="18" s="1"/>
  <c r="CL116" i="17"/>
  <c r="CM116" i="17" s="1"/>
  <c r="AL189" i="11"/>
  <c r="AM189" i="11"/>
  <c r="AH98" i="3" s="1"/>
  <c r="Z189" i="11"/>
  <c r="X189" i="11"/>
  <c r="AL197" i="11"/>
  <c r="AM197" i="11"/>
  <c r="Z197" i="11"/>
  <c r="AL191" i="11"/>
  <c r="Z191" i="11"/>
  <c r="AM191" i="11"/>
  <c r="X191" i="11"/>
  <c r="AL188" i="11"/>
  <c r="AM188" i="11"/>
  <c r="AH97" i="3" s="1"/>
  <c r="Z188" i="11"/>
  <c r="X188" i="11"/>
  <c r="X197" i="11"/>
  <c r="AN187" i="11"/>
  <c r="AO187" i="11" s="1"/>
  <c r="AN190" i="11"/>
  <c r="AO190" i="11" s="1"/>
  <c r="BD114" i="17"/>
  <c r="F104" i="19"/>
  <c r="I104" i="19"/>
  <c r="AC38" i="3"/>
  <c r="AE38" i="3" s="1"/>
  <c r="AF38" i="3" s="1"/>
  <c r="BC38" i="3" s="1"/>
  <c r="BE38" i="3" s="1"/>
  <c r="BG38" i="3" s="1"/>
  <c r="AB38" i="3"/>
  <c r="AD38" i="3" s="1"/>
  <c r="AA39" i="3"/>
  <c r="AC39" i="3" s="1"/>
  <c r="K199" i="11"/>
  <c r="AK199" i="11" s="1"/>
  <c r="AH186" i="11"/>
  <c r="AL92" i="19"/>
  <c r="AG192" i="17"/>
  <c r="AH192" i="17"/>
  <c r="AA93" i="3"/>
  <c r="H215" i="6"/>
  <c r="AE145" i="11"/>
  <c r="AA94" i="3" s="1"/>
  <c r="AJ191" i="17"/>
  <c r="AI192" i="17"/>
  <c r="AJ191" i="16"/>
  <c r="AF192" i="16"/>
  <c r="E92" i="3"/>
  <c r="AV214" i="7"/>
  <c r="J219" i="6" s="1"/>
  <c r="P219" i="6" s="1"/>
  <c r="T219" i="6" s="1"/>
  <c r="BE48" i="6" s="1"/>
  <c r="BD103" i="11"/>
  <c r="AH192" i="16"/>
  <c r="AE192" i="16"/>
  <c r="AK102" i="18" s="1"/>
  <c r="AM102" i="18" s="1"/>
  <c r="AG192" i="16"/>
  <c r="AF192" i="17"/>
  <c r="AC23" i="23"/>
  <c r="J19" i="23"/>
  <c r="J22" i="23"/>
  <c r="K18" i="23"/>
  <c r="AC193" i="17"/>
  <c r="AL39" i="19"/>
  <c r="AN39" i="19" s="1"/>
  <c r="AM39" i="19"/>
  <c r="AO39" i="19" s="1"/>
  <c r="AP39" i="19" s="1"/>
  <c r="BJ39" i="19" s="1"/>
  <c r="BL39" i="19" s="1"/>
  <c r="BN39" i="19" s="1"/>
  <c r="C143" i="4"/>
  <c r="B143" i="4"/>
  <c r="K143" i="4" s="1"/>
  <c r="AL102" i="18"/>
  <c r="J185" i="6"/>
  <c r="P185" i="6" s="1"/>
  <c r="T185" i="6" s="1"/>
  <c r="AY48" i="6" s="1"/>
  <c r="AC39" i="18"/>
  <c r="AE39" i="18" s="1"/>
  <c r="AF39" i="18" s="1"/>
  <c r="BC39" i="18" s="1"/>
  <c r="BE39" i="18" s="1"/>
  <c r="BG39" i="18" s="1"/>
  <c r="AB39" i="18"/>
  <c r="AD39" i="18" s="1"/>
  <c r="T195" i="16"/>
  <c r="V195" i="16"/>
  <c r="U195" i="16"/>
  <c r="C201" i="17"/>
  <c r="C201" i="16"/>
  <c r="C202" i="11"/>
  <c r="C161" i="17"/>
  <c r="C121" i="17"/>
  <c r="C121" i="16"/>
  <c r="C161" i="16"/>
  <c r="C162" i="11"/>
  <c r="C122" i="11"/>
  <c r="AL101" i="18"/>
  <c r="AM101" i="18"/>
  <c r="BG45" i="6"/>
  <c r="AU45" i="6"/>
  <c r="E183" i="7"/>
  <c r="G183" i="7" s="1"/>
  <c r="AW183" i="7"/>
  <c r="AK40" i="19"/>
  <c r="AA40" i="18"/>
  <c r="AK40" i="3"/>
  <c r="AK40" i="18"/>
  <c r="AA40" i="19"/>
  <c r="K153" i="6"/>
  <c r="K119" i="6"/>
  <c r="R196" i="16"/>
  <c r="S196" i="16" s="1"/>
  <c r="AB194" i="16"/>
  <c r="W194" i="16"/>
  <c r="Z194" i="16"/>
  <c r="Y194" i="16"/>
  <c r="AA194" i="16"/>
  <c r="X194" i="16"/>
  <c r="AM147" i="7"/>
  <c r="AC39" i="19"/>
  <c r="AE39" i="19" s="1"/>
  <c r="AF39" i="19" s="1"/>
  <c r="BC39" i="19" s="1"/>
  <c r="BE39" i="19" s="1"/>
  <c r="BG39" i="19" s="1"/>
  <c r="AB39" i="19"/>
  <c r="AD39" i="19" s="1"/>
  <c r="M197" i="17"/>
  <c r="P197" i="17"/>
  <c r="Q197"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I199" i="16"/>
  <c r="AE216" i="7"/>
  <c r="AO216" i="7"/>
  <c r="AH216" i="7"/>
  <c r="AK216" i="7"/>
  <c r="AL216" i="7"/>
  <c r="AJ216" i="7"/>
  <c r="AI216" i="7"/>
  <c r="AA216" i="7"/>
  <c r="AR216" i="7"/>
  <c r="AP216" i="7"/>
  <c r="AB216" i="7"/>
  <c r="AC216" i="7"/>
  <c r="AD216" i="7"/>
  <c r="AQ216" i="7"/>
  <c r="Z216" i="7"/>
  <c r="AG216" i="7"/>
  <c r="AN216" i="7"/>
  <c r="AK102" i="19"/>
  <c r="I161" i="11"/>
  <c r="I200" i="11"/>
  <c r="K187" i="6"/>
  <c r="K221" i="6"/>
  <c r="AD192" i="17"/>
  <c r="I160" i="16"/>
  <c r="I199" i="17"/>
  <c r="E217" i="7"/>
  <c r="G217" i="7" s="1"/>
  <c r="AW217" i="7"/>
  <c r="AB194" i="17"/>
  <c r="W194" i="17"/>
  <c r="BY114" i="17" s="1"/>
  <c r="Y194" i="17"/>
  <c r="AA194" i="17"/>
  <c r="Z194" i="17"/>
  <c r="X194" i="17"/>
  <c r="AI192" i="16"/>
  <c r="R196" i="17"/>
  <c r="S196" i="17" s="1"/>
  <c r="AT215" i="7"/>
  <c r="AJ148" i="7"/>
  <c r="AO148" i="7"/>
  <c r="AI148" i="7"/>
  <c r="AL148" i="7"/>
  <c r="AG148" i="7"/>
  <c r="AA148" i="7"/>
  <c r="AK148" i="7"/>
  <c r="AH148" i="7"/>
  <c r="I160" i="17"/>
  <c r="E142" i="4"/>
  <c r="M142" i="4" s="1"/>
  <c r="D200" i="17"/>
  <c r="CA120" i="17" s="1"/>
  <c r="D201" i="11"/>
  <c r="CA121" i="11" s="1"/>
  <c r="D200" i="16"/>
  <c r="CA120" i="16" s="1"/>
  <c r="U195" i="17"/>
  <c r="V195" i="17"/>
  <c r="T195" i="17"/>
  <c r="I120" i="16"/>
  <c r="I121" i="11"/>
  <c r="I120" i="17"/>
  <c r="K198" i="17"/>
  <c r="AK198" i="17" s="1"/>
  <c r="H198" i="17"/>
  <c r="AM215" i="7"/>
  <c r="B201" i="17"/>
  <c r="B202" i="11"/>
  <c r="B201" i="16"/>
  <c r="B111" i="19"/>
  <c r="B218" i="7"/>
  <c r="B111" i="18"/>
  <c r="B161" i="17"/>
  <c r="B121" i="17"/>
  <c r="B184" i="7"/>
  <c r="B121" i="16"/>
  <c r="B161" i="16"/>
  <c r="B162" i="11"/>
  <c r="B122" i="11"/>
  <c r="B111" i="3"/>
  <c r="B150" i="7"/>
  <c r="F161" i="11"/>
  <c r="F160" i="16"/>
  <c r="F160" i="17"/>
  <c r="F200" i="17"/>
  <c r="F200" i="16"/>
  <c r="F201" i="11"/>
  <c r="AW149" i="7"/>
  <c r="E149" i="7"/>
  <c r="G149" i="7" s="1"/>
  <c r="P197" i="16"/>
  <c r="Q197" i="16" s="1"/>
  <c r="M197" i="16"/>
  <c r="AM181" i="7"/>
  <c r="AC193" i="16"/>
  <c r="AD193" i="16" s="1"/>
  <c r="AF215" i="7"/>
  <c r="K198" i="16"/>
  <c r="AK198" i="16" s="1"/>
  <c r="H198" i="16"/>
  <c r="AM39" i="3"/>
  <c r="AO39" i="3" s="1"/>
  <c r="AP39" i="3" s="1"/>
  <c r="BJ39" i="3" s="1"/>
  <c r="BL39" i="3" s="1"/>
  <c r="BN39" i="3" s="1"/>
  <c r="AL39" i="3"/>
  <c r="AN39" i="3" s="1"/>
  <c r="AT181" i="7"/>
  <c r="AM101" i="19"/>
  <c r="AL101" i="19"/>
  <c r="BD101" i="16"/>
  <c r="K51" i="6"/>
  <c r="K85" i="6"/>
  <c r="D143" i="4"/>
  <c r="D161" i="17"/>
  <c r="BX121" i="17" s="1"/>
  <c r="D121" i="17"/>
  <c r="D121" i="16"/>
  <c r="D161" i="16"/>
  <c r="BX121" i="16" s="1"/>
  <c r="D162" i="11"/>
  <c r="BX122" i="11" s="1"/>
  <c r="D122" i="11"/>
  <c r="AM39" i="18"/>
  <c r="AO39" i="18" s="1"/>
  <c r="AP39" i="18" s="1"/>
  <c r="BJ39" i="18" s="1"/>
  <c r="BL39" i="18" s="1"/>
  <c r="BN39" i="18" s="1"/>
  <c r="AL39" i="18"/>
  <c r="AN39" i="18" s="1"/>
  <c r="AJ182" i="17"/>
  <c r="AG145" i="11"/>
  <c r="N66" i="6"/>
  <c r="R66" i="6" s="1"/>
  <c r="AE31" i="6" s="1"/>
  <c r="AE183" i="17"/>
  <c r="AK93" i="19" s="1"/>
  <c r="AM93" i="19" s="1"/>
  <c r="AI183" i="17"/>
  <c r="AF183" i="17"/>
  <c r="BD100" i="17"/>
  <c r="AG183" i="17"/>
  <c r="I90" i="19"/>
  <c r="J90" i="19"/>
  <c r="AH183" i="17"/>
  <c r="G180" i="6"/>
  <c r="J160" i="8"/>
  <c r="I180" i="6"/>
  <c r="O214" i="6"/>
  <c r="S214" i="6" s="1"/>
  <c r="BD43" i="6" s="1"/>
  <c r="J127" i="8"/>
  <c r="F92" i="3"/>
  <c r="AB92" i="3"/>
  <c r="AH145" i="11"/>
  <c r="I92" i="3"/>
  <c r="AI145" i="11"/>
  <c r="J174" i="8"/>
  <c r="Q122" i="17"/>
  <c r="T122" i="17"/>
  <c r="R122" i="17"/>
  <c r="S122" i="17"/>
  <c r="P102" i="19"/>
  <c r="L102" i="19"/>
  <c r="AE117" i="17"/>
  <c r="AD117" i="17"/>
  <c r="AC117" i="17"/>
  <c r="AJ117" i="17"/>
  <c r="AI117" i="17"/>
  <c r="AH117" i="17"/>
  <c r="AE118" i="17"/>
  <c r="AD118" i="17"/>
  <c r="AC118" i="17"/>
  <c r="AJ118" i="17"/>
  <c r="AI118" i="17"/>
  <c r="AH118" i="17"/>
  <c r="BC115" i="17"/>
  <c r="BG115" i="17" s="1"/>
  <c r="AO116" i="17"/>
  <c r="AL115" i="17"/>
  <c r="Y120" i="17"/>
  <c r="Z120" i="17" s="1"/>
  <c r="AO115" i="17"/>
  <c r="BC116" i="17"/>
  <c r="AL116" i="17"/>
  <c r="AH109" i="16"/>
  <c r="S122" i="16"/>
  <c r="T122" i="16"/>
  <c r="U122" i="16"/>
  <c r="Q122" i="16"/>
  <c r="R122" i="16"/>
  <c r="F33" i="6"/>
  <c r="J94" i="8"/>
  <c r="AJ185" i="11"/>
  <c r="AJ144" i="11"/>
  <c r="C93" i="3"/>
  <c r="BC104" i="11"/>
  <c r="BI104" i="11" s="1"/>
  <c r="AW117" i="11"/>
  <c r="AU117" i="11"/>
  <c r="AX117" i="11"/>
  <c r="AV117" i="11"/>
  <c r="AF117" i="11"/>
  <c r="AT117" i="11"/>
  <c r="AY117" i="11"/>
  <c r="AZ117" i="11"/>
  <c r="BA117" i="11"/>
  <c r="AR117" i="11"/>
  <c r="BB117" i="11"/>
  <c r="AS117" i="11"/>
  <c r="AG117" i="11"/>
  <c r="AK117" i="11" s="1"/>
  <c r="AU110" i="11"/>
  <c r="AF110" i="11"/>
  <c r="AX110" i="11"/>
  <c r="AW110" i="11"/>
  <c r="AV110" i="11"/>
  <c r="AT110" i="11"/>
  <c r="AZ110" i="11"/>
  <c r="AS110" i="11"/>
  <c r="AY110" i="11"/>
  <c r="BB110" i="11"/>
  <c r="AR110" i="11"/>
  <c r="BA110" i="11"/>
  <c r="AG110" i="11"/>
  <c r="AK110" i="11" s="1"/>
  <c r="AF145" i="11"/>
  <c r="W190" i="11"/>
  <c r="AA190" i="11"/>
  <c r="AB190" i="11"/>
  <c r="Y190" i="11"/>
  <c r="AC112" i="11"/>
  <c r="AE112" i="11"/>
  <c r="AD112" i="11"/>
  <c r="AD103" i="17"/>
  <c r="AJ103" i="17"/>
  <c r="AC103" i="17"/>
  <c r="AE103" i="17"/>
  <c r="AI103" i="17"/>
  <c r="AH103" i="17"/>
  <c r="AE106" i="11"/>
  <c r="AD106" i="11"/>
  <c r="AC106" i="11"/>
  <c r="I91" i="18"/>
  <c r="H91" i="18"/>
  <c r="Y106" i="17"/>
  <c r="Z106" i="17" s="1"/>
  <c r="R188" i="17"/>
  <c r="S188" i="17" s="1"/>
  <c r="T197" i="11"/>
  <c r="AI47" i="6" s="1"/>
  <c r="V197" i="11"/>
  <c r="U148" i="11"/>
  <c r="T148" i="11"/>
  <c r="AC38" i="6" s="1"/>
  <c r="V148" i="11"/>
  <c r="Z185" i="17"/>
  <c r="W185" i="17"/>
  <c r="Y185" i="17"/>
  <c r="AB185" i="17"/>
  <c r="AA185" i="17"/>
  <c r="X185" i="17"/>
  <c r="W147" i="11"/>
  <c r="AB147" i="11"/>
  <c r="AA147" i="11"/>
  <c r="Z147" i="11"/>
  <c r="Y147" i="11"/>
  <c r="X147" i="11"/>
  <c r="BC101" i="17"/>
  <c r="BI101" i="17" s="1"/>
  <c r="AV105" i="11"/>
  <c r="AU105" i="11"/>
  <c r="AF105" i="11"/>
  <c r="AX105" i="11"/>
  <c r="AW105" i="11"/>
  <c r="AR105" i="11"/>
  <c r="AS105" i="11"/>
  <c r="AZ105" i="11"/>
  <c r="AY105" i="11"/>
  <c r="AT105" i="11"/>
  <c r="BB105" i="11"/>
  <c r="BA105" i="11"/>
  <c r="AG105" i="11"/>
  <c r="AK105" i="11" s="1"/>
  <c r="E91" i="18"/>
  <c r="AE111" i="11"/>
  <c r="AD111" i="11"/>
  <c r="AC111" i="11"/>
  <c r="V191" i="11"/>
  <c r="T191" i="11"/>
  <c r="AI41" i="6" s="1"/>
  <c r="T189" i="11"/>
  <c r="AI39" i="6" s="1"/>
  <c r="V189" i="11"/>
  <c r="AI186" i="11"/>
  <c r="AF186" i="11"/>
  <c r="AG186" i="11"/>
  <c r="AE186" i="11"/>
  <c r="AC146" i="11"/>
  <c r="F67" i="6"/>
  <c r="E67" i="6"/>
  <c r="D67" i="6"/>
  <c r="M67" i="6" s="1"/>
  <c r="AC187" i="11"/>
  <c r="AD187" i="11" s="1"/>
  <c r="AL101" i="17"/>
  <c r="BC102" i="17"/>
  <c r="BJ102" i="17" s="1"/>
  <c r="F34" i="6"/>
  <c r="R187" i="17"/>
  <c r="S187" i="17" s="1"/>
  <c r="AC184" i="17"/>
  <c r="U186" i="17"/>
  <c r="T186" i="17"/>
  <c r="V186" i="17"/>
  <c r="AM91" i="19"/>
  <c r="AL91" i="19"/>
  <c r="W188" i="11"/>
  <c r="Y188" i="11"/>
  <c r="AB188" i="11"/>
  <c r="AA188" i="11"/>
  <c r="AL102" i="17"/>
  <c r="AC103" i="16"/>
  <c r="AE103" i="16"/>
  <c r="AD103" i="16"/>
  <c r="AF102" i="16"/>
  <c r="AT102" i="16"/>
  <c r="AX102" i="16"/>
  <c r="BB102" i="16"/>
  <c r="AU102" i="16"/>
  <c r="AY102" i="16"/>
  <c r="AR102" i="16"/>
  <c r="AV102" i="16"/>
  <c r="AS102" i="16"/>
  <c r="AW102" i="16"/>
  <c r="BA102" i="16"/>
  <c r="AZ102" i="16"/>
  <c r="AG102" i="16"/>
  <c r="AK102" i="16" s="1"/>
  <c r="AF116" i="16"/>
  <c r="AX116" i="16"/>
  <c r="AR116" i="16"/>
  <c r="AW116" i="16"/>
  <c r="AS116" i="16"/>
  <c r="AY116" i="16"/>
  <c r="AU116" i="16"/>
  <c r="AZ116" i="16"/>
  <c r="BA116" i="16"/>
  <c r="AV116" i="16"/>
  <c r="BB116" i="16"/>
  <c r="AT116" i="16"/>
  <c r="AG116" i="16"/>
  <c r="AE109" i="16"/>
  <c r="AD109" i="16"/>
  <c r="AC109" i="16"/>
  <c r="O178" i="6"/>
  <c r="S178" i="6" s="1"/>
  <c r="AX41" i="6" s="1"/>
  <c r="AP115" i="17"/>
  <c r="B175" i="8" s="1"/>
  <c r="O181" i="6"/>
  <c r="S181" i="6" s="1"/>
  <c r="AX44" i="6" s="1"/>
  <c r="O212" i="6"/>
  <c r="S212" i="6" s="1"/>
  <c r="BD41" i="6" s="1"/>
  <c r="AI109" i="16"/>
  <c r="AM94" i="3"/>
  <c r="AL94" i="3"/>
  <c r="A202" i="17"/>
  <c r="A224" i="6"/>
  <c r="A88" i="6"/>
  <c r="A156" i="6"/>
  <c r="I166" i="6"/>
  <c r="I200" i="6"/>
  <c r="J173" i="6"/>
  <c r="P173" i="6" s="1"/>
  <c r="T173" i="6" s="1"/>
  <c r="AY36" i="6" s="1"/>
  <c r="J207" i="6"/>
  <c r="P207" i="6" s="1"/>
  <c r="T207" i="6" s="1"/>
  <c r="BE36" i="6" s="1"/>
  <c r="H166" i="6"/>
  <c r="H200" i="6"/>
  <c r="G166" i="6"/>
  <c r="G200" i="6"/>
  <c r="AB110" i="16"/>
  <c r="AB105" i="16"/>
  <c r="AB104" i="16"/>
  <c r="G98" i="6"/>
  <c r="G132" i="6"/>
  <c r="I98" i="6"/>
  <c r="I132" i="6"/>
  <c r="H98" i="6"/>
  <c r="H132" i="6"/>
  <c r="R32" i="6"/>
  <c r="Y31" i="6" s="1"/>
  <c r="O31" i="6"/>
  <c r="S31" i="6" s="1"/>
  <c r="Z30" i="6" s="1"/>
  <c r="O65" i="6"/>
  <c r="S65" i="6" s="1"/>
  <c r="AF30" i="6" s="1"/>
  <c r="I32" i="6"/>
  <c r="I66" i="6"/>
  <c r="H32" i="6"/>
  <c r="H66" i="6"/>
  <c r="G32" i="6"/>
  <c r="K16" i="23" s="1"/>
  <c r="G66" i="6"/>
  <c r="BB89" i="3"/>
  <c r="BI89" i="3"/>
  <c r="AN101" i="17"/>
  <c r="A112" i="19"/>
  <c r="A202" i="16"/>
  <c r="A203" i="11"/>
  <c r="H192" i="11"/>
  <c r="R192" i="11"/>
  <c r="S192" i="11" s="1"/>
  <c r="U192" i="11" s="1"/>
  <c r="CE112" i="11" s="1"/>
  <c r="V121" i="16"/>
  <c r="Y121" i="16" s="1"/>
  <c r="Z121" i="16" s="1"/>
  <c r="AI112" i="11"/>
  <c r="AI111" i="11"/>
  <c r="AI106" i="11"/>
  <c r="Z126" i="8"/>
  <c r="Z125" i="8"/>
  <c r="AH125" i="8"/>
  <c r="AH126" i="8"/>
  <c r="R126" i="8"/>
  <c r="R125" i="8"/>
  <c r="G133" i="6" s="1"/>
  <c r="D104" i="19"/>
  <c r="AQ114" i="17"/>
  <c r="AM115" i="17"/>
  <c r="K113" i="11"/>
  <c r="AA113" i="11" s="1"/>
  <c r="AB113" i="11" s="1"/>
  <c r="AI103" i="16"/>
  <c r="AM116" i="17"/>
  <c r="X122" i="17"/>
  <c r="U122" i="17"/>
  <c r="X122" i="16"/>
  <c r="AN115" i="17"/>
  <c r="V121" i="17"/>
  <c r="AP116" i="17"/>
  <c r="B176" i="8" s="1"/>
  <c r="H123" i="17"/>
  <c r="H123" i="16"/>
  <c r="AM104" i="11"/>
  <c r="BZ104" i="11" s="1"/>
  <c r="AN116" i="17"/>
  <c r="AB119" i="17"/>
  <c r="AM102" i="17"/>
  <c r="D92" i="19" s="1"/>
  <c r="N92" i="19" s="1"/>
  <c r="AM101" i="17"/>
  <c r="D91" i="19" s="1"/>
  <c r="N91" i="19" s="1"/>
  <c r="AV203" i="7"/>
  <c r="AO102" i="17"/>
  <c r="AP102" i="17"/>
  <c r="B162" i="8" s="1"/>
  <c r="AQ100" i="17"/>
  <c r="AN102" i="17"/>
  <c r="AT204" i="7"/>
  <c r="S88" i="18"/>
  <c r="U88" i="18" s="1"/>
  <c r="V88" i="18" s="1"/>
  <c r="AS205" i="7"/>
  <c r="AT205" i="7" s="1"/>
  <c r="AG205" i="7"/>
  <c r="AM205" i="7" s="1"/>
  <c r="AP101" i="17"/>
  <c r="B161" i="8" s="1"/>
  <c r="AO101" i="17"/>
  <c r="L90" i="18"/>
  <c r="AF205" i="7"/>
  <c r="AM204" i="7"/>
  <c r="AQ101" i="16"/>
  <c r="AF204" i="7"/>
  <c r="P89" i="18"/>
  <c r="Q89" i="18" s="1"/>
  <c r="S89" i="18" s="1"/>
  <c r="U89" i="18" s="1"/>
  <c r="V89" i="18" s="1"/>
  <c r="L89" i="19"/>
  <c r="P89" i="19"/>
  <c r="L89" i="18"/>
  <c r="P90" i="18"/>
  <c r="Q90" i="18" s="1"/>
  <c r="S90" i="18" s="1"/>
  <c r="V107" i="17"/>
  <c r="V108" i="17"/>
  <c r="A182" i="8"/>
  <c r="A190" i="6"/>
  <c r="A219" i="7"/>
  <c r="A114" i="8"/>
  <c r="A148" i="8"/>
  <c r="R93" i="8"/>
  <c r="Z93" i="8"/>
  <c r="AH93" i="8"/>
  <c r="AH159" i="8"/>
  <c r="AB104" i="17"/>
  <c r="R159" i="8"/>
  <c r="G108" i="17"/>
  <c r="AR98" i="19" s="1"/>
  <c r="D205" i="7"/>
  <c r="Z159" i="8"/>
  <c r="A112" i="18"/>
  <c r="P91" i="3"/>
  <c r="Q91" i="3" s="1"/>
  <c r="L91" i="3"/>
  <c r="D92" i="3"/>
  <c r="N92" i="3" s="1"/>
  <c r="S90" i="3"/>
  <c r="U90" i="3" s="1"/>
  <c r="V90" i="3" s="1"/>
  <c r="R90" i="3"/>
  <c r="T90" i="3" s="1"/>
  <c r="A185" i="7"/>
  <c r="A162" i="17"/>
  <c r="A122" i="17"/>
  <c r="A122" i="6"/>
  <c r="D33" i="6"/>
  <c r="L18" i="23" s="1"/>
  <c r="E33" i="6"/>
  <c r="Z105" i="17"/>
  <c r="AA105" i="17"/>
  <c r="AH103" i="16"/>
  <c r="AJ103" i="16"/>
  <c r="Y106" i="16"/>
  <c r="A162" i="16"/>
  <c r="A122" i="16"/>
  <c r="V107" i="16"/>
  <c r="AA111" i="16"/>
  <c r="V108" i="16"/>
  <c r="A123" i="11"/>
  <c r="A163" i="11"/>
  <c r="AQ103" i="11"/>
  <c r="AN104" i="11"/>
  <c r="AO104" i="11"/>
  <c r="AL104" i="11"/>
  <c r="AP104" i="11"/>
  <c r="B95" i="8" s="1"/>
  <c r="AJ106" i="11"/>
  <c r="AH106" i="11"/>
  <c r="AJ112" i="11"/>
  <c r="AH112" i="11"/>
  <c r="AJ111" i="11"/>
  <c r="AH111" i="11"/>
  <c r="Z120" i="11"/>
  <c r="AB107" i="11"/>
  <c r="AA108" i="11"/>
  <c r="Z108" i="11"/>
  <c r="X123" i="11"/>
  <c r="Y121" i="11"/>
  <c r="Y109" i="11"/>
  <c r="V122" i="11"/>
  <c r="U123" i="11"/>
  <c r="S123" i="11"/>
  <c r="T123" i="11"/>
  <c r="R123" i="11"/>
  <c r="H124" i="11"/>
  <c r="Q124" i="11" s="1"/>
  <c r="J115" i="11"/>
  <c r="K114" i="11"/>
  <c r="AA114" i="11" s="1"/>
  <c r="A151" i="7"/>
  <c r="A144" i="4"/>
  <c r="A54" i="6"/>
  <c r="W53" i="6" s="1"/>
  <c r="BH53" i="6" s="1"/>
  <c r="A112" i="3"/>
  <c r="O215" i="6" l="1"/>
  <c r="S215" i="6" s="1"/>
  <c r="BD44" i="6" s="1"/>
  <c r="G207" i="9"/>
  <c r="T207" i="9" s="1"/>
  <c r="H207" i="9"/>
  <c r="U207" i="9" s="1"/>
  <c r="J207" i="9"/>
  <c r="W207" i="9" s="1"/>
  <c r="J155" i="9"/>
  <c r="W155" i="9" s="1"/>
  <c r="H155" i="9"/>
  <c r="U155" i="9" s="1"/>
  <c r="G155" i="9"/>
  <c r="T155" i="9" s="1"/>
  <c r="B96" i="9"/>
  <c r="B130" i="9"/>
  <c r="B196" i="9"/>
  <c r="B162" i="9"/>
  <c r="H189" i="9"/>
  <c r="U189" i="9" s="1"/>
  <c r="G189" i="9"/>
  <c r="T189" i="9" s="1"/>
  <c r="J189" i="9"/>
  <c r="W189" i="9" s="1"/>
  <c r="A278" i="9"/>
  <c r="A142" i="9"/>
  <c r="A210" i="9"/>
  <c r="A244" i="9"/>
  <c r="A176" i="9"/>
  <c r="A108" i="9"/>
  <c r="B156" i="9"/>
  <c r="B190" i="9"/>
  <c r="B124" i="9"/>
  <c r="B90" i="9"/>
  <c r="B224" i="9"/>
  <c r="B258" i="9"/>
  <c r="B276" i="9"/>
  <c r="B242" i="9"/>
  <c r="J123" i="9"/>
  <c r="W123" i="9" s="1"/>
  <c r="H123" i="9"/>
  <c r="U123" i="9" s="1"/>
  <c r="G123" i="9"/>
  <c r="T123" i="9" s="1"/>
  <c r="G275" i="9"/>
  <c r="T275" i="9" s="1"/>
  <c r="J275" i="9"/>
  <c r="W275" i="9" s="1"/>
  <c r="H275" i="9"/>
  <c r="U275" i="9" s="1"/>
  <c r="B208" i="9"/>
  <c r="B174" i="9"/>
  <c r="B129" i="9"/>
  <c r="B95" i="9"/>
  <c r="J241" i="9"/>
  <c r="W241" i="9" s="1"/>
  <c r="G241" i="9"/>
  <c r="T241" i="9" s="1"/>
  <c r="H241" i="9"/>
  <c r="U241" i="9" s="1"/>
  <c r="J89" i="9"/>
  <c r="W89" i="9" s="1"/>
  <c r="H89" i="9"/>
  <c r="U89" i="9" s="1"/>
  <c r="G89" i="9"/>
  <c r="T89" i="9" s="1"/>
  <c r="L143" i="4"/>
  <c r="AN147" i="11"/>
  <c r="AO147" i="11" s="1"/>
  <c r="AE39" i="3"/>
  <c r="AF39" i="3" s="1"/>
  <c r="BC39" i="3" s="1"/>
  <c r="BE39" i="3" s="1"/>
  <c r="BG39" i="3" s="1"/>
  <c r="AN194" i="17"/>
  <c r="AO194" i="17" s="1"/>
  <c r="BG104" i="11"/>
  <c r="G93" i="3" s="1"/>
  <c r="BI115" i="17"/>
  <c r="BH115" i="17"/>
  <c r="H105" i="19" s="1"/>
  <c r="BK102" i="17"/>
  <c r="CL110" i="11"/>
  <c r="CM110" i="11" s="1"/>
  <c r="CI118" i="17"/>
  <c r="CD118" i="17"/>
  <c r="CH118" i="17"/>
  <c r="CK118" i="17"/>
  <c r="CG118" i="17"/>
  <c r="CB118" i="17"/>
  <c r="CJ118" i="17"/>
  <c r="CK103" i="16"/>
  <c r="CG103" i="16"/>
  <c r="CB103" i="16"/>
  <c r="CJ103" i="16"/>
  <c r="CD103" i="16"/>
  <c r="CI103" i="16"/>
  <c r="CH103" i="16"/>
  <c r="CE106" i="17"/>
  <c r="AL186" i="17"/>
  <c r="AM186" i="17"/>
  <c r="AH96" i="19" s="1"/>
  <c r="CE115" i="17"/>
  <c r="AL195" i="17"/>
  <c r="AM195" i="17"/>
  <c r="AH105" i="19" s="1"/>
  <c r="BJ101" i="17"/>
  <c r="BL100" i="17"/>
  <c r="CI103" i="17"/>
  <c r="CD103" i="17"/>
  <c r="CH103" i="17"/>
  <c r="CB103" i="17"/>
  <c r="CG103" i="17"/>
  <c r="CK103" i="17"/>
  <c r="CJ103" i="17"/>
  <c r="CK117" i="17"/>
  <c r="CG117" i="17"/>
  <c r="CB117" i="17"/>
  <c r="CJ117" i="17"/>
  <c r="CI117" i="17"/>
  <c r="CD117" i="17"/>
  <c r="CH117" i="17"/>
  <c r="H160" i="17"/>
  <c r="H160" i="16"/>
  <c r="AV110" i="19"/>
  <c r="AN191" i="11"/>
  <c r="AO191" i="11" s="1"/>
  <c r="AH100" i="3"/>
  <c r="AN197" i="11"/>
  <c r="AO197" i="11" s="1"/>
  <c r="AH106" i="3"/>
  <c r="BF116" i="17"/>
  <c r="BL114" i="17"/>
  <c r="BH104" i="11"/>
  <c r="CL105" i="11"/>
  <c r="CM105" i="11" s="1"/>
  <c r="AN185" i="17"/>
  <c r="AO185" i="17" s="1"/>
  <c r="AH95" i="19"/>
  <c r="BK104" i="11"/>
  <c r="K93" i="3" s="1"/>
  <c r="BE101" i="17"/>
  <c r="CL102" i="16"/>
  <c r="CM102" i="16" s="1"/>
  <c r="BH116" i="17"/>
  <c r="BK101" i="17"/>
  <c r="K91" i="19" s="1"/>
  <c r="BI102" i="17"/>
  <c r="I92" i="19" s="1"/>
  <c r="CJ111" i="11"/>
  <c r="CH111" i="11"/>
  <c r="CI111" i="11"/>
  <c r="CD111" i="11"/>
  <c r="CG111" i="11"/>
  <c r="CB111" i="11"/>
  <c r="CK111" i="11"/>
  <c r="CC108" i="11"/>
  <c r="AL148" i="11"/>
  <c r="AM148" i="11"/>
  <c r="X97" i="3" s="1"/>
  <c r="CK109" i="16"/>
  <c r="CG109" i="16"/>
  <c r="CB109" i="16"/>
  <c r="CH109" i="16"/>
  <c r="CD109" i="16"/>
  <c r="CJ109" i="16"/>
  <c r="CI109" i="16"/>
  <c r="G121" i="17"/>
  <c r="AR111" i="19" s="1"/>
  <c r="AU111" i="19" s="1"/>
  <c r="AW111" i="19" s="1"/>
  <c r="BI116" i="17"/>
  <c r="BF101" i="17"/>
  <c r="F91" i="19" s="1"/>
  <c r="BY105" i="11"/>
  <c r="BV105" i="11"/>
  <c r="CH106" i="11"/>
  <c r="CJ106" i="11"/>
  <c r="CK106" i="11"/>
  <c r="CG106" i="11"/>
  <c r="CB106" i="11"/>
  <c r="CD106" i="11"/>
  <c r="CI106" i="11"/>
  <c r="CH112" i="11"/>
  <c r="CJ112" i="11"/>
  <c r="CK112" i="11"/>
  <c r="CG112" i="11"/>
  <c r="CB112" i="11"/>
  <c r="CI112" i="11"/>
  <c r="CD112" i="11"/>
  <c r="CE115" i="16"/>
  <c r="AL195" i="16"/>
  <c r="AM195" i="16"/>
  <c r="AH105" i="18" s="1"/>
  <c r="AE193" i="17"/>
  <c r="BZ113" i="17" s="1"/>
  <c r="BK115" i="17"/>
  <c r="AN194" i="16"/>
  <c r="AO194" i="16" s="1"/>
  <c r="BK116" i="17"/>
  <c r="K106" i="19" s="1"/>
  <c r="BH102" i="17"/>
  <c r="H92" i="19" s="1"/>
  <c r="BZ101" i="17"/>
  <c r="BE116" i="17"/>
  <c r="E106" i="19" s="1"/>
  <c r="BW104" i="11"/>
  <c r="CL117" i="11"/>
  <c r="CM117" i="11" s="1"/>
  <c r="BG102" i="17"/>
  <c r="BJ115" i="17"/>
  <c r="BJ104" i="11"/>
  <c r="J93" i="3" s="1"/>
  <c r="BG101" i="17"/>
  <c r="BE104" i="11"/>
  <c r="E93" i="3" s="1"/>
  <c r="BY110" i="11"/>
  <c r="BL101" i="16"/>
  <c r="BL103" i="11"/>
  <c r="BG116" i="17"/>
  <c r="BE102" i="17"/>
  <c r="BF115" i="17"/>
  <c r="BF102" i="17"/>
  <c r="F92" i="19" s="1"/>
  <c r="CL116" i="16"/>
  <c r="CM116" i="16" s="1"/>
  <c r="BJ116" i="17"/>
  <c r="J106" i="19" s="1"/>
  <c r="BH101" i="17"/>
  <c r="H91" i="19" s="1"/>
  <c r="BE115" i="17"/>
  <c r="E105" i="19" s="1"/>
  <c r="BF104" i="11"/>
  <c r="F93" i="3" s="1"/>
  <c r="BZ102" i="17"/>
  <c r="AL192" i="11"/>
  <c r="Z192" i="11"/>
  <c r="AM192" i="11"/>
  <c r="X192" i="11"/>
  <c r="AN188" i="11"/>
  <c r="AO188" i="11" s="1"/>
  <c r="AN189" i="11"/>
  <c r="AO189" i="11" s="1"/>
  <c r="E104" i="19"/>
  <c r="L104" i="19" s="1"/>
  <c r="G105" i="19"/>
  <c r="BD115" i="17"/>
  <c r="M199" i="11"/>
  <c r="P199" i="11"/>
  <c r="Q199" i="11" s="1"/>
  <c r="K200" i="11"/>
  <c r="AK200" i="11" s="1"/>
  <c r="F105" i="19"/>
  <c r="AF193" i="17"/>
  <c r="AB39" i="3"/>
  <c r="AD39" i="3" s="1"/>
  <c r="J105" i="19"/>
  <c r="AA40" i="3"/>
  <c r="AC93" i="3"/>
  <c r="AB93" i="3"/>
  <c r="AG146" i="11"/>
  <c r="F106" i="19"/>
  <c r="K105" i="19"/>
  <c r="I105" i="19"/>
  <c r="AJ192" i="17"/>
  <c r="AG193" i="16"/>
  <c r="AJ192" i="16"/>
  <c r="AV215" i="7"/>
  <c r="J220" i="6" s="1"/>
  <c r="P220" i="6" s="1"/>
  <c r="T220" i="6" s="1"/>
  <c r="BE49" i="6" s="1"/>
  <c r="M21" i="23"/>
  <c r="AF193" i="16"/>
  <c r="K19" i="23"/>
  <c r="K22" i="23"/>
  <c r="L21" i="23"/>
  <c r="AD23" i="23"/>
  <c r="AE193" i="16"/>
  <c r="AK103" i="18" s="1"/>
  <c r="AK103" i="19"/>
  <c r="E184" i="7"/>
  <c r="G184" i="7" s="1"/>
  <c r="AW184" i="7"/>
  <c r="AE217" i="7"/>
  <c r="AO217" i="7"/>
  <c r="AJ217" i="7"/>
  <c r="AH217" i="7"/>
  <c r="AL217" i="7"/>
  <c r="AI217" i="7"/>
  <c r="AK217" i="7"/>
  <c r="AP217" i="7"/>
  <c r="AR217" i="7"/>
  <c r="AD217" i="7"/>
  <c r="AB217" i="7"/>
  <c r="AA217" i="7"/>
  <c r="AC217" i="7"/>
  <c r="AQ217" i="7"/>
  <c r="Z217" i="7"/>
  <c r="AG217" i="7"/>
  <c r="AN217" i="7"/>
  <c r="BD104" i="11"/>
  <c r="AV111" i="19"/>
  <c r="P198" i="17"/>
  <c r="Q198" i="17" s="1"/>
  <c r="M198" i="17"/>
  <c r="K199" i="17"/>
  <c r="AK199" i="17" s="1"/>
  <c r="H199" i="17"/>
  <c r="AG193" i="17"/>
  <c r="K199" i="16"/>
  <c r="AK199" i="16" s="1"/>
  <c r="H199" i="16"/>
  <c r="AA41" i="18"/>
  <c r="AK41" i="19"/>
  <c r="AA41" i="19"/>
  <c r="AK41" i="18"/>
  <c r="AK41" i="3"/>
  <c r="AM40" i="19"/>
  <c r="AO40" i="19" s="1"/>
  <c r="AP40" i="19" s="1"/>
  <c r="BJ40" i="19" s="1"/>
  <c r="BL40" i="19" s="1"/>
  <c r="BN40" i="19" s="1"/>
  <c r="AL40" i="19"/>
  <c r="AN40" i="19" s="1"/>
  <c r="C144" i="4"/>
  <c r="B144" i="4"/>
  <c r="K144" i="4" s="1"/>
  <c r="K154" i="6"/>
  <c r="K120" i="6"/>
  <c r="O180" i="6"/>
  <c r="S180" i="6" s="1"/>
  <c r="AX43" i="6" s="1"/>
  <c r="E218" i="7"/>
  <c r="G218" i="7" s="1"/>
  <c r="AW218" i="7"/>
  <c r="AC194" i="17"/>
  <c r="AE183" i="7"/>
  <c r="AI183" i="7"/>
  <c r="AL183" i="7"/>
  <c r="AJ183" i="7"/>
  <c r="AK183" i="7"/>
  <c r="AH183" i="7"/>
  <c r="AR183" i="7"/>
  <c r="AA183" i="7"/>
  <c r="AQ183" i="7"/>
  <c r="AD183" i="7"/>
  <c r="AO183" i="7"/>
  <c r="AP183" i="7"/>
  <c r="AB183" i="7"/>
  <c r="AC183" i="7"/>
  <c r="AN183" i="7"/>
  <c r="AG183" i="7"/>
  <c r="I122" i="11"/>
  <c r="I121" i="17"/>
  <c r="I121" i="16"/>
  <c r="AH193" i="16"/>
  <c r="AB40" i="19"/>
  <c r="AD40" i="19" s="1"/>
  <c r="AC40" i="19"/>
  <c r="AE40" i="19" s="1"/>
  <c r="AF40" i="19" s="1"/>
  <c r="BC40" i="19" s="1"/>
  <c r="BE40" i="19" s="1"/>
  <c r="BG40" i="19" s="1"/>
  <c r="I162" i="11"/>
  <c r="R197" i="16"/>
  <c r="S197" i="16" s="1"/>
  <c r="E150" i="7"/>
  <c r="G150" i="7" s="1"/>
  <c r="AW150" i="7"/>
  <c r="AI193" i="16"/>
  <c r="AL102" i="19"/>
  <c r="AM102" i="19"/>
  <c r="AT182" i="7"/>
  <c r="AL40" i="18"/>
  <c r="AN40" i="18" s="1"/>
  <c r="AM40" i="18"/>
  <c r="AO40" i="18" s="1"/>
  <c r="AP40" i="18" s="1"/>
  <c r="BJ40" i="18" s="1"/>
  <c r="BL40" i="18" s="1"/>
  <c r="BN40" i="18" s="1"/>
  <c r="B202" i="17"/>
  <c r="B203" i="11"/>
  <c r="B202" i="16"/>
  <c r="B112" i="19"/>
  <c r="B219" i="7"/>
  <c r="B112" i="18"/>
  <c r="B122" i="17"/>
  <c r="B162" i="17"/>
  <c r="B185" i="7"/>
  <c r="B122" i="16"/>
  <c r="B162" i="16"/>
  <c r="B163" i="11"/>
  <c r="B123" i="11"/>
  <c r="B112" i="3"/>
  <c r="B151" i="7"/>
  <c r="I161" i="16"/>
  <c r="AH149" i="7"/>
  <c r="AI149" i="7"/>
  <c r="AL149" i="7"/>
  <c r="AO149" i="7"/>
  <c r="AG149" i="7"/>
  <c r="AA149" i="7"/>
  <c r="AK149" i="7"/>
  <c r="AJ149" i="7"/>
  <c r="AB195" i="17"/>
  <c r="W195" i="17"/>
  <c r="BY115" i="17" s="1"/>
  <c r="Z195" i="17"/>
  <c r="AA195" i="17"/>
  <c r="Y195" i="17"/>
  <c r="X195" i="17"/>
  <c r="AM148" i="7"/>
  <c r="AI193" i="17"/>
  <c r="AM182" i="7"/>
  <c r="AB195" i="16"/>
  <c r="W195" i="16"/>
  <c r="Y195" i="16"/>
  <c r="Z195" i="16"/>
  <c r="AA195" i="16"/>
  <c r="X195" i="16"/>
  <c r="C202" i="17"/>
  <c r="C203" i="11"/>
  <c r="C202" i="16"/>
  <c r="C162" i="17"/>
  <c r="C122" i="17"/>
  <c r="C162" i="16"/>
  <c r="C122" i="16"/>
  <c r="C163" i="11"/>
  <c r="C123" i="11"/>
  <c r="U196" i="17"/>
  <c r="T196" i="17"/>
  <c r="V196" i="17"/>
  <c r="P90" i="19"/>
  <c r="K86" i="6"/>
  <c r="K52" i="6"/>
  <c r="I200" i="16"/>
  <c r="AH193" i="17"/>
  <c r="AM40" i="3"/>
  <c r="AO40" i="3" s="1"/>
  <c r="AP40" i="3" s="1"/>
  <c r="BJ40" i="3" s="1"/>
  <c r="BL40" i="3" s="1"/>
  <c r="BN40" i="3" s="1"/>
  <c r="AL40" i="3"/>
  <c r="AN40" i="3" s="1"/>
  <c r="I201" i="11"/>
  <c r="AT216" i="7"/>
  <c r="F161" i="17"/>
  <c r="F161" i="16"/>
  <c r="F201" i="17"/>
  <c r="F201" i="16"/>
  <c r="F202" i="11"/>
  <c r="F162" i="11"/>
  <c r="BG46" i="6"/>
  <c r="AU46" i="6"/>
  <c r="I161" i="17"/>
  <c r="I200" i="17"/>
  <c r="AM216" i="7"/>
  <c r="R197" i="17"/>
  <c r="S197" i="17" s="1"/>
  <c r="AC194" i="16"/>
  <c r="AD194" i="16" s="1"/>
  <c r="T196" i="16"/>
  <c r="U196" i="16"/>
  <c r="V196" i="16"/>
  <c r="AC40" i="18"/>
  <c r="AE40" i="18" s="1"/>
  <c r="AF40" i="18" s="1"/>
  <c r="BC40" i="18" s="1"/>
  <c r="BE40" i="18" s="1"/>
  <c r="BG40" i="18" s="1"/>
  <c r="AB40" i="18"/>
  <c r="AD40" i="18" s="1"/>
  <c r="D144" i="4"/>
  <c r="D122" i="16"/>
  <c r="D122" i="17"/>
  <c r="D162" i="16"/>
  <c r="BX122" i="16" s="1"/>
  <c r="D162" i="17"/>
  <c r="BX122" i="17" s="1"/>
  <c r="D163" i="11"/>
  <c r="BX123" i="11" s="1"/>
  <c r="D123" i="11"/>
  <c r="P198" i="16"/>
  <c r="Q198" i="16" s="1"/>
  <c r="M198" i="16"/>
  <c r="E143" i="4"/>
  <c r="M143" i="4" s="1"/>
  <c r="D202" i="11"/>
  <c r="CA122" i="11" s="1"/>
  <c r="D201" i="16"/>
  <c r="CA121" i="16" s="1"/>
  <c r="D201" i="17"/>
  <c r="CA121" i="17" s="1"/>
  <c r="K222" i="6"/>
  <c r="K188" i="6"/>
  <c r="AF216" i="7"/>
  <c r="AD193" i="17"/>
  <c r="M33" i="6"/>
  <c r="N33" i="6"/>
  <c r="J95" i="8"/>
  <c r="I93" i="3"/>
  <c r="L90" i="19"/>
  <c r="AL93" i="19"/>
  <c r="AJ183" i="17"/>
  <c r="N67" i="6"/>
  <c r="R67" i="6" s="1"/>
  <c r="AE32" i="6" s="1"/>
  <c r="BD101" i="17"/>
  <c r="AA120" i="17"/>
  <c r="AB120" i="17" s="1"/>
  <c r="AA106" i="17"/>
  <c r="AB106" i="17" s="1"/>
  <c r="J92" i="19"/>
  <c r="G92" i="19"/>
  <c r="BD102" i="17"/>
  <c r="K92" i="19"/>
  <c r="C106" i="3"/>
  <c r="AE146" i="11"/>
  <c r="AJ145" i="11"/>
  <c r="J176" i="8"/>
  <c r="J91" i="19"/>
  <c r="J161" i="8"/>
  <c r="J162" i="8"/>
  <c r="G91" i="19"/>
  <c r="E91" i="19"/>
  <c r="AF118" i="17"/>
  <c r="AX118" i="17"/>
  <c r="AV118" i="17"/>
  <c r="AU118" i="17"/>
  <c r="AW118" i="17"/>
  <c r="AS118" i="17"/>
  <c r="AT118" i="17"/>
  <c r="AY118" i="17"/>
  <c r="BB118" i="17"/>
  <c r="BA118" i="17"/>
  <c r="AZ118" i="17"/>
  <c r="AR118" i="17"/>
  <c r="AG118" i="17"/>
  <c r="AK118" i="17" s="1"/>
  <c r="J175" i="8"/>
  <c r="AC119" i="17"/>
  <c r="AE119" i="17"/>
  <c r="AD119" i="17"/>
  <c r="AJ119" i="17"/>
  <c r="AI119" i="17"/>
  <c r="AH119" i="17"/>
  <c r="H106" i="19"/>
  <c r="AC185" i="17"/>
  <c r="AF185" i="17" s="1"/>
  <c r="AF117" i="17"/>
  <c r="AV117" i="17"/>
  <c r="AU117" i="17"/>
  <c r="AW117" i="17"/>
  <c r="AX117" i="17"/>
  <c r="BB117" i="17"/>
  <c r="AR117" i="17"/>
  <c r="BA117" i="17"/>
  <c r="AY117" i="17"/>
  <c r="AT117" i="17"/>
  <c r="AS117" i="17"/>
  <c r="AZ117" i="17"/>
  <c r="AG117" i="17"/>
  <c r="AK117" i="17" s="1"/>
  <c r="I106" i="19"/>
  <c r="R123" i="17"/>
  <c r="Q123" i="17"/>
  <c r="T123" i="17"/>
  <c r="S123" i="17"/>
  <c r="Y121" i="17"/>
  <c r="AA121" i="17" s="1"/>
  <c r="BD116" i="17"/>
  <c r="R123" i="16"/>
  <c r="S123" i="16"/>
  <c r="Q123" i="16"/>
  <c r="U123" i="16"/>
  <c r="T123" i="16"/>
  <c r="AL102" i="16"/>
  <c r="AB94" i="3"/>
  <c r="AC94" i="3"/>
  <c r="AI146" i="11"/>
  <c r="D34" i="6"/>
  <c r="M18" i="23" s="1"/>
  <c r="BC110" i="11"/>
  <c r="BJ110" i="11" s="1"/>
  <c r="BC117" i="11"/>
  <c r="BD117" i="11" s="1"/>
  <c r="AH146" i="11"/>
  <c r="AF146" i="11"/>
  <c r="E34" i="6"/>
  <c r="N34" i="6" s="1"/>
  <c r="BC105" i="11"/>
  <c r="BI105" i="11" s="1"/>
  <c r="C94" i="3"/>
  <c r="C99" i="3"/>
  <c r="AC190" i="11"/>
  <c r="AD190" i="11" s="1"/>
  <c r="O66" i="6"/>
  <c r="S66" i="6" s="1"/>
  <c r="AF31" i="6" s="1"/>
  <c r="I91" i="19"/>
  <c r="AE107" i="11"/>
  <c r="AD107" i="11"/>
  <c r="AC107" i="11"/>
  <c r="AE104" i="17"/>
  <c r="AJ104" i="17"/>
  <c r="AD104" i="17"/>
  <c r="AC104" i="17"/>
  <c r="AI104" i="17"/>
  <c r="AH104" i="17"/>
  <c r="E92" i="19"/>
  <c r="AW111" i="11"/>
  <c r="AV111" i="11"/>
  <c r="AG111" i="11"/>
  <c r="AK111" i="11" s="1"/>
  <c r="AZ111" i="11"/>
  <c r="AU111" i="11"/>
  <c r="AX111" i="11"/>
  <c r="AR111" i="11"/>
  <c r="AF111" i="11"/>
  <c r="AT111" i="11"/>
  <c r="BB111" i="11"/>
  <c r="AY111" i="11"/>
  <c r="AS111" i="11"/>
  <c r="BA111" i="11"/>
  <c r="AV106" i="11"/>
  <c r="AU106" i="11"/>
  <c r="AX106" i="11"/>
  <c r="AF106" i="11"/>
  <c r="AW106" i="11"/>
  <c r="AR106" i="11"/>
  <c r="AS106" i="11"/>
  <c r="AZ106" i="11"/>
  <c r="AY106" i="11"/>
  <c r="AT106" i="11"/>
  <c r="BA106" i="11"/>
  <c r="BB106" i="11"/>
  <c r="AG106" i="11"/>
  <c r="AK106" i="11" s="1"/>
  <c r="AD113" i="11"/>
  <c r="AC113" i="11"/>
  <c r="AE113" i="11"/>
  <c r="V192" i="11"/>
  <c r="T192" i="11"/>
  <c r="AI42" i="6" s="1"/>
  <c r="AN102" i="16"/>
  <c r="AC188" i="11"/>
  <c r="AD188" i="11" s="1"/>
  <c r="V187" i="17"/>
  <c r="U187" i="17"/>
  <c r="T187" i="17"/>
  <c r="AE187" i="11"/>
  <c r="AG187" i="11"/>
  <c r="AF187" i="11"/>
  <c r="AH187" i="11"/>
  <c r="W189" i="11"/>
  <c r="AB189" i="11"/>
  <c r="AA189" i="11"/>
  <c r="Y189" i="11"/>
  <c r="W191" i="11"/>
  <c r="Y191" i="11"/>
  <c r="AB191" i="11"/>
  <c r="AA191" i="11"/>
  <c r="W148" i="11"/>
  <c r="AA148" i="11"/>
  <c r="Z148" i="11"/>
  <c r="Y148" i="11"/>
  <c r="AB148" i="11"/>
  <c r="X148" i="11"/>
  <c r="BA112" i="11"/>
  <c r="AU112" i="11"/>
  <c r="AF112" i="11"/>
  <c r="AX112" i="11"/>
  <c r="AS112" i="11"/>
  <c r="AW112" i="11"/>
  <c r="AG112" i="11"/>
  <c r="AK112" i="11" s="1"/>
  <c r="AV112" i="11"/>
  <c r="AT112" i="11"/>
  <c r="BB112" i="11"/>
  <c r="AY112" i="11"/>
  <c r="AR112" i="11"/>
  <c r="AZ112" i="11"/>
  <c r="Y107" i="17"/>
  <c r="Z107" i="17" s="1"/>
  <c r="AD184" i="17"/>
  <c r="AE184" i="17"/>
  <c r="AF184" i="17"/>
  <c r="AI184" i="17"/>
  <c r="AH184" i="17"/>
  <c r="AG184" i="17"/>
  <c r="F68" i="6"/>
  <c r="D68" i="6"/>
  <c r="M68" i="6" s="1"/>
  <c r="E68" i="6"/>
  <c r="AC147" i="11"/>
  <c r="W197" i="11"/>
  <c r="Y197" i="11"/>
  <c r="AB197" i="11"/>
  <c r="AA197" i="11"/>
  <c r="V188" i="17"/>
  <c r="U188" i="17"/>
  <c r="T188" i="17"/>
  <c r="AF103" i="17"/>
  <c r="AW103" i="17"/>
  <c r="AV103" i="17"/>
  <c r="AU103" i="17"/>
  <c r="AX103" i="17"/>
  <c r="AS103" i="17"/>
  <c r="AR103" i="17"/>
  <c r="AY103" i="17"/>
  <c r="AZ103" i="17"/>
  <c r="BA103" i="17"/>
  <c r="BB103" i="17"/>
  <c r="AT103" i="17"/>
  <c r="AG103" i="17"/>
  <c r="AK103" i="17" s="1"/>
  <c r="Y108" i="17"/>
  <c r="Z108" i="17" s="1"/>
  <c r="AA186" i="17"/>
  <c r="Y186" i="17"/>
  <c r="W186" i="17"/>
  <c r="AB186" i="17"/>
  <c r="Z186" i="17"/>
  <c r="X186" i="17"/>
  <c r="AJ186" i="11"/>
  <c r="AK95" i="3"/>
  <c r="AI187" i="11"/>
  <c r="BC102" i="16"/>
  <c r="AE105" i="16"/>
  <c r="AD105" i="16"/>
  <c r="AC105" i="16"/>
  <c r="AC110" i="16"/>
  <c r="AE110" i="16"/>
  <c r="AD110" i="16"/>
  <c r="AO102" i="16"/>
  <c r="AK116" i="16"/>
  <c r="AM102" i="16"/>
  <c r="D92" i="18" s="1"/>
  <c r="N92" i="18" s="1"/>
  <c r="AP102" i="16"/>
  <c r="B128" i="8" s="1"/>
  <c r="AD104" i="16"/>
  <c r="AC104" i="16"/>
  <c r="AE104" i="16"/>
  <c r="AF109" i="16"/>
  <c r="AS109" i="16"/>
  <c r="AW109" i="16"/>
  <c r="AT109" i="16"/>
  <c r="AX109" i="16"/>
  <c r="BB109" i="16"/>
  <c r="AU109" i="16"/>
  <c r="AY109" i="16"/>
  <c r="AV109" i="16"/>
  <c r="AZ109" i="16"/>
  <c r="AR109" i="16"/>
  <c r="BA109" i="16"/>
  <c r="AG109" i="16"/>
  <c r="BC116" i="16"/>
  <c r="BK116" i="16" s="1"/>
  <c r="AF103" i="16"/>
  <c r="AU103" i="16"/>
  <c r="AR103" i="16"/>
  <c r="AV103" i="16"/>
  <c r="AZ103" i="16"/>
  <c r="AS103" i="16"/>
  <c r="AW103" i="16"/>
  <c r="BA103" i="16"/>
  <c r="AX103" i="16"/>
  <c r="BB103" i="16"/>
  <c r="AT103" i="16"/>
  <c r="AY103" i="16"/>
  <c r="AG103" i="16"/>
  <c r="AK103" i="16" s="1"/>
  <c r="A203" i="17"/>
  <c r="A225" i="6"/>
  <c r="A157" i="6"/>
  <c r="A89" i="6"/>
  <c r="O200" i="6"/>
  <c r="S200" i="6" s="1"/>
  <c r="BD29" i="6" s="1"/>
  <c r="O166" i="6"/>
  <c r="S166" i="6" s="1"/>
  <c r="AX29" i="6" s="1"/>
  <c r="H167" i="6"/>
  <c r="H201" i="6"/>
  <c r="J174" i="6"/>
  <c r="P174" i="6" s="1"/>
  <c r="T174" i="6" s="1"/>
  <c r="AY37" i="6" s="1"/>
  <c r="J208" i="6"/>
  <c r="P208" i="6" s="1"/>
  <c r="T208" i="6" s="1"/>
  <c r="BE37" i="6" s="1"/>
  <c r="I167" i="6"/>
  <c r="I201" i="6"/>
  <c r="G167" i="6"/>
  <c r="G201" i="6"/>
  <c r="AI110" i="16"/>
  <c r="AH110" i="16"/>
  <c r="AJ110" i="16"/>
  <c r="AB111" i="16"/>
  <c r="AI111" i="16" s="1"/>
  <c r="O98" i="6"/>
  <c r="S98" i="6" s="1"/>
  <c r="AL29" i="6" s="1"/>
  <c r="G99" i="6"/>
  <c r="BB89" i="18"/>
  <c r="BI89" i="18"/>
  <c r="I100" i="6"/>
  <c r="I134" i="6"/>
  <c r="G100" i="6"/>
  <c r="G134" i="6"/>
  <c r="H100" i="6"/>
  <c r="H134" i="6"/>
  <c r="BI88" i="18"/>
  <c r="BB88" i="18"/>
  <c r="I99" i="6"/>
  <c r="I133" i="6"/>
  <c r="H99" i="6"/>
  <c r="H133" i="6"/>
  <c r="O132" i="6"/>
  <c r="S132" i="6" s="1"/>
  <c r="AR29" i="6" s="1"/>
  <c r="O32" i="6"/>
  <c r="S32" i="6" s="1"/>
  <c r="Z31" i="6" s="1"/>
  <c r="I33" i="6"/>
  <c r="I67" i="6"/>
  <c r="H33" i="6"/>
  <c r="H67" i="6"/>
  <c r="G33" i="6"/>
  <c r="L16" i="23" s="1"/>
  <c r="G67" i="6"/>
  <c r="BB90" i="3"/>
  <c r="BI90" i="3"/>
  <c r="A113" i="19"/>
  <c r="A203" i="16"/>
  <c r="A204" i="11"/>
  <c r="H193" i="11"/>
  <c r="R193" i="11"/>
  <c r="S193" i="11" s="1"/>
  <c r="U193" i="11" s="1"/>
  <c r="CE113" i="11" s="1"/>
  <c r="AQ102" i="17"/>
  <c r="AI113" i="11"/>
  <c r="AI107" i="11"/>
  <c r="Z127" i="8"/>
  <c r="R127" i="8"/>
  <c r="AH127" i="8"/>
  <c r="R90" i="18"/>
  <c r="AP117" i="11"/>
  <c r="B108" i="8" s="1"/>
  <c r="AP105" i="11"/>
  <c r="B96" i="8" s="1"/>
  <c r="X123" i="16"/>
  <c r="V122" i="16"/>
  <c r="Y122" i="16" s="1"/>
  <c r="Z122" i="16" s="1"/>
  <c r="Z174" i="8"/>
  <c r="D105" i="19"/>
  <c r="AQ115" i="17"/>
  <c r="H124" i="17"/>
  <c r="H124" i="16"/>
  <c r="AL110" i="11"/>
  <c r="AI104" i="16"/>
  <c r="X123" i="17"/>
  <c r="U123" i="17"/>
  <c r="V122" i="17"/>
  <c r="R174" i="8"/>
  <c r="D93" i="3"/>
  <c r="N93" i="3" s="1"/>
  <c r="D106" i="19"/>
  <c r="N106" i="19" s="1"/>
  <c r="AQ116" i="17"/>
  <c r="AH174" i="8"/>
  <c r="AQ101" i="17"/>
  <c r="R160" i="8"/>
  <c r="AV204" i="7"/>
  <c r="Z160" i="8"/>
  <c r="AH160" i="8"/>
  <c r="P91" i="18"/>
  <c r="Q91" i="18" s="1"/>
  <c r="S91" i="18" s="1"/>
  <c r="R89" i="18"/>
  <c r="T89" i="18" s="1"/>
  <c r="AV205" i="7"/>
  <c r="L91" i="18"/>
  <c r="A191" i="6"/>
  <c r="A220" i="7"/>
  <c r="A183" i="8"/>
  <c r="A115" i="8"/>
  <c r="A149" i="8"/>
  <c r="AB105" i="17"/>
  <c r="Z94" i="8"/>
  <c r="R94" i="8"/>
  <c r="AH94" i="8"/>
  <c r="L92" i="3"/>
  <c r="P92" i="3"/>
  <c r="Q92" i="3" s="1"/>
  <c r="A113" i="18"/>
  <c r="R91" i="3"/>
  <c r="T91" i="3" s="1"/>
  <c r="S91" i="3"/>
  <c r="U91" i="3" s="1"/>
  <c r="V91" i="3" s="1"/>
  <c r="A186" i="7"/>
  <c r="A163" i="17"/>
  <c r="A123" i="17"/>
  <c r="A123" i="6"/>
  <c r="AH105" i="16"/>
  <c r="AI105" i="16"/>
  <c r="AJ105" i="16"/>
  <c r="AJ104" i="16"/>
  <c r="AH104" i="16"/>
  <c r="Y108" i="16"/>
  <c r="AA112" i="16"/>
  <c r="Z106" i="16"/>
  <c r="AA106" i="16"/>
  <c r="Y107" i="16"/>
  <c r="A163" i="16"/>
  <c r="A123" i="16"/>
  <c r="A124" i="11"/>
  <c r="A164" i="11"/>
  <c r="AM105" i="11"/>
  <c r="BZ105" i="11" s="1"/>
  <c r="AQ104" i="11"/>
  <c r="AN105" i="11"/>
  <c r="AL105" i="11"/>
  <c r="AO105" i="11"/>
  <c r="AL117" i="11"/>
  <c r="AO117" i="11"/>
  <c r="AM117" i="11"/>
  <c r="AN117" i="11"/>
  <c r="Z121" i="11"/>
  <c r="Z109" i="11"/>
  <c r="AJ113" i="11"/>
  <c r="AH113" i="11"/>
  <c r="AJ107" i="11"/>
  <c r="AH107" i="11"/>
  <c r="AB114" i="11"/>
  <c r="AO110" i="11"/>
  <c r="AN110" i="11"/>
  <c r="AM110" i="11"/>
  <c r="N99" i="19" s="1"/>
  <c r="AP110" i="11"/>
  <c r="B101" i="8" s="1"/>
  <c r="AB108" i="11"/>
  <c r="Y122" i="11"/>
  <c r="X124" i="11"/>
  <c r="AA109" i="11"/>
  <c r="U124" i="11"/>
  <c r="R124" i="11"/>
  <c r="T124" i="11"/>
  <c r="S124" i="11"/>
  <c r="V123" i="11"/>
  <c r="H125" i="11"/>
  <c r="Q125" i="11" s="1"/>
  <c r="J116" i="11"/>
  <c r="K115" i="11"/>
  <c r="AA115" i="11" s="1"/>
  <c r="A152" i="7"/>
  <c r="A145" i="4"/>
  <c r="A55" i="6"/>
  <c r="W54" i="6" s="1"/>
  <c r="BH54" i="6" s="1"/>
  <c r="A113" i="3"/>
  <c r="B97" i="9" l="1"/>
  <c r="B131" i="9"/>
  <c r="B157" i="9"/>
  <c r="B191" i="9"/>
  <c r="H242" i="9"/>
  <c r="U242" i="9" s="1"/>
  <c r="G242" i="9"/>
  <c r="T242" i="9" s="1"/>
  <c r="J242" i="9"/>
  <c r="W242" i="9" s="1"/>
  <c r="G129" i="9"/>
  <c r="T129" i="9" s="1"/>
  <c r="J129" i="9"/>
  <c r="W129" i="9" s="1"/>
  <c r="H129" i="9"/>
  <c r="U129" i="9" s="1"/>
  <c r="J156" i="9"/>
  <c r="W156" i="9" s="1"/>
  <c r="G156" i="9"/>
  <c r="T156" i="9" s="1"/>
  <c r="H156" i="9"/>
  <c r="U156" i="9" s="1"/>
  <c r="J130" i="9"/>
  <c r="W130" i="9" s="1"/>
  <c r="H130" i="9"/>
  <c r="U130" i="9" s="1"/>
  <c r="G130" i="9"/>
  <c r="T130" i="9" s="1"/>
  <c r="A109" i="9"/>
  <c r="A143" i="9"/>
  <c r="A279" i="9"/>
  <c r="A211" i="9"/>
  <c r="A245" i="9"/>
  <c r="A177" i="9"/>
  <c r="B197" i="9"/>
  <c r="B163" i="9"/>
  <c r="B277" i="9"/>
  <c r="B243" i="9"/>
  <c r="G208" i="9"/>
  <c r="T208" i="9" s="1"/>
  <c r="H208" i="9"/>
  <c r="U208" i="9" s="1"/>
  <c r="J208" i="9"/>
  <c r="W208" i="9" s="1"/>
  <c r="G276" i="9"/>
  <c r="T276" i="9" s="1"/>
  <c r="J276" i="9"/>
  <c r="W276" i="9" s="1"/>
  <c r="H276" i="9"/>
  <c r="U276" i="9" s="1"/>
  <c r="H124" i="9"/>
  <c r="U124" i="9" s="1"/>
  <c r="G124" i="9"/>
  <c r="T124" i="9" s="1"/>
  <c r="J124" i="9"/>
  <c r="W124" i="9" s="1"/>
  <c r="B225" i="9"/>
  <c r="B259" i="9"/>
  <c r="G224" i="9"/>
  <c r="T224" i="9" s="1"/>
  <c r="J224" i="9"/>
  <c r="W224" i="9" s="1"/>
  <c r="H224" i="9"/>
  <c r="U224" i="9" s="1"/>
  <c r="B192" i="9"/>
  <c r="B158" i="9"/>
  <c r="B91" i="9"/>
  <c r="B125" i="9"/>
  <c r="B175" i="9"/>
  <c r="B209" i="9"/>
  <c r="G258" i="9"/>
  <c r="T258" i="9" s="1"/>
  <c r="H258" i="9"/>
  <c r="U258" i="9" s="1"/>
  <c r="J258" i="9"/>
  <c r="W258" i="9" s="1"/>
  <c r="H190" i="9"/>
  <c r="U190" i="9" s="1"/>
  <c r="J190" i="9"/>
  <c r="W190" i="9" s="1"/>
  <c r="G190" i="9"/>
  <c r="T190" i="9" s="1"/>
  <c r="G196" i="9"/>
  <c r="T196" i="9" s="1"/>
  <c r="H196" i="9"/>
  <c r="U196" i="9" s="1"/>
  <c r="J196" i="9"/>
  <c r="W196" i="9" s="1"/>
  <c r="F143" i="6" s="1"/>
  <c r="G158" i="9"/>
  <c r="T158" i="9" s="1"/>
  <c r="J158" i="9"/>
  <c r="W158" i="9" s="1"/>
  <c r="H158" i="9"/>
  <c r="U158" i="9" s="1"/>
  <c r="G164" i="9"/>
  <c r="T164" i="9" s="1"/>
  <c r="J164" i="9"/>
  <c r="W164" i="9" s="1"/>
  <c r="H164" i="9"/>
  <c r="U164" i="9" s="1"/>
  <c r="G165" i="9"/>
  <c r="T165" i="9" s="1"/>
  <c r="J165" i="9"/>
  <c r="W165" i="9" s="1"/>
  <c r="H165" i="9"/>
  <c r="U165" i="9" s="1"/>
  <c r="J95" i="9"/>
  <c r="W95" i="9" s="1"/>
  <c r="G95" i="9"/>
  <c r="T95" i="9" s="1"/>
  <c r="H95" i="9"/>
  <c r="U95" i="9" s="1"/>
  <c r="G90" i="9"/>
  <c r="T90" i="9" s="1"/>
  <c r="H90" i="9"/>
  <c r="U90" i="9" s="1"/>
  <c r="J90" i="9"/>
  <c r="W90" i="9" s="1"/>
  <c r="P200" i="11"/>
  <c r="Q200" i="11" s="1"/>
  <c r="M200" i="11"/>
  <c r="L144" i="4"/>
  <c r="J186" i="6"/>
  <c r="P186" i="6" s="1"/>
  <c r="T186" i="6" s="1"/>
  <c r="AY49" i="6" s="1"/>
  <c r="BL102" i="17"/>
  <c r="BF116" i="16"/>
  <c r="BJ117" i="11"/>
  <c r="J106" i="3" s="1"/>
  <c r="BG117" i="11"/>
  <c r="BK110" i="11"/>
  <c r="BF110" i="11"/>
  <c r="F99" i="3" s="1"/>
  <c r="BJ116" i="16"/>
  <c r="BK117" i="11"/>
  <c r="CL112" i="11"/>
  <c r="CM112" i="11" s="1"/>
  <c r="CL106" i="11"/>
  <c r="CM106" i="11" s="1"/>
  <c r="BH110" i="11"/>
  <c r="H99" i="3" s="1"/>
  <c r="BL101" i="17"/>
  <c r="BE110" i="11"/>
  <c r="E99" i="3" s="1"/>
  <c r="BG116" i="16"/>
  <c r="BG110" i="11"/>
  <c r="G99" i="3" s="1"/>
  <c r="BI116" i="16"/>
  <c r="BE117" i="11"/>
  <c r="BI110" i="11"/>
  <c r="CE108" i="17"/>
  <c r="AL188" i="17"/>
  <c r="AM188" i="17"/>
  <c r="AH98" i="19" s="1"/>
  <c r="BY106" i="11"/>
  <c r="BV106" i="11"/>
  <c r="BY111" i="11"/>
  <c r="CK104" i="17"/>
  <c r="CG104" i="17"/>
  <c r="CB104" i="17"/>
  <c r="CH104" i="17"/>
  <c r="CJ104" i="17"/>
  <c r="CI104" i="17"/>
  <c r="CD104" i="17"/>
  <c r="CJ107" i="11"/>
  <c r="CH107" i="11"/>
  <c r="CI107" i="11"/>
  <c r="CD107" i="11"/>
  <c r="CK107" i="11"/>
  <c r="CG107" i="11"/>
  <c r="CB107" i="11"/>
  <c r="AJ111" i="16"/>
  <c r="AL116" i="16"/>
  <c r="BY103" i="17"/>
  <c r="H161" i="17"/>
  <c r="G122" i="17"/>
  <c r="AR112" i="19" s="1"/>
  <c r="AU112" i="19" s="1"/>
  <c r="AW112" i="19" s="1"/>
  <c r="AG194" i="17"/>
  <c r="AN192" i="11"/>
  <c r="AO192" i="11" s="1"/>
  <c r="AH101" i="3"/>
  <c r="BL116" i="17"/>
  <c r="BJ105" i="11"/>
  <c r="J94" i="3" s="1"/>
  <c r="CL111" i="11"/>
  <c r="CM111" i="11" s="1"/>
  <c r="BL104" i="11"/>
  <c r="BH105" i="11"/>
  <c r="H94" i="3" s="1"/>
  <c r="BK102" i="16"/>
  <c r="K92" i="18" s="1"/>
  <c r="AN195" i="17"/>
  <c r="AO195" i="17" s="1"/>
  <c r="BF105" i="11"/>
  <c r="F94" i="3" s="1"/>
  <c r="BI102" i="16"/>
  <c r="I92" i="18" s="1"/>
  <c r="CI104" i="16"/>
  <c r="CD104" i="16"/>
  <c r="CK104" i="16"/>
  <c r="CJ104" i="16"/>
  <c r="CH104" i="16"/>
  <c r="CB104" i="16"/>
  <c r="CG104" i="16"/>
  <c r="CE107" i="17"/>
  <c r="AL187" i="17"/>
  <c r="AM187" i="17"/>
  <c r="AH97" i="19" s="1"/>
  <c r="G106" i="19"/>
  <c r="L106" i="19" s="1"/>
  <c r="CK119" i="17"/>
  <c r="CG119" i="17"/>
  <c r="CB119" i="17"/>
  <c r="CJ119" i="17"/>
  <c r="CI119" i="17"/>
  <c r="CD119" i="17"/>
  <c r="CH119" i="17"/>
  <c r="CE116" i="16"/>
  <c r="AL196" i="16"/>
  <c r="AM196" i="16"/>
  <c r="AH106" i="18" s="1"/>
  <c r="CE116" i="17"/>
  <c r="AL196" i="17"/>
  <c r="AM196" i="17"/>
  <c r="AH106" i="19" s="1"/>
  <c r="H161" i="16"/>
  <c r="BW105" i="11"/>
  <c r="BG102" i="16"/>
  <c r="G92" i="18" s="1"/>
  <c r="BH102" i="16"/>
  <c r="H92" i="18" s="1"/>
  <c r="BI117" i="11"/>
  <c r="I106" i="3" s="1"/>
  <c r="CL103" i="17"/>
  <c r="CM103" i="17" s="1"/>
  <c r="BE105" i="11"/>
  <c r="BE102" i="16"/>
  <c r="BL115" i="17"/>
  <c r="BY117" i="11"/>
  <c r="CL103" i="16"/>
  <c r="CM103" i="16" s="1"/>
  <c r="BE116" i="16"/>
  <c r="CL118" i="17"/>
  <c r="CM118" i="17" s="1"/>
  <c r="BK105" i="11"/>
  <c r="P104" i="19"/>
  <c r="CI110" i="16"/>
  <c r="CD110" i="16"/>
  <c r="CG110" i="16"/>
  <c r="CK110" i="16"/>
  <c r="CJ110" i="16"/>
  <c r="CH110" i="16"/>
  <c r="CB110" i="16"/>
  <c r="CK105" i="16"/>
  <c r="CG105" i="16"/>
  <c r="CB105" i="16"/>
  <c r="CJ105" i="16"/>
  <c r="CD105" i="16"/>
  <c r="CI105" i="16"/>
  <c r="CH105" i="16"/>
  <c r="CJ113" i="11"/>
  <c r="CH113" i="11"/>
  <c r="CI113" i="11"/>
  <c r="CD113" i="11"/>
  <c r="CK113" i="11"/>
  <c r="CG113" i="11"/>
  <c r="CB113" i="11"/>
  <c r="AN195" i="16"/>
  <c r="AO195" i="16" s="1"/>
  <c r="BJ102" i="16"/>
  <c r="BH116" i="16"/>
  <c r="CL109" i="16"/>
  <c r="CM109" i="16" s="1"/>
  <c r="AN148" i="11"/>
  <c r="AO148" i="11" s="1"/>
  <c r="CL117" i="17"/>
  <c r="CM117" i="17" s="1"/>
  <c r="BF117" i="11"/>
  <c r="F106" i="3" s="1"/>
  <c r="BG105" i="11"/>
  <c r="G94" i="3" s="1"/>
  <c r="AN186" i="17"/>
  <c r="AO186" i="17" s="1"/>
  <c r="BH117" i="11"/>
  <c r="H106" i="3" s="1"/>
  <c r="BF102" i="16"/>
  <c r="F92" i="18" s="1"/>
  <c r="P105" i="19"/>
  <c r="AC40" i="3"/>
  <c r="AE40" i="3" s="1"/>
  <c r="AF40" i="3" s="1"/>
  <c r="BC40" i="3" s="1"/>
  <c r="BE40" i="3" s="1"/>
  <c r="BG40" i="3" s="1"/>
  <c r="AB40" i="3"/>
  <c r="AD40" i="3" s="1"/>
  <c r="AL193" i="11"/>
  <c r="AM193" i="11"/>
  <c r="Z193" i="11"/>
  <c r="X193" i="11"/>
  <c r="L105" i="19"/>
  <c r="Z121" i="17"/>
  <c r="AA41" i="3"/>
  <c r="AI188" i="11"/>
  <c r="K201" i="11"/>
  <c r="P201" i="11" s="1"/>
  <c r="Q201" i="11" s="1"/>
  <c r="AA107" i="17"/>
  <c r="AB107" i="17" s="1"/>
  <c r="AH188" i="11"/>
  <c r="AH190" i="11"/>
  <c r="H93" i="3"/>
  <c r="P93" i="3" s="1"/>
  <c r="Q93" i="3" s="1"/>
  <c r="AI147" i="11"/>
  <c r="R33" i="6"/>
  <c r="Y32" i="6" s="1"/>
  <c r="AA95" i="3"/>
  <c r="AF217" i="7"/>
  <c r="AV217" i="7" s="1"/>
  <c r="AT217" i="7"/>
  <c r="I94" i="3"/>
  <c r="AH194" i="17"/>
  <c r="AJ193" i="16"/>
  <c r="AM217" i="7"/>
  <c r="AJ193" i="17"/>
  <c r="AF194" i="16"/>
  <c r="AG194" i="16"/>
  <c r="AE194" i="17"/>
  <c r="AK104" i="19" s="1"/>
  <c r="AL104" i="19" s="1"/>
  <c r="L19" i="23"/>
  <c r="AE23" i="23"/>
  <c r="L22" i="23"/>
  <c r="I201" i="16"/>
  <c r="U197" i="17"/>
  <c r="T197" i="17"/>
  <c r="V197" i="17"/>
  <c r="AC195" i="17"/>
  <c r="E185" i="7"/>
  <c r="G185" i="7" s="1"/>
  <c r="AW185" i="7"/>
  <c r="I202" i="11"/>
  <c r="AC195" i="16"/>
  <c r="AD195" i="16" s="1"/>
  <c r="AC41" i="19"/>
  <c r="AE41" i="19" s="1"/>
  <c r="AF41" i="19" s="1"/>
  <c r="BC41" i="19" s="1"/>
  <c r="BE41" i="19" s="1"/>
  <c r="BG41" i="19" s="1"/>
  <c r="AB41" i="19"/>
  <c r="AD41" i="19" s="1"/>
  <c r="F162" i="17"/>
  <c r="F202" i="17"/>
  <c r="F202" i="16"/>
  <c r="F203" i="11"/>
  <c r="F163" i="11"/>
  <c r="F162" i="16"/>
  <c r="AD194" i="17"/>
  <c r="B203" i="17"/>
  <c r="B204" i="11"/>
  <c r="B203" i="16"/>
  <c r="B113" i="19"/>
  <c r="B220" i="7"/>
  <c r="B113" i="18"/>
  <c r="B163" i="17"/>
  <c r="B123" i="17"/>
  <c r="B186" i="7"/>
  <c r="B163" i="16"/>
  <c r="B123" i="16"/>
  <c r="B164" i="11"/>
  <c r="B124" i="11"/>
  <c r="B113" i="3"/>
  <c r="B152" i="7"/>
  <c r="R198" i="16"/>
  <c r="S198" i="16" s="1"/>
  <c r="AV216" i="7"/>
  <c r="E219" i="7"/>
  <c r="G219" i="7" s="1"/>
  <c r="AW219" i="7"/>
  <c r="K53" i="6"/>
  <c r="K87" i="6"/>
  <c r="K189" i="6"/>
  <c r="K223" i="6"/>
  <c r="C203" i="17"/>
  <c r="C204" i="11"/>
  <c r="C203" i="16"/>
  <c r="C163" i="17"/>
  <c r="C123" i="17"/>
  <c r="C163" i="16"/>
  <c r="C123" i="16"/>
  <c r="C164" i="11"/>
  <c r="C124" i="11"/>
  <c r="AB41" i="18"/>
  <c r="AD41" i="18" s="1"/>
  <c r="AC41" i="18"/>
  <c r="AE41" i="18" s="1"/>
  <c r="AF41" i="18" s="1"/>
  <c r="BC41" i="18" s="1"/>
  <c r="BE41" i="18" s="1"/>
  <c r="BG41" i="18" s="1"/>
  <c r="M199" i="17"/>
  <c r="P199" i="17"/>
  <c r="Q199" i="17" s="1"/>
  <c r="I122" i="16"/>
  <c r="I122" i="17"/>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200" i="17"/>
  <c r="AK200" i="17" s="1"/>
  <c r="H200" i="17"/>
  <c r="AL41" i="19"/>
  <c r="AN41" i="19" s="1"/>
  <c r="AM41" i="19"/>
  <c r="AO41" i="19" s="1"/>
  <c r="AP41" i="19" s="1"/>
  <c r="BJ41" i="19" s="1"/>
  <c r="BL41" i="19" s="1"/>
  <c r="BN41" i="19" s="1"/>
  <c r="C145" i="4"/>
  <c r="B145" i="4"/>
  <c r="K145" i="4" s="1"/>
  <c r="I163" i="11"/>
  <c r="K200" i="16"/>
  <c r="AK200" i="16" s="1"/>
  <c r="H200" i="16"/>
  <c r="AW151" i="7"/>
  <c r="E151" i="7"/>
  <c r="G151" i="7" s="1"/>
  <c r="R198" i="17"/>
  <c r="S198" i="17" s="1"/>
  <c r="E144" i="4"/>
  <c r="M144" i="4" s="1"/>
  <c r="D202" i="17"/>
  <c r="CA122" i="17" s="1"/>
  <c r="D202" i="16"/>
  <c r="CA122" i="16" s="1"/>
  <c r="D203" i="11"/>
  <c r="CA123" i="11" s="1"/>
  <c r="I162" i="17"/>
  <c r="AB196" i="16"/>
  <c r="W196" i="16"/>
  <c r="BY116" i="16" s="1"/>
  <c r="Z196" i="16"/>
  <c r="Y196" i="16"/>
  <c r="AA196" i="16"/>
  <c r="X196" i="16"/>
  <c r="AI194" i="17"/>
  <c r="U197" i="16"/>
  <c r="V197" i="16"/>
  <c r="T197" i="16"/>
  <c r="P199" i="16"/>
  <c r="Q199" i="16" s="1"/>
  <c r="M199" i="16"/>
  <c r="I162" i="16"/>
  <c r="BG47" i="6"/>
  <c r="AU47" i="6"/>
  <c r="AM183" i="7"/>
  <c r="AM41" i="3"/>
  <c r="AO41" i="3" s="1"/>
  <c r="AP41" i="3" s="1"/>
  <c r="BJ41" i="3" s="1"/>
  <c r="BL41" i="3" s="1"/>
  <c r="BN41" i="3" s="1"/>
  <c r="AL41" i="3"/>
  <c r="AN41" i="3" s="1"/>
  <c r="K121" i="6"/>
  <c r="K155" i="6"/>
  <c r="AA42" i="18"/>
  <c r="AK42" i="19"/>
  <c r="AA42" i="19"/>
  <c r="AK42" i="18"/>
  <c r="AK42" i="3"/>
  <c r="AE194" i="16"/>
  <c r="AT183" i="7"/>
  <c r="AE184" i="7"/>
  <c r="AI184" i="7"/>
  <c r="AK184" i="7"/>
  <c r="AR184" i="7"/>
  <c r="AH184" i="7"/>
  <c r="AJ184" i="7"/>
  <c r="AL184" i="7"/>
  <c r="AO184" i="7"/>
  <c r="AQ184" i="7"/>
  <c r="AD184" i="7"/>
  <c r="AB184" i="7"/>
  <c r="AA184" i="7"/>
  <c r="AP184" i="7"/>
  <c r="AC184" i="7"/>
  <c r="AN184" i="7"/>
  <c r="AG184" i="7"/>
  <c r="AB196" i="17"/>
  <c r="W196" i="17"/>
  <c r="Z196" i="17"/>
  <c r="AA196" i="17"/>
  <c r="Y196" i="17"/>
  <c r="X196" i="17"/>
  <c r="AF194" i="17"/>
  <c r="AM149" i="7"/>
  <c r="AH194" i="16"/>
  <c r="AL103" i="19"/>
  <c r="AM103" i="19"/>
  <c r="I201" i="17"/>
  <c r="D145" i="4"/>
  <c r="D163" i="16"/>
  <c r="BX123" i="16" s="1"/>
  <c r="D123" i="17"/>
  <c r="D123" i="16"/>
  <c r="D163" i="17"/>
  <c r="BX123" i="17" s="1"/>
  <c r="D164" i="11"/>
  <c r="BX124" i="11" s="1"/>
  <c r="D124" i="11"/>
  <c r="AI194" i="16"/>
  <c r="AM41" i="18"/>
  <c r="AO41" i="18" s="1"/>
  <c r="AP41" i="18" s="1"/>
  <c r="BJ41" i="18" s="1"/>
  <c r="BL41" i="18" s="1"/>
  <c r="BN41" i="18" s="1"/>
  <c r="AL41" i="18"/>
  <c r="AN41" i="18" s="1"/>
  <c r="AM103" i="18"/>
  <c r="AL103" i="18"/>
  <c r="AI190" i="11"/>
  <c r="M34" i="6"/>
  <c r="R34" i="6" s="1"/>
  <c r="Y33" i="6" s="1"/>
  <c r="C101" i="3"/>
  <c r="AF147" i="11"/>
  <c r="L91" i="19"/>
  <c r="P91" i="19"/>
  <c r="K94" i="3"/>
  <c r="E35" i="6"/>
  <c r="AG190" i="11"/>
  <c r="AF188" i="11"/>
  <c r="AE188" i="11"/>
  <c r="BD105" i="11"/>
  <c r="F35" i="6"/>
  <c r="AF190" i="11"/>
  <c r="AE190" i="11"/>
  <c r="AK99" i="3" s="1"/>
  <c r="AG188" i="11"/>
  <c r="N68" i="6"/>
  <c r="R68" i="6" s="1"/>
  <c r="AE33" i="6" s="1"/>
  <c r="J101" i="8"/>
  <c r="J108" i="8"/>
  <c r="AJ146" i="11"/>
  <c r="BD110" i="11"/>
  <c r="C100" i="3"/>
  <c r="I99" i="3"/>
  <c r="K99" i="3"/>
  <c r="BC106" i="11"/>
  <c r="BF106" i="11" s="1"/>
  <c r="AP117" i="17"/>
  <c r="B177" i="8" s="1"/>
  <c r="Y122" i="17"/>
  <c r="Z122" i="17" s="1"/>
  <c r="AD120" i="17"/>
  <c r="AC120" i="17"/>
  <c r="AE120" i="17"/>
  <c r="AJ120" i="17"/>
  <c r="AI120" i="17"/>
  <c r="AH120" i="17"/>
  <c r="AD185" i="17"/>
  <c r="AE185" i="17"/>
  <c r="AI185" i="17"/>
  <c r="AG185" i="17"/>
  <c r="AH185" i="17"/>
  <c r="AF119" i="17"/>
  <c r="AU119" i="17"/>
  <c r="AV119" i="17"/>
  <c r="AW119" i="17"/>
  <c r="AX119" i="17"/>
  <c r="BA119" i="17"/>
  <c r="AR119" i="17"/>
  <c r="AZ119" i="17"/>
  <c r="AT119" i="17"/>
  <c r="BB119" i="17"/>
  <c r="AY119" i="17"/>
  <c r="AS119" i="17"/>
  <c r="AG119" i="17"/>
  <c r="AK119" i="17" s="1"/>
  <c r="AL117" i="17"/>
  <c r="AA108" i="17"/>
  <c r="AB108" i="17" s="1"/>
  <c r="BC117" i="17"/>
  <c r="BH117" i="17" s="1"/>
  <c r="H107" i="19" s="1"/>
  <c r="BC118" i="17"/>
  <c r="BD118" i="17" s="1"/>
  <c r="AO118" i="17"/>
  <c r="S124" i="17"/>
  <c r="R124" i="17"/>
  <c r="Q124" i="17"/>
  <c r="T124" i="17"/>
  <c r="AL118" i="17"/>
  <c r="J92" i="18"/>
  <c r="J142" i="8"/>
  <c r="BD102" i="16"/>
  <c r="J128" i="8"/>
  <c r="AH111" i="16"/>
  <c r="AL103" i="16"/>
  <c r="Q124" i="16"/>
  <c r="U124" i="16"/>
  <c r="R124" i="16"/>
  <c r="S124" i="16"/>
  <c r="T124" i="16"/>
  <c r="AM116" i="16"/>
  <c r="D106" i="18" s="1"/>
  <c r="N106" i="18" s="1"/>
  <c r="AG147" i="11"/>
  <c r="E106" i="3"/>
  <c r="AH147" i="11"/>
  <c r="K106" i="3"/>
  <c r="C95" i="3"/>
  <c r="AE147" i="11"/>
  <c r="BC112" i="11"/>
  <c r="BF112" i="11" s="1"/>
  <c r="BC111" i="11"/>
  <c r="BJ111" i="11" s="1"/>
  <c r="J96" i="8"/>
  <c r="G106" i="3"/>
  <c r="AC148" i="11"/>
  <c r="AC108" i="11"/>
  <c r="AE108" i="11"/>
  <c r="AD108" i="11"/>
  <c r="BC103" i="17"/>
  <c r="BD103" i="17" s="1"/>
  <c r="AK94" i="19"/>
  <c r="AJ184" i="17"/>
  <c r="AC191" i="11"/>
  <c r="AD191" i="11" s="1"/>
  <c r="AJ187" i="11"/>
  <c r="Y187" i="17"/>
  <c r="Z187" i="17"/>
  <c r="W187" i="17"/>
  <c r="AA187" i="17"/>
  <c r="AB187" i="17"/>
  <c r="X187" i="17"/>
  <c r="AF104" i="17"/>
  <c r="AU104" i="17"/>
  <c r="AX104" i="17"/>
  <c r="AW104" i="17"/>
  <c r="AV104" i="17"/>
  <c r="AS104" i="17"/>
  <c r="AR104" i="17"/>
  <c r="AY104" i="17"/>
  <c r="BA104" i="17"/>
  <c r="BB104" i="17"/>
  <c r="AZ104" i="17"/>
  <c r="AT104" i="17"/>
  <c r="AG104" i="17"/>
  <c r="AK104" i="17" s="1"/>
  <c r="D69" i="6"/>
  <c r="M69" i="6" s="1"/>
  <c r="F69" i="6"/>
  <c r="E69" i="6"/>
  <c r="AE114" i="11"/>
  <c r="AD114" i="11"/>
  <c r="AC114" i="11"/>
  <c r="AM95" i="3"/>
  <c r="AL95" i="3"/>
  <c r="AC186" i="17"/>
  <c r="AF186" i="17" s="1"/>
  <c r="AL103" i="17"/>
  <c r="AC189" i="11"/>
  <c r="AD189" i="11" s="1"/>
  <c r="AK96" i="3"/>
  <c r="W192" i="11"/>
  <c r="Y192" i="11"/>
  <c r="AB192" i="11"/>
  <c r="AA192" i="11"/>
  <c r="AX113" i="11"/>
  <c r="AW113" i="11"/>
  <c r="AF113" i="11"/>
  <c r="AV113" i="11"/>
  <c r="AU113" i="11"/>
  <c r="AG113" i="11"/>
  <c r="AK113" i="11" s="1"/>
  <c r="AZ113" i="11"/>
  <c r="AS113" i="11"/>
  <c r="AT113" i="11"/>
  <c r="BA113" i="11"/>
  <c r="AY113" i="11"/>
  <c r="BB113" i="11"/>
  <c r="AR113" i="11"/>
  <c r="AP103" i="16"/>
  <c r="B129" i="8" s="1"/>
  <c r="AC106" i="17"/>
  <c r="AJ106" i="17"/>
  <c r="AI106" i="17"/>
  <c r="AE106" i="17"/>
  <c r="AD106" i="17"/>
  <c r="AH106" i="17"/>
  <c r="AJ105" i="17"/>
  <c r="AE105" i="17"/>
  <c r="AD105" i="17"/>
  <c r="AC105" i="17"/>
  <c r="AI105" i="17"/>
  <c r="AH105" i="17"/>
  <c r="AO103" i="17"/>
  <c r="T193" i="11"/>
  <c r="AI43" i="6" s="1"/>
  <c r="V193" i="11"/>
  <c r="AB188" i="17"/>
  <c r="AA188" i="17"/>
  <c r="W188" i="17"/>
  <c r="Z188" i="17"/>
  <c r="Y188" i="17"/>
  <c r="X188" i="17"/>
  <c r="AC197" i="11"/>
  <c r="E143" i="6"/>
  <c r="D143" i="6"/>
  <c r="AX107" i="11"/>
  <c r="AR107" i="11"/>
  <c r="AW107" i="11"/>
  <c r="AV107" i="11"/>
  <c r="AU107" i="11"/>
  <c r="AF107" i="11"/>
  <c r="AS107" i="11"/>
  <c r="BA107" i="11"/>
  <c r="AY107" i="11"/>
  <c r="BB107" i="11"/>
  <c r="AZ107" i="11"/>
  <c r="AT107" i="11"/>
  <c r="AG107" i="11"/>
  <c r="AK107" i="11" s="1"/>
  <c r="Z175" i="8"/>
  <c r="H183" i="6" s="1"/>
  <c r="AH175" i="8"/>
  <c r="I183" i="6" s="1"/>
  <c r="R175" i="8"/>
  <c r="G217" i="6" s="1"/>
  <c r="AN103" i="16"/>
  <c r="AM103" i="16"/>
  <c r="D93" i="18" s="1"/>
  <c r="N93" i="18" s="1"/>
  <c r="BC109" i="16"/>
  <c r="BK109" i="16" s="1"/>
  <c r="AF105" i="16"/>
  <c r="AS105" i="16"/>
  <c r="AW105" i="16"/>
  <c r="AT105" i="16"/>
  <c r="AX105" i="16"/>
  <c r="BB105" i="16"/>
  <c r="AU105" i="16"/>
  <c r="AY105" i="16"/>
  <c r="AR105" i="16"/>
  <c r="AV105" i="16"/>
  <c r="AZ105" i="16"/>
  <c r="BA105" i="16"/>
  <c r="AG105" i="16"/>
  <c r="AK105" i="16" s="1"/>
  <c r="AC111" i="16"/>
  <c r="AD111" i="16"/>
  <c r="AE111" i="16"/>
  <c r="G106" i="18"/>
  <c r="J106" i="18"/>
  <c r="BD116" i="16"/>
  <c r="H106" i="18"/>
  <c r="I106" i="18"/>
  <c r="AF104" i="16"/>
  <c r="AR104" i="16"/>
  <c r="AV104" i="16"/>
  <c r="AZ104" i="16"/>
  <c r="AS104" i="16"/>
  <c r="AW104" i="16"/>
  <c r="BA104" i="16"/>
  <c r="AX104" i="16"/>
  <c r="AU104" i="16"/>
  <c r="AY104" i="16"/>
  <c r="BB104" i="16"/>
  <c r="AT104" i="16"/>
  <c r="AG104" i="16"/>
  <c r="AK104" i="16" s="1"/>
  <c r="F106" i="18"/>
  <c r="AF110" i="16"/>
  <c r="AT110" i="16"/>
  <c r="AX110" i="16"/>
  <c r="BB110" i="16"/>
  <c r="AU110" i="16"/>
  <c r="AY110" i="16"/>
  <c r="AR110" i="16"/>
  <c r="AV110" i="16"/>
  <c r="BA110" i="16"/>
  <c r="AS110" i="16"/>
  <c r="AW110" i="16"/>
  <c r="AZ110" i="16"/>
  <c r="AG110" i="16"/>
  <c r="AO103" i="16"/>
  <c r="BC103" i="16"/>
  <c r="BI103" i="16" s="1"/>
  <c r="AK109" i="16"/>
  <c r="AP116" i="16"/>
  <c r="B142" i="8" s="1"/>
  <c r="AN116" i="16"/>
  <c r="AO116" i="16"/>
  <c r="K106" i="18"/>
  <c r="O33" i="6"/>
  <c r="S33" i="6" s="1"/>
  <c r="Z32" i="6" s="1"/>
  <c r="AP118" i="17"/>
  <c r="B178" i="8" s="1"/>
  <c r="AO117" i="17"/>
  <c r="O167" i="6"/>
  <c r="S167" i="6" s="1"/>
  <c r="AX30" i="6" s="1"/>
  <c r="A204" i="17"/>
  <c r="A226" i="6"/>
  <c r="A90" i="6"/>
  <c r="A158" i="6"/>
  <c r="O201" i="6"/>
  <c r="S201" i="6" s="1"/>
  <c r="BD30" i="6" s="1"/>
  <c r="I168" i="6"/>
  <c r="I202" i="6"/>
  <c r="J175" i="6"/>
  <c r="P175" i="6" s="1"/>
  <c r="T175" i="6" s="1"/>
  <c r="AY38" i="6" s="1"/>
  <c r="J209" i="6"/>
  <c r="P209" i="6" s="1"/>
  <c r="T209" i="6" s="1"/>
  <c r="BE38" i="6" s="1"/>
  <c r="H182" i="6"/>
  <c r="H216" i="6"/>
  <c r="H168" i="6"/>
  <c r="H202" i="6"/>
  <c r="J176" i="6"/>
  <c r="P176" i="6" s="1"/>
  <c r="T176" i="6" s="1"/>
  <c r="AY39" i="6" s="1"/>
  <c r="J210" i="6"/>
  <c r="P210" i="6" s="1"/>
  <c r="T210" i="6" s="1"/>
  <c r="BE39" i="6" s="1"/>
  <c r="I182" i="6"/>
  <c r="I216" i="6"/>
  <c r="G168" i="6"/>
  <c r="G202" i="6"/>
  <c r="G182" i="6"/>
  <c r="G216" i="6"/>
  <c r="AB106" i="16"/>
  <c r="AB112" i="16"/>
  <c r="AI112" i="16" s="1"/>
  <c r="AQ102" i="16"/>
  <c r="O99" i="6"/>
  <c r="S99" i="6" s="1"/>
  <c r="AL30" i="6" s="1"/>
  <c r="O133" i="6"/>
  <c r="S133" i="6" s="1"/>
  <c r="AR30" i="6" s="1"/>
  <c r="O100" i="6"/>
  <c r="S100" i="6" s="1"/>
  <c r="AL31" i="6" s="1"/>
  <c r="I101" i="6"/>
  <c r="I135" i="6"/>
  <c r="H101" i="6"/>
  <c r="H135" i="6"/>
  <c r="G101" i="6"/>
  <c r="G135" i="6"/>
  <c r="O134" i="6"/>
  <c r="S134" i="6" s="1"/>
  <c r="AR31" i="6" s="1"/>
  <c r="I34" i="6"/>
  <c r="I68" i="6"/>
  <c r="H34" i="6"/>
  <c r="H68" i="6"/>
  <c r="O67" i="6"/>
  <c r="S67" i="6" s="1"/>
  <c r="AF32" i="6" s="1"/>
  <c r="G34" i="6"/>
  <c r="M16" i="23" s="1"/>
  <c r="G68" i="6"/>
  <c r="BB91" i="3"/>
  <c r="BI91" i="3"/>
  <c r="T90" i="18"/>
  <c r="U91" i="18" s="1"/>
  <c r="V91" i="18" s="1"/>
  <c r="A114" i="19"/>
  <c r="A204" i="16"/>
  <c r="A205" i="11"/>
  <c r="H194" i="11"/>
  <c r="R194" i="11"/>
  <c r="S194" i="11" s="1"/>
  <c r="U194" i="11" s="1"/>
  <c r="CE114" i="11" s="1"/>
  <c r="AH176" i="8"/>
  <c r="AN118" i="17"/>
  <c r="AI108" i="11"/>
  <c r="AI114" i="11"/>
  <c r="AB121" i="17"/>
  <c r="H125" i="17"/>
  <c r="H125" i="16"/>
  <c r="AN106" i="11"/>
  <c r="AN117" i="17"/>
  <c r="AM117" i="17"/>
  <c r="R176" i="8"/>
  <c r="V123" i="16"/>
  <c r="Y123" i="16" s="1"/>
  <c r="Z123" i="16" s="1"/>
  <c r="AL112" i="11"/>
  <c r="AN111" i="11"/>
  <c r="AM118" i="17"/>
  <c r="X124" i="16"/>
  <c r="V123" i="17"/>
  <c r="X124" i="17"/>
  <c r="U124" i="17"/>
  <c r="Z176" i="8"/>
  <c r="R91" i="18"/>
  <c r="AH162" i="8"/>
  <c r="Z162" i="8"/>
  <c r="R162" i="8"/>
  <c r="AM103" i="17"/>
  <c r="D93" i="19" s="1"/>
  <c r="N93" i="19" s="1"/>
  <c r="AH161" i="8"/>
  <c r="Z161" i="8"/>
  <c r="R161" i="8"/>
  <c r="U90" i="18"/>
  <c r="V90" i="18" s="1"/>
  <c r="AN103" i="17"/>
  <c r="AP103" i="17"/>
  <c r="B163" i="8" s="1"/>
  <c r="Z95" i="8"/>
  <c r="A184" i="8"/>
  <c r="A192" i="6"/>
  <c r="A221" i="7"/>
  <c r="A116" i="8"/>
  <c r="A150" i="8"/>
  <c r="D106" i="3"/>
  <c r="N106" i="3" s="1"/>
  <c r="R95" i="8"/>
  <c r="AH95" i="8"/>
  <c r="S92" i="3"/>
  <c r="U92" i="3" s="1"/>
  <c r="V92" i="3" s="1"/>
  <c r="R92" i="3"/>
  <c r="T92" i="3" s="1"/>
  <c r="D99" i="3"/>
  <c r="N99" i="3" s="1"/>
  <c r="A114" i="18"/>
  <c r="D94" i="3"/>
  <c r="N94" i="3" s="1"/>
  <c r="D35" i="6"/>
  <c r="N18" i="23" s="1"/>
  <c r="A187" i="7"/>
  <c r="A164" i="17"/>
  <c r="A124" i="17"/>
  <c r="A124" i="6"/>
  <c r="A164" i="16"/>
  <c r="A124" i="16"/>
  <c r="AJ112" i="16"/>
  <c r="AH112" i="16"/>
  <c r="Z107" i="16"/>
  <c r="AA107" i="16"/>
  <c r="Z108" i="16"/>
  <c r="AA108" i="16"/>
  <c r="AA113" i="16"/>
  <c r="A125" i="11"/>
  <c r="A165" i="11"/>
  <c r="AN112" i="11"/>
  <c r="AQ105" i="11"/>
  <c r="AQ117" i="11"/>
  <c r="AO106" i="11"/>
  <c r="AP106" i="11"/>
  <c r="B97" i="8" s="1"/>
  <c r="AO112" i="11"/>
  <c r="AM112" i="11"/>
  <c r="N101" i="19" s="1"/>
  <c r="Q101" i="19" s="1"/>
  <c r="AP112" i="11"/>
  <c r="B103" i="8" s="1"/>
  <c r="AM106" i="11"/>
  <c r="BZ106" i="11" s="1"/>
  <c r="AL106" i="11"/>
  <c r="AL111" i="11"/>
  <c r="AJ108" i="11"/>
  <c r="AH108" i="11"/>
  <c r="Z122" i="11"/>
  <c r="AJ114" i="11"/>
  <c r="AH114" i="11"/>
  <c r="AB109" i="11"/>
  <c r="AM111" i="11"/>
  <c r="N100" i="19" s="1"/>
  <c r="AP111" i="11"/>
  <c r="B102" i="8" s="1"/>
  <c r="AO111" i="11"/>
  <c r="AB115" i="11"/>
  <c r="AQ110" i="11"/>
  <c r="Y123" i="11"/>
  <c r="X125" i="11"/>
  <c r="K116" i="11"/>
  <c r="AA116" i="11" s="1"/>
  <c r="U125" i="11"/>
  <c r="T125" i="11"/>
  <c r="R125" i="11"/>
  <c r="S125" i="11"/>
  <c r="V124" i="11"/>
  <c r="H126" i="11"/>
  <c r="Q126" i="11" s="1"/>
  <c r="A153" i="7"/>
  <c r="A56" i="6"/>
  <c r="W55" i="6" s="1"/>
  <c r="BH55" i="6" s="1"/>
  <c r="A146" i="4"/>
  <c r="A114" i="3"/>
  <c r="B210" i="9" l="1"/>
  <c r="B176" i="9"/>
  <c r="H191" i="9"/>
  <c r="U191" i="9" s="1"/>
  <c r="J191" i="9"/>
  <c r="W191" i="9" s="1"/>
  <c r="G191" i="9"/>
  <c r="T191" i="9" s="1"/>
  <c r="B260" i="9"/>
  <c r="B226" i="9"/>
  <c r="J197" i="9"/>
  <c r="W197" i="9" s="1"/>
  <c r="F144" i="6" s="1"/>
  <c r="G197" i="9"/>
  <c r="T197" i="9" s="1"/>
  <c r="H197" i="9"/>
  <c r="U197" i="9" s="1"/>
  <c r="B132" i="9"/>
  <c r="B98" i="9"/>
  <c r="G209" i="9"/>
  <c r="T209" i="9" s="1"/>
  <c r="J209" i="9"/>
  <c r="W209" i="9" s="1"/>
  <c r="H209" i="9"/>
  <c r="U209" i="9" s="1"/>
  <c r="J243" i="9"/>
  <c r="W243" i="9" s="1"/>
  <c r="H243" i="9"/>
  <c r="U243" i="9" s="1"/>
  <c r="G243" i="9"/>
  <c r="T243" i="9" s="1"/>
  <c r="G131" i="9"/>
  <c r="T131" i="9" s="1"/>
  <c r="J131" i="9"/>
  <c r="W131" i="9" s="1"/>
  <c r="H131" i="9"/>
  <c r="U131" i="9" s="1"/>
  <c r="G125" i="9"/>
  <c r="T125" i="9" s="1"/>
  <c r="H125" i="9"/>
  <c r="U125" i="9" s="1"/>
  <c r="J125" i="9"/>
  <c r="W125" i="9" s="1"/>
  <c r="G225" i="9"/>
  <c r="T225" i="9" s="1"/>
  <c r="H225" i="9"/>
  <c r="U225" i="9" s="1"/>
  <c r="J225" i="9"/>
  <c r="W225" i="9" s="1"/>
  <c r="H163" i="9"/>
  <c r="U163" i="9" s="1"/>
  <c r="G163" i="9"/>
  <c r="T163" i="9" s="1"/>
  <c r="J163" i="9"/>
  <c r="W163" i="9" s="1"/>
  <c r="B261" i="9"/>
  <c r="B227" i="9"/>
  <c r="H157" i="9"/>
  <c r="U157" i="9" s="1"/>
  <c r="J157" i="9"/>
  <c r="W157" i="9" s="1"/>
  <c r="G157" i="9"/>
  <c r="T157" i="9" s="1"/>
  <c r="A246" i="9"/>
  <c r="A178" i="9"/>
  <c r="A280" i="9"/>
  <c r="A212" i="9"/>
  <c r="A110" i="9"/>
  <c r="A144" i="9"/>
  <c r="B126" i="9"/>
  <c r="B92" i="9"/>
  <c r="AV112" i="19"/>
  <c r="B278" i="9"/>
  <c r="B244" i="9"/>
  <c r="G192" i="9"/>
  <c r="T192" i="9" s="1"/>
  <c r="J192" i="9"/>
  <c r="W192" i="9" s="1"/>
  <c r="H192" i="9"/>
  <c r="U192" i="9" s="1"/>
  <c r="J259" i="9"/>
  <c r="W259" i="9" s="1"/>
  <c r="G259" i="9"/>
  <c r="T259" i="9" s="1"/>
  <c r="H259" i="9"/>
  <c r="U259" i="9" s="1"/>
  <c r="G277" i="9"/>
  <c r="T277" i="9" s="1"/>
  <c r="J277" i="9"/>
  <c r="W277" i="9" s="1"/>
  <c r="H277" i="9"/>
  <c r="U277" i="9" s="1"/>
  <c r="G166" i="9"/>
  <c r="T166" i="9" s="1"/>
  <c r="J166" i="9"/>
  <c r="W166" i="9" s="1"/>
  <c r="H166" i="9"/>
  <c r="U166" i="9" s="1"/>
  <c r="M201" i="11"/>
  <c r="BL110" i="11"/>
  <c r="J96" i="9"/>
  <c r="W96" i="9" s="1"/>
  <c r="H96" i="9"/>
  <c r="U96" i="9" s="1"/>
  <c r="G96" i="9"/>
  <c r="T96" i="9" s="1"/>
  <c r="H97" i="9"/>
  <c r="U97" i="9" s="1"/>
  <c r="J97" i="9"/>
  <c r="W97" i="9" s="1"/>
  <c r="G97" i="9"/>
  <c r="T97" i="9" s="1"/>
  <c r="G91" i="9"/>
  <c r="T91" i="9" s="1"/>
  <c r="J91" i="9"/>
  <c r="W91" i="9" s="1"/>
  <c r="H91" i="9"/>
  <c r="U91" i="9" s="1"/>
  <c r="L145" i="4"/>
  <c r="BG106" i="11"/>
  <c r="G95" i="3" s="1"/>
  <c r="BK112" i="11"/>
  <c r="K101" i="3" s="1"/>
  <c r="BK106" i="11"/>
  <c r="K95" i="3" s="1"/>
  <c r="BE109" i="16"/>
  <c r="BI112" i="11"/>
  <c r="I101" i="3" s="1"/>
  <c r="BG109" i="16"/>
  <c r="G99" i="18" s="1"/>
  <c r="BL116" i="16"/>
  <c r="BL102" i="16"/>
  <c r="AN196" i="16"/>
  <c r="AO196" i="16" s="1"/>
  <c r="BH103" i="17"/>
  <c r="H93" i="19" s="1"/>
  <c r="BH112" i="11"/>
  <c r="H101" i="3" s="1"/>
  <c r="BK103" i="16"/>
  <c r="K93" i="18" s="1"/>
  <c r="BF103" i="17"/>
  <c r="F93" i="19" s="1"/>
  <c r="BE103" i="17"/>
  <c r="E93" i="19" s="1"/>
  <c r="CL110" i="16"/>
  <c r="CM110" i="16" s="1"/>
  <c r="BH103" i="16"/>
  <c r="H93" i="18" s="1"/>
  <c r="BG103" i="17"/>
  <c r="G93" i="19" s="1"/>
  <c r="BJ112" i="11"/>
  <c r="J101" i="3" s="1"/>
  <c r="BW106" i="11"/>
  <c r="BF103" i="16"/>
  <c r="BF111" i="11"/>
  <c r="F100" i="3" s="1"/>
  <c r="BG103" i="16"/>
  <c r="G93" i="18" s="1"/>
  <c r="BZ110" i="11"/>
  <c r="BZ114" i="17"/>
  <c r="BF117" i="17"/>
  <c r="BZ103" i="17"/>
  <c r="CL104" i="17"/>
  <c r="CM104" i="17" s="1"/>
  <c r="BY107" i="11"/>
  <c r="BV107" i="11"/>
  <c r="G123" i="17"/>
  <c r="AR113" i="19" s="1"/>
  <c r="AU113" i="19" s="1"/>
  <c r="AW113" i="19" s="1"/>
  <c r="CE117" i="17"/>
  <c r="AL197" i="17"/>
  <c r="AM197" i="17"/>
  <c r="BK118" i="17"/>
  <c r="AD197" i="11"/>
  <c r="AE195" i="17"/>
  <c r="BZ115" i="17" s="1"/>
  <c r="BH118" i="17"/>
  <c r="BI109" i="16"/>
  <c r="I99" i="18" s="1"/>
  <c r="BL105" i="11"/>
  <c r="BF118" i="17"/>
  <c r="CL107" i="11"/>
  <c r="CM107" i="11" s="1"/>
  <c r="AL109" i="16"/>
  <c r="BY109" i="16"/>
  <c r="CK111" i="16"/>
  <c r="CG111" i="16"/>
  <c r="CB111" i="16"/>
  <c r="CJ111" i="16"/>
  <c r="CD111" i="16"/>
  <c r="CI111" i="16"/>
  <c r="CH111" i="16"/>
  <c r="CJ114" i="11"/>
  <c r="CI114" i="11"/>
  <c r="CG114" i="11"/>
  <c r="CD114" i="11"/>
  <c r="CH114" i="11"/>
  <c r="CB114" i="11"/>
  <c r="CK114" i="11"/>
  <c r="E92" i="18"/>
  <c r="L92" i="18" s="1"/>
  <c r="CI120" i="17"/>
  <c r="CD120" i="17"/>
  <c r="CH120" i="17"/>
  <c r="CK120" i="17"/>
  <c r="CG120" i="17"/>
  <c r="CB120" i="17"/>
  <c r="CJ120" i="17"/>
  <c r="E94" i="3"/>
  <c r="L94" i="3" s="1"/>
  <c r="P106" i="19"/>
  <c r="Q106" i="19" s="1"/>
  <c r="BE118" i="17"/>
  <c r="BH106" i="11"/>
  <c r="H95" i="3" s="1"/>
  <c r="CL113" i="11"/>
  <c r="CM113" i="11" s="1"/>
  <c r="BE112" i="11"/>
  <c r="CL105" i="16"/>
  <c r="CM105" i="16" s="1"/>
  <c r="BE103" i="16"/>
  <c r="E93" i="18" s="1"/>
  <c r="BJ106" i="11"/>
  <c r="J95" i="3" s="1"/>
  <c r="BJ118" i="17"/>
  <c r="BI117" i="17"/>
  <c r="I107" i="19" s="1"/>
  <c r="BH111" i="11"/>
  <c r="H100" i="3" s="1"/>
  <c r="CL104" i="16"/>
  <c r="CM104" i="16" s="1"/>
  <c r="BI111" i="11"/>
  <c r="I100" i="3" s="1"/>
  <c r="BJ109" i="16"/>
  <c r="BG118" i="17"/>
  <c r="G108" i="19" s="1"/>
  <c r="BE111" i="11"/>
  <c r="E100" i="3" s="1"/>
  <c r="CI105" i="17"/>
  <c r="CD105" i="17"/>
  <c r="CG105" i="17"/>
  <c r="CH105" i="17"/>
  <c r="CK105" i="17"/>
  <c r="CB105" i="17"/>
  <c r="CJ105" i="17"/>
  <c r="CK106" i="17"/>
  <c r="CG106" i="17"/>
  <c r="CB106" i="17"/>
  <c r="CD106" i="17"/>
  <c r="CJ106" i="17"/>
  <c r="CI106" i="17"/>
  <c r="CH106" i="17"/>
  <c r="H162" i="17"/>
  <c r="H162" i="16"/>
  <c r="AN193" i="11"/>
  <c r="AO193" i="11" s="1"/>
  <c r="AH102" i="3"/>
  <c r="AN196" i="17"/>
  <c r="AO196" i="17" s="1"/>
  <c r="BF109" i="16"/>
  <c r="BI118" i="17"/>
  <c r="AN188" i="17"/>
  <c r="AO188" i="17" s="1"/>
  <c r="F93" i="18"/>
  <c r="BY104" i="17"/>
  <c r="CH108" i="11"/>
  <c r="CJ108" i="11"/>
  <c r="CK108" i="11"/>
  <c r="CG108" i="11"/>
  <c r="CB108" i="11"/>
  <c r="CI108" i="11"/>
  <c r="CD108" i="11"/>
  <c r="AP119" i="17"/>
  <c r="B179" i="8" s="1"/>
  <c r="BY116" i="17"/>
  <c r="CE117" i="16"/>
  <c r="AL197" i="16"/>
  <c r="AM197" i="16"/>
  <c r="BK117" i="17"/>
  <c r="K107" i="19" s="1"/>
  <c r="BE106" i="11"/>
  <c r="E95" i="3" s="1"/>
  <c r="BI103" i="17"/>
  <c r="BJ103" i="16"/>
  <c r="BJ103" i="17"/>
  <c r="CL119" i="17"/>
  <c r="CM119" i="17" s="1"/>
  <c r="BG117" i="17"/>
  <c r="G107" i="19" s="1"/>
  <c r="BG111" i="11"/>
  <c r="AN187" i="17"/>
  <c r="AO187" i="17" s="1"/>
  <c r="BG112" i="11"/>
  <c r="G101" i="3" s="1"/>
  <c r="BE117" i="17"/>
  <c r="BK111" i="11"/>
  <c r="BK103" i="17"/>
  <c r="K93" i="19" s="1"/>
  <c r="BH109" i="16"/>
  <c r="H99" i="18" s="1"/>
  <c r="BL117" i="11"/>
  <c r="BJ117" i="17"/>
  <c r="J107" i="19" s="1"/>
  <c r="BI106" i="11"/>
  <c r="I95" i="3" s="1"/>
  <c r="BY112" i="11"/>
  <c r="AL194" i="11"/>
  <c r="Z194" i="11"/>
  <c r="AM194" i="11"/>
  <c r="AH103" i="3" s="1"/>
  <c r="X194" i="11"/>
  <c r="AK201" i="11"/>
  <c r="BD112" i="11"/>
  <c r="AI195" i="16"/>
  <c r="AA122" i="17"/>
  <c r="AB122" i="17" s="1"/>
  <c r="BD106" i="11"/>
  <c r="F107" i="19"/>
  <c r="AB41" i="3"/>
  <c r="AD41" i="3" s="1"/>
  <c r="AC41" i="3"/>
  <c r="AE41" i="3" s="1"/>
  <c r="AF41" i="3" s="1"/>
  <c r="BC41" i="3" s="1"/>
  <c r="BE41" i="3" s="1"/>
  <c r="BG41" i="3" s="1"/>
  <c r="AA42" i="3"/>
  <c r="L93" i="3"/>
  <c r="BD117" i="17"/>
  <c r="K202" i="11"/>
  <c r="M202" i="11" s="1"/>
  <c r="AF197" i="11"/>
  <c r="AI189" i="11"/>
  <c r="AH191" i="11"/>
  <c r="AC95" i="3"/>
  <c r="AB95" i="3"/>
  <c r="AJ194" i="17"/>
  <c r="AH195" i="17"/>
  <c r="AG195" i="17"/>
  <c r="AH195" i="16"/>
  <c r="AF195" i="16"/>
  <c r="AG195" i="16"/>
  <c r="AE195" i="16"/>
  <c r="AK105" i="18" s="1"/>
  <c r="AM104" i="19"/>
  <c r="AT184" i="7"/>
  <c r="AF23" i="23"/>
  <c r="M19" i="23"/>
  <c r="M22" i="23"/>
  <c r="N21" i="23"/>
  <c r="AK105" i="19"/>
  <c r="AC196" i="16"/>
  <c r="AD196" i="16" s="1"/>
  <c r="I202" i="17"/>
  <c r="B204" i="17"/>
  <c r="B204" i="16"/>
  <c r="B205" i="11"/>
  <c r="B114" i="19"/>
  <c r="B221" i="7"/>
  <c r="B114" i="18"/>
  <c r="B164" i="17"/>
  <c r="B124" i="17"/>
  <c r="B187" i="7"/>
  <c r="B164" i="16"/>
  <c r="B124" i="16"/>
  <c r="B165" i="11"/>
  <c r="B125" i="11"/>
  <c r="B114" i="3"/>
  <c r="B153" i="7"/>
  <c r="AM184" i="7"/>
  <c r="E145" i="4"/>
  <c r="M145" i="4" s="1"/>
  <c r="D203" i="17"/>
  <c r="CA123" i="17" s="1"/>
  <c r="D203" i="16"/>
  <c r="CA123" i="16" s="1"/>
  <c r="D204" i="11"/>
  <c r="CA124" i="11" s="1"/>
  <c r="C204" i="17"/>
  <c r="C204" i="16"/>
  <c r="C205" i="11"/>
  <c r="C164" i="17"/>
  <c r="C124" i="17"/>
  <c r="C164" i="16"/>
  <c r="C124" i="16"/>
  <c r="C165" i="11"/>
  <c r="C125" i="11"/>
  <c r="AI195" i="17"/>
  <c r="J187" i="6"/>
  <c r="P187" i="6" s="1"/>
  <c r="T187" i="6" s="1"/>
  <c r="AY50" i="6" s="1"/>
  <c r="J221" i="6"/>
  <c r="P221" i="6" s="1"/>
  <c r="T221" i="6" s="1"/>
  <c r="BE50" i="6" s="1"/>
  <c r="AW186" i="7"/>
  <c r="E186" i="7"/>
  <c r="G186" i="7" s="1"/>
  <c r="K122" i="6"/>
  <c r="K156" i="6"/>
  <c r="AM42" i="3"/>
  <c r="AO42" i="3" s="1"/>
  <c r="AP42" i="3" s="1"/>
  <c r="BJ42" i="3" s="1"/>
  <c r="BL42" i="3" s="1"/>
  <c r="BN42" i="3" s="1"/>
  <c r="AL42" i="3"/>
  <c r="AN42" i="3" s="1"/>
  <c r="R199" i="17"/>
  <c r="S199" i="17" s="1"/>
  <c r="AV113" i="19"/>
  <c r="AE185" i="7"/>
  <c r="AI185" i="7"/>
  <c r="AK185" i="7"/>
  <c r="AJ185" i="7"/>
  <c r="AR185" i="7"/>
  <c r="AH185" i="7"/>
  <c r="AL185" i="7"/>
  <c r="AC185" i="7"/>
  <c r="AO185" i="7"/>
  <c r="AQ185" i="7"/>
  <c r="AP185" i="7"/>
  <c r="AD185" i="7"/>
  <c r="AA185" i="7"/>
  <c r="AB185" i="7"/>
  <c r="AN185" i="7"/>
  <c r="AG185" i="7"/>
  <c r="I163" i="17"/>
  <c r="AM42" i="18"/>
  <c r="AO42" i="18" s="1"/>
  <c r="AP42" i="18" s="1"/>
  <c r="BJ42" i="18" s="1"/>
  <c r="BL42" i="18" s="1"/>
  <c r="BN42" i="18" s="1"/>
  <c r="AL42" i="18"/>
  <c r="AN42" i="18" s="1"/>
  <c r="V198" i="17"/>
  <c r="U198" i="17"/>
  <c r="T198" i="17"/>
  <c r="T198" i="16"/>
  <c r="V198" i="16"/>
  <c r="U198" i="16"/>
  <c r="AF195" i="17"/>
  <c r="AI151" i="7"/>
  <c r="AO151" i="7"/>
  <c r="AK151" i="7"/>
  <c r="AJ151" i="7"/>
  <c r="AL151" i="7"/>
  <c r="AG151" i="7"/>
  <c r="AH151" i="7"/>
  <c r="AA151" i="7"/>
  <c r="AD195" i="17"/>
  <c r="AC42" i="19"/>
  <c r="AE42" i="19" s="1"/>
  <c r="AF42" i="19" s="1"/>
  <c r="BC42" i="19" s="1"/>
  <c r="BE42" i="19" s="1"/>
  <c r="BG42" i="19" s="1"/>
  <c r="AB42" i="19"/>
  <c r="AD42" i="19" s="1"/>
  <c r="K88" i="6"/>
  <c r="K54" i="6"/>
  <c r="E220" i="7"/>
  <c r="G220" i="7" s="1"/>
  <c r="AW220" i="7"/>
  <c r="G183" i="6"/>
  <c r="O183" i="6" s="1"/>
  <c r="S183" i="6" s="1"/>
  <c r="AX46" i="6" s="1"/>
  <c r="I163" i="16"/>
  <c r="AC196" i="17"/>
  <c r="AM42" i="19"/>
  <c r="AO42" i="19" s="1"/>
  <c r="AP42" i="19" s="1"/>
  <c r="BJ42" i="19" s="1"/>
  <c r="BL42" i="19" s="1"/>
  <c r="BN42" i="19" s="1"/>
  <c r="AL42" i="19"/>
  <c r="AN42" i="19" s="1"/>
  <c r="F163" i="16"/>
  <c r="F204" i="11"/>
  <c r="F164" i="11"/>
  <c r="F163" i="17"/>
  <c r="F203" i="17"/>
  <c r="F203" i="16"/>
  <c r="I124" i="11"/>
  <c r="I123" i="17"/>
  <c r="I123" i="16"/>
  <c r="D146" i="4"/>
  <c r="D164" i="17"/>
  <c r="BX124" i="17" s="1"/>
  <c r="D124" i="16"/>
  <c r="D164" i="16"/>
  <c r="BX124" i="16" s="1"/>
  <c r="D124" i="17"/>
  <c r="D165" i="11"/>
  <c r="BX125" i="11" s="1"/>
  <c r="D125" i="11"/>
  <c r="R199" i="16"/>
  <c r="S199" i="16" s="1"/>
  <c r="M200" i="17"/>
  <c r="P200" i="17"/>
  <c r="Q200" i="17" s="1"/>
  <c r="E152" i="7"/>
  <c r="G152" i="7" s="1"/>
  <c r="AW152" i="7"/>
  <c r="AB197" i="17"/>
  <c r="W197" i="17"/>
  <c r="Z197" i="17"/>
  <c r="Y197" i="17"/>
  <c r="AA197" i="17"/>
  <c r="X197" i="17"/>
  <c r="I164" i="11"/>
  <c r="B146" i="4"/>
  <c r="K146" i="4" s="1"/>
  <c r="C146" i="4"/>
  <c r="K201" i="17"/>
  <c r="AK201" i="17" s="1"/>
  <c r="H201" i="17"/>
  <c r="AK104" i="18"/>
  <c r="AJ194" i="16"/>
  <c r="AC42" i="18"/>
  <c r="AE42" i="18" s="1"/>
  <c r="AF42" i="18" s="1"/>
  <c r="BC42" i="18" s="1"/>
  <c r="BE42" i="18" s="1"/>
  <c r="BG42" i="18" s="1"/>
  <c r="AB42" i="18"/>
  <c r="AD42" i="18" s="1"/>
  <c r="BG48" i="6"/>
  <c r="AU48" i="6"/>
  <c r="AT218" i="7"/>
  <c r="AM150" i="7"/>
  <c r="K224" i="6"/>
  <c r="K190" i="6"/>
  <c r="K201" i="16"/>
  <c r="AK201" i="16" s="1"/>
  <c r="H201" i="16"/>
  <c r="M200" i="16"/>
  <c r="P200" i="16"/>
  <c r="Q200" i="16" s="1"/>
  <c r="AM218" i="7"/>
  <c r="AE219" i="7"/>
  <c r="AI219" i="7"/>
  <c r="AL219" i="7"/>
  <c r="AK219" i="7"/>
  <c r="AO219" i="7"/>
  <c r="AJ219" i="7"/>
  <c r="AH219" i="7"/>
  <c r="AB219" i="7"/>
  <c r="AD219" i="7"/>
  <c r="AR219" i="7"/>
  <c r="AC219" i="7"/>
  <c r="AA219" i="7"/>
  <c r="AP219" i="7"/>
  <c r="AQ219" i="7"/>
  <c r="Z219" i="7"/>
  <c r="AN219" i="7"/>
  <c r="AG219" i="7"/>
  <c r="J222" i="6"/>
  <c r="P222" i="6" s="1"/>
  <c r="T222" i="6" s="1"/>
  <c r="BE51" i="6" s="1"/>
  <c r="J188" i="6"/>
  <c r="P188" i="6" s="1"/>
  <c r="T188" i="6" s="1"/>
  <c r="AY51" i="6" s="1"/>
  <c r="Z197" i="16"/>
  <c r="AB197" i="16"/>
  <c r="W197" i="16"/>
  <c r="Y197" i="16"/>
  <c r="AA197" i="16"/>
  <c r="X197" i="16"/>
  <c r="I203" i="11"/>
  <c r="AA43" i="3"/>
  <c r="AK43" i="18"/>
  <c r="AK43" i="19"/>
  <c r="AA43" i="18"/>
  <c r="AK43" i="3"/>
  <c r="AA43" i="19"/>
  <c r="I202" i="16"/>
  <c r="AF218" i="7"/>
  <c r="AF148" i="11"/>
  <c r="M35" i="6"/>
  <c r="AJ190" i="11"/>
  <c r="F36" i="6"/>
  <c r="I93" i="19"/>
  <c r="AJ188" i="11"/>
  <c r="AF191" i="11"/>
  <c r="N35" i="6"/>
  <c r="AG191" i="11"/>
  <c r="AE191" i="11"/>
  <c r="AK100" i="3" s="1"/>
  <c r="AI191" i="11"/>
  <c r="J93" i="19"/>
  <c r="P106" i="3"/>
  <c r="Q106" i="3" s="1"/>
  <c r="S106" i="3" s="1"/>
  <c r="AK97" i="3"/>
  <c r="AL97" i="3" s="1"/>
  <c r="C102" i="3"/>
  <c r="AH148" i="11"/>
  <c r="BD111" i="11"/>
  <c r="C96" i="3"/>
  <c r="AH189" i="11"/>
  <c r="AI148" i="11"/>
  <c r="G100" i="3"/>
  <c r="AG189" i="11"/>
  <c r="AG148" i="11"/>
  <c r="AE148" i="11"/>
  <c r="BC113" i="11"/>
  <c r="BE113" i="11" s="1"/>
  <c r="N69" i="6"/>
  <c r="R69" i="6" s="1"/>
  <c r="AE34" i="6" s="1"/>
  <c r="J97" i="8"/>
  <c r="J99" i="3"/>
  <c r="L99" i="3" s="1"/>
  <c r="L106" i="3"/>
  <c r="AJ147" i="11"/>
  <c r="J103" i="8"/>
  <c r="J163" i="8"/>
  <c r="I217" i="6"/>
  <c r="J177" i="8"/>
  <c r="H217" i="6"/>
  <c r="J108" i="19"/>
  <c r="Y123" i="17"/>
  <c r="Z123" i="17" s="1"/>
  <c r="H108" i="19"/>
  <c r="AE121" i="17"/>
  <c r="AD121" i="17"/>
  <c r="AC121" i="17"/>
  <c r="AJ121" i="17"/>
  <c r="AI121" i="17"/>
  <c r="AH121" i="17"/>
  <c r="I108" i="19"/>
  <c r="F108" i="19"/>
  <c r="J178" i="8"/>
  <c r="AL119" i="17"/>
  <c r="AK95" i="19"/>
  <c r="AJ185" i="17"/>
  <c r="AF120" i="17"/>
  <c r="AX120" i="17"/>
  <c r="AV120" i="17"/>
  <c r="AU120" i="17"/>
  <c r="AW120" i="17"/>
  <c r="AS120" i="17"/>
  <c r="AR120" i="17"/>
  <c r="AT120" i="17"/>
  <c r="AY120" i="17"/>
  <c r="AZ120" i="17"/>
  <c r="BB120" i="17"/>
  <c r="BA120" i="17"/>
  <c r="AG120" i="17"/>
  <c r="AK120" i="17" s="1"/>
  <c r="AO119" i="17"/>
  <c r="T125" i="17"/>
  <c r="S125" i="17"/>
  <c r="Q125" i="17"/>
  <c r="R125" i="17"/>
  <c r="K108" i="19"/>
  <c r="BC119" i="17"/>
  <c r="BD103" i="16"/>
  <c r="J129" i="8"/>
  <c r="J135" i="8"/>
  <c r="T125" i="16"/>
  <c r="Q125" i="16"/>
  <c r="U125" i="16"/>
  <c r="R125" i="16"/>
  <c r="S125" i="16"/>
  <c r="AL104" i="16"/>
  <c r="J93" i="18"/>
  <c r="AQ116" i="16"/>
  <c r="F145" i="6"/>
  <c r="E145" i="6"/>
  <c r="D145" i="6"/>
  <c r="AL105" i="16"/>
  <c r="J102" i="8"/>
  <c r="AF189" i="11"/>
  <c r="AA96" i="3"/>
  <c r="AC96" i="3" s="1"/>
  <c r="BC107" i="11"/>
  <c r="AL99" i="3"/>
  <c r="AM99" i="3"/>
  <c r="D82" i="6"/>
  <c r="M82" i="6" s="1"/>
  <c r="E82" i="6"/>
  <c r="F82" i="6"/>
  <c r="AE189" i="11"/>
  <c r="AK98" i="3" s="1"/>
  <c r="AE197" i="11"/>
  <c r="D75" i="6"/>
  <c r="M75" i="6" s="1"/>
  <c r="E75" i="6"/>
  <c r="F75" i="6"/>
  <c r="AC187" i="17"/>
  <c r="AH187" i="17" s="1"/>
  <c r="AL96" i="3"/>
  <c r="AM96" i="3"/>
  <c r="AE115" i="11"/>
  <c r="AD115" i="11"/>
  <c r="AC115" i="11"/>
  <c r="AD109" i="11"/>
  <c r="AC109" i="11"/>
  <c r="AE109" i="11"/>
  <c r="AN104" i="16"/>
  <c r="AE108" i="17"/>
  <c r="AJ108" i="17"/>
  <c r="AD108" i="17"/>
  <c r="AI108" i="17"/>
  <c r="AC108" i="17"/>
  <c r="AH108" i="17"/>
  <c r="AC188" i="17"/>
  <c r="BC104" i="17"/>
  <c r="BK104" i="17" s="1"/>
  <c r="AM94" i="19"/>
  <c r="AL94" i="19"/>
  <c r="E144" i="6"/>
  <c r="D144" i="6"/>
  <c r="F37" i="6"/>
  <c r="P21" i="23" s="1"/>
  <c r="AD107" i="17"/>
  <c r="AJ107" i="17"/>
  <c r="AC107" i="17"/>
  <c r="AI107" i="17"/>
  <c r="AE107" i="17"/>
  <c r="AH107" i="17"/>
  <c r="AM109" i="16"/>
  <c r="AF105" i="17"/>
  <c r="AW105" i="17"/>
  <c r="AV105" i="17"/>
  <c r="AU105" i="17"/>
  <c r="AX105" i="17"/>
  <c r="AS105" i="17"/>
  <c r="AR105" i="17"/>
  <c r="AY105" i="17"/>
  <c r="AT105" i="17"/>
  <c r="AZ105" i="17"/>
  <c r="BA105" i="17"/>
  <c r="BB105" i="17"/>
  <c r="AG105" i="17"/>
  <c r="AK105" i="17" s="1"/>
  <c r="AF106" i="17"/>
  <c r="AU106" i="17"/>
  <c r="AX106" i="17"/>
  <c r="AS106" i="17"/>
  <c r="AW106" i="17"/>
  <c r="AV106" i="17"/>
  <c r="AR106" i="17"/>
  <c r="AY106" i="17"/>
  <c r="AT106" i="17"/>
  <c r="BB106" i="17"/>
  <c r="BA106" i="17"/>
  <c r="AZ106" i="17"/>
  <c r="AG106" i="17"/>
  <c r="AK106" i="17" s="1"/>
  <c r="D70" i="6"/>
  <c r="M70" i="6" s="1"/>
  <c r="F70" i="6"/>
  <c r="E70" i="6"/>
  <c r="AC192" i="11"/>
  <c r="AD192" i="11" s="1"/>
  <c r="AG197" i="11"/>
  <c r="AL104" i="17"/>
  <c r="AV108" i="11"/>
  <c r="AF108" i="11"/>
  <c r="AU108" i="11"/>
  <c r="AX108" i="11"/>
  <c r="AS108" i="11"/>
  <c r="AW108" i="11"/>
  <c r="AR108" i="11"/>
  <c r="BA108" i="11"/>
  <c r="AY108" i="11"/>
  <c r="AT108" i="11"/>
  <c r="AZ108" i="11"/>
  <c r="BB108" i="11"/>
  <c r="AG108" i="11"/>
  <c r="AK108" i="11" s="1"/>
  <c r="T194" i="11"/>
  <c r="AI44" i="6" s="1"/>
  <c r="V194" i="11"/>
  <c r="AH197" i="11"/>
  <c r="AI197" i="11"/>
  <c r="W193" i="11"/>
  <c r="AB193" i="11"/>
  <c r="AA193" i="11"/>
  <c r="Y193" i="11"/>
  <c r="AD186" i="17"/>
  <c r="AG186" i="17"/>
  <c r="AE186" i="17"/>
  <c r="AI186" i="17"/>
  <c r="AX114" i="11"/>
  <c r="AG114" i="11"/>
  <c r="AK114" i="11" s="1"/>
  <c r="AW114" i="11"/>
  <c r="AV114" i="11"/>
  <c r="AF114" i="11"/>
  <c r="AY114" i="11"/>
  <c r="AU114" i="11"/>
  <c r="AZ114" i="11"/>
  <c r="AS114" i="11"/>
  <c r="BA114" i="11"/>
  <c r="AT114" i="11"/>
  <c r="AR114" i="11"/>
  <c r="BB114" i="11"/>
  <c r="AH186" i="17"/>
  <c r="O182" i="6"/>
  <c r="S182" i="6" s="1"/>
  <c r="AX45" i="6" s="1"/>
  <c r="R128" i="8"/>
  <c r="G136" i="6" s="1"/>
  <c r="AO105" i="16"/>
  <c r="AP105" i="16"/>
  <c r="B131" i="8" s="1"/>
  <c r="Z128" i="8"/>
  <c r="H102" i="6" s="1"/>
  <c r="AH128" i="8"/>
  <c r="I102" i="6" s="1"/>
  <c r="AC106" i="16"/>
  <c r="AE106" i="16"/>
  <c r="AD106" i="16"/>
  <c r="AK110" i="16"/>
  <c r="BC104" i="16"/>
  <c r="BE104" i="16" s="1"/>
  <c r="E106" i="18"/>
  <c r="BD109" i="16"/>
  <c r="J99" i="18"/>
  <c r="F99" i="18"/>
  <c r="AO104" i="16"/>
  <c r="K99" i="18"/>
  <c r="AP109" i="16"/>
  <c r="B135" i="8" s="1"/>
  <c r="AN109" i="16"/>
  <c r="AO109" i="16"/>
  <c r="AD112" i="16"/>
  <c r="AC112" i="16"/>
  <c r="AE112" i="16"/>
  <c r="AP104" i="16"/>
  <c r="B130" i="8" s="1"/>
  <c r="BC110" i="16"/>
  <c r="BJ110" i="16" s="1"/>
  <c r="AM104" i="16"/>
  <c r="D94" i="18" s="1"/>
  <c r="N94" i="18" s="1"/>
  <c r="AN105" i="16"/>
  <c r="AF111" i="16"/>
  <c r="AU111" i="16"/>
  <c r="AR111" i="16"/>
  <c r="AV111" i="16"/>
  <c r="AS111" i="16"/>
  <c r="AW111" i="16"/>
  <c r="BA111" i="16"/>
  <c r="BB111" i="16"/>
  <c r="AT111" i="16"/>
  <c r="AX111" i="16"/>
  <c r="AZ111" i="16"/>
  <c r="AY111" i="16"/>
  <c r="AG111" i="16"/>
  <c r="AM105" i="16"/>
  <c r="D95" i="18" s="1"/>
  <c r="N95" i="18" s="1"/>
  <c r="BC105" i="16"/>
  <c r="O216" i="6"/>
  <c r="S216" i="6" s="1"/>
  <c r="BD45" i="6" s="1"/>
  <c r="O202" i="6"/>
  <c r="S202" i="6" s="1"/>
  <c r="BD31" i="6" s="1"/>
  <c r="O168" i="6"/>
  <c r="S168" i="6" s="1"/>
  <c r="AX31" i="6" s="1"/>
  <c r="A205" i="17"/>
  <c r="A227" i="6"/>
  <c r="A159" i="6"/>
  <c r="A91" i="6"/>
  <c r="G170" i="6"/>
  <c r="G204" i="6"/>
  <c r="I184" i="6"/>
  <c r="I218" i="6"/>
  <c r="I169" i="6"/>
  <c r="I203" i="6"/>
  <c r="G169" i="6"/>
  <c r="G203" i="6"/>
  <c r="I170" i="6"/>
  <c r="I204" i="6"/>
  <c r="H184" i="6"/>
  <c r="H218" i="6"/>
  <c r="H169" i="6"/>
  <c r="H203" i="6"/>
  <c r="H170" i="6"/>
  <c r="H204" i="6"/>
  <c r="G184" i="6"/>
  <c r="G218" i="6"/>
  <c r="AB108" i="16"/>
  <c r="AB107" i="16"/>
  <c r="AB113" i="16"/>
  <c r="O135" i="6"/>
  <c r="S135" i="6" s="1"/>
  <c r="AR32" i="6" s="1"/>
  <c r="O101" i="6"/>
  <c r="S101" i="6" s="1"/>
  <c r="AL32" i="6" s="1"/>
  <c r="T91" i="18"/>
  <c r="BI90" i="18"/>
  <c r="BB90" i="18"/>
  <c r="BI91" i="18"/>
  <c r="BB91" i="18"/>
  <c r="O34" i="6"/>
  <c r="S34" i="6" s="1"/>
  <c r="Z33" i="6" s="1"/>
  <c r="H35" i="6"/>
  <c r="H69" i="6"/>
  <c r="I35" i="6"/>
  <c r="I69" i="6"/>
  <c r="G35" i="6"/>
  <c r="N16" i="23" s="1"/>
  <c r="G69" i="6"/>
  <c r="O68" i="6"/>
  <c r="S68" i="6" s="1"/>
  <c r="AF33" i="6" s="1"/>
  <c r="BB92" i="3"/>
  <c r="BI92" i="3"/>
  <c r="A115" i="19"/>
  <c r="A206" i="11"/>
  <c r="A205" i="16"/>
  <c r="AH108" i="8"/>
  <c r="H195" i="11"/>
  <c r="R195" i="11"/>
  <c r="S195" i="11" s="1"/>
  <c r="U195" i="11" s="1"/>
  <c r="CE115" i="11" s="1"/>
  <c r="R108" i="8"/>
  <c r="AI115" i="11"/>
  <c r="AI109" i="11"/>
  <c r="AH96" i="8"/>
  <c r="Z108" i="8"/>
  <c r="Z96" i="8"/>
  <c r="R96" i="8"/>
  <c r="S106" i="19"/>
  <c r="R106" i="19"/>
  <c r="V124" i="16"/>
  <c r="Y124" i="16" s="1"/>
  <c r="Z124" i="16" s="1"/>
  <c r="D107" i="19"/>
  <c r="AQ117" i="17"/>
  <c r="AM119" i="17"/>
  <c r="AN119" i="17"/>
  <c r="X125" i="16"/>
  <c r="H126" i="17"/>
  <c r="H126" i="16"/>
  <c r="AL113" i="11"/>
  <c r="V124" i="17"/>
  <c r="D108" i="19"/>
  <c r="AQ118" i="17"/>
  <c r="X125" i="17"/>
  <c r="U125" i="17"/>
  <c r="AQ103" i="17"/>
  <c r="AM104" i="17"/>
  <c r="D94" i="19" s="1"/>
  <c r="N94" i="19" s="1"/>
  <c r="AP104" i="17"/>
  <c r="B164" i="8" s="1"/>
  <c r="AN104" i="17"/>
  <c r="AO104" i="17"/>
  <c r="L92" i="19"/>
  <c r="P92" i="19"/>
  <c r="L99" i="19"/>
  <c r="P99" i="19"/>
  <c r="Q99" i="19" s="1"/>
  <c r="S101" i="19"/>
  <c r="R101" i="19"/>
  <c r="A222" i="7"/>
  <c r="A185" i="8"/>
  <c r="A193" i="6"/>
  <c r="A151" i="8"/>
  <c r="A117" i="8"/>
  <c r="AH101" i="8"/>
  <c r="Z101" i="8"/>
  <c r="R101" i="8"/>
  <c r="A115" i="18"/>
  <c r="D100" i="3"/>
  <c r="N100" i="3" s="1"/>
  <c r="F101" i="3"/>
  <c r="F95" i="3"/>
  <c r="D101" i="3"/>
  <c r="N101" i="3" s="1"/>
  <c r="D95" i="3"/>
  <c r="N95" i="3" s="1"/>
  <c r="K100" i="3"/>
  <c r="E101" i="3"/>
  <c r="S93" i="3"/>
  <c r="U93" i="3" s="1"/>
  <c r="V93" i="3" s="1"/>
  <c r="R93" i="3"/>
  <c r="T93" i="3" s="1"/>
  <c r="AQ103" i="16"/>
  <c r="E36" i="6"/>
  <c r="D36" i="6"/>
  <c r="A188" i="7"/>
  <c r="A165" i="17"/>
  <c r="A125" i="17"/>
  <c r="A125" i="6"/>
  <c r="AJ106" i="16"/>
  <c r="AI106" i="16"/>
  <c r="AH106" i="16"/>
  <c r="AA114" i="16"/>
  <c r="A165" i="16"/>
  <c r="A125" i="16"/>
  <c r="A126" i="11"/>
  <c r="A166" i="11"/>
  <c r="AQ106" i="11"/>
  <c r="AM113" i="11"/>
  <c r="N102" i="19" s="1"/>
  <c r="Q102" i="19" s="1"/>
  <c r="AN113" i="11"/>
  <c r="AO113" i="11"/>
  <c r="AP113" i="11"/>
  <c r="B104" i="8" s="1"/>
  <c r="AQ112" i="11"/>
  <c r="AO107" i="11"/>
  <c r="AP107" i="11"/>
  <c r="B98" i="8" s="1"/>
  <c r="AM107" i="11"/>
  <c r="BZ107" i="11" s="1"/>
  <c r="AN107" i="11"/>
  <c r="Z123" i="11"/>
  <c r="AJ115" i="11"/>
  <c r="AH115" i="11"/>
  <c r="AL107" i="11"/>
  <c r="AJ109" i="11"/>
  <c r="AH109" i="11"/>
  <c r="AQ111" i="11"/>
  <c r="AB116" i="11"/>
  <c r="Y124" i="11"/>
  <c r="X126" i="11"/>
  <c r="U126" i="11"/>
  <c r="S126" i="11"/>
  <c r="T126" i="11"/>
  <c r="R126" i="11"/>
  <c r="V125" i="11"/>
  <c r="H127" i="11"/>
  <c r="Q127" i="11" s="1"/>
  <c r="A154" i="7"/>
  <c r="A57" i="6"/>
  <c r="W56" i="6" s="1"/>
  <c r="BH56" i="6" s="1"/>
  <c r="A147" i="4"/>
  <c r="A115" i="3"/>
  <c r="G227" i="9" l="1"/>
  <c r="T227" i="9" s="1"/>
  <c r="J227" i="9"/>
  <c r="W227" i="9" s="1"/>
  <c r="H227" i="9"/>
  <c r="U227" i="9" s="1"/>
  <c r="B159" i="9"/>
  <c r="B193" i="9"/>
  <c r="H261" i="9"/>
  <c r="U261" i="9" s="1"/>
  <c r="G261" i="9"/>
  <c r="T261" i="9" s="1"/>
  <c r="J261" i="9"/>
  <c r="W261" i="9" s="1"/>
  <c r="G132" i="9"/>
  <c r="T132" i="9" s="1"/>
  <c r="H132" i="9"/>
  <c r="U132" i="9" s="1"/>
  <c r="J132" i="9"/>
  <c r="W132" i="9" s="1"/>
  <c r="A247" i="9"/>
  <c r="A281" i="9"/>
  <c r="A213" i="9"/>
  <c r="A179" i="9"/>
  <c r="A111" i="9"/>
  <c r="A145" i="9"/>
  <c r="B93" i="9"/>
  <c r="B127" i="9"/>
  <c r="H244" i="9"/>
  <c r="U244" i="9" s="1"/>
  <c r="G244" i="9"/>
  <c r="T244" i="9" s="1"/>
  <c r="J244" i="9"/>
  <c r="W244" i="9" s="1"/>
  <c r="G126" i="9"/>
  <c r="T126" i="9" s="1"/>
  <c r="J126" i="9"/>
  <c r="W126" i="9" s="1"/>
  <c r="H126" i="9"/>
  <c r="U126" i="9" s="1"/>
  <c r="G260" i="9"/>
  <c r="T260" i="9" s="1"/>
  <c r="J260" i="9"/>
  <c r="W260" i="9" s="1"/>
  <c r="H260" i="9"/>
  <c r="U260" i="9" s="1"/>
  <c r="B245" i="9"/>
  <c r="B279" i="9"/>
  <c r="B177" i="9"/>
  <c r="B211" i="9"/>
  <c r="J226" i="9"/>
  <c r="W226" i="9" s="1"/>
  <c r="H226" i="9"/>
  <c r="U226" i="9" s="1"/>
  <c r="G226" i="9"/>
  <c r="T226" i="9" s="1"/>
  <c r="B133" i="9"/>
  <c r="B99" i="9"/>
  <c r="B262" i="9"/>
  <c r="B228" i="9"/>
  <c r="B229" i="9"/>
  <c r="B263" i="9"/>
  <c r="G278" i="9"/>
  <c r="T278" i="9" s="1"/>
  <c r="H278" i="9"/>
  <c r="U278" i="9" s="1"/>
  <c r="J278" i="9"/>
  <c r="W278" i="9" s="1"/>
  <c r="G210" i="9"/>
  <c r="T210" i="9" s="1"/>
  <c r="J210" i="9"/>
  <c r="W210" i="9" s="1"/>
  <c r="H210" i="9"/>
  <c r="U210" i="9" s="1"/>
  <c r="P92" i="18"/>
  <c r="Q92" i="18" s="1"/>
  <c r="S92" i="18" s="1"/>
  <c r="U92" i="18" s="1"/>
  <c r="V92" i="18" s="1"/>
  <c r="BI92" i="18" s="1"/>
  <c r="P94" i="3"/>
  <c r="Q94" i="3" s="1"/>
  <c r="S94" i="3" s="1"/>
  <c r="U94" i="3" s="1"/>
  <c r="V94" i="3" s="1"/>
  <c r="J92" i="9"/>
  <c r="W92" i="9" s="1"/>
  <c r="H92" i="9"/>
  <c r="U92" i="9" s="1"/>
  <c r="G92" i="9"/>
  <c r="T92" i="9" s="1"/>
  <c r="H98" i="9"/>
  <c r="U98" i="9" s="1"/>
  <c r="J98" i="9"/>
  <c r="W98" i="9" s="1"/>
  <c r="G98" i="9"/>
  <c r="T98" i="9" s="1"/>
  <c r="L146" i="4"/>
  <c r="BF113" i="11"/>
  <c r="F102" i="3" s="1"/>
  <c r="BL103" i="16"/>
  <c r="BI104" i="16"/>
  <c r="BL118" i="17"/>
  <c r="BF104" i="16"/>
  <c r="F94" i="18" s="1"/>
  <c r="BL112" i="11"/>
  <c r="BF104" i="17"/>
  <c r="BF110" i="16"/>
  <c r="BL117" i="17"/>
  <c r="BL103" i="17"/>
  <c r="BZ104" i="17"/>
  <c r="BL109" i="16"/>
  <c r="BZ111" i="11"/>
  <c r="CL114" i="11"/>
  <c r="CM114" i="11" s="1"/>
  <c r="BY106" i="17"/>
  <c r="CK108" i="17"/>
  <c r="CG108" i="17"/>
  <c r="CB108" i="17"/>
  <c r="CJ108" i="17"/>
  <c r="CD108" i="17"/>
  <c r="CH108" i="17"/>
  <c r="CI108" i="17"/>
  <c r="CH115" i="11"/>
  <c r="CI115" i="11"/>
  <c r="CB115" i="11"/>
  <c r="CK115" i="11"/>
  <c r="CG115" i="11"/>
  <c r="CJ115" i="11"/>
  <c r="CD115" i="11"/>
  <c r="BH107" i="11"/>
  <c r="BH119" i="17"/>
  <c r="BH105" i="16"/>
  <c r="BJ119" i="17"/>
  <c r="CK121" i="17"/>
  <c r="CG121" i="17"/>
  <c r="CB121" i="17"/>
  <c r="CJ121" i="17"/>
  <c r="CI121" i="17"/>
  <c r="CD121" i="17"/>
  <c r="CH121" i="17"/>
  <c r="G124" i="17"/>
  <c r="AR114" i="19" s="1"/>
  <c r="AU114" i="19" s="1"/>
  <c r="AW114" i="19" s="1"/>
  <c r="BH110" i="16"/>
  <c r="BE105" i="16"/>
  <c r="E95" i="18" s="1"/>
  <c r="CL111" i="16"/>
  <c r="CM111" i="16" s="1"/>
  <c r="BJ104" i="16"/>
  <c r="J94" i="18" s="1"/>
  <c r="BI107" i="11"/>
  <c r="I96" i="3" s="1"/>
  <c r="BW107" i="11"/>
  <c r="CI112" i="16"/>
  <c r="CD112" i="16"/>
  <c r="CK112" i="16"/>
  <c r="CJ112" i="16"/>
  <c r="CB112" i="16"/>
  <c r="CH112" i="16"/>
  <c r="CG112" i="16"/>
  <c r="AL110" i="16"/>
  <c r="BY110" i="16"/>
  <c r="CI107" i="17"/>
  <c r="CD107" i="17"/>
  <c r="CK107" i="17"/>
  <c r="CJ107" i="17"/>
  <c r="CH107" i="17"/>
  <c r="CG107" i="17"/>
  <c r="CB107" i="17"/>
  <c r="CJ109" i="11"/>
  <c r="CH109" i="11"/>
  <c r="CI109" i="11"/>
  <c r="CD109" i="11"/>
  <c r="CB109" i="11"/>
  <c r="CK109" i="11"/>
  <c r="CG109" i="11"/>
  <c r="AP120" i="17"/>
  <c r="B180" i="8" s="1"/>
  <c r="H163" i="16"/>
  <c r="CE118" i="16"/>
  <c r="AL198" i="16"/>
  <c r="AM198" i="16"/>
  <c r="AH108" i="18" s="1"/>
  <c r="CE118" i="17"/>
  <c r="AL198" i="17"/>
  <c r="AM198" i="17"/>
  <c r="AH108" i="19" s="1"/>
  <c r="H163" i="17"/>
  <c r="AN197" i="16"/>
  <c r="AO197" i="16" s="1"/>
  <c r="AH107" i="18"/>
  <c r="BI104" i="17"/>
  <c r="I94" i="19" s="1"/>
  <c r="BF105" i="16"/>
  <c r="BK110" i="16"/>
  <c r="K100" i="18" s="1"/>
  <c r="BE119" i="17"/>
  <c r="E109" i="19" s="1"/>
  <c r="BG107" i="11"/>
  <c r="G96" i="3" s="1"/>
  <c r="CL106" i="17"/>
  <c r="CM106" i="17" s="1"/>
  <c r="BG104" i="16"/>
  <c r="G94" i="18" s="1"/>
  <c r="BH113" i="11"/>
  <c r="H102" i="3" s="1"/>
  <c r="BF107" i="11"/>
  <c r="F96" i="3" s="1"/>
  <c r="BI110" i="16"/>
  <c r="I100" i="18" s="1"/>
  <c r="BE104" i="17"/>
  <c r="E94" i="19" s="1"/>
  <c r="BY113" i="11"/>
  <c r="AN197" i="17"/>
  <c r="AO197" i="17" s="1"/>
  <c r="AH107" i="19"/>
  <c r="BJ104" i="17"/>
  <c r="J94" i="19" s="1"/>
  <c r="BK104" i="16"/>
  <c r="K94" i="18" s="1"/>
  <c r="BY108" i="11"/>
  <c r="BV108" i="11"/>
  <c r="BG119" i="17"/>
  <c r="G109" i="19" s="1"/>
  <c r="BK107" i="11"/>
  <c r="BY105" i="17"/>
  <c r="AE196" i="17"/>
  <c r="BZ116" i="17" s="1"/>
  <c r="BL106" i="11"/>
  <c r="CL108" i="11"/>
  <c r="CM108" i="11" s="1"/>
  <c r="BE107" i="11"/>
  <c r="E96" i="3" s="1"/>
  <c r="BH104" i="16"/>
  <c r="H94" i="18" s="1"/>
  <c r="BJ113" i="11"/>
  <c r="J102" i="3" s="1"/>
  <c r="CL105" i="17"/>
  <c r="CM105" i="17" s="1"/>
  <c r="BK113" i="11"/>
  <c r="K102" i="3" s="1"/>
  <c r="BJ107" i="11"/>
  <c r="J96" i="3" s="1"/>
  <c r="BI119" i="17"/>
  <c r="I109" i="19" s="1"/>
  <c r="BF119" i="17"/>
  <c r="BK105" i="16"/>
  <c r="K95" i="18" s="1"/>
  <c r="CI106" i="16"/>
  <c r="CD106" i="16"/>
  <c r="CJ106" i="16"/>
  <c r="CH106" i="16"/>
  <c r="CB106" i="16"/>
  <c r="CG106" i="16"/>
  <c r="CK106" i="16"/>
  <c r="E108" i="19"/>
  <c r="L108" i="19" s="1"/>
  <c r="BY117" i="17"/>
  <c r="E107" i="19"/>
  <c r="BK119" i="17"/>
  <c r="K109" i="19" s="1"/>
  <c r="BI113" i="11"/>
  <c r="I102" i="3" s="1"/>
  <c r="BI105" i="16"/>
  <c r="I95" i="18" s="1"/>
  <c r="BE110" i="16"/>
  <c r="E100" i="18" s="1"/>
  <c r="BG105" i="16"/>
  <c r="BL111" i="11"/>
  <c r="CL120" i="17"/>
  <c r="CM120" i="17" s="1"/>
  <c r="BH104" i="17"/>
  <c r="H94" i="19" s="1"/>
  <c r="BG113" i="11"/>
  <c r="G102" i="3" s="1"/>
  <c r="BJ105" i="16"/>
  <c r="J95" i="18" s="1"/>
  <c r="BZ109" i="16"/>
  <c r="BZ117" i="11"/>
  <c r="BG104" i="17"/>
  <c r="BG110" i="16"/>
  <c r="G100" i="18" s="1"/>
  <c r="AN194" i="11"/>
  <c r="AO194" i="11" s="1"/>
  <c r="AL195" i="11"/>
  <c r="AM195" i="11"/>
  <c r="AH104" i="3" s="1"/>
  <c r="Z195" i="11"/>
  <c r="X195" i="11"/>
  <c r="AK202" i="11"/>
  <c r="AB42" i="3"/>
  <c r="AD42" i="3" s="1"/>
  <c r="AC42" i="3"/>
  <c r="AE42" i="3" s="1"/>
  <c r="AF42" i="3" s="1"/>
  <c r="BC42" i="3" s="1"/>
  <c r="BE42" i="3" s="1"/>
  <c r="BG42" i="3" s="1"/>
  <c r="F94" i="19"/>
  <c r="P202" i="11"/>
  <c r="Q202" i="11" s="1"/>
  <c r="BD104" i="17"/>
  <c r="K203" i="11"/>
  <c r="P203" i="11" s="1"/>
  <c r="Q203" i="11" s="1"/>
  <c r="AG192" i="11"/>
  <c r="N36" i="6"/>
  <c r="AJ195" i="16"/>
  <c r="AA97" i="3"/>
  <c r="AB97" i="3" s="1"/>
  <c r="P99" i="3"/>
  <c r="Q99" i="3" s="1"/>
  <c r="S99" i="3" s="1"/>
  <c r="AH196" i="16"/>
  <c r="AE196" i="16"/>
  <c r="O18" i="23"/>
  <c r="AI196" i="16"/>
  <c r="AG196" i="16"/>
  <c r="AF196" i="16"/>
  <c r="R35" i="6"/>
  <c r="Y34" i="6" s="1"/>
  <c r="AJ195" i="17"/>
  <c r="N22" i="23"/>
  <c r="O21" i="23"/>
  <c r="AT219" i="7"/>
  <c r="N19" i="23"/>
  <c r="AG23" i="23"/>
  <c r="AK106" i="19"/>
  <c r="AL43" i="3"/>
  <c r="AN43" i="3" s="1"/>
  <c r="AM43" i="3"/>
  <c r="AO43" i="3" s="1"/>
  <c r="AP43" i="3" s="1"/>
  <c r="BJ43" i="3" s="1"/>
  <c r="BL43" i="3" s="1"/>
  <c r="BN43" i="3" s="1"/>
  <c r="AC197" i="16"/>
  <c r="AD197" i="16" s="1"/>
  <c r="B205" i="17"/>
  <c r="B206" i="11"/>
  <c r="B205" i="16"/>
  <c r="B115" i="19"/>
  <c r="B222" i="7"/>
  <c r="B115" i="18"/>
  <c r="B165" i="17"/>
  <c r="B125" i="17"/>
  <c r="B188" i="7"/>
  <c r="B165" i="16"/>
  <c r="B125" i="16"/>
  <c r="B166" i="11"/>
  <c r="B126" i="11"/>
  <c r="B154" i="7"/>
  <c r="B115" i="3"/>
  <c r="K55" i="6"/>
  <c r="K89" i="6"/>
  <c r="I164" i="17"/>
  <c r="AW153" i="7"/>
  <c r="E153" i="7"/>
  <c r="G153" i="7" s="1"/>
  <c r="AC43" i="18"/>
  <c r="AE43" i="18" s="1"/>
  <c r="AF43" i="18" s="1"/>
  <c r="BC43" i="18" s="1"/>
  <c r="BE43" i="18" s="1"/>
  <c r="BG43" i="18" s="1"/>
  <c r="AB43" i="18"/>
  <c r="AD43" i="18" s="1"/>
  <c r="AF219" i="7"/>
  <c r="AV218" i="7"/>
  <c r="AI152" i="7"/>
  <c r="AA152" i="7"/>
  <c r="AJ152" i="7"/>
  <c r="AG152" i="7"/>
  <c r="AH152" i="7"/>
  <c r="AL152" i="7"/>
  <c r="AK152" i="7"/>
  <c r="AO152" i="7"/>
  <c r="D147" i="4"/>
  <c r="D125" i="16"/>
  <c r="D125" i="17"/>
  <c r="D165" i="16"/>
  <c r="BX125" i="16" s="1"/>
  <c r="D165" i="17"/>
  <c r="BX125" i="17" s="1"/>
  <c r="D166" i="11"/>
  <c r="BX126" i="11" s="1"/>
  <c r="D126" i="11"/>
  <c r="R200" i="17"/>
  <c r="S200" i="17" s="1"/>
  <c r="AD196" i="17"/>
  <c r="AC197" i="17"/>
  <c r="I203" i="16"/>
  <c r="K202" i="17"/>
  <c r="AK202" i="17" s="1"/>
  <c r="H202" i="17"/>
  <c r="AM43" i="18"/>
  <c r="AO43" i="18" s="1"/>
  <c r="AP43" i="18" s="1"/>
  <c r="BJ43" i="18" s="1"/>
  <c r="BL43" i="18" s="1"/>
  <c r="BN43" i="18" s="1"/>
  <c r="AL43" i="18"/>
  <c r="AN43" i="18" s="1"/>
  <c r="W198" i="16"/>
  <c r="AB198" i="16"/>
  <c r="Z198" i="16"/>
  <c r="Y198" i="16"/>
  <c r="AA198" i="16"/>
  <c r="X198" i="16"/>
  <c r="AM185" i="7"/>
  <c r="F165" i="11"/>
  <c r="F164" i="17"/>
  <c r="F164" i="16"/>
  <c r="F204" i="17"/>
  <c r="F205" i="11"/>
  <c r="F204" i="16"/>
  <c r="I203" i="17"/>
  <c r="R200" i="16"/>
  <c r="S200" i="16" s="1"/>
  <c r="V199" i="16"/>
  <c r="U199" i="16"/>
  <c r="T199" i="16"/>
  <c r="AL105" i="18"/>
  <c r="AM105" i="18"/>
  <c r="AT185" i="7"/>
  <c r="E146" i="4"/>
  <c r="M146" i="4" s="1"/>
  <c r="D205" i="11"/>
  <c r="CA125" i="11" s="1"/>
  <c r="D204" i="17"/>
  <c r="CA124" i="17" s="1"/>
  <c r="D204" i="16"/>
  <c r="CA124" i="16" s="1"/>
  <c r="K202" i="16"/>
  <c r="AK202" i="16" s="1"/>
  <c r="H202" i="16"/>
  <c r="AF196" i="17"/>
  <c r="K225" i="6"/>
  <c r="K191" i="6"/>
  <c r="AU49" i="6"/>
  <c r="BG49" i="6"/>
  <c r="AW187" i="7"/>
  <c r="E187" i="7"/>
  <c r="G187" i="7" s="1"/>
  <c r="AG196" i="17"/>
  <c r="AM104" i="18"/>
  <c r="AL104" i="18"/>
  <c r="AE220" i="7"/>
  <c r="AO220" i="7"/>
  <c r="AI220" i="7"/>
  <c r="AK220" i="7"/>
  <c r="AL220" i="7"/>
  <c r="AJ220" i="7"/>
  <c r="AH220" i="7"/>
  <c r="AC220" i="7"/>
  <c r="AR220" i="7"/>
  <c r="AB220" i="7"/>
  <c r="AP220" i="7"/>
  <c r="AA220" i="7"/>
  <c r="AD220" i="7"/>
  <c r="AQ220" i="7"/>
  <c r="Z220" i="7"/>
  <c r="AG220" i="7"/>
  <c r="AN220" i="7"/>
  <c r="B147" i="4"/>
  <c r="K147" i="4" s="1"/>
  <c r="C147" i="4"/>
  <c r="I204" i="11"/>
  <c r="AH196" i="17"/>
  <c r="AC43" i="3"/>
  <c r="AB43" i="3"/>
  <c r="I165" i="11"/>
  <c r="AM151" i="7"/>
  <c r="W198" i="17"/>
  <c r="BY118" i="17" s="1"/>
  <c r="Z198" i="17"/>
  <c r="AB198" i="17"/>
  <c r="Y198" i="17"/>
  <c r="AA198" i="17"/>
  <c r="X198" i="17"/>
  <c r="AI196" i="17"/>
  <c r="P201" i="16"/>
  <c r="Q201" i="16" s="1"/>
  <c r="M201" i="16"/>
  <c r="M201" i="17"/>
  <c r="P201" i="17"/>
  <c r="Q201" i="17" s="1"/>
  <c r="AE186" i="7"/>
  <c r="AI186" i="7"/>
  <c r="AR186" i="7"/>
  <c r="AH186" i="7"/>
  <c r="AJ186" i="7"/>
  <c r="AK186" i="7"/>
  <c r="AL186" i="7"/>
  <c r="AD186" i="7"/>
  <c r="AA186" i="7"/>
  <c r="AC186" i="7"/>
  <c r="AO186" i="7"/>
  <c r="AP186" i="7"/>
  <c r="AB186" i="7"/>
  <c r="AQ186" i="7"/>
  <c r="AG186" i="7"/>
  <c r="AN186" i="7"/>
  <c r="AK44" i="18"/>
  <c r="AA44" i="18"/>
  <c r="AK44" i="19"/>
  <c r="AA44" i="19"/>
  <c r="AK44" i="3"/>
  <c r="AM43" i="19"/>
  <c r="AO43" i="19" s="1"/>
  <c r="AP43" i="19" s="1"/>
  <c r="BJ43" i="19" s="1"/>
  <c r="BL43" i="19" s="1"/>
  <c r="BN43" i="19" s="1"/>
  <c r="AL43" i="19"/>
  <c r="AN43" i="19" s="1"/>
  <c r="BD113" i="11"/>
  <c r="I164" i="16"/>
  <c r="D150" i="6"/>
  <c r="M150" i="6" s="1"/>
  <c r="F150" i="6"/>
  <c r="E150" i="6"/>
  <c r="K157" i="6"/>
  <c r="K123" i="6"/>
  <c r="E221" i="7"/>
  <c r="G221" i="7" s="1"/>
  <c r="AW221" i="7"/>
  <c r="AM105" i="19"/>
  <c r="AL105" i="19"/>
  <c r="AB43" i="19"/>
  <c r="AD43" i="19" s="1"/>
  <c r="AC43" i="19"/>
  <c r="AE43" i="19" s="1"/>
  <c r="AF43" i="19" s="1"/>
  <c r="BC43" i="19" s="1"/>
  <c r="BE43" i="19" s="1"/>
  <c r="BG43" i="19" s="1"/>
  <c r="AM219" i="7"/>
  <c r="C205" i="17"/>
  <c r="C206" i="11"/>
  <c r="C205" i="16"/>
  <c r="C165" i="17"/>
  <c r="C125" i="17"/>
  <c r="C125" i="16"/>
  <c r="C165" i="16"/>
  <c r="C166" i="11"/>
  <c r="C126" i="11"/>
  <c r="V199" i="17"/>
  <c r="U199" i="17"/>
  <c r="T199" i="17"/>
  <c r="I124" i="16"/>
  <c r="I124" i="17"/>
  <c r="I125" i="11"/>
  <c r="AH177" i="8"/>
  <c r="I219" i="6" s="1"/>
  <c r="O217" i="6"/>
  <c r="S217" i="6" s="1"/>
  <c r="BD46" i="6" s="1"/>
  <c r="M36" i="6"/>
  <c r="J104" i="8"/>
  <c r="J131" i="8"/>
  <c r="AJ191" i="11"/>
  <c r="C97" i="3"/>
  <c r="AM97" i="3"/>
  <c r="Z177" i="8"/>
  <c r="H219" i="6" s="1"/>
  <c r="AA123" i="17"/>
  <c r="AB123" i="17" s="1"/>
  <c r="AM120" i="17"/>
  <c r="D110" i="19" s="1"/>
  <c r="AN120" i="17"/>
  <c r="J179" i="8"/>
  <c r="J109" i="19"/>
  <c r="R178" i="8"/>
  <c r="G186" i="6" s="1"/>
  <c r="R177" i="8"/>
  <c r="G185" i="6" s="1"/>
  <c r="J164" i="8"/>
  <c r="D99" i="18"/>
  <c r="N99" i="18" s="1"/>
  <c r="J100" i="3"/>
  <c r="P100" i="3" s="1"/>
  <c r="Q100" i="3" s="1"/>
  <c r="C103" i="3"/>
  <c r="AJ148" i="11"/>
  <c r="N70" i="6"/>
  <c r="R70" i="6" s="1"/>
  <c r="AE35" i="6" s="1"/>
  <c r="E102" i="3"/>
  <c r="J98" i="8"/>
  <c r="AH192" i="11"/>
  <c r="AB96" i="3"/>
  <c r="BC114" i="11"/>
  <c r="BH114" i="11" s="1"/>
  <c r="AJ189" i="11"/>
  <c r="E37" i="6"/>
  <c r="N37" i="6" s="1"/>
  <c r="K94" i="19"/>
  <c r="G94" i="19"/>
  <c r="H109" i="19"/>
  <c r="F109" i="19"/>
  <c r="BD119" i="17"/>
  <c r="Q126" i="17"/>
  <c r="T126" i="17"/>
  <c r="S126" i="17"/>
  <c r="R126" i="17"/>
  <c r="Z178" i="8"/>
  <c r="H186" i="6" s="1"/>
  <c r="BC120" i="17"/>
  <c r="BI120" i="17" s="1"/>
  <c r="AF121" i="17"/>
  <c r="AV121" i="17"/>
  <c r="AU121" i="17"/>
  <c r="AW121" i="17"/>
  <c r="AX121" i="17"/>
  <c r="BB121" i="17"/>
  <c r="AR121" i="17"/>
  <c r="AT121" i="17"/>
  <c r="BA121" i="17"/>
  <c r="AS121" i="17"/>
  <c r="AY121" i="17"/>
  <c r="AZ121" i="17"/>
  <c r="AG121" i="17"/>
  <c r="AO120" i="17"/>
  <c r="AL120" i="17"/>
  <c r="AL95" i="19"/>
  <c r="AM95" i="19"/>
  <c r="AE122" i="17"/>
  <c r="AD122" i="17"/>
  <c r="AC122" i="17"/>
  <c r="AJ122" i="17"/>
  <c r="AI122" i="17"/>
  <c r="AH122" i="17"/>
  <c r="H136" i="6"/>
  <c r="J130" i="8"/>
  <c r="T126" i="16"/>
  <c r="Q126" i="16"/>
  <c r="R126" i="16"/>
  <c r="S126" i="16"/>
  <c r="U126" i="16"/>
  <c r="F146" i="6"/>
  <c r="E146" i="6"/>
  <c r="D146" i="6"/>
  <c r="I93" i="18"/>
  <c r="L93" i="18" s="1"/>
  <c r="J136" i="8"/>
  <c r="AI192" i="11"/>
  <c r="AF192" i="11"/>
  <c r="BC108" i="11"/>
  <c r="BG108" i="11" s="1"/>
  <c r="N75" i="6"/>
  <c r="R75" i="6" s="1"/>
  <c r="AE40" i="6" s="1"/>
  <c r="N82" i="6"/>
  <c r="R82" i="6" s="1"/>
  <c r="AE47" i="6" s="1"/>
  <c r="K96" i="3"/>
  <c r="BD107" i="11"/>
  <c r="AE192" i="11"/>
  <c r="BZ112" i="11" s="1"/>
  <c r="D37" i="6"/>
  <c r="P18" i="23" s="1"/>
  <c r="AK106" i="3"/>
  <c r="AL106" i="3" s="1"/>
  <c r="AH178" i="8"/>
  <c r="I220" i="6" s="1"/>
  <c r="R142" i="8"/>
  <c r="G150" i="6" s="1"/>
  <c r="O169" i="6"/>
  <c r="S169" i="6" s="1"/>
  <c r="AX32" i="6" s="1"/>
  <c r="AC193" i="11"/>
  <c r="AD193" i="11" s="1"/>
  <c r="AJ197" i="11"/>
  <c r="AD187" i="17"/>
  <c r="AG187" i="17"/>
  <c r="AI187" i="17"/>
  <c r="AE187" i="17"/>
  <c r="AK97" i="19" s="1"/>
  <c r="AF187" i="17"/>
  <c r="AL100" i="3"/>
  <c r="AM100" i="3"/>
  <c r="AK96" i="19"/>
  <c r="AJ186" i="17"/>
  <c r="AL105" i="17"/>
  <c r="D76" i="6"/>
  <c r="M76" i="6" s="1"/>
  <c r="E76" i="6"/>
  <c r="F76" i="6"/>
  <c r="AU109" i="11"/>
  <c r="AX109" i="11"/>
  <c r="AF109" i="11"/>
  <c r="AW109" i="11"/>
  <c r="AV109" i="11"/>
  <c r="AR109" i="11"/>
  <c r="AS109" i="11"/>
  <c r="BB109" i="11"/>
  <c r="AY109" i="11"/>
  <c r="BA109" i="11"/>
  <c r="AT109" i="11"/>
  <c r="AZ109" i="11"/>
  <c r="AG109" i="11"/>
  <c r="AK109" i="11" s="1"/>
  <c r="AQ109" i="16"/>
  <c r="AM110" i="16"/>
  <c r="BZ110" i="16" s="1"/>
  <c r="BC106" i="17"/>
  <c r="BK106" i="17" s="1"/>
  <c r="AF107" i="17"/>
  <c r="AW107" i="17"/>
  <c r="AV107" i="17"/>
  <c r="AU107" i="17"/>
  <c r="AX107" i="17"/>
  <c r="AS107" i="17"/>
  <c r="AR107" i="17"/>
  <c r="AY107" i="17"/>
  <c r="BA107" i="17"/>
  <c r="AT107" i="17"/>
  <c r="BB107" i="17"/>
  <c r="AZ107" i="17"/>
  <c r="AG107" i="17"/>
  <c r="AK107" i="17" s="1"/>
  <c r="AD188" i="17"/>
  <c r="AE188" i="17"/>
  <c r="AI188" i="17"/>
  <c r="AH188" i="17"/>
  <c r="AG188" i="17"/>
  <c r="AF188" i="17"/>
  <c r="AF108" i="17"/>
  <c r="AU108" i="17"/>
  <c r="AX108" i="17"/>
  <c r="AS108" i="17"/>
  <c r="AW108" i="17"/>
  <c r="AV108" i="17"/>
  <c r="AR108" i="17"/>
  <c r="AY108" i="17"/>
  <c r="BA108" i="17"/>
  <c r="BB108" i="17"/>
  <c r="AT108" i="17"/>
  <c r="AZ108" i="17"/>
  <c r="AG108" i="17"/>
  <c r="AK108" i="17" s="1"/>
  <c r="D77" i="6"/>
  <c r="M77" i="6" s="1"/>
  <c r="F77" i="6"/>
  <c r="E77" i="6"/>
  <c r="F38" i="6"/>
  <c r="AC116" i="11"/>
  <c r="AE116" i="11"/>
  <c r="AD116" i="11"/>
  <c r="V195" i="11"/>
  <c r="T195" i="11"/>
  <c r="AI45" i="6" s="1"/>
  <c r="F100" i="18"/>
  <c r="BC105" i="17"/>
  <c r="BK105" i="17" s="1"/>
  <c r="D71" i="6"/>
  <c r="M71" i="6" s="1"/>
  <c r="E71" i="6"/>
  <c r="F71" i="6"/>
  <c r="AV115" i="11"/>
  <c r="AZ115" i="11"/>
  <c r="AU115" i="11"/>
  <c r="AG115" i="11"/>
  <c r="AK115" i="11" s="1"/>
  <c r="AX115" i="11"/>
  <c r="AR115" i="11"/>
  <c r="AF115" i="11"/>
  <c r="AW115" i="11"/>
  <c r="BB115" i="11"/>
  <c r="AY115" i="11"/>
  <c r="AS115" i="11"/>
  <c r="BA115" i="11"/>
  <c r="AT115" i="11"/>
  <c r="W194" i="11"/>
  <c r="AB194" i="11"/>
  <c r="AA194" i="11"/>
  <c r="Y194" i="11"/>
  <c r="AL106" i="17"/>
  <c r="I94" i="18"/>
  <c r="BD104" i="16"/>
  <c r="BD105" i="16"/>
  <c r="H95" i="18"/>
  <c r="G102" i="6"/>
  <c r="O102" i="6" s="1"/>
  <c r="S102" i="6" s="1"/>
  <c r="AL33" i="6" s="1"/>
  <c r="I136" i="6"/>
  <c r="AE113" i="16"/>
  <c r="AD113" i="16"/>
  <c r="AC113" i="16"/>
  <c r="P106" i="18"/>
  <c r="Q106" i="18" s="1"/>
  <c r="L106" i="18"/>
  <c r="AC107" i="16"/>
  <c r="AD107" i="16"/>
  <c r="AE107" i="16"/>
  <c r="AK111" i="16"/>
  <c r="Z142" i="8"/>
  <c r="AF112" i="16"/>
  <c r="AR112" i="16"/>
  <c r="AV112" i="16"/>
  <c r="AX112" i="16"/>
  <c r="AY112" i="16"/>
  <c r="AS112" i="16"/>
  <c r="AZ112" i="16"/>
  <c r="AU112" i="16"/>
  <c r="BA112" i="16"/>
  <c r="AW112" i="16"/>
  <c r="AT112" i="16"/>
  <c r="BB112" i="16"/>
  <c r="AG112" i="16"/>
  <c r="AD108" i="16"/>
  <c r="AC108" i="16"/>
  <c r="AE108" i="16"/>
  <c r="E99" i="18"/>
  <c r="AF106" i="16"/>
  <c r="AT106" i="16"/>
  <c r="AX106" i="16"/>
  <c r="BB106" i="16"/>
  <c r="AU106" i="16"/>
  <c r="AY106" i="16"/>
  <c r="AR106" i="16"/>
  <c r="AV106" i="16"/>
  <c r="AW106" i="16"/>
  <c r="BA106" i="16"/>
  <c r="AS106" i="16"/>
  <c r="AZ106" i="16"/>
  <c r="AG106" i="16"/>
  <c r="AK106" i="16" s="1"/>
  <c r="AP110" i="16"/>
  <c r="B136" i="8" s="1"/>
  <c r="AO110" i="16"/>
  <c r="AN110" i="16"/>
  <c r="BC111" i="16"/>
  <c r="BG111" i="16" s="1"/>
  <c r="J100" i="18"/>
  <c r="BD110" i="16"/>
  <c r="AH142" i="8"/>
  <c r="H100" i="18"/>
  <c r="AK121" i="17"/>
  <c r="O204" i="6"/>
  <c r="S204" i="6" s="1"/>
  <c r="BD33" i="6" s="1"/>
  <c r="H48" i="6"/>
  <c r="H82" i="6"/>
  <c r="G48" i="6"/>
  <c r="G82" i="6"/>
  <c r="I48" i="6"/>
  <c r="I82" i="6"/>
  <c r="A206" i="17"/>
  <c r="A228" i="6"/>
  <c r="A160" i="6"/>
  <c r="A92" i="6"/>
  <c r="O170" i="6"/>
  <c r="S170" i="6" s="1"/>
  <c r="AX33" i="6" s="1"/>
  <c r="AL98" i="3"/>
  <c r="AM98" i="3"/>
  <c r="O184" i="6"/>
  <c r="S184" i="6" s="1"/>
  <c r="AX47" i="6" s="1"/>
  <c r="O218" i="6"/>
  <c r="S218" i="6" s="1"/>
  <c r="BD47" i="6" s="1"/>
  <c r="O203" i="6"/>
  <c r="S203" i="6" s="1"/>
  <c r="BD32" i="6" s="1"/>
  <c r="AJ113" i="16"/>
  <c r="AI113" i="16"/>
  <c r="AH113" i="16"/>
  <c r="AB114" i="16"/>
  <c r="AJ114" i="16" s="1"/>
  <c r="O35" i="6"/>
  <c r="S35" i="6" s="1"/>
  <c r="Z34" i="6" s="1"/>
  <c r="I36" i="6"/>
  <c r="I70" i="6"/>
  <c r="G36" i="6"/>
  <c r="O16" i="23" s="1"/>
  <c r="G70" i="6"/>
  <c r="O69" i="6"/>
  <c r="S69" i="6" s="1"/>
  <c r="AF34" i="6" s="1"/>
  <c r="H36" i="6"/>
  <c r="H70" i="6"/>
  <c r="H41" i="6"/>
  <c r="H75" i="6"/>
  <c r="G41" i="6"/>
  <c r="G75" i="6"/>
  <c r="I41" i="6"/>
  <c r="I75" i="6"/>
  <c r="BB93" i="3"/>
  <c r="BI93" i="3"/>
  <c r="AO105" i="17"/>
  <c r="A116" i="19"/>
  <c r="A207" i="11"/>
  <c r="A206" i="16"/>
  <c r="H196" i="11"/>
  <c r="R196" i="11"/>
  <c r="S196" i="11" s="1"/>
  <c r="U196" i="11" s="1"/>
  <c r="CE116" i="11" s="1"/>
  <c r="AI116" i="11"/>
  <c r="R106" i="3"/>
  <c r="P107" i="19"/>
  <c r="L107" i="19"/>
  <c r="H127" i="17"/>
  <c r="H127" i="16"/>
  <c r="X126" i="16"/>
  <c r="V125" i="16"/>
  <c r="Y125" i="16" s="1"/>
  <c r="Z125" i="16" s="1"/>
  <c r="V125" i="17"/>
  <c r="X126" i="17"/>
  <c r="U126" i="17"/>
  <c r="P108" i="19"/>
  <c r="D109" i="19"/>
  <c r="AQ119" i="17"/>
  <c r="AP108" i="11"/>
  <c r="B99" i="8" s="1"/>
  <c r="AO114" i="11"/>
  <c r="AI108" i="16"/>
  <c r="Y124" i="17"/>
  <c r="AP105" i="17"/>
  <c r="B165" i="8" s="1"/>
  <c r="AM105" i="17"/>
  <c r="D95" i="19" s="1"/>
  <c r="N95" i="19" s="1"/>
  <c r="AN105" i="17"/>
  <c r="AQ104" i="17"/>
  <c r="AM106" i="17"/>
  <c r="D96" i="19" s="1"/>
  <c r="N96" i="19" s="1"/>
  <c r="R163" i="8"/>
  <c r="Z163" i="8"/>
  <c r="AH163" i="8"/>
  <c r="AQ105" i="16"/>
  <c r="AQ104" i="16"/>
  <c r="AH129" i="8"/>
  <c r="E94" i="18"/>
  <c r="R99" i="19"/>
  <c r="S99" i="19"/>
  <c r="L93" i="19"/>
  <c r="P93" i="19"/>
  <c r="S102" i="19"/>
  <c r="R102" i="19"/>
  <c r="AH108" i="16"/>
  <c r="L100" i="19"/>
  <c r="P100" i="19"/>
  <c r="Q100" i="19" s="1"/>
  <c r="Z103" i="8"/>
  <c r="AH103" i="8"/>
  <c r="R102" i="8"/>
  <c r="Z102" i="8"/>
  <c r="AH102" i="8"/>
  <c r="R129" i="8"/>
  <c r="A186" i="8"/>
  <c r="A223" i="7"/>
  <c r="A194" i="6"/>
  <c r="A118" i="8"/>
  <c r="A152" i="8"/>
  <c r="Z129" i="8"/>
  <c r="Z97" i="8"/>
  <c r="R97" i="8"/>
  <c r="AH97" i="8"/>
  <c r="R103" i="8"/>
  <c r="L95" i="3"/>
  <c r="AP106" i="17"/>
  <c r="B166" i="8" s="1"/>
  <c r="R94" i="3"/>
  <c r="T94" i="3" s="1"/>
  <c r="AJ108" i="16"/>
  <c r="P95" i="3"/>
  <c r="Q95" i="3" s="1"/>
  <c r="D96" i="3"/>
  <c r="N96" i="3" s="1"/>
  <c r="A116" i="18"/>
  <c r="D102" i="3"/>
  <c r="N102" i="3" s="1"/>
  <c r="L101" i="3"/>
  <c r="P101" i="3"/>
  <c r="Q101" i="3" s="1"/>
  <c r="AN106" i="17"/>
  <c r="A189" i="7"/>
  <c r="A166" i="17"/>
  <c r="A126" i="17"/>
  <c r="A126" i="6"/>
  <c r="AO106" i="17"/>
  <c r="AJ107" i="16"/>
  <c r="AI107" i="16"/>
  <c r="AH107" i="16"/>
  <c r="AA115" i="16"/>
  <c r="A166" i="16"/>
  <c r="A126" i="16"/>
  <c r="A127" i="11"/>
  <c r="A167" i="11"/>
  <c r="AM108" i="11"/>
  <c r="BW108" i="11" s="1"/>
  <c r="AL108" i="11"/>
  <c r="AQ113" i="11"/>
  <c r="AN114" i="11"/>
  <c r="AN108" i="11"/>
  <c r="AO108" i="11"/>
  <c r="AP114" i="11"/>
  <c r="B105" i="8" s="1"/>
  <c r="AL114" i="11"/>
  <c r="AM114" i="11"/>
  <c r="N103" i="19" s="1"/>
  <c r="Q103" i="19" s="1"/>
  <c r="AQ107" i="11"/>
  <c r="Z124" i="11"/>
  <c r="AJ116" i="11"/>
  <c r="AH116" i="11"/>
  <c r="X127" i="11"/>
  <c r="Y125" i="11"/>
  <c r="U127" i="11"/>
  <c r="S127" i="11"/>
  <c r="R127" i="11"/>
  <c r="T127" i="11"/>
  <c r="V126" i="11"/>
  <c r="H128" i="11"/>
  <c r="Q128" i="11" s="1"/>
  <c r="K127" i="11"/>
  <c r="A155" i="7"/>
  <c r="A148" i="4"/>
  <c r="A58" i="6"/>
  <c r="W57" i="6" s="1"/>
  <c r="BH57" i="6" s="1"/>
  <c r="A116" i="3"/>
  <c r="B194" i="9" l="1"/>
  <c r="B160" i="9"/>
  <c r="H229" i="9"/>
  <c r="U229" i="9" s="1"/>
  <c r="G229" i="9"/>
  <c r="T229" i="9" s="1"/>
  <c r="J229" i="9"/>
  <c r="W229" i="9" s="1"/>
  <c r="G211" i="9"/>
  <c r="T211" i="9" s="1"/>
  <c r="H211" i="9"/>
  <c r="U211" i="9" s="1"/>
  <c r="J211" i="9"/>
  <c r="W211" i="9" s="1"/>
  <c r="G228" i="9"/>
  <c r="T228" i="9" s="1"/>
  <c r="J228" i="9"/>
  <c r="W228" i="9" s="1"/>
  <c r="H228" i="9"/>
  <c r="U228" i="9" s="1"/>
  <c r="H127" i="9"/>
  <c r="U127" i="9" s="1"/>
  <c r="G127" i="9"/>
  <c r="T127" i="9" s="1"/>
  <c r="J127" i="9"/>
  <c r="W127" i="9" s="1"/>
  <c r="B280" i="9"/>
  <c r="B246" i="9"/>
  <c r="G133" i="9"/>
  <c r="T133" i="9" s="1"/>
  <c r="J133" i="9"/>
  <c r="W133" i="9" s="1"/>
  <c r="H133" i="9"/>
  <c r="U133" i="9" s="1"/>
  <c r="H159" i="9"/>
  <c r="U159" i="9" s="1"/>
  <c r="J159" i="9"/>
  <c r="W159" i="9" s="1"/>
  <c r="G159" i="9"/>
  <c r="T159" i="9" s="1"/>
  <c r="B212" i="9"/>
  <c r="B178" i="9"/>
  <c r="A282" i="9"/>
  <c r="A146" i="9"/>
  <c r="A248" i="9"/>
  <c r="A214" i="9"/>
  <c r="A180" i="9"/>
  <c r="A112" i="9"/>
  <c r="R92" i="18"/>
  <c r="T92" i="18" s="1"/>
  <c r="B161" i="9"/>
  <c r="B195" i="9"/>
  <c r="B134" i="9"/>
  <c r="B100" i="9"/>
  <c r="H262" i="9"/>
  <c r="U262" i="9" s="1"/>
  <c r="J262" i="9"/>
  <c r="W262" i="9" s="1"/>
  <c r="G262" i="9"/>
  <c r="T262" i="9" s="1"/>
  <c r="G279" i="9"/>
  <c r="T279" i="9" s="1"/>
  <c r="J279" i="9"/>
  <c r="W279" i="9" s="1"/>
  <c r="H279" i="9"/>
  <c r="U279" i="9" s="1"/>
  <c r="J263" i="9"/>
  <c r="W263" i="9" s="1"/>
  <c r="G263" i="9"/>
  <c r="T263" i="9" s="1"/>
  <c r="H263" i="9"/>
  <c r="U263" i="9" s="1"/>
  <c r="H245" i="9"/>
  <c r="U245" i="9" s="1"/>
  <c r="J245" i="9"/>
  <c r="W245" i="9" s="1"/>
  <c r="G245" i="9"/>
  <c r="T245" i="9" s="1"/>
  <c r="J193" i="9"/>
  <c r="W193" i="9" s="1"/>
  <c r="H193" i="9"/>
  <c r="U193" i="9" s="1"/>
  <c r="G193" i="9"/>
  <c r="T193" i="9" s="1"/>
  <c r="G167" i="9"/>
  <c r="T167" i="9" s="1"/>
  <c r="H167" i="9"/>
  <c r="U167" i="9" s="1"/>
  <c r="J167" i="9"/>
  <c r="W167" i="9" s="1"/>
  <c r="G162" i="9"/>
  <c r="T162" i="9" s="1"/>
  <c r="H162" i="9"/>
  <c r="U162" i="9" s="1"/>
  <c r="J162" i="9"/>
  <c r="W162" i="9" s="1"/>
  <c r="G161" i="9"/>
  <c r="T161" i="9" s="1"/>
  <c r="H161" i="9"/>
  <c r="U161" i="9" s="1"/>
  <c r="J161" i="9"/>
  <c r="W161" i="9" s="1"/>
  <c r="G93" i="9"/>
  <c r="T93" i="9" s="1"/>
  <c r="H93" i="9"/>
  <c r="U93" i="9" s="1"/>
  <c r="J93" i="9"/>
  <c r="W93" i="9" s="1"/>
  <c r="G99" i="9"/>
  <c r="T99" i="9" s="1"/>
  <c r="J99" i="9"/>
  <c r="W99" i="9" s="1"/>
  <c r="H99" i="9"/>
  <c r="U99" i="9" s="1"/>
  <c r="AK203" i="11"/>
  <c r="BL104" i="17"/>
  <c r="L147" i="4"/>
  <c r="CL109" i="11"/>
  <c r="CM109" i="11" s="1"/>
  <c r="BI105" i="17"/>
  <c r="BZ105" i="17"/>
  <c r="BI114" i="11"/>
  <c r="BF108" i="11"/>
  <c r="F97" i="3" s="1"/>
  <c r="BH105" i="17"/>
  <c r="CL115" i="11"/>
  <c r="CM115" i="11" s="1"/>
  <c r="BJ105" i="17"/>
  <c r="BL113" i="11"/>
  <c r="BE114" i="11"/>
  <c r="BL105" i="16"/>
  <c r="BH108" i="11"/>
  <c r="H97" i="3" s="1"/>
  <c r="BF114" i="11"/>
  <c r="F103" i="3" s="1"/>
  <c r="H185" i="6"/>
  <c r="BG105" i="17"/>
  <c r="G95" i="19" s="1"/>
  <c r="BE108" i="11"/>
  <c r="E97" i="3" s="1"/>
  <c r="AN121" i="17"/>
  <c r="BY108" i="17"/>
  <c r="BH106" i="17"/>
  <c r="H96" i="19" s="1"/>
  <c r="BG106" i="17"/>
  <c r="CI108" i="16"/>
  <c r="CD108" i="16"/>
  <c r="CH108" i="16"/>
  <c r="CB108" i="16"/>
  <c r="CG108" i="16"/>
  <c r="CK108" i="16"/>
  <c r="CJ108" i="16"/>
  <c r="BY109" i="11"/>
  <c r="CE119" i="17"/>
  <c r="AL199" i="17"/>
  <c r="AM199" i="17"/>
  <c r="AH109" i="19" s="1"/>
  <c r="H164" i="16"/>
  <c r="BI106" i="17"/>
  <c r="AN198" i="16"/>
  <c r="AO198" i="16" s="1"/>
  <c r="AV114" i="19"/>
  <c r="BL107" i="11"/>
  <c r="BK111" i="16"/>
  <c r="K101" i="18" s="1"/>
  <c r="BE120" i="17"/>
  <c r="BZ108" i="11"/>
  <c r="AN198" i="17"/>
  <c r="AO198" i="17" s="1"/>
  <c r="CL112" i="16"/>
  <c r="CM112" i="16" s="1"/>
  <c r="BK108" i="11"/>
  <c r="K97" i="3" s="1"/>
  <c r="CL108" i="17"/>
  <c r="CM108" i="17" s="1"/>
  <c r="BZ106" i="17"/>
  <c r="BI108" i="11"/>
  <c r="AL111" i="16"/>
  <c r="BY111" i="16"/>
  <c r="I110" i="19"/>
  <c r="H164" i="17"/>
  <c r="G125" i="17"/>
  <c r="AR115" i="19" s="1"/>
  <c r="AU115" i="19" s="1"/>
  <c r="AW115" i="19" s="1"/>
  <c r="AK106" i="18"/>
  <c r="AL106" i="18" s="1"/>
  <c r="BZ116" i="16"/>
  <c r="BL119" i="17"/>
  <c r="BE111" i="16"/>
  <c r="CI116" i="11"/>
  <c r="CD116" i="11"/>
  <c r="CG116" i="11"/>
  <c r="CJ116" i="11"/>
  <c r="CK116" i="11"/>
  <c r="CH116" i="11"/>
  <c r="CB116" i="11"/>
  <c r="CI122" i="17"/>
  <c r="CD122" i="17"/>
  <c r="CH122" i="17"/>
  <c r="CK122" i="17"/>
  <c r="CG122" i="17"/>
  <c r="CB122" i="17"/>
  <c r="CJ122" i="17"/>
  <c r="CE119" i="16"/>
  <c r="AL199" i="16"/>
  <c r="AM199" i="16"/>
  <c r="AH109" i="18" s="1"/>
  <c r="BI111" i="16"/>
  <c r="BH111" i="16"/>
  <c r="BL104" i="16"/>
  <c r="BJ120" i="17"/>
  <c r="J110" i="19" s="1"/>
  <c r="BF111" i="16"/>
  <c r="F101" i="18" s="1"/>
  <c r="CL121" i="17"/>
  <c r="CM121" i="17" s="1"/>
  <c r="BF106" i="17"/>
  <c r="F96" i="19" s="1"/>
  <c r="BJ111" i="16"/>
  <c r="J101" i="18" s="1"/>
  <c r="BJ106" i="17"/>
  <c r="CK107" i="16"/>
  <c r="CG107" i="16"/>
  <c r="CB107" i="16"/>
  <c r="CI107" i="16"/>
  <c r="CH107" i="16"/>
  <c r="CJ107" i="16"/>
  <c r="CD107" i="16"/>
  <c r="H103" i="3"/>
  <c r="BH120" i="17"/>
  <c r="H110" i="19" s="1"/>
  <c r="BJ108" i="11"/>
  <c r="J97" i="3" s="1"/>
  <c r="H220" i="6"/>
  <c r="CK113" i="16"/>
  <c r="CG113" i="16"/>
  <c r="CB113" i="16"/>
  <c r="CJ113" i="16"/>
  <c r="CD113" i="16"/>
  <c r="CI113" i="16"/>
  <c r="CH113" i="16"/>
  <c r="F95" i="18"/>
  <c r="BY107" i="17"/>
  <c r="M203" i="11"/>
  <c r="AE197" i="17"/>
  <c r="BZ117" i="17" s="1"/>
  <c r="BL110" i="16"/>
  <c r="BG120" i="17"/>
  <c r="BE105" i="17"/>
  <c r="CL106" i="16"/>
  <c r="CM106" i="16" s="1"/>
  <c r="BK120" i="17"/>
  <c r="K110" i="19" s="1"/>
  <c r="BY114" i="11"/>
  <c r="BF105" i="17"/>
  <c r="F95" i="19" s="1"/>
  <c r="BG114" i="11"/>
  <c r="CL107" i="17"/>
  <c r="CM107" i="17" s="1"/>
  <c r="BE106" i="17"/>
  <c r="E96" i="19" s="1"/>
  <c r="BK114" i="11"/>
  <c r="K103" i="3" s="1"/>
  <c r="BF120" i="17"/>
  <c r="F110" i="19" s="1"/>
  <c r="BJ114" i="11"/>
  <c r="J103" i="3" s="1"/>
  <c r="AD43" i="3"/>
  <c r="AE43" i="3"/>
  <c r="AF43" i="3" s="1"/>
  <c r="BC43" i="3" s="1"/>
  <c r="BE43" i="3" s="1"/>
  <c r="BG43" i="3" s="1"/>
  <c r="AL196" i="11"/>
  <c r="AM196" i="11"/>
  <c r="AH105" i="3" s="1"/>
  <c r="Z196" i="11"/>
  <c r="X196" i="11"/>
  <c r="AN195" i="11"/>
  <c r="AO195" i="11" s="1"/>
  <c r="I185" i="6"/>
  <c r="C104" i="3"/>
  <c r="AC97" i="3"/>
  <c r="R99" i="3"/>
  <c r="R36" i="6"/>
  <c r="Y35" i="6" s="1"/>
  <c r="R179" i="8"/>
  <c r="G187" i="6" s="1"/>
  <c r="K204" i="11"/>
  <c r="AK204" i="11" s="1"/>
  <c r="AM106" i="18"/>
  <c r="AM121" i="17"/>
  <c r="D111" i="19" s="1"/>
  <c r="G116" i="6"/>
  <c r="I186" i="6"/>
  <c r="O186" i="6" s="1"/>
  <c r="S186" i="6" s="1"/>
  <c r="AX49" i="6" s="1"/>
  <c r="AA44" i="3"/>
  <c r="AF193" i="11"/>
  <c r="AJ196" i="16"/>
  <c r="O136" i="6"/>
  <c r="S136" i="6" s="1"/>
  <c r="AR33" i="6" s="1"/>
  <c r="N150" i="6"/>
  <c r="R150" i="6" s="1"/>
  <c r="AQ47" i="6" s="1"/>
  <c r="AI197" i="17"/>
  <c r="AF197" i="16"/>
  <c r="AH197" i="17"/>
  <c r="AH197" i="16"/>
  <c r="AG197" i="16"/>
  <c r="AT220" i="7"/>
  <c r="AI197" i="16"/>
  <c r="O19" i="23"/>
  <c r="AH23" i="23"/>
  <c r="AJ196" i="17"/>
  <c r="AG197" i="17"/>
  <c r="O22" i="23"/>
  <c r="AV219" i="7"/>
  <c r="J190" i="6" s="1"/>
  <c r="P190" i="6" s="1"/>
  <c r="T190" i="6" s="1"/>
  <c r="AY53" i="6" s="1"/>
  <c r="Q21" i="23"/>
  <c r="AK107" i="19"/>
  <c r="K192" i="6"/>
  <c r="K226" i="6"/>
  <c r="AM44" i="18"/>
  <c r="AO44" i="18" s="1"/>
  <c r="AP44" i="18" s="1"/>
  <c r="BJ44" i="18" s="1"/>
  <c r="BL44" i="18" s="1"/>
  <c r="BN44" i="18" s="1"/>
  <c r="AL44" i="18"/>
  <c r="AN44" i="18" s="1"/>
  <c r="AA45" i="19"/>
  <c r="AK45" i="18"/>
  <c r="AA45" i="18"/>
  <c r="AK45" i="19"/>
  <c r="AK45" i="3"/>
  <c r="I205" i="11"/>
  <c r="M202" i="17"/>
  <c r="P202" i="17"/>
  <c r="Q202" i="17" s="1"/>
  <c r="I165" i="17"/>
  <c r="AW222" i="7"/>
  <c r="E222" i="7"/>
  <c r="G222" i="7" s="1"/>
  <c r="AE221" i="7"/>
  <c r="AK221" i="7"/>
  <c r="AO221" i="7"/>
  <c r="AH221" i="7"/>
  <c r="AJ221" i="7"/>
  <c r="AL221" i="7"/>
  <c r="AI221" i="7"/>
  <c r="AB221" i="7"/>
  <c r="AC221" i="7"/>
  <c r="AD221" i="7"/>
  <c r="AP221" i="7"/>
  <c r="AA221" i="7"/>
  <c r="AR221" i="7"/>
  <c r="AQ221" i="7"/>
  <c r="Z221" i="7"/>
  <c r="AN221" i="7"/>
  <c r="AG221" i="7"/>
  <c r="E147" i="4"/>
  <c r="M147" i="4" s="1"/>
  <c r="D205" i="17"/>
  <c r="CA125" i="17" s="1"/>
  <c r="D206" i="11"/>
  <c r="CA126" i="11" s="1"/>
  <c r="D205" i="16"/>
  <c r="CA125" i="16" s="1"/>
  <c r="K203" i="16"/>
  <c r="AK203" i="16" s="1"/>
  <c r="H203" i="16"/>
  <c r="I165" i="16"/>
  <c r="J223" i="6"/>
  <c r="P223" i="6" s="1"/>
  <c r="T223" i="6" s="1"/>
  <c r="BE52" i="6" s="1"/>
  <c r="J189" i="6"/>
  <c r="P189" i="6" s="1"/>
  <c r="T189" i="6" s="1"/>
  <c r="AY52" i="6" s="1"/>
  <c r="I126" i="11"/>
  <c r="I125" i="17"/>
  <c r="I125" i="16"/>
  <c r="AT186" i="7"/>
  <c r="AC198" i="17"/>
  <c r="AF220" i="7"/>
  <c r="E154" i="7"/>
  <c r="G154" i="7" s="1"/>
  <c r="AW154" i="7"/>
  <c r="AB199" i="17"/>
  <c r="W199" i="17"/>
  <c r="AA199" i="17"/>
  <c r="Y199" i="17"/>
  <c r="Z199" i="17"/>
  <c r="X199" i="17"/>
  <c r="AM186" i="7"/>
  <c r="AD197" i="17"/>
  <c r="D148" i="4"/>
  <c r="D126" i="17"/>
  <c r="D126" i="16"/>
  <c r="D166" i="17"/>
  <c r="BX126" i="17" s="1"/>
  <c r="D166" i="16"/>
  <c r="BX126" i="16" s="1"/>
  <c r="D167" i="11"/>
  <c r="BX127" i="11" s="1"/>
  <c r="D127" i="11"/>
  <c r="K203" i="17"/>
  <c r="AK203" i="17" s="1"/>
  <c r="H203" i="17"/>
  <c r="AL44" i="3"/>
  <c r="AN44" i="3" s="1"/>
  <c r="AM44" i="3"/>
  <c r="AO44" i="3" s="1"/>
  <c r="AP44" i="3" s="1"/>
  <c r="BJ44" i="3" s="1"/>
  <c r="BL44" i="3" s="1"/>
  <c r="BN44" i="3" s="1"/>
  <c r="AU50" i="6"/>
  <c r="BG50" i="6"/>
  <c r="AM220" i="7"/>
  <c r="F165" i="17"/>
  <c r="F205" i="17"/>
  <c r="F205" i="16"/>
  <c r="F206" i="11"/>
  <c r="F166" i="11"/>
  <c r="F165" i="16"/>
  <c r="AB199" i="16"/>
  <c r="W199" i="16"/>
  <c r="AA199" i="16"/>
  <c r="Z199" i="16"/>
  <c r="Y199" i="16"/>
  <c r="X199" i="16"/>
  <c r="AL153" i="7"/>
  <c r="AI153" i="7"/>
  <c r="AH153" i="7"/>
  <c r="AG153" i="7"/>
  <c r="AK153" i="7"/>
  <c r="AO153" i="7"/>
  <c r="AA153" i="7"/>
  <c r="AJ153" i="7"/>
  <c r="AE197" i="16"/>
  <c r="AC44" i="19"/>
  <c r="AE44" i="19" s="1"/>
  <c r="AF44" i="19" s="1"/>
  <c r="BC44" i="19" s="1"/>
  <c r="BE44" i="19" s="1"/>
  <c r="BG44" i="19" s="1"/>
  <c r="AB44" i="19"/>
  <c r="AD44" i="19" s="1"/>
  <c r="R201" i="17"/>
  <c r="S201" i="17" s="1"/>
  <c r="M202" i="16"/>
  <c r="P202" i="16"/>
  <c r="Q202" i="16" s="1"/>
  <c r="K56" i="6"/>
  <c r="K90" i="6"/>
  <c r="AL44" i="19"/>
  <c r="AN44" i="19" s="1"/>
  <c r="AM44" i="19"/>
  <c r="AO44" i="19" s="1"/>
  <c r="AP44" i="19" s="1"/>
  <c r="BJ44" i="19" s="1"/>
  <c r="BL44" i="19" s="1"/>
  <c r="BN44" i="19" s="1"/>
  <c r="AF197" i="17"/>
  <c r="U200" i="17"/>
  <c r="V200" i="17"/>
  <c r="T200" i="17"/>
  <c r="AW188" i="7"/>
  <c r="E188" i="7"/>
  <c r="G188" i="7" s="1"/>
  <c r="C206" i="17"/>
  <c r="C207" i="11"/>
  <c r="C206" i="16"/>
  <c r="C166" i="17"/>
  <c r="C126" i="17"/>
  <c r="C126" i="16"/>
  <c r="C166" i="16"/>
  <c r="C167" i="11"/>
  <c r="C127" i="11"/>
  <c r="AM152" i="7"/>
  <c r="R201" i="16"/>
  <c r="S201" i="16" s="1"/>
  <c r="B206" i="17"/>
  <c r="B206" i="16"/>
  <c r="B207" i="11"/>
  <c r="B116" i="19"/>
  <c r="B223" i="7"/>
  <c r="B116" i="18"/>
  <c r="B126" i="17"/>
  <c r="B166" i="17"/>
  <c r="B189" i="7"/>
  <c r="B126" i="16"/>
  <c r="B166" i="16"/>
  <c r="B167" i="11"/>
  <c r="B127" i="11"/>
  <c r="B155" i="7"/>
  <c r="B116" i="3"/>
  <c r="AE187" i="7"/>
  <c r="AI187" i="7"/>
  <c r="AL187" i="7"/>
  <c r="AH187" i="7"/>
  <c r="AK187" i="7"/>
  <c r="AJ187" i="7"/>
  <c r="AR187" i="7"/>
  <c r="AP187" i="7"/>
  <c r="AQ187" i="7"/>
  <c r="AC187" i="7"/>
  <c r="AO187" i="7"/>
  <c r="AD187" i="7"/>
  <c r="AA187" i="7"/>
  <c r="AB187" i="7"/>
  <c r="AG187" i="7"/>
  <c r="AN187" i="7"/>
  <c r="I204" i="16"/>
  <c r="U200" i="16"/>
  <c r="T200" i="16"/>
  <c r="V200" i="16"/>
  <c r="C148" i="4"/>
  <c r="B148" i="4"/>
  <c r="K148" i="4" s="1"/>
  <c r="AC44" i="18"/>
  <c r="AE44" i="18" s="1"/>
  <c r="AF44" i="18" s="1"/>
  <c r="BC44" i="18" s="1"/>
  <c r="BE44" i="18" s="1"/>
  <c r="BG44" i="18" s="1"/>
  <c r="AB44" i="18"/>
  <c r="AD44" i="18" s="1"/>
  <c r="K124" i="6"/>
  <c r="K158" i="6"/>
  <c r="I204" i="17"/>
  <c r="AC198" i="16"/>
  <c r="AD198" i="16" s="1"/>
  <c r="I166" i="11"/>
  <c r="AL106" i="19"/>
  <c r="AM106" i="19"/>
  <c r="G220" i="6"/>
  <c r="J105" i="8"/>
  <c r="M37" i="6"/>
  <c r="R37" i="6" s="1"/>
  <c r="Y36" i="6" s="1"/>
  <c r="E95" i="19"/>
  <c r="E103" i="3"/>
  <c r="BD114" i="11"/>
  <c r="N76" i="6"/>
  <c r="R76" i="6" s="1"/>
  <c r="AE41" i="6" s="1"/>
  <c r="K96" i="19"/>
  <c r="L100" i="3"/>
  <c r="C98" i="3"/>
  <c r="BD108" i="11"/>
  <c r="J99" i="8"/>
  <c r="AQ120" i="17"/>
  <c r="AO121" i="17"/>
  <c r="K95" i="19"/>
  <c r="AH179" i="8"/>
  <c r="I187" i="6" s="1"/>
  <c r="Z179" i="8"/>
  <c r="H187" i="6" s="1"/>
  <c r="BD105" i="17"/>
  <c r="J95" i="19"/>
  <c r="G219" i="6"/>
  <c r="O219" i="6" s="1"/>
  <c r="S219" i="6" s="1"/>
  <c r="BD48" i="6" s="1"/>
  <c r="G110" i="19"/>
  <c r="J166" i="8"/>
  <c r="E110" i="19"/>
  <c r="BD120" i="17"/>
  <c r="AH114" i="16"/>
  <c r="P93" i="18"/>
  <c r="Q93" i="18" s="1"/>
  <c r="R93" i="18" s="1"/>
  <c r="T93" i="18" s="1"/>
  <c r="AI114" i="16"/>
  <c r="D100" i="18"/>
  <c r="N100" i="18" s="1"/>
  <c r="L100" i="18"/>
  <c r="J137" i="8"/>
  <c r="N77" i="6"/>
  <c r="R77" i="6" s="1"/>
  <c r="AE42" i="6" s="1"/>
  <c r="AJ192" i="11"/>
  <c r="H96" i="3"/>
  <c r="L96" i="3" s="1"/>
  <c r="AE193" i="11"/>
  <c r="AK102" i="3" s="1"/>
  <c r="AK101" i="3"/>
  <c r="AM101" i="3" s="1"/>
  <c r="G96" i="19"/>
  <c r="J165" i="8"/>
  <c r="H95" i="19"/>
  <c r="I95" i="19"/>
  <c r="AC123" i="17"/>
  <c r="AE123" i="17"/>
  <c r="AD123" i="17"/>
  <c r="AJ123" i="17"/>
  <c r="AI123" i="17"/>
  <c r="AH123" i="17"/>
  <c r="BC121" i="17"/>
  <c r="BJ121" i="17" s="1"/>
  <c r="J96" i="19"/>
  <c r="Y125" i="17"/>
  <c r="Z125" i="17" s="1"/>
  <c r="I96" i="19"/>
  <c r="BD106" i="17"/>
  <c r="AF122" i="17"/>
  <c r="AV122" i="17"/>
  <c r="AU122" i="17"/>
  <c r="AX122" i="17"/>
  <c r="AW122" i="17"/>
  <c r="AY122" i="17"/>
  <c r="AS122" i="17"/>
  <c r="AR122" i="17"/>
  <c r="AZ122" i="17"/>
  <c r="BB122" i="17"/>
  <c r="BA122" i="17"/>
  <c r="AT122" i="17"/>
  <c r="AG122" i="17"/>
  <c r="AK122" i="17" s="1"/>
  <c r="J180" i="8"/>
  <c r="AL121" i="17"/>
  <c r="R127" i="17"/>
  <c r="Q127" i="17"/>
  <c r="S127" i="17"/>
  <c r="T127" i="17"/>
  <c r="G95" i="18"/>
  <c r="P95" i="18" s="1"/>
  <c r="Q95" i="18" s="1"/>
  <c r="R95" i="18" s="1"/>
  <c r="S127" i="16"/>
  <c r="Q127" i="16"/>
  <c r="R127" i="16"/>
  <c r="T127" i="16"/>
  <c r="U127" i="16"/>
  <c r="AL106" i="16"/>
  <c r="BC112" i="16"/>
  <c r="AI193" i="11"/>
  <c r="BC109" i="11"/>
  <c r="BH109" i="11" s="1"/>
  <c r="I97" i="3"/>
  <c r="AG193" i="11"/>
  <c r="AM106" i="3"/>
  <c r="AH193" i="11"/>
  <c r="BC115" i="11"/>
  <c r="BK115" i="11" s="1"/>
  <c r="N71" i="6"/>
  <c r="R71" i="6" s="1"/>
  <c r="AE36" i="6" s="1"/>
  <c r="O41" i="6"/>
  <c r="S41" i="6" s="1"/>
  <c r="Z40" i="6" s="1"/>
  <c r="D38" i="6"/>
  <c r="AM97" i="19"/>
  <c r="AL97" i="19"/>
  <c r="AJ187" i="17"/>
  <c r="AC194" i="11"/>
  <c r="AD194" i="11" s="1"/>
  <c r="D72" i="6"/>
  <c r="M72" i="6" s="1"/>
  <c r="F72" i="6"/>
  <c r="E72" i="6"/>
  <c r="BC108" i="17"/>
  <c r="BK108" i="17" s="1"/>
  <c r="K98" i="19" s="1"/>
  <c r="V196" i="11"/>
  <c r="T196" i="11"/>
  <c r="AI46" i="6" s="1"/>
  <c r="AQ110" i="16"/>
  <c r="D78" i="6"/>
  <c r="M78" i="6" s="1"/>
  <c r="E78" i="6"/>
  <c r="F78" i="6"/>
  <c r="AX116" i="11"/>
  <c r="AS116" i="11"/>
  <c r="AF116" i="11"/>
  <c r="AW116" i="11"/>
  <c r="AV116" i="11"/>
  <c r="AG116" i="11"/>
  <c r="AK116" i="11" s="1"/>
  <c r="AU116" i="11"/>
  <c r="BA116" i="11"/>
  <c r="BB116" i="11"/>
  <c r="AY116" i="11"/>
  <c r="AR116" i="11"/>
  <c r="AZ116" i="11"/>
  <c r="AT116" i="11"/>
  <c r="BC107" i="17"/>
  <c r="BI107" i="17" s="1"/>
  <c r="AM96" i="19"/>
  <c r="AL96" i="19"/>
  <c r="AL108" i="17"/>
  <c r="AP106" i="16"/>
  <c r="B132" i="8" s="1"/>
  <c r="W195" i="11"/>
  <c r="AA195" i="11"/>
  <c r="Y195" i="11"/>
  <c r="AB195" i="11"/>
  <c r="AK98" i="19"/>
  <c r="AJ188" i="17"/>
  <c r="AL107" i="17"/>
  <c r="O185" i="6"/>
  <c r="S185" i="6" s="1"/>
  <c r="AX48" i="6" s="1"/>
  <c r="AO106" i="16"/>
  <c r="AN106" i="16"/>
  <c r="AF107" i="16"/>
  <c r="AU107" i="16"/>
  <c r="AR107" i="16"/>
  <c r="AV107" i="16"/>
  <c r="AZ107" i="16"/>
  <c r="AS107" i="16"/>
  <c r="AW107" i="16"/>
  <c r="BA107" i="16"/>
  <c r="BB107" i="16"/>
  <c r="AT107" i="16"/>
  <c r="AX107" i="16"/>
  <c r="AY107" i="16"/>
  <c r="AG107" i="16"/>
  <c r="AK107" i="16" s="1"/>
  <c r="AF113" i="16"/>
  <c r="AU113" i="16"/>
  <c r="AY113" i="16"/>
  <c r="AS113" i="16"/>
  <c r="AX113" i="16"/>
  <c r="AT113" i="16"/>
  <c r="AZ113" i="16"/>
  <c r="AV113" i="16"/>
  <c r="AR113" i="16"/>
  <c r="AW113" i="16"/>
  <c r="BB113" i="16"/>
  <c r="BA113" i="16"/>
  <c r="AG113" i="16"/>
  <c r="P100" i="18"/>
  <c r="AM106" i="16"/>
  <c r="D96" i="18" s="1"/>
  <c r="N96" i="18" s="1"/>
  <c r="P99" i="18"/>
  <c r="Q99" i="18" s="1"/>
  <c r="L99" i="18"/>
  <c r="R135" i="8"/>
  <c r="AK112" i="16"/>
  <c r="AN111" i="16"/>
  <c r="AP111" i="16"/>
  <c r="B137" i="8" s="1"/>
  <c r="AO111" i="16"/>
  <c r="I150" i="6"/>
  <c r="I116" i="6"/>
  <c r="AC114" i="16"/>
  <c r="AE114" i="16"/>
  <c r="AD114" i="16"/>
  <c r="AH135" i="8"/>
  <c r="H116" i="6"/>
  <c r="H150" i="6"/>
  <c r="AM111" i="16"/>
  <c r="BZ111" i="16" s="1"/>
  <c r="M143" i="6"/>
  <c r="N143" i="6"/>
  <c r="I101" i="18"/>
  <c r="BD111" i="16"/>
  <c r="G101" i="18"/>
  <c r="BC106" i="16"/>
  <c r="BJ106" i="16" s="1"/>
  <c r="Z135" i="8"/>
  <c r="AF108" i="16"/>
  <c r="AR108" i="16"/>
  <c r="AV108" i="16"/>
  <c r="AZ108" i="16"/>
  <c r="AS108" i="16"/>
  <c r="AW108" i="16"/>
  <c r="BA108" i="16"/>
  <c r="AX108" i="16"/>
  <c r="AU108" i="16"/>
  <c r="AY108" i="16"/>
  <c r="BB108" i="16"/>
  <c r="AT108" i="16"/>
  <c r="AG108" i="16"/>
  <c r="AK108" i="16" s="1"/>
  <c r="S106" i="18"/>
  <c r="R106" i="18"/>
  <c r="O82" i="6"/>
  <c r="S82" i="6" s="1"/>
  <c r="AF47" i="6" s="1"/>
  <c r="O48" i="6"/>
  <c r="S48" i="6" s="1"/>
  <c r="Z47" i="6" s="1"/>
  <c r="AP121" i="17"/>
  <c r="B181" i="8" s="1"/>
  <c r="AP108" i="17"/>
  <c r="B168" i="8" s="1"/>
  <c r="A207" i="17"/>
  <c r="A161" i="6"/>
  <c r="A93" i="6"/>
  <c r="A229" i="6"/>
  <c r="I171" i="6"/>
  <c r="I205" i="6"/>
  <c r="H171" i="6"/>
  <c r="H205" i="6"/>
  <c r="G171" i="6"/>
  <c r="G205" i="6"/>
  <c r="AB115" i="16"/>
  <c r="AH115" i="16" s="1"/>
  <c r="BB92" i="18"/>
  <c r="G103" i="6"/>
  <c r="G137" i="6"/>
  <c r="I103" i="6"/>
  <c r="I137" i="6"/>
  <c r="H103" i="6"/>
  <c r="H137" i="6"/>
  <c r="O70" i="6"/>
  <c r="S70" i="6" s="1"/>
  <c r="AF35" i="6" s="1"/>
  <c r="O36" i="6"/>
  <c r="S36" i="6" s="1"/>
  <c r="Z35" i="6" s="1"/>
  <c r="I37" i="6"/>
  <c r="I71" i="6"/>
  <c r="G37" i="6"/>
  <c r="P16" i="23" s="1"/>
  <c r="G71" i="6"/>
  <c r="H37" i="6"/>
  <c r="H71" i="6"/>
  <c r="I43" i="6"/>
  <c r="V22" i="23" s="1"/>
  <c r="I77" i="6"/>
  <c r="O75" i="6"/>
  <c r="S75" i="6" s="1"/>
  <c r="AF40" i="6" s="1"/>
  <c r="G43" i="6"/>
  <c r="V16" i="23" s="1"/>
  <c r="G77" i="6"/>
  <c r="I42" i="6"/>
  <c r="I76" i="6"/>
  <c r="H43" i="6"/>
  <c r="H77" i="6"/>
  <c r="G42" i="6"/>
  <c r="G76" i="6"/>
  <c r="H42" i="6"/>
  <c r="H76" i="6"/>
  <c r="BB94" i="3"/>
  <c r="BI94" i="3"/>
  <c r="AO108" i="17"/>
  <c r="AN108" i="17"/>
  <c r="A117" i="19"/>
  <c r="A207" i="16"/>
  <c r="A208" i="11"/>
  <c r="AQ105" i="17"/>
  <c r="AH130" i="8"/>
  <c r="AN115" i="11"/>
  <c r="R164" i="8"/>
  <c r="Z124" i="17"/>
  <c r="AA124" i="17"/>
  <c r="X127" i="17"/>
  <c r="U127" i="17"/>
  <c r="H128" i="17"/>
  <c r="H128" i="16"/>
  <c r="AP109" i="11"/>
  <c r="B100" i="8" s="1"/>
  <c r="J118" i="11"/>
  <c r="K118" i="11" s="1"/>
  <c r="AA118" i="11" s="1"/>
  <c r="V126" i="17"/>
  <c r="P109" i="19"/>
  <c r="L109" i="19"/>
  <c r="V126" i="16"/>
  <c r="X127" i="16"/>
  <c r="AH164" i="8"/>
  <c r="Z164" i="8"/>
  <c r="AM108" i="17"/>
  <c r="D98" i="19" s="1"/>
  <c r="AM107" i="17"/>
  <c r="D97" i="19" s="1"/>
  <c r="N97" i="19" s="1"/>
  <c r="R130" i="8"/>
  <c r="Z130" i="8"/>
  <c r="P94" i="18"/>
  <c r="Q94" i="18" s="1"/>
  <c r="R94" i="18" s="1"/>
  <c r="BD108" i="17"/>
  <c r="S100" i="19"/>
  <c r="R100" i="19"/>
  <c r="P94" i="19"/>
  <c r="L94" i="19"/>
  <c r="L94" i="18"/>
  <c r="S103" i="19"/>
  <c r="R103" i="19"/>
  <c r="Z131" i="8"/>
  <c r="A224" i="7"/>
  <c r="A187" i="8"/>
  <c r="A195" i="6"/>
  <c r="A119" i="8"/>
  <c r="A153" i="8"/>
  <c r="R98" i="8"/>
  <c r="AH131" i="8"/>
  <c r="R131" i="8"/>
  <c r="Z98" i="8"/>
  <c r="AH98" i="8"/>
  <c r="R104" i="8"/>
  <c r="Z104" i="8"/>
  <c r="AH104" i="8"/>
  <c r="S100" i="3"/>
  <c r="R100" i="3"/>
  <c r="S95" i="3"/>
  <c r="U95" i="3" s="1"/>
  <c r="V95" i="3" s="1"/>
  <c r="R95" i="3"/>
  <c r="T95" i="3" s="1"/>
  <c r="S101" i="3"/>
  <c r="R101" i="3"/>
  <c r="A117" i="18"/>
  <c r="D103" i="3"/>
  <c r="N103" i="3" s="1"/>
  <c r="P102" i="3"/>
  <c r="Q102" i="3" s="1"/>
  <c r="L102" i="3"/>
  <c r="D97" i="3"/>
  <c r="N97" i="3" s="1"/>
  <c r="G103" i="3"/>
  <c r="AN107" i="17"/>
  <c r="AQ106" i="17"/>
  <c r="A190" i="7"/>
  <c r="A167" i="17"/>
  <c r="A127" i="17"/>
  <c r="A127" i="6"/>
  <c r="E38" i="6"/>
  <c r="N38" i="6" s="1"/>
  <c r="AO107" i="17"/>
  <c r="AP107" i="17"/>
  <c r="B167" i="8" s="1"/>
  <c r="A167" i="16"/>
  <c r="A127" i="16"/>
  <c r="A128" i="11"/>
  <c r="A168" i="11"/>
  <c r="AQ108" i="11"/>
  <c r="AM109" i="11"/>
  <c r="BZ109" i="11" s="1"/>
  <c r="AQ114" i="11"/>
  <c r="AL115" i="11"/>
  <c r="AN109" i="11"/>
  <c r="AL109" i="11"/>
  <c r="AO109" i="11"/>
  <c r="AP115" i="11"/>
  <c r="B106" i="8" s="1"/>
  <c r="AM115" i="11"/>
  <c r="N104" i="19" s="1"/>
  <c r="Q104" i="19" s="1"/>
  <c r="AO115" i="11"/>
  <c r="Z125" i="11"/>
  <c r="Y126" i="11"/>
  <c r="X128" i="11"/>
  <c r="U128" i="11"/>
  <c r="T128" i="11"/>
  <c r="S128" i="11"/>
  <c r="R128" i="11"/>
  <c r="V127" i="11"/>
  <c r="K128" i="11"/>
  <c r="H129" i="11"/>
  <c r="Q129" i="11" s="1"/>
  <c r="A156" i="7"/>
  <c r="A59" i="6"/>
  <c r="W58" i="6" s="1"/>
  <c r="BH58" i="6" s="1"/>
  <c r="A149" i="4"/>
  <c r="A117" i="3"/>
  <c r="A113" i="9" l="1"/>
  <c r="A283" i="9"/>
  <c r="A147" i="9"/>
  <c r="A249" i="9"/>
  <c r="A215" i="9"/>
  <c r="A181" i="9"/>
  <c r="B179" i="9"/>
  <c r="B213" i="9"/>
  <c r="H246" i="9"/>
  <c r="U246" i="9" s="1"/>
  <c r="G246" i="9"/>
  <c r="T246" i="9" s="1"/>
  <c r="J246" i="9"/>
  <c r="W246" i="9" s="1"/>
  <c r="B145" i="9"/>
  <c r="B111" i="9"/>
  <c r="G212" i="9"/>
  <c r="T212" i="9" s="1"/>
  <c r="J212" i="9"/>
  <c r="W212" i="9" s="1"/>
  <c r="H212" i="9"/>
  <c r="U212" i="9" s="1"/>
  <c r="G280" i="9"/>
  <c r="T280" i="9" s="1"/>
  <c r="J280" i="9"/>
  <c r="W280" i="9" s="1"/>
  <c r="H280" i="9"/>
  <c r="U280" i="9" s="1"/>
  <c r="G134" i="9"/>
  <c r="T134" i="9" s="1"/>
  <c r="J134" i="9"/>
  <c r="W134" i="9" s="1"/>
  <c r="H134" i="9"/>
  <c r="U134" i="9" s="1"/>
  <c r="H160" i="9"/>
  <c r="U160" i="9" s="1"/>
  <c r="J160" i="9"/>
  <c r="W160" i="9" s="1"/>
  <c r="G160" i="9"/>
  <c r="T160" i="9" s="1"/>
  <c r="B281" i="9"/>
  <c r="B247" i="9"/>
  <c r="H195" i="9"/>
  <c r="U195" i="9" s="1"/>
  <c r="J195" i="9"/>
  <c r="W195" i="9" s="1"/>
  <c r="G195" i="9"/>
  <c r="T195" i="9" s="1"/>
  <c r="H194" i="9"/>
  <c r="U194" i="9" s="1"/>
  <c r="J194" i="9"/>
  <c r="W194" i="9" s="1"/>
  <c r="G194" i="9"/>
  <c r="T194" i="9" s="1"/>
  <c r="G168" i="9"/>
  <c r="T168" i="9" s="1"/>
  <c r="H168" i="9"/>
  <c r="U168" i="9" s="1"/>
  <c r="J168" i="9"/>
  <c r="W168" i="9" s="1"/>
  <c r="BD115" i="11"/>
  <c r="J100" i="9"/>
  <c r="W100" i="9" s="1"/>
  <c r="G100" i="9"/>
  <c r="T100" i="9" s="1"/>
  <c r="H100" i="9"/>
  <c r="U100" i="9" s="1"/>
  <c r="G94" i="9"/>
  <c r="T94" i="9" s="1"/>
  <c r="H94" i="9"/>
  <c r="U94" i="9" s="1"/>
  <c r="J94" i="9"/>
  <c r="W94" i="9" s="1"/>
  <c r="L148" i="4"/>
  <c r="BJ107" i="17"/>
  <c r="BF107" i="17"/>
  <c r="BJ115" i="11"/>
  <c r="J104" i="3" s="1"/>
  <c r="BH115" i="11"/>
  <c r="H104" i="3" s="1"/>
  <c r="BL114" i="11"/>
  <c r="J224" i="6"/>
  <c r="P224" i="6" s="1"/>
  <c r="T224" i="6" s="1"/>
  <c r="BE53" i="6" s="1"/>
  <c r="BK107" i="17"/>
  <c r="BG108" i="17"/>
  <c r="G98" i="19" s="1"/>
  <c r="AN199" i="16"/>
  <c r="AO199" i="16" s="1"/>
  <c r="BF115" i="11"/>
  <c r="F104" i="3" s="1"/>
  <c r="BI115" i="11"/>
  <c r="I104" i="3" s="1"/>
  <c r="BF106" i="16"/>
  <c r="BL111" i="16"/>
  <c r="BF108" i="17"/>
  <c r="F98" i="19" s="1"/>
  <c r="BE115" i="11"/>
  <c r="E104" i="3" s="1"/>
  <c r="BH108" i="17"/>
  <c r="H98" i="19" s="1"/>
  <c r="BJ109" i="11"/>
  <c r="J98" i="3" s="1"/>
  <c r="BE109" i="11"/>
  <c r="BI109" i="11"/>
  <c r="I98" i="3" s="1"/>
  <c r="BZ108" i="17"/>
  <c r="BZ113" i="11"/>
  <c r="BZ107" i="17"/>
  <c r="BK112" i="16"/>
  <c r="K102" i="18" s="1"/>
  <c r="BE112" i="16"/>
  <c r="BL108" i="11"/>
  <c r="BI112" i="16"/>
  <c r="AN199" i="17"/>
  <c r="AO199" i="17" s="1"/>
  <c r="CL108" i="16"/>
  <c r="CM108" i="16" s="1"/>
  <c r="AG198" i="17"/>
  <c r="O220" i="6"/>
  <c r="S220" i="6" s="1"/>
  <c r="BD49" i="6" s="1"/>
  <c r="CE120" i="16"/>
  <c r="AL200" i="16"/>
  <c r="AM200" i="16"/>
  <c r="AH110" i="18" s="1"/>
  <c r="G126" i="17"/>
  <c r="AR116" i="19" s="1"/>
  <c r="AU116" i="19" s="1"/>
  <c r="AW116" i="19" s="1"/>
  <c r="AV115" i="19"/>
  <c r="BY119" i="17"/>
  <c r="BL106" i="17"/>
  <c r="BL105" i="17"/>
  <c r="BF109" i="11"/>
  <c r="BI108" i="17"/>
  <c r="I98" i="19" s="1"/>
  <c r="CL113" i="16"/>
  <c r="CM113" i="16" s="1"/>
  <c r="BH112" i="16"/>
  <c r="H102" i="18" s="1"/>
  <c r="BI121" i="17"/>
  <c r="BG107" i="17"/>
  <c r="G97" i="19" s="1"/>
  <c r="CL107" i="16"/>
  <c r="CM107" i="16" s="1"/>
  <c r="BH121" i="17"/>
  <c r="H111" i="19" s="1"/>
  <c r="CL122" i="17"/>
  <c r="CM122" i="17" s="1"/>
  <c r="CL116" i="11"/>
  <c r="CM116" i="11" s="1"/>
  <c r="BJ112" i="16"/>
  <c r="BJ108" i="17"/>
  <c r="J98" i="19" s="1"/>
  <c r="BG112" i="16"/>
  <c r="G102" i="18" s="1"/>
  <c r="BF112" i="16"/>
  <c r="F102" i="18" s="1"/>
  <c r="BI106" i="16"/>
  <c r="BK109" i="11"/>
  <c r="K98" i="3" s="1"/>
  <c r="H165" i="17"/>
  <c r="BY112" i="16"/>
  <c r="CK123" i="17"/>
  <c r="CG123" i="17"/>
  <c r="CB123" i="17"/>
  <c r="CJ123" i="17"/>
  <c r="CI123" i="17"/>
  <c r="CD123" i="17"/>
  <c r="CH123" i="17"/>
  <c r="I96" i="18"/>
  <c r="CI114" i="16"/>
  <c r="CD114" i="16"/>
  <c r="CJ114" i="16"/>
  <c r="CH114" i="16"/>
  <c r="CB114" i="16"/>
  <c r="CG114" i="16"/>
  <c r="CK114" i="16"/>
  <c r="H101" i="18"/>
  <c r="CE120" i="17"/>
  <c r="AL200" i="17"/>
  <c r="AM200" i="17"/>
  <c r="AH110" i="19" s="1"/>
  <c r="H165" i="16"/>
  <c r="AN196" i="11"/>
  <c r="BL120" i="17"/>
  <c r="BK121" i="17"/>
  <c r="K111" i="19" s="1"/>
  <c r="BG109" i="11"/>
  <c r="G98" i="3" s="1"/>
  <c r="BY115" i="11"/>
  <c r="BG106" i="16"/>
  <c r="BE108" i="17"/>
  <c r="E98" i="19" s="1"/>
  <c r="BG115" i="11"/>
  <c r="BK106" i="16"/>
  <c r="BE121" i="17"/>
  <c r="BE107" i="17"/>
  <c r="E97" i="19" s="1"/>
  <c r="BG121" i="17"/>
  <c r="G111" i="19" s="1"/>
  <c r="BH106" i="16"/>
  <c r="BF121" i="17"/>
  <c r="BE106" i="16"/>
  <c r="E96" i="18" s="1"/>
  <c r="BH107" i="17"/>
  <c r="AO196" i="11"/>
  <c r="P204" i="11"/>
  <c r="Q204" i="11" s="1"/>
  <c r="M204" i="11"/>
  <c r="G221" i="6"/>
  <c r="AB44" i="3"/>
  <c r="AD44" i="3" s="1"/>
  <c r="AC44" i="3"/>
  <c r="AE44" i="3" s="1"/>
  <c r="AF44" i="3" s="1"/>
  <c r="BC44" i="3" s="1"/>
  <c r="BE44" i="3" s="1"/>
  <c r="BG44" i="3" s="1"/>
  <c r="AA45" i="3"/>
  <c r="K205" i="11"/>
  <c r="P205" i="11" s="1"/>
  <c r="Q205" i="11" s="1"/>
  <c r="AJ115" i="16"/>
  <c r="AH194" i="11"/>
  <c r="AJ197" i="17"/>
  <c r="AE198" i="16"/>
  <c r="AK108" i="18" s="1"/>
  <c r="P22" i="23"/>
  <c r="J100" i="8"/>
  <c r="AH180" i="8"/>
  <c r="I188" i="6" s="1"/>
  <c r="AI198" i="16"/>
  <c r="AT221" i="7"/>
  <c r="Q18" i="23"/>
  <c r="AV220" i="7"/>
  <c r="J191" i="6" s="1"/>
  <c r="P191" i="6" s="1"/>
  <c r="T191" i="6" s="1"/>
  <c r="AY54" i="6" s="1"/>
  <c r="AE198" i="17"/>
  <c r="BZ118" i="17" s="1"/>
  <c r="AI23" i="23"/>
  <c r="P19" i="23"/>
  <c r="V19" i="23"/>
  <c r="AK46" i="18"/>
  <c r="AK46" i="19"/>
  <c r="AA46" i="19"/>
  <c r="AK46" i="3"/>
  <c r="AA46" i="18"/>
  <c r="AM45" i="18"/>
  <c r="AO45" i="18" s="1"/>
  <c r="AP45" i="18" s="1"/>
  <c r="BJ45" i="18" s="1"/>
  <c r="BL45" i="18" s="1"/>
  <c r="BN45" i="18" s="1"/>
  <c r="AL45" i="18"/>
  <c r="AN45" i="18" s="1"/>
  <c r="AB200" i="17"/>
  <c r="W200" i="17"/>
  <c r="Z200" i="17"/>
  <c r="Y200" i="17"/>
  <c r="AA200" i="17"/>
  <c r="X200" i="17"/>
  <c r="AH198" i="16"/>
  <c r="R202" i="17"/>
  <c r="S202" i="17" s="1"/>
  <c r="Z200" i="16"/>
  <c r="AB200" i="16"/>
  <c r="W200" i="16"/>
  <c r="AA200" i="16"/>
  <c r="Y200" i="16"/>
  <c r="X200" i="16"/>
  <c r="U201" i="16"/>
  <c r="T201" i="16"/>
  <c r="V201" i="16"/>
  <c r="T201" i="17"/>
  <c r="V201" i="17"/>
  <c r="U201" i="17"/>
  <c r="AC199" i="16"/>
  <c r="AD199" i="16" s="1"/>
  <c r="AC199" i="17"/>
  <c r="AM221" i="7"/>
  <c r="AB45" i="19"/>
  <c r="AD45" i="19" s="1"/>
  <c r="AC45" i="19"/>
  <c r="AE45" i="19" s="1"/>
  <c r="AF45" i="19" s="1"/>
  <c r="BC45" i="19" s="1"/>
  <c r="BE45" i="19" s="1"/>
  <c r="BG45" i="19" s="1"/>
  <c r="K204" i="16"/>
  <c r="AK204" i="16" s="1"/>
  <c r="H204" i="16"/>
  <c r="P203" i="17"/>
  <c r="Q203" i="17" s="1"/>
  <c r="M203" i="17"/>
  <c r="AD198" i="17"/>
  <c r="M203" i="16"/>
  <c r="P203" i="16"/>
  <c r="Q203" i="16" s="1"/>
  <c r="M205" i="11"/>
  <c r="I103" i="3"/>
  <c r="L103" i="3" s="1"/>
  <c r="K204" i="17"/>
  <c r="AK204" i="17" s="1"/>
  <c r="H204" i="17"/>
  <c r="E189" i="7"/>
  <c r="G189" i="7" s="1"/>
  <c r="AW189" i="7"/>
  <c r="AF198" i="16"/>
  <c r="AF221" i="7"/>
  <c r="AT187" i="7"/>
  <c r="AK107" i="18"/>
  <c r="AJ197" i="16"/>
  <c r="I167" i="11"/>
  <c r="I205" i="16"/>
  <c r="C149" i="4"/>
  <c r="B149" i="4"/>
  <c r="K149" i="4" s="1"/>
  <c r="AM187" i="7"/>
  <c r="AV116" i="19"/>
  <c r="I166" i="16"/>
  <c r="AG198" i="16"/>
  <c r="I206" i="11"/>
  <c r="AW155" i="7"/>
  <c r="E155" i="7"/>
  <c r="G155" i="7" s="1"/>
  <c r="D39" i="6"/>
  <c r="I166" i="17"/>
  <c r="I205" i="17"/>
  <c r="C207" i="17"/>
  <c r="C207" i="16"/>
  <c r="C208" i="11"/>
  <c r="C167" i="17"/>
  <c r="C127" i="17"/>
  <c r="C127" i="16"/>
  <c r="C167" i="16"/>
  <c r="C168" i="11"/>
  <c r="C128" i="11"/>
  <c r="AU51" i="6"/>
  <c r="BG51" i="6"/>
  <c r="AW223" i="7"/>
  <c r="E223" i="7"/>
  <c r="G223" i="7" s="1"/>
  <c r="AE188" i="7"/>
  <c r="AI188" i="7"/>
  <c r="AJ188" i="7"/>
  <c r="AR188" i="7"/>
  <c r="AH188" i="7"/>
  <c r="AK188" i="7"/>
  <c r="AL188" i="7"/>
  <c r="AB188" i="7"/>
  <c r="AA188" i="7"/>
  <c r="AO188" i="7"/>
  <c r="AP188" i="7"/>
  <c r="AC188" i="7"/>
  <c r="AQ188" i="7"/>
  <c r="AD188" i="7"/>
  <c r="AG188" i="7"/>
  <c r="AN188" i="7"/>
  <c r="E148" i="4"/>
  <c r="M148" i="4" s="1"/>
  <c r="D206" i="16"/>
  <c r="CA126" i="16" s="1"/>
  <c r="D207" i="11"/>
  <c r="CA127" i="11" s="1"/>
  <c r="D206" i="17"/>
  <c r="CA126" i="17" s="1"/>
  <c r="AE222" i="7"/>
  <c r="AI222" i="7"/>
  <c r="AK222" i="7"/>
  <c r="AJ222" i="7"/>
  <c r="AH222" i="7"/>
  <c r="AL222" i="7"/>
  <c r="AO222" i="7"/>
  <c r="AR222" i="7"/>
  <c r="AP222" i="7"/>
  <c r="AD222" i="7"/>
  <c r="AA222" i="7"/>
  <c r="AB222" i="7"/>
  <c r="AC222" i="7"/>
  <c r="Z222" i="7"/>
  <c r="AQ222" i="7"/>
  <c r="AG222" i="7"/>
  <c r="AN222" i="7"/>
  <c r="AL45" i="3"/>
  <c r="AN45" i="3" s="1"/>
  <c r="AM45" i="3"/>
  <c r="AO45" i="3" s="1"/>
  <c r="AP45" i="3" s="1"/>
  <c r="BJ45" i="3" s="1"/>
  <c r="BL45" i="3" s="1"/>
  <c r="BN45" i="3" s="1"/>
  <c r="AM107" i="19"/>
  <c r="AL107" i="19"/>
  <c r="I127" i="11"/>
  <c r="I126" i="17"/>
  <c r="I126" i="16"/>
  <c r="K125" i="6"/>
  <c r="K159" i="6"/>
  <c r="AH198" i="17"/>
  <c r="AF198" i="17"/>
  <c r="K57" i="6"/>
  <c r="K91" i="6"/>
  <c r="K193" i="6"/>
  <c r="K227" i="6"/>
  <c r="AM45" i="19"/>
  <c r="AO45" i="19" s="1"/>
  <c r="AP45" i="19" s="1"/>
  <c r="BJ45" i="19" s="1"/>
  <c r="BL45" i="19" s="1"/>
  <c r="BN45" i="19" s="1"/>
  <c r="AL45" i="19"/>
  <c r="AN45" i="19" s="1"/>
  <c r="F39" i="6"/>
  <c r="B207" i="17"/>
  <c r="B208" i="11"/>
  <c r="B207" i="16"/>
  <c r="B117" i="19"/>
  <c r="B224" i="7"/>
  <c r="B117" i="18"/>
  <c r="B127" i="17"/>
  <c r="B167" i="17"/>
  <c r="B190" i="7"/>
  <c r="B127" i="16"/>
  <c r="B167" i="16"/>
  <c r="B168" i="11"/>
  <c r="B128" i="11"/>
  <c r="B156" i="7"/>
  <c r="B117" i="3"/>
  <c r="F166" i="16"/>
  <c r="F167" i="11"/>
  <c r="F166" i="17"/>
  <c r="F206" i="17"/>
  <c r="F206" i="16"/>
  <c r="F207" i="11"/>
  <c r="R202" i="16"/>
  <c r="S202" i="16" s="1"/>
  <c r="AM153" i="7"/>
  <c r="AI198" i="17"/>
  <c r="D149" i="4"/>
  <c r="D127" i="17"/>
  <c r="D167" i="16"/>
  <c r="BX127" i="16" s="1"/>
  <c r="D167" i="17"/>
  <c r="BX127" i="17" s="1"/>
  <c r="D127" i="16"/>
  <c r="D168" i="11"/>
  <c r="BX128" i="11" s="1"/>
  <c r="D128" i="11"/>
  <c r="AL154" i="7"/>
  <c r="AO154" i="7"/>
  <c r="AH154" i="7"/>
  <c r="AK154" i="7"/>
  <c r="AG154" i="7"/>
  <c r="AJ154" i="7"/>
  <c r="AA154" i="7"/>
  <c r="AI154" i="7"/>
  <c r="AB45" i="18"/>
  <c r="AD45" i="18" s="1"/>
  <c r="AC45" i="18"/>
  <c r="AE45" i="18" s="1"/>
  <c r="AF45" i="18" s="1"/>
  <c r="BC45" i="18" s="1"/>
  <c r="BE45" i="18" s="1"/>
  <c r="BG45" i="18" s="1"/>
  <c r="N72" i="6"/>
  <c r="R72" i="6" s="1"/>
  <c r="AE37" i="6" s="1"/>
  <c r="O150" i="6"/>
  <c r="S150" i="6" s="1"/>
  <c r="AR47" i="6" s="1"/>
  <c r="M38" i="6"/>
  <c r="R38" i="6" s="1"/>
  <c r="Y37" i="6" s="1"/>
  <c r="S93" i="18"/>
  <c r="U93" i="18" s="1"/>
  <c r="V93" i="18" s="1"/>
  <c r="BB93" i="18" s="1"/>
  <c r="C105" i="3"/>
  <c r="AG194" i="11"/>
  <c r="AF194" i="11"/>
  <c r="AE194" i="11"/>
  <c r="AK103" i="3" s="1"/>
  <c r="AL103" i="3" s="1"/>
  <c r="AI194" i="11"/>
  <c r="AJ193" i="11"/>
  <c r="F97" i="19"/>
  <c r="N78" i="6"/>
  <c r="R78" i="6" s="1"/>
  <c r="AE43" i="6" s="1"/>
  <c r="BD107" i="17"/>
  <c r="H221" i="6"/>
  <c r="I221" i="6"/>
  <c r="P95" i="19"/>
  <c r="P110" i="19"/>
  <c r="J97" i="19"/>
  <c r="L95" i="19"/>
  <c r="J167" i="8"/>
  <c r="R180" i="8"/>
  <c r="G222" i="6" s="1"/>
  <c r="L110" i="19"/>
  <c r="J181" i="8"/>
  <c r="F96" i="18"/>
  <c r="H96" i="18"/>
  <c r="Q100" i="18"/>
  <c r="K96" i="18"/>
  <c r="L95" i="18"/>
  <c r="J132" i="8"/>
  <c r="AL102" i="3"/>
  <c r="AM102" i="3"/>
  <c r="BD109" i="11"/>
  <c r="H98" i="3"/>
  <c r="E98" i="3"/>
  <c r="BC116" i="11"/>
  <c r="K104" i="3"/>
  <c r="AL101" i="3"/>
  <c r="P96" i="3"/>
  <c r="Q96" i="3" s="1"/>
  <c r="R96" i="3" s="1"/>
  <c r="T96" i="3" s="1"/>
  <c r="G97" i="3"/>
  <c r="P97" i="3" s="1"/>
  <c r="Q97" i="3" s="1"/>
  <c r="AQ121" i="17"/>
  <c r="Z180" i="8"/>
  <c r="H222" i="6" s="1"/>
  <c r="K97" i="19"/>
  <c r="I97" i="19"/>
  <c r="AA125" i="17"/>
  <c r="AB125" i="17" s="1"/>
  <c r="J168" i="8"/>
  <c r="AF123" i="17"/>
  <c r="AW123" i="17"/>
  <c r="AX123" i="17"/>
  <c r="AV123" i="17"/>
  <c r="AU123" i="17"/>
  <c r="AZ123" i="17"/>
  <c r="BA123" i="17"/>
  <c r="AT123" i="17"/>
  <c r="AS123" i="17"/>
  <c r="BB123" i="17"/>
  <c r="AR123" i="17"/>
  <c r="AY123" i="17"/>
  <c r="AG123" i="17"/>
  <c r="AK123" i="17" s="1"/>
  <c r="F111" i="19"/>
  <c r="I111" i="19"/>
  <c r="BC122" i="17"/>
  <c r="BI122" i="17" s="1"/>
  <c r="S128" i="17"/>
  <c r="R128" i="17"/>
  <c r="T128" i="17"/>
  <c r="J111" i="19"/>
  <c r="AL122" i="17"/>
  <c r="Y126" i="17"/>
  <c r="Z126" i="17" s="1"/>
  <c r="BD121" i="17"/>
  <c r="AI115" i="16"/>
  <c r="BC113" i="16"/>
  <c r="J138" i="8"/>
  <c r="AL107" i="16"/>
  <c r="AL108" i="16"/>
  <c r="F148" i="6"/>
  <c r="E148" i="6"/>
  <c r="D148" i="6"/>
  <c r="R128" i="16"/>
  <c r="Q128" i="16"/>
  <c r="S128" i="16"/>
  <c r="U128" i="16"/>
  <c r="T128" i="16"/>
  <c r="BD112" i="16"/>
  <c r="F147" i="6"/>
  <c r="E147" i="6"/>
  <c r="D147" i="6"/>
  <c r="J102" i="18"/>
  <c r="AL112" i="16"/>
  <c r="J106" i="8"/>
  <c r="O116" i="6"/>
  <c r="S116" i="6" s="1"/>
  <c r="AL47" i="6" s="1"/>
  <c r="O187" i="6"/>
  <c r="S187" i="6" s="1"/>
  <c r="AX50" i="6" s="1"/>
  <c r="AC195" i="11"/>
  <c r="AD195" i="11" s="1"/>
  <c r="AN108" i="16"/>
  <c r="AP107" i="16"/>
  <c r="B133" i="8" s="1"/>
  <c r="AL98" i="19"/>
  <c r="AM98" i="19"/>
  <c r="D79" i="6"/>
  <c r="M79" i="6" s="1"/>
  <c r="F79" i="6"/>
  <c r="E79" i="6"/>
  <c r="D73" i="6"/>
  <c r="M73" i="6" s="1"/>
  <c r="F73" i="6"/>
  <c r="E73" i="6"/>
  <c r="W196" i="11"/>
  <c r="Y196" i="11"/>
  <c r="AB196" i="11"/>
  <c r="AA196" i="11"/>
  <c r="G96" i="18"/>
  <c r="J96" i="18"/>
  <c r="BD106" i="16"/>
  <c r="AO108" i="16"/>
  <c r="I143" i="6"/>
  <c r="I109" i="6"/>
  <c r="S99" i="18"/>
  <c r="R99" i="18"/>
  <c r="AK113" i="16"/>
  <c r="H143" i="6"/>
  <c r="H109" i="6"/>
  <c r="AP108" i="16"/>
  <c r="B134" i="8" s="1"/>
  <c r="D101" i="18"/>
  <c r="N101" i="18" s="1"/>
  <c r="AQ111" i="16"/>
  <c r="AH136" i="8"/>
  <c r="AM112" i="16"/>
  <c r="N144" i="6"/>
  <c r="AM107" i="16"/>
  <c r="D97" i="18" s="1"/>
  <c r="N97" i="18" s="1"/>
  <c r="BC108" i="16"/>
  <c r="E101" i="18"/>
  <c r="AO107" i="16"/>
  <c r="R136" i="8"/>
  <c r="AN107" i="16"/>
  <c r="G109" i="6"/>
  <c r="G143" i="6"/>
  <c r="AO112" i="16"/>
  <c r="AN112" i="16"/>
  <c r="AP112" i="16"/>
  <c r="B138" i="8" s="1"/>
  <c r="AC115" i="16"/>
  <c r="AD115" i="16"/>
  <c r="AE115" i="16"/>
  <c r="AM108" i="16"/>
  <c r="D98" i="18" s="1"/>
  <c r="N98" i="18" s="1"/>
  <c r="R143" i="6"/>
  <c r="AQ40" i="6" s="1"/>
  <c r="Z136" i="8"/>
  <c r="AF114" i="16"/>
  <c r="AR114" i="16"/>
  <c r="AV114" i="16"/>
  <c r="AS114" i="16"/>
  <c r="AX114" i="16"/>
  <c r="AT114" i="16"/>
  <c r="AY114" i="16"/>
  <c r="AU114" i="16"/>
  <c r="BA114" i="16"/>
  <c r="BB114" i="16"/>
  <c r="AW114" i="16"/>
  <c r="AZ114" i="16"/>
  <c r="AG114" i="16"/>
  <c r="M144" i="6"/>
  <c r="BC107" i="16"/>
  <c r="BH107" i="16" s="1"/>
  <c r="O205" i="6"/>
  <c r="S205" i="6" s="1"/>
  <c r="BD34" i="6" s="1"/>
  <c r="O171" i="6"/>
  <c r="S171" i="6" s="1"/>
  <c r="AX34" i="6" s="1"/>
  <c r="A208" i="17"/>
  <c r="A230" i="6"/>
  <c r="A162" i="6"/>
  <c r="A94" i="6"/>
  <c r="Z165" i="8"/>
  <c r="H207" i="6" s="1"/>
  <c r="H172" i="6"/>
  <c r="H206" i="6"/>
  <c r="I172" i="6"/>
  <c r="I206" i="6"/>
  <c r="G172" i="6"/>
  <c r="G206" i="6"/>
  <c r="O137" i="6"/>
  <c r="S137" i="6" s="1"/>
  <c r="AR34" i="6" s="1"/>
  <c r="O103" i="6"/>
  <c r="S103" i="6" s="1"/>
  <c r="AL34" i="6" s="1"/>
  <c r="H105" i="6"/>
  <c r="H139" i="6"/>
  <c r="I105" i="6"/>
  <c r="I139" i="6"/>
  <c r="G105" i="6"/>
  <c r="G139" i="6"/>
  <c r="G104" i="6"/>
  <c r="G138" i="6"/>
  <c r="I104" i="6"/>
  <c r="I138" i="6"/>
  <c r="H104" i="6"/>
  <c r="H138" i="6"/>
  <c r="O43" i="6"/>
  <c r="S43" i="6" s="1"/>
  <c r="Z42" i="6" s="1"/>
  <c r="O37" i="6"/>
  <c r="S37" i="6" s="1"/>
  <c r="Z36" i="6" s="1"/>
  <c r="G38" i="6"/>
  <c r="Q16" i="23" s="1"/>
  <c r="G72" i="6"/>
  <c r="O42" i="6"/>
  <c r="S42" i="6" s="1"/>
  <c r="Z41" i="6" s="1"/>
  <c r="H38" i="6"/>
  <c r="H72" i="6"/>
  <c r="I38" i="6"/>
  <c r="I72" i="6"/>
  <c r="O71" i="6"/>
  <c r="S71" i="6" s="1"/>
  <c r="AF36" i="6" s="1"/>
  <c r="G44" i="6"/>
  <c r="W16" i="23" s="1"/>
  <c r="G78" i="6"/>
  <c r="O77" i="6"/>
  <c r="S77" i="6" s="1"/>
  <c r="AF42" i="6" s="1"/>
  <c r="I44" i="6"/>
  <c r="W22" i="23" s="1"/>
  <c r="I78" i="6"/>
  <c r="H44" i="6"/>
  <c r="H78" i="6"/>
  <c r="O76" i="6"/>
  <c r="S76" i="6" s="1"/>
  <c r="AF41" i="6" s="1"/>
  <c r="BB95" i="3"/>
  <c r="BI95" i="3"/>
  <c r="Z99" i="8"/>
  <c r="R165" i="8"/>
  <c r="A118" i="19"/>
  <c r="A208" i="16"/>
  <c r="A209" i="11"/>
  <c r="H198" i="11"/>
  <c r="R198" i="11"/>
  <c r="S198" i="11" s="1"/>
  <c r="U198" i="11" s="1"/>
  <c r="CE118" i="11" s="1"/>
  <c r="AH165" i="8"/>
  <c r="AH99" i="8"/>
  <c r="AB124" i="17"/>
  <c r="R99" i="8"/>
  <c r="V127" i="16"/>
  <c r="Y127" i="16" s="1"/>
  <c r="AO122" i="17"/>
  <c r="AM122" i="17"/>
  <c r="D112" i="19" s="1"/>
  <c r="Q128" i="17"/>
  <c r="X128" i="17"/>
  <c r="U128" i="17"/>
  <c r="AN122" i="17"/>
  <c r="V127" i="17"/>
  <c r="Y126" i="16"/>
  <c r="X128" i="16"/>
  <c r="J119" i="11"/>
  <c r="K119" i="11" s="1"/>
  <c r="AA119" i="11" s="1"/>
  <c r="H129" i="17"/>
  <c r="H129" i="16"/>
  <c r="AO116" i="11"/>
  <c r="AP122" i="17"/>
  <c r="B182" i="8" s="1"/>
  <c r="N98" i="19"/>
  <c r="AQ108" i="17"/>
  <c r="S94" i="18"/>
  <c r="U94" i="18" s="1"/>
  <c r="V94" i="18" s="1"/>
  <c r="S95" i="18"/>
  <c r="AQ106" i="16"/>
  <c r="R104" i="19"/>
  <c r="S104" i="19"/>
  <c r="T94" i="18"/>
  <c r="AH105" i="8"/>
  <c r="A196" i="6"/>
  <c r="A225" i="7"/>
  <c r="A188" i="8"/>
  <c r="A154" i="8"/>
  <c r="A120" i="8"/>
  <c r="R105" i="8"/>
  <c r="Z105" i="8"/>
  <c r="AH166" i="8"/>
  <c r="Z166" i="8"/>
  <c r="R166" i="8"/>
  <c r="R102" i="3"/>
  <c r="S102" i="3"/>
  <c r="A118" i="18"/>
  <c r="D98" i="3"/>
  <c r="N98" i="3" s="1"/>
  <c r="D104" i="3"/>
  <c r="N104" i="3" s="1"/>
  <c r="AQ107" i="17"/>
  <c r="A191" i="7"/>
  <c r="A168" i="17"/>
  <c r="A128" i="17"/>
  <c r="A128" i="6"/>
  <c r="E39" i="6"/>
  <c r="AA118" i="16"/>
  <c r="A168" i="16"/>
  <c r="A128" i="16"/>
  <c r="AA117" i="16"/>
  <c r="A129" i="11"/>
  <c r="A169" i="11"/>
  <c r="AQ109" i="11"/>
  <c r="AQ115" i="11"/>
  <c r="AN116" i="11"/>
  <c r="AP116" i="11"/>
  <c r="B107" i="8" s="1"/>
  <c r="AM116" i="11"/>
  <c r="N105" i="19" s="1"/>
  <c r="Q105" i="19" s="1"/>
  <c r="AL116" i="11"/>
  <c r="Z126" i="11"/>
  <c r="AB118" i="11"/>
  <c r="X129" i="11"/>
  <c r="Y127" i="11"/>
  <c r="U129" i="11"/>
  <c r="S129" i="11"/>
  <c r="T129" i="11"/>
  <c r="R129" i="11"/>
  <c r="V128" i="11"/>
  <c r="H130" i="11"/>
  <c r="Q130" i="11" s="1"/>
  <c r="K129" i="11"/>
  <c r="A157" i="7"/>
  <c r="A60" i="6"/>
  <c r="W59" i="6" s="1"/>
  <c r="BH59" i="6" s="1"/>
  <c r="A118" i="3"/>
  <c r="A150" i="4"/>
  <c r="A182" i="9" l="1"/>
  <c r="A148" i="9"/>
  <c r="A114" i="9"/>
  <c r="A284" i="9"/>
  <c r="A250" i="9"/>
  <c r="A216" i="9"/>
  <c r="B248" i="9"/>
  <c r="B282" i="9"/>
  <c r="G145" i="9"/>
  <c r="T145" i="9" s="1"/>
  <c r="H145" i="9"/>
  <c r="U145" i="9" s="1"/>
  <c r="J145" i="9"/>
  <c r="W145" i="9" s="1"/>
  <c r="G213" i="9"/>
  <c r="T213" i="9" s="1"/>
  <c r="J213" i="9"/>
  <c r="W213" i="9" s="1"/>
  <c r="H213" i="9"/>
  <c r="U213" i="9" s="1"/>
  <c r="B214" i="9"/>
  <c r="B180" i="9"/>
  <c r="G247" i="9"/>
  <c r="T247" i="9" s="1"/>
  <c r="H247" i="9"/>
  <c r="U247" i="9" s="1"/>
  <c r="J247" i="9"/>
  <c r="W247" i="9" s="1"/>
  <c r="B112" i="9"/>
  <c r="B146" i="9"/>
  <c r="G281" i="9"/>
  <c r="T281" i="9" s="1"/>
  <c r="H281" i="9"/>
  <c r="U281" i="9" s="1"/>
  <c r="J281" i="9"/>
  <c r="W281" i="9" s="1"/>
  <c r="G169" i="9"/>
  <c r="T169" i="9" s="1"/>
  <c r="H169" i="9"/>
  <c r="U169" i="9" s="1"/>
  <c r="J169" i="9"/>
  <c r="W169" i="9" s="1"/>
  <c r="G101" i="9"/>
  <c r="T101" i="9" s="1"/>
  <c r="J101" i="9"/>
  <c r="W101" i="9" s="1"/>
  <c r="H101" i="9"/>
  <c r="U101" i="9" s="1"/>
  <c r="L149" i="4"/>
  <c r="BL115" i="11"/>
  <c r="BF122" i="17"/>
  <c r="AN200" i="17"/>
  <c r="AO200" i="17" s="1"/>
  <c r="CL123" i="17"/>
  <c r="CM123" i="17" s="1"/>
  <c r="BL109" i="11"/>
  <c r="BL107" i="17"/>
  <c r="BJ122" i="17"/>
  <c r="BJ107" i="16"/>
  <c r="BH122" i="17"/>
  <c r="BG122" i="17"/>
  <c r="G112" i="19" s="1"/>
  <c r="BG108" i="16"/>
  <c r="CJ115" i="16"/>
  <c r="CH115" i="16"/>
  <c r="CB115" i="16"/>
  <c r="CG115" i="16"/>
  <c r="CK115" i="16"/>
  <c r="CD115" i="16"/>
  <c r="CI115" i="16"/>
  <c r="H97" i="19"/>
  <c r="G104" i="3"/>
  <c r="CE121" i="16"/>
  <c r="AL201" i="16"/>
  <c r="AM201" i="16"/>
  <c r="BY120" i="17"/>
  <c r="BL106" i="16"/>
  <c r="BI116" i="11"/>
  <c r="I105" i="3" s="1"/>
  <c r="BK107" i="16"/>
  <c r="K97" i="18" s="1"/>
  <c r="BI108" i="16"/>
  <c r="I98" i="18" s="1"/>
  <c r="BZ112" i="16"/>
  <c r="BK122" i="17"/>
  <c r="K112" i="19" s="1"/>
  <c r="BF108" i="16"/>
  <c r="F98" i="18" s="1"/>
  <c r="BE122" i="17"/>
  <c r="BE108" i="16"/>
  <c r="E98" i="18" s="1"/>
  <c r="BK116" i="11"/>
  <c r="K105" i="3" s="1"/>
  <c r="BJ113" i="16"/>
  <c r="J103" i="18" s="1"/>
  <c r="BE113" i="16"/>
  <c r="H166" i="17"/>
  <c r="H166" i="16"/>
  <c r="AG199" i="17"/>
  <c r="AK205" i="11"/>
  <c r="BL121" i="17"/>
  <c r="E111" i="19"/>
  <c r="BG116" i="11"/>
  <c r="BH113" i="16"/>
  <c r="H103" i="18" s="1"/>
  <c r="CL114" i="16"/>
  <c r="CM114" i="16" s="1"/>
  <c r="BF107" i="16"/>
  <c r="AN200" i="16"/>
  <c r="AO200" i="16" s="1"/>
  <c r="BY116" i="11"/>
  <c r="BI107" i="16"/>
  <c r="I97" i="18" s="1"/>
  <c r="BK113" i="16"/>
  <c r="K103" i="18" s="1"/>
  <c r="BL112" i="16"/>
  <c r="E102" i="18"/>
  <c r="BH116" i="11"/>
  <c r="H105" i="3" s="1"/>
  <c r="BJ116" i="11"/>
  <c r="J105" i="3" s="1"/>
  <c r="BY113" i="16"/>
  <c r="AO123" i="17"/>
  <c r="CE121" i="17"/>
  <c r="AL201" i="17"/>
  <c r="AM201" i="17"/>
  <c r="BI113" i="16"/>
  <c r="I103" i="18" s="1"/>
  <c r="BH108" i="16"/>
  <c r="H98" i="18" s="1"/>
  <c r="E112" i="19"/>
  <c r="G127" i="17"/>
  <c r="AR117" i="19" s="1"/>
  <c r="AU117" i="19" s="1"/>
  <c r="BE107" i="16"/>
  <c r="BG113" i="16"/>
  <c r="G103" i="18" s="1"/>
  <c r="BE116" i="11"/>
  <c r="BJ108" i="16"/>
  <c r="J98" i="18" s="1"/>
  <c r="BF116" i="11"/>
  <c r="F105" i="3" s="1"/>
  <c r="BK108" i="16"/>
  <c r="K98" i="18" s="1"/>
  <c r="BZ114" i="11"/>
  <c r="BF113" i="16"/>
  <c r="BL108" i="17"/>
  <c r="BG107" i="16"/>
  <c r="G97" i="18" s="1"/>
  <c r="AL198" i="11"/>
  <c r="AM198" i="11"/>
  <c r="AH107" i="3" s="1"/>
  <c r="Z198" i="11"/>
  <c r="X198" i="11"/>
  <c r="I222" i="6"/>
  <c r="P103" i="3"/>
  <c r="Q103" i="3" s="1"/>
  <c r="S103" i="3" s="1"/>
  <c r="BI93" i="18"/>
  <c r="J112" i="19"/>
  <c r="H112" i="19"/>
  <c r="I112" i="19"/>
  <c r="F112" i="19"/>
  <c r="AB45" i="3"/>
  <c r="AD45" i="3" s="1"/>
  <c r="AC45" i="3"/>
  <c r="AE45" i="3" s="1"/>
  <c r="AF45" i="3" s="1"/>
  <c r="BC45" i="3" s="1"/>
  <c r="BE45" i="3" s="1"/>
  <c r="BG45" i="3" s="1"/>
  <c r="N39" i="6"/>
  <c r="BD113" i="16"/>
  <c r="AA46" i="3"/>
  <c r="BD116" i="11"/>
  <c r="BD122" i="17"/>
  <c r="K206" i="11"/>
  <c r="AK206" i="11" s="1"/>
  <c r="AI195" i="11"/>
  <c r="AI199" i="17"/>
  <c r="S96" i="3"/>
  <c r="U96" i="3" s="1"/>
  <c r="V96" i="3" s="1"/>
  <c r="BI96" i="3" s="1"/>
  <c r="AI199" i="16"/>
  <c r="AG199" i="16"/>
  <c r="AH199" i="17"/>
  <c r="AH199" i="16"/>
  <c r="AE199" i="16"/>
  <c r="AK109" i="18" s="1"/>
  <c r="AG195" i="11"/>
  <c r="AT222" i="7"/>
  <c r="O221" i="6"/>
  <c r="S221" i="6" s="1"/>
  <c r="BD50" i="6" s="1"/>
  <c r="AJ198" i="17"/>
  <c r="AK108" i="19"/>
  <c r="AL108" i="19" s="1"/>
  <c r="R18" i="23"/>
  <c r="AE199" i="17"/>
  <c r="BZ119" i="17" s="1"/>
  <c r="AV221" i="7"/>
  <c r="J226" i="6" s="1"/>
  <c r="P226" i="6" s="1"/>
  <c r="T226" i="6" s="1"/>
  <c r="BE55" i="6" s="1"/>
  <c r="AF199" i="17"/>
  <c r="AJ23" i="23"/>
  <c r="J225" i="6"/>
  <c r="P225" i="6" s="1"/>
  <c r="T225" i="6" s="1"/>
  <c r="BE54" i="6" s="1"/>
  <c r="Q22" i="23"/>
  <c r="AF222" i="7"/>
  <c r="AJ198" i="16"/>
  <c r="Q19" i="23"/>
  <c r="R21" i="23"/>
  <c r="W19" i="23"/>
  <c r="AC46" i="18"/>
  <c r="AE46" i="18" s="1"/>
  <c r="AF46" i="18" s="1"/>
  <c r="BC46" i="18" s="1"/>
  <c r="BE46" i="18" s="1"/>
  <c r="BG46" i="18" s="1"/>
  <c r="AB46" i="18"/>
  <c r="AD46" i="18" s="1"/>
  <c r="I167" i="16"/>
  <c r="AW224" i="7"/>
  <c r="E224" i="7"/>
  <c r="G224" i="7" s="1"/>
  <c r="AM222" i="7"/>
  <c r="AE223" i="7"/>
  <c r="AJ223" i="7"/>
  <c r="AI223" i="7"/>
  <c r="AO223" i="7"/>
  <c r="AH223" i="7"/>
  <c r="AK223" i="7"/>
  <c r="AL223" i="7"/>
  <c r="AA223" i="7"/>
  <c r="AR223" i="7"/>
  <c r="AP223" i="7"/>
  <c r="AB223" i="7"/>
  <c r="AD223" i="7"/>
  <c r="AC223" i="7"/>
  <c r="Z223" i="7"/>
  <c r="AQ223" i="7"/>
  <c r="AG223" i="7"/>
  <c r="AN223" i="7"/>
  <c r="AK109" i="19"/>
  <c r="AC200" i="17"/>
  <c r="AL46" i="3"/>
  <c r="AN46" i="3" s="1"/>
  <c r="AM46" i="3"/>
  <c r="AO46" i="3" s="1"/>
  <c r="AP46" i="3" s="1"/>
  <c r="BJ46" i="3" s="1"/>
  <c r="BL46" i="3" s="1"/>
  <c r="BN46" i="3" s="1"/>
  <c r="I128" i="11"/>
  <c r="I127" i="17"/>
  <c r="I127" i="16"/>
  <c r="K228" i="6"/>
  <c r="K194" i="6"/>
  <c r="K160" i="6"/>
  <c r="K126" i="6"/>
  <c r="AD199" i="17"/>
  <c r="D150" i="4"/>
  <c r="D128" i="17"/>
  <c r="D168" i="17"/>
  <c r="BX128" i="17" s="1"/>
  <c r="D168" i="16"/>
  <c r="BX128" i="16" s="1"/>
  <c r="D128" i="16"/>
  <c r="D169" i="11"/>
  <c r="BX129" i="11" s="1"/>
  <c r="D129" i="11"/>
  <c r="AM108" i="18"/>
  <c r="AL108" i="18"/>
  <c r="AE189" i="7"/>
  <c r="AI189" i="7"/>
  <c r="AL189" i="7"/>
  <c r="AH189" i="7"/>
  <c r="AK189" i="7"/>
  <c r="AR189" i="7"/>
  <c r="AJ189" i="7"/>
  <c r="AP189" i="7"/>
  <c r="AC189" i="7"/>
  <c r="AQ189" i="7"/>
  <c r="AB189" i="7"/>
  <c r="AA189" i="7"/>
  <c r="AD189" i="7"/>
  <c r="AO189" i="7"/>
  <c r="AG189" i="7"/>
  <c r="AN189" i="7"/>
  <c r="AC200" i="16"/>
  <c r="AD200" i="16" s="1"/>
  <c r="AM154" i="7"/>
  <c r="AW156" i="7"/>
  <c r="E156" i="7"/>
  <c r="G156" i="7" s="1"/>
  <c r="AG155" i="7"/>
  <c r="AK155" i="7"/>
  <c r="AI155" i="7"/>
  <c r="AL155" i="7"/>
  <c r="AH155" i="7"/>
  <c r="AA155" i="7"/>
  <c r="AO155" i="7"/>
  <c r="AJ155" i="7"/>
  <c r="B208" i="17"/>
  <c r="B209" i="11"/>
  <c r="B208" i="16"/>
  <c r="B118" i="19"/>
  <c r="B225" i="7"/>
  <c r="B118" i="18"/>
  <c r="B128" i="17"/>
  <c r="B168" i="17"/>
  <c r="B191" i="7"/>
  <c r="B168" i="16"/>
  <c r="B128" i="16"/>
  <c r="B169" i="11"/>
  <c r="B129" i="11"/>
  <c r="B157" i="7"/>
  <c r="B118" i="3"/>
  <c r="AL107" i="18"/>
  <c r="AM107" i="18"/>
  <c r="R203" i="17"/>
  <c r="S203" i="17" s="1"/>
  <c r="AB46" i="19"/>
  <c r="AD46" i="19" s="1"/>
  <c r="AC46" i="19"/>
  <c r="AE46" i="19" s="1"/>
  <c r="AF46" i="19" s="1"/>
  <c r="BC46" i="19" s="1"/>
  <c r="BE46" i="19" s="1"/>
  <c r="BG46" i="19" s="1"/>
  <c r="I206" i="17"/>
  <c r="K58" i="6"/>
  <c r="K92" i="6"/>
  <c r="C208" i="17"/>
  <c r="C209" i="11"/>
  <c r="C208" i="16"/>
  <c r="C168" i="17"/>
  <c r="C128" i="17"/>
  <c r="C168" i="16"/>
  <c r="C128" i="16"/>
  <c r="C169" i="11"/>
  <c r="C129" i="11"/>
  <c r="M204" i="17"/>
  <c r="P204" i="17"/>
  <c r="Q204" i="17" s="1"/>
  <c r="AF199" i="16"/>
  <c r="Z201" i="17"/>
  <c r="W201" i="17"/>
  <c r="BY121" i="17" s="1"/>
  <c r="AB201" i="17"/>
  <c r="Y201" i="17"/>
  <c r="AA201" i="17"/>
  <c r="X201" i="17"/>
  <c r="AL46" i="19"/>
  <c r="AN46" i="19" s="1"/>
  <c r="AM46" i="19"/>
  <c r="AO46" i="19" s="1"/>
  <c r="AP46" i="19" s="1"/>
  <c r="BJ46" i="19" s="1"/>
  <c r="BL46" i="19" s="1"/>
  <c r="BN46" i="19" s="1"/>
  <c r="I167" i="17"/>
  <c r="I207" i="11"/>
  <c r="K205" i="17"/>
  <c r="AK205" i="17" s="1"/>
  <c r="H205" i="17"/>
  <c r="AV117" i="19"/>
  <c r="AW117" i="19"/>
  <c r="T202" i="16"/>
  <c r="V202" i="16"/>
  <c r="U202" i="16"/>
  <c r="I206" i="16"/>
  <c r="M204" i="16"/>
  <c r="P204" i="16"/>
  <c r="Q204" i="16" s="1"/>
  <c r="C150" i="4"/>
  <c r="B150" i="4"/>
  <c r="K150" i="4" s="1"/>
  <c r="E149" i="4"/>
  <c r="M149" i="4" s="1"/>
  <c r="D208" i="11"/>
  <c r="CA128" i="11" s="1"/>
  <c r="D207" i="17"/>
  <c r="CA127" i="17" s="1"/>
  <c r="D207" i="16"/>
  <c r="CA127" i="16" s="1"/>
  <c r="F167" i="17"/>
  <c r="F207" i="17"/>
  <c r="F207" i="16"/>
  <c r="F208" i="11"/>
  <c r="F168" i="11"/>
  <c r="F167" i="16"/>
  <c r="K205" i="16"/>
  <c r="AK205" i="16" s="1"/>
  <c r="H205" i="16"/>
  <c r="V202" i="17"/>
  <c r="U202" i="17"/>
  <c r="T202" i="17"/>
  <c r="AL46" i="18"/>
  <c r="AN46" i="18" s="1"/>
  <c r="AM46" i="18"/>
  <c r="AO46" i="18" s="1"/>
  <c r="AP46" i="18" s="1"/>
  <c r="BJ46" i="18" s="1"/>
  <c r="BL46" i="18" s="1"/>
  <c r="BN46" i="18" s="1"/>
  <c r="AW190" i="7"/>
  <c r="E190" i="7"/>
  <c r="G190" i="7" s="1"/>
  <c r="AT188" i="7"/>
  <c r="AU52" i="6"/>
  <c r="BG52" i="6"/>
  <c r="AA47" i="19"/>
  <c r="AK47" i="18"/>
  <c r="AK47" i="19"/>
  <c r="AK47" i="3"/>
  <c r="AA47" i="18"/>
  <c r="I168" i="11"/>
  <c r="AM188" i="7"/>
  <c r="R203" i="16"/>
  <c r="S203" i="16" s="1"/>
  <c r="AB201" i="16"/>
  <c r="W201" i="16"/>
  <c r="Z201" i="16"/>
  <c r="AA201" i="16"/>
  <c r="Y201" i="16"/>
  <c r="X201" i="16"/>
  <c r="H188" i="6"/>
  <c r="J107" i="8"/>
  <c r="M39" i="6"/>
  <c r="AJ194" i="11"/>
  <c r="AH195" i="11"/>
  <c r="AF195" i="11"/>
  <c r="R144" i="6"/>
  <c r="AQ41" i="6" s="1"/>
  <c r="AH168" i="8"/>
  <c r="I176" i="6" s="1"/>
  <c r="O222" i="6"/>
  <c r="S222" i="6" s="1"/>
  <c r="BD51" i="6" s="1"/>
  <c r="L111" i="19"/>
  <c r="AA126" i="17"/>
  <c r="AB126" i="17" s="1"/>
  <c r="J182" i="8"/>
  <c r="Z168" i="8"/>
  <c r="H176" i="6" s="1"/>
  <c r="R168" i="8"/>
  <c r="G210" i="6" s="1"/>
  <c r="AP123" i="17"/>
  <c r="B183" i="8" s="1"/>
  <c r="G188" i="6"/>
  <c r="P111" i="19"/>
  <c r="R100" i="18"/>
  <c r="S100" i="18"/>
  <c r="J134" i="8"/>
  <c r="J133" i="8"/>
  <c r="AE195" i="11"/>
  <c r="BZ115" i="11" s="1"/>
  <c r="F98" i="3"/>
  <c r="L98" i="3" s="1"/>
  <c r="N79" i="6"/>
  <c r="R79" i="6" s="1"/>
  <c r="AE44" i="6" s="1"/>
  <c r="L97" i="3"/>
  <c r="AD124" i="17"/>
  <c r="AC124" i="17"/>
  <c r="AE124" i="17"/>
  <c r="AJ124" i="17"/>
  <c r="AI124" i="17"/>
  <c r="AH124" i="17"/>
  <c r="AN123" i="17"/>
  <c r="AE125" i="17"/>
  <c r="AD125" i="17"/>
  <c r="AC125" i="17"/>
  <c r="AJ125" i="17"/>
  <c r="AI125" i="17"/>
  <c r="AH125" i="17"/>
  <c r="BC123" i="17"/>
  <c r="BF123" i="17" s="1"/>
  <c r="AL123" i="17"/>
  <c r="AM123" i="17"/>
  <c r="T129" i="17"/>
  <c r="S129" i="17"/>
  <c r="R129" i="17"/>
  <c r="Y127" i="17"/>
  <c r="Z127" i="17" s="1"/>
  <c r="J97" i="18"/>
  <c r="E103" i="18"/>
  <c r="H97" i="18"/>
  <c r="J139" i="8"/>
  <c r="BD107" i="16"/>
  <c r="Q129" i="16"/>
  <c r="U129" i="16"/>
  <c r="R129" i="16"/>
  <c r="S129" i="16"/>
  <c r="T129" i="16"/>
  <c r="I102" i="18"/>
  <c r="AM113" i="16"/>
  <c r="D103" i="18" s="1"/>
  <c r="N103" i="18" s="1"/>
  <c r="AL113" i="16"/>
  <c r="F149" i="6"/>
  <c r="E149" i="6"/>
  <c r="D149" i="6"/>
  <c r="N73" i="6"/>
  <c r="R73" i="6" s="1"/>
  <c r="AE38" i="6" s="1"/>
  <c r="AM103" i="3"/>
  <c r="O109" i="6"/>
  <c r="S109" i="6" s="1"/>
  <c r="AL40" i="6" s="1"/>
  <c r="AH137" i="8"/>
  <c r="D80" i="6"/>
  <c r="M80" i="6" s="1"/>
  <c r="F80" i="6"/>
  <c r="E80" i="6"/>
  <c r="T198" i="11"/>
  <c r="AI48" i="6" s="1"/>
  <c r="V198" i="11"/>
  <c r="AE118" i="11"/>
  <c r="AD118" i="11"/>
  <c r="AC118" i="11"/>
  <c r="AC196" i="11"/>
  <c r="D74" i="6"/>
  <c r="M74" i="6" s="1"/>
  <c r="F74" i="6"/>
  <c r="E74" i="6"/>
  <c r="AF115" i="16"/>
  <c r="AS115" i="16"/>
  <c r="AW115" i="16"/>
  <c r="BA115" i="16"/>
  <c r="AR115" i="16"/>
  <c r="AX115" i="16"/>
  <c r="AT115" i="16"/>
  <c r="AU115" i="16"/>
  <c r="AZ115" i="16"/>
  <c r="AV115" i="16"/>
  <c r="BB115" i="16"/>
  <c r="AY115" i="16"/>
  <c r="AG115" i="16"/>
  <c r="M145" i="6"/>
  <c r="R137" i="8"/>
  <c r="AK114" i="16"/>
  <c r="O143" i="6"/>
  <c r="S143" i="6" s="1"/>
  <c r="AR40" i="6" s="1"/>
  <c r="D102" i="18"/>
  <c r="N102" i="18" s="1"/>
  <c r="AQ112" i="16"/>
  <c r="BD108" i="16"/>
  <c r="H110" i="6"/>
  <c r="H144" i="6"/>
  <c r="Z137" i="8"/>
  <c r="BC114" i="16"/>
  <c r="BJ114" i="16" s="1"/>
  <c r="G144" i="6"/>
  <c r="G110" i="6"/>
  <c r="G98" i="18"/>
  <c r="L101" i="18"/>
  <c r="P101" i="18"/>
  <c r="Q101" i="18" s="1"/>
  <c r="N145" i="6"/>
  <c r="I144" i="6"/>
  <c r="I110" i="6"/>
  <c r="AO113" i="16"/>
  <c r="AP113" i="16"/>
  <c r="B139" i="8" s="1"/>
  <c r="AN113" i="16"/>
  <c r="Z181" i="8"/>
  <c r="AH181" i="8"/>
  <c r="R181" i="8"/>
  <c r="O172" i="6"/>
  <c r="S172" i="6" s="1"/>
  <c r="AX35" i="6" s="1"/>
  <c r="H173" i="6"/>
  <c r="A209" i="17"/>
  <c r="A231" i="6"/>
  <c r="A163" i="6"/>
  <c r="A95" i="6"/>
  <c r="O206" i="6"/>
  <c r="S206" i="6" s="1"/>
  <c r="BD35" i="6" s="1"/>
  <c r="G174" i="6"/>
  <c r="G208" i="6"/>
  <c r="H174" i="6"/>
  <c r="H208" i="6"/>
  <c r="G173" i="6"/>
  <c r="G207" i="6"/>
  <c r="I174" i="6"/>
  <c r="I208" i="6"/>
  <c r="I173" i="6"/>
  <c r="I207" i="6"/>
  <c r="AB117" i="16"/>
  <c r="AJ117" i="16" s="1"/>
  <c r="AB118" i="16"/>
  <c r="AH118" i="16" s="1"/>
  <c r="O105" i="6"/>
  <c r="S105" i="6" s="1"/>
  <c r="AL36" i="6" s="1"/>
  <c r="O104" i="6"/>
  <c r="S104" i="6" s="1"/>
  <c r="AL35" i="6" s="1"/>
  <c r="O139" i="6"/>
  <c r="S139" i="6" s="1"/>
  <c r="AR36" i="6" s="1"/>
  <c r="BI94" i="18"/>
  <c r="BB94" i="18"/>
  <c r="O138" i="6"/>
  <c r="S138" i="6" s="1"/>
  <c r="AR35" i="6" s="1"/>
  <c r="O38" i="6"/>
  <c r="S38" i="6" s="1"/>
  <c r="Z37" i="6" s="1"/>
  <c r="O72" i="6"/>
  <c r="S72" i="6" s="1"/>
  <c r="AF37" i="6" s="1"/>
  <c r="O44" i="6"/>
  <c r="S44" i="6" s="1"/>
  <c r="Z43" i="6" s="1"/>
  <c r="G39" i="6"/>
  <c r="G73" i="6"/>
  <c r="I39" i="6"/>
  <c r="I73" i="6"/>
  <c r="H39" i="6"/>
  <c r="H73" i="6"/>
  <c r="I45" i="6"/>
  <c r="I79" i="6"/>
  <c r="H45" i="6"/>
  <c r="H79" i="6"/>
  <c r="O78" i="6"/>
  <c r="S78" i="6" s="1"/>
  <c r="AF43" i="6" s="1"/>
  <c r="G45" i="6"/>
  <c r="X16" i="23" s="1"/>
  <c r="G79" i="6"/>
  <c r="A119" i="19"/>
  <c r="A210" i="11"/>
  <c r="A209" i="16"/>
  <c r="J120" i="11"/>
  <c r="J121" i="11" s="1"/>
  <c r="H199" i="11"/>
  <c r="R199" i="11"/>
  <c r="S199" i="11" s="1"/>
  <c r="U199" i="11" s="1"/>
  <c r="CE119" i="11" s="1"/>
  <c r="R100" i="8"/>
  <c r="AI118" i="11"/>
  <c r="R132" i="8"/>
  <c r="Z100" i="8"/>
  <c r="AH100" i="8"/>
  <c r="Q129" i="17"/>
  <c r="X129" i="17"/>
  <c r="U129" i="17"/>
  <c r="Z126" i="16"/>
  <c r="AA126" i="16"/>
  <c r="AQ122" i="17"/>
  <c r="H160" i="11"/>
  <c r="Z127" i="16"/>
  <c r="AA127" i="16"/>
  <c r="X129" i="16"/>
  <c r="V128" i="16"/>
  <c r="V128" i="17"/>
  <c r="Z132" i="8"/>
  <c r="AH132" i="8"/>
  <c r="AQ108" i="16"/>
  <c r="U95" i="18"/>
  <c r="V95" i="18" s="1"/>
  <c r="AQ107" i="16"/>
  <c r="L96" i="18"/>
  <c r="S105" i="19"/>
  <c r="R105" i="19"/>
  <c r="T95" i="18"/>
  <c r="P96" i="18"/>
  <c r="Q96" i="18" s="1"/>
  <c r="L98" i="19"/>
  <c r="P98" i="19"/>
  <c r="L96" i="19"/>
  <c r="P96" i="19"/>
  <c r="A189" i="8"/>
  <c r="A197" i="6"/>
  <c r="A226" i="7"/>
  <c r="A155" i="8"/>
  <c r="A121" i="8"/>
  <c r="R106" i="8"/>
  <c r="AH106" i="8"/>
  <c r="Z106" i="8"/>
  <c r="P104" i="3"/>
  <c r="Q104" i="3" s="1"/>
  <c r="Z167" i="8"/>
  <c r="R167" i="8"/>
  <c r="AH167" i="8"/>
  <c r="S97" i="3"/>
  <c r="U97" i="3" s="1"/>
  <c r="V97" i="3" s="1"/>
  <c r="R97" i="3"/>
  <c r="T97" i="3" s="1"/>
  <c r="R103" i="3"/>
  <c r="A119" i="18"/>
  <c r="D105" i="3"/>
  <c r="N105" i="3" s="1"/>
  <c r="E105" i="3"/>
  <c r="G105" i="3"/>
  <c r="L104" i="3"/>
  <c r="A192" i="7"/>
  <c r="A169" i="17"/>
  <c r="A129" i="17"/>
  <c r="A129" i="6"/>
  <c r="A169" i="16"/>
  <c r="A129" i="16"/>
  <c r="AA119" i="16"/>
  <c r="A130" i="11"/>
  <c r="F98" i="11" s="1"/>
  <c r="A170" i="11"/>
  <c r="AQ116" i="11"/>
  <c r="AJ118" i="11"/>
  <c r="AH118" i="11"/>
  <c r="AB119" i="11"/>
  <c r="AA127" i="11"/>
  <c r="Z127" i="11"/>
  <c r="Y128" i="11"/>
  <c r="X130" i="11"/>
  <c r="V129" i="11"/>
  <c r="U130" i="11"/>
  <c r="R130" i="11"/>
  <c r="T130" i="11"/>
  <c r="S130" i="11"/>
  <c r="K130" i="11"/>
  <c r="A158" i="7"/>
  <c r="A61" i="6"/>
  <c r="W60" i="6" s="1"/>
  <c r="BH60" i="6" s="1"/>
  <c r="A119" i="3"/>
  <c r="B136" i="9" l="1"/>
  <c r="B102" i="9"/>
  <c r="B113" i="9"/>
  <c r="B147" i="9"/>
  <c r="G282" i="9"/>
  <c r="T282" i="9" s="1"/>
  <c r="H282" i="9"/>
  <c r="U282" i="9" s="1"/>
  <c r="J282" i="9"/>
  <c r="W282" i="9" s="1"/>
  <c r="G214" i="9"/>
  <c r="T214" i="9" s="1"/>
  <c r="J214" i="9"/>
  <c r="W214" i="9" s="1"/>
  <c r="H214" i="9"/>
  <c r="U214" i="9" s="1"/>
  <c r="H248" i="9"/>
  <c r="U248" i="9" s="1"/>
  <c r="G248" i="9"/>
  <c r="T248" i="9" s="1"/>
  <c r="J248" i="9"/>
  <c r="W248" i="9" s="1"/>
  <c r="B215" i="9"/>
  <c r="B181" i="9"/>
  <c r="B249" i="9"/>
  <c r="B283" i="9"/>
  <c r="G146" i="9"/>
  <c r="T146" i="9" s="1"/>
  <c r="J146" i="9"/>
  <c r="W146" i="9" s="1"/>
  <c r="H146" i="9"/>
  <c r="U146" i="9" s="1"/>
  <c r="P206" i="11"/>
  <c r="Q206" i="11" s="1"/>
  <c r="L150" i="4"/>
  <c r="BB96" i="3"/>
  <c r="BL107" i="16"/>
  <c r="E97" i="18"/>
  <c r="M206" i="11"/>
  <c r="CK125" i="17"/>
  <c r="CG125" i="17"/>
  <c r="CB125" i="17"/>
  <c r="CJ125" i="17"/>
  <c r="CI125" i="17"/>
  <c r="CD125" i="17"/>
  <c r="CH125" i="17"/>
  <c r="BE114" i="16"/>
  <c r="AN201" i="17"/>
  <c r="AO201" i="17" s="1"/>
  <c r="AH111" i="19"/>
  <c r="BL116" i="11"/>
  <c r="BK123" i="17"/>
  <c r="BH123" i="17"/>
  <c r="BF114" i="16"/>
  <c r="F104" i="18" s="1"/>
  <c r="CI118" i="11"/>
  <c r="CD118" i="11"/>
  <c r="CK118" i="11"/>
  <c r="CH118" i="11"/>
  <c r="CB118" i="11"/>
  <c r="CG118" i="11"/>
  <c r="CJ118" i="11"/>
  <c r="CE122" i="16"/>
  <c r="AL202" i="16"/>
  <c r="AM202" i="16"/>
  <c r="AH112" i="18" s="1"/>
  <c r="AD196" i="11"/>
  <c r="AH200" i="17"/>
  <c r="BL113" i="16"/>
  <c r="BG114" i="16"/>
  <c r="G104" i="18" s="1"/>
  <c r="BE123" i="17"/>
  <c r="BL108" i="16"/>
  <c r="AN201" i="16"/>
  <c r="AO201" i="16" s="1"/>
  <c r="AH111" i="18"/>
  <c r="BI123" i="17"/>
  <c r="CL115" i="16"/>
  <c r="CM115" i="16" s="1"/>
  <c r="BH114" i="16"/>
  <c r="H104" i="18" s="1"/>
  <c r="CI124" i="17"/>
  <c r="CD124" i="17"/>
  <c r="CH124" i="17"/>
  <c r="CK124" i="17"/>
  <c r="CG124" i="17"/>
  <c r="CB124" i="17"/>
  <c r="CJ124" i="17"/>
  <c r="H167" i="16"/>
  <c r="BY114" i="16"/>
  <c r="CE122" i="17"/>
  <c r="AL202" i="17"/>
  <c r="AM202" i="17"/>
  <c r="H167" i="17"/>
  <c r="G128" i="17"/>
  <c r="AR118" i="19" s="1"/>
  <c r="AU118" i="19" s="1"/>
  <c r="BJ123" i="17"/>
  <c r="J113" i="19" s="1"/>
  <c r="BZ113" i="16"/>
  <c r="BK114" i="16"/>
  <c r="K104" i="18" s="1"/>
  <c r="BI114" i="16"/>
  <c r="BL122" i="17"/>
  <c r="BG123" i="17"/>
  <c r="G113" i="19" s="1"/>
  <c r="F103" i="18"/>
  <c r="P103" i="18" s="1"/>
  <c r="Q103" i="18" s="1"/>
  <c r="R103" i="18" s="1"/>
  <c r="P112" i="19"/>
  <c r="L112" i="19"/>
  <c r="AN198" i="11"/>
  <c r="AO198" i="11" s="1"/>
  <c r="AL199" i="11"/>
  <c r="Z199" i="11"/>
  <c r="AM199" i="11"/>
  <c r="X199" i="11"/>
  <c r="J192" i="6"/>
  <c r="P192" i="6" s="1"/>
  <c r="T192" i="6" s="1"/>
  <c r="AY55" i="6" s="1"/>
  <c r="AV222" i="7"/>
  <c r="I210" i="6"/>
  <c r="AC46" i="3"/>
  <c r="AE46" i="3" s="1"/>
  <c r="AF46" i="3" s="1"/>
  <c r="BC46" i="3" s="1"/>
  <c r="BE46" i="3" s="1"/>
  <c r="BG46" i="3" s="1"/>
  <c r="AB46" i="3"/>
  <c r="AD46" i="3" s="1"/>
  <c r="AA47" i="3"/>
  <c r="K207" i="11"/>
  <c r="AK207" i="11" s="1"/>
  <c r="P98" i="3"/>
  <c r="Q98" i="3" s="1"/>
  <c r="R98" i="3" s="1"/>
  <c r="T98" i="3" s="1"/>
  <c r="R39" i="6"/>
  <c r="Y38" i="6" s="1"/>
  <c r="AG196" i="11"/>
  <c r="AJ199" i="17"/>
  <c r="AM108" i="19"/>
  <c r="AJ199" i="16"/>
  <c r="R16" i="23"/>
  <c r="T16" i="23"/>
  <c r="AI117" i="16"/>
  <c r="AF200" i="17"/>
  <c r="AE200" i="16"/>
  <c r="AK110" i="18" s="1"/>
  <c r="AL110" i="18" s="1"/>
  <c r="AG200" i="17"/>
  <c r="AI200" i="16"/>
  <c r="AH200" i="16"/>
  <c r="AE200" i="17"/>
  <c r="AK110" i="19" s="1"/>
  <c r="AI200" i="17"/>
  <c r="AK23" i="23"/>
  <c r="X19" i="23"/>
  <c r="O188" i="6"/>
  <c r="S188" i="6" s="1"/>
  <c r="AX51" i="6" s="1"/>
  <c r="X22" i="23"/>
  <c r="T19" i="23"/>
  <c r="R19" i="23"/>
  <c r="T22" i="23"/>
  <c r="R22" i="23"/>
  <c r="AF223" i="7"/>
  <c r="AE196" i="11"/>
  <c r="AL47" i="3"/>
  <c r="AN47" i="3" s="1"/>
  <c r="AM47" i="3"/>
  <c r="AO47" i="3" s="1"/>
  <c r="AP47" i="3" s="1"/>
  <c r="BJ47" i="3" s="1"/>
  <c r="BL47" i="3" s="1"/>
  <c r="BN47" i="3" s="1"/>
  <c r="C209" i="17"/>
  <c r="C209" i="16"/>
  <c r="C210" i="11"/>
  <c r="C169" i="17"/>
  <c r="C129" i="17"/>
  <c r="C169" i="16"/>
  <c r="C129" i="16"/>
  <c r="C170" i="11"/>
  <c r="C130" i="11"/>
  <c r="AC201" i="17"/>
  <c r="AG201" i="17" s="1"/>
  <c r="F168" i="16"/>
  <c r="F209" i="11"/>
  <c r="F168" i="17"/>
  <c r="F208" i="17"/>
  <c r="F169" i="11"/>
  <c r="F208" i="16"/>
  <c r="K206" i="17"/>
  <c r="AK206" i="17" s="1"/>
  <c r="H206" i="17"/>
  <c r="I168" i="16"/>
  <c r="U203" i="17"/>
  <c r="T203" i="17"/>
  <c r="V203" i="17"/>
  <c r="AM47" i="19"/>
  <c r="AO47" i="19" s="1"/>
  <c r="AP47" i="19" s="1"/>
  <c r="BJ47" i="19" s="1"/>
  <c r="BL47" i="19" s="1"/>
  <c r="BN47" i="19" s="1"/>
  <c r="AL47" i="19"/>
  <c r="AN47" i="19" s="1"/>
  <c r="AW225" i="7"/>
  <c r="E225" i="7"/>
  <c r="G225" i="7" s="1"/>
  <c r="AM155" i="7"/>
  <c r="I168" i="17"/>
  <c r="I128" i="17"/>
  <c r="I129" i="11"/>
  <c r="I128" i="16"/>
  <c r="AL109" i="18"/>
  <c r="AM109" i="18"/>
  <c r="AE224" i="7"/>
  <c r="AK224" i="7"/>
  <c r="AO224" i="7"/>
  <c r="AJ224" i="7"/>
  <c r="AL224" i="7"/>
  <c r="AH224" i="7"/>
  <c r="AI224" i="7"/>
  <c r="AC224" i="7"/>
  <c r="AP224" i="7"/>
  <c r="AB224" i="7"/>
  <c r="AA224" i="7"/>
  <c r="AR224" i="7"/>
  <c r="AD224" i="7"/>
  <c r="Z224" i="7"/>
  <c r="AQ224" i="7"/>
  <c r="AN224" i="7"/>
  <c r="AG224" i="7"/>
  <c r="I169" i="11"/>
  <c r="K161" i="6"/>
  <c r="K127" i="6"/>
  <c r="T203" i="16"/>
  <c r="V203" i="16"/>
  <c r="U203" i="16"/>
  <c r="AM47" i="18"/>
  <c r="AO47" i="18" s="1"/>
  <c r="AP47" i="18" s="1"/>
  <c r="BJ47" i="18" s="1"/>
  <c r="BL47" i="18" s="1"/>
  <c r="BN47" i="18" s="1"/>
  <c r="AL47" i="18"/>
  <c r="AN47" i="18" s="1"/>
  <c r="R204" i="16"/>
  <c r="S204" i="16" s="1"/>
  <c r="AK48" i="18"/>
  <c r="AA48" i="19"/>
  <c r="AK48" i="19"/>
  <c r="AK48" i="3"/>
  <c r="AA48" i="18"/>
  <c r="AL156" i="7"/>
  <c r="AO156" i="7"/>
  <c r="AJ156" i="7"/>
  <c r="AG156" i="7"/>
  <c r="AH156" i="7"/>
  <c r="AA156" i="7"/>
  <c r="AI156" i="7"/>
  <c r="AK156" i="7"/>
  <c r="AT189" i="7"/>
  <c r="D169" i="17"/>
  <c r="BX129" i="17" s="1"/>
  <c r="D129" i="16"/>
  <c r="D169" i="16"/>
  <c r="BX129" i="16" s="1"/>
  <c r="D129" i="17"/>
  <c r="D170" i="11"/>
  <c r="BX130" i="11" s="1"/>
  <c r="D130" i="11"/>
  <c r="K229" i="6"/>
  <c r="K195" i="6"/>
  <c r="M205" i="16"/>
  <c r="P205" i="16"/>
  <c r="Q205" i="16" s="1"/>
  <c r="AW157" i="7"/>
  <c r="E157" i="7"/>
  <c r="G157" i="7" s="1"/>
  <c r="K59" i="6"/>
  <c r="K93" i="6"/>
  <c r="AM189" i="7"/>
  <c r="K206" i="16"/>
  <c r="AK206" i="16" s="1"/>
  <c r="H206" i="16"/>
  <c r="M205" i="17"/>
  <c r="P205" i="17"/>
  <c r="Q205" i="17" s="1"/>
  <c r="AD200" i="17"/>
  <c r="AC47" i="19"/>
  <c r="AE47" i="19" s="1"/>
  <c r="AF47" i="19" s="1"/>
  <c r="BC47" i="19" s="1"/>
  <c r="BE47" i="19" s="1"/>
  <c r="BG47" i="19" s="1"/>
  <c r="AB47" i="19"/>
  <c r="AD47" i="19" s="1"/>
  <c r="AB202" i="17"/>
  <c r="W202" i="17"/>
  <c r="Z202" i="17"/>
  <c r="AA202" i="17"/>
  <c r="Y202" i="17"/>
  <c r="X202" i="17"/>
  <c r="I207" i="16"/>
  <c r="AF200" i="16"/>
  <c r="AC201" i="16"/>
  <c r="AD201" i="16" s="1"/>
  <c r="J193" i="6"/>
  <c r="P193" i="6" s="1"/>
  <c r="T193" i="6" s="1"/>
  <c r="AY56" i="6" s="1"/>
  <c r="J227" i="6"/>
  <c r="P227" i="6" s="1"/>
  <c r="T227" i="6" s="1"/>
  <c r="BE56" i="6" s="1"/>
  <c r="I207" i="17"/>
  <c r="Z202" i="16"/>
  <c r="W202" i="16"/>
  <c r="AB202" i="16"/>
  <c r="Y202" i="16"/>
  <c r="AA202" i="16"/>
  <c r="X202" i="16"/>
  <c r="AM109" i="19"/>
  <c r="AL109" i="19"/>
  <c r="B209" i="17"/>
  <c r="B210" i="11"/>
  <c r="B209" i="16"/>
  <c r="B119" i="19"/>
  <c r="B226" i="7"/>
  <c r="B119" i="18"/>
  <c r="B169" i="17"/>
  <c r="B129" i="17"/>
  <c r="B192" i="7"/>
  <c r="B169" i="16"/>
  <c r="B129" i="16"/>
  <c r="B170" i="11"/>
  <c r="B130" i="11"/>
  <c r="B158" i="7"/>
  <c r="B119" i="3"/>
  <c r="AC47" i="18"/>
  <c r="AE47" i="18" s="1"/>
  <c r="AF47" i="18" s="1"/>
  <c r="BC47" i="18" s="1"/>
  <c r="BE47" i="18" s="1"/>
  <c r="BG47" i="18" s="1"/>
  <c r="AB47" i="18"/>
  <c r="AD47" i="18" s="1"/>
  <c r="I208" i="11"/>
  <c r="R204" i="17"/>
  <c r="S204" i="17" s="1"/>
  <c r="AT223" i="7"/>
  <c r="AE190" i="7"/>
  <c r="AI190" i="7"/>
  <c r="AH190" i="7"/>
  <c r="AR190" i="7"/>
  <c r="AL190" i="7"/>
  <c r="AJ190" i="7"/>
  <c r="AK190" i="7"/>
  <c r="AC190" i="7"/>
  <c r="AD190" i="7"/>
  <c r="AO190" i="7"/>
  <c r="AQ190" i="7"/>
  <c r="AP190" i="7"/>
  <c r="AA190" i="7"/>
  <c r="AB190" i="7"/>
  <c r="AN190" i="7"/>
  <c r="AG190" i="7"/>
  <c r="AW118" i="19"/>
  <c r="AV118" i="19"/>
  <c r="AF196" i="11"/>
  <c r="E150" i="4"/>
  <c r="M150" i="4" s="1"/>
  <c r="D208" i="17"/>
  <c r="CA128" i="17" s="1"/>
  <c r="D208" i="16"/>
  <c r="CA128" i="16" s="1"/>
  <c r="D209" i="11"/>
  <c r="CA129" i="11" s="1"/>
  <c r="AU53" i="6"/>
  <c r="BG53" i="6"/>
  <c r="AG200" i="16"/>
  <c r="E191" i="7"/>
  <c r="G191" i="7" s="1"/>
  <c r="AW191" i="7"/>
  <c r="AM223" i="7"/>
  <c r="AI196" i="11"/>
  <c r="AK104" i="3"/>
  <c r="AL104" i="3" s="1"/>
  <c r="AH196" i="11"/>
  <c r="N80" i="6"/>
  <c r="R80" i="6" s="1"/>
  <c r="AE45" i="6" s="1"/>
  <c r="H210" i="6"/>
  <c r="G176" i="6"/>
  <c r="O176" i="6" s="1"/>
  <c r="S176" i="6" s="1"/>
  <c r="AX39" i="6" s="1"/>
  <c r="AJ195" i="11"/>
  <c r="AA127" i="17"/>
  <c r="AB127" i="17" s="1"/>
  <c r="AQ123" i="17"/>
  <c r="D113" i="19"/>
  <c r="AH117" i="16"/>
  <c r="F97" i="18"/>
  <c r="P97" i="18" s="1"/>
  <c r="Q97" i="18" s="1"/>
  <c r="S97" i="18" s="1"/>
  <c r="L103" i="18"/>
  <c r="AI118" i="16"/>
  <c r="AJ118" i="16"/>
  <c r="N74" i="6"/>
  <c r="R74" i="6" s="1"/>
  <c r="AE39" i="6" s="1"/>
  <c r="AF124" i="17"/>
  <c r="AU124" i="17"/>
  <c r="AX124" i="17"/>
  <c r="AW124" i="17"/>
  <c r="AV124" i="17"/>
  <c r="AZ124" i="17"/>
  <c r="BB124" i="17"/>
  <c r="AS124" i="17"/>
  <c r="AY124" i="17"/>
  <c r="BA124" i="17"/>
  <c r="AT124" i="17"/>
  <c r="AR124" i="17"/>
  <c r="AG124" i="17"/>
  <c r="AK124" i="17" s="1"/>
  <c r="I113" i="19"/>
  <c r="BD123" i="17"/>
  <c r="K113" i="19"/>
  <c r="F113" i="19"/>
  <c r="AE126" i="17"/>
  <c r="AD126" i="17"/>
  <c r="AC126" i="17"/>
  <c r="AJ126" i="17"/>
  <c r="AI126" i="17"/>
  <c r="AH126" i="17"/>
  <c r="H113" i="19"/>
  <c r="AF125" i="17"/>
  <c r="AU125" i="17"/>
  <c r="AV125" i="17"/>
  <c r="AX125" i="17"/>
  <c r="AW125" i="17"/>
  <c r="AY125" i="17"/>
  <c r="BB125" i="17"/>
  <c r="AZ125" i="17"/>
  <c r="AR125" i="17"/>
  <c r="AS125" i="17"/>
  <c r="BA125" i="17"/>
  <c r="AT125" i="17"/>
  <c r="AG125" i="17"/>
  <c r="AK125" i="17" s="1"/>
  <c r="J183" i="8"/>
  <c r="AQ113" i="16"/>
  <c r="P102" i="18"/>
  <c r="Q102" i="18" s="1"/>
  <c r="S102" i="18" s="1"/>
  <c r="L102" i="18"/>
  <c r="AL114" i="16"/>
  <c r="J140" i="8"/>
  <c r="I145" i="6"/>
  <c r="I111" i="6"/>
  <c r="G206" i="11"/>
  <c r="G202" i="11"/>
  <c r="G164" i="11"/>
  <c r="G169" i="11"/>
  <c r="G209" i="11"/>
  <c r="G205" i="11"/>
  <c r="G201" i="11"/>
  <c r="G165" i="11"/>
  <c r="G203" i="11"/>
  <c r="G208" i="11"/>
  <c r="G204" i="11"/>
  <c r="G168" i="11"/>
  <c r="G207" i="11"/>
  <c r="G161" i="11"/>
  <c r="H161" i="11" s="1"/>
  <c r="G163" i="11"/>
  <c r="G162" i="11"/>
  <c r="G167" i="11"/>
  <c r="G166" i="11"/>
  <c r="V199" i="11"/>
  <c r="T199" i="11"/>
  <c r="AI49" i="6" s="1"/>
  <c r="AW118" i="11"/>
  <c r="AG118" i="11"/>
  <c r="AK118" i="11" s="1"/>
  <c r="AV118" i="11"/>
  <c r="AY118" i="11"/>
  <c r="AU118" i="11"/>
  <c r="AF118" i="11"/>
  <c r="AX118" i="11"/>
  <c r="AS118" i="11"/>
  <c r="BA118" i="11"/>
  <c r="AT118" i="11"/>
  <c r="AR118" i="11"/>
  <c r="BB118" i="11"/>
  <c r="AZ118" i="11"/>
  <c r="AE119" i="11"/>
  <c r="AD119" i="11"/>
  <c r="AC119" i="11"/>
  <c r="W198" i="11"/>
  <c r="AB198" i="11"/>
  <c r="AA198" i="11"/>
  <c r="Y198" i="11"/>
  <c r="D81" i="6"/>
  <c r="M81" i="6" s="1"/>
  <c r="F81" i="6"/>
  <c r="E81" i="6"/>
  <c r="P98" i="18"/>
  <c r="Q98" i="18" s="1"/>
  <c r="S98" i="18" s="1"/>
  <c r="AN114" i="16"/>
  <c r="AP114" i="16"/>
  <c r="B140" i="8" s="1"/>
  <c r="AO114" i="16"/>
  <c r="G145" i="6"/>
  <c r="G111" i="6"/>
  <c r="AB126" i="16"/>
  <c r="R101" i="18"/>
  <c r="S101" i="18"/>
  <c r="M146" i="6"/>
  <c r="AM114" i="16"/>
  <c r="BZ114" i="16" s="1"/>
  <c r="R145" i="6"/>
  <c r="AQ42" i="6" s="1"/>
  <c r="L98" i="18"/>
  <c r="AC118" i="16"/>
  <c r="AE118" i="16"/>
  <c r="AD118" i="16"/>
  <c r="O110" i="6"/>
  <c r="S110" i="6" s="1"/>
  <c r="AL41" i="6" s="1"/>
  <c r="H111" i="6"/>
  <c r="H145" i="6"/>
  <c r="J104" i="18"/>
  <c r="BD114" i="16"/>
  <c r="I104" i="18"/>
  <c r="AH138" i="8"/>
  <c r="AB127" i="16"/>
  <c r="AI127" i="16" s="1"/>
  <c r="AE117" i="16"/>
  <c r="AD117" i="16"/>
  <c r="AC117" i="16"/>
  <c r="N146" i="6"/>
  <c r="O144" i="6"/>
  <c r="S144" i="6" s="1"/>
  <c r="AR41" i="6" s="1"/>
  <c r="Z138" i="8"/>
  <c r="R138" i="8"/>
  <c r="AK115" i="16"/>
  <c r="BC115" i="16"/>
  <c r="BF115" i="16" s="1"/>
  <c r="G189" i="6"/>
  <c r="G223" i="6"/>
  <c r="I189" i="6"/>
  <c r="I223" i="6"/>
  <c r="H189" i="6"/>
  <c r="H223" i="6"/>
  <c r="O174" i="6"/>
  <c r="S174" i="6" s="1"/>
  <c r="AX37" i="6" s="1"/>
  <c r="I175" i="6"/>
  <c r="I209" i="6"/>
  <c r="G175" i="6"/>
  <c r="G209" i="6"/>
  <c r="O207" i="6"/>
  <c r="S207" i="6" s="1"/>
  <c r="BD36" i="6" s="1"/>
  <c r="H175" i="6"/>
  <c r="H209" i="6"/>
  <c r="O208" i="6"/>
  <c r="S208" i="6" s="1"/>
  <c r="BD37" i="6" s="1"/>
  <c r="O173" i="6"/>
  <c r="S173" i="6" s="1"/>
  <c r="AX36" i="6" s="1"/>
  <c r="AB119" i="16"/>
  <c r="AH119" i="16" s="1"/>
  <c r="O39" i="6"/>
  <c r="S39" i="6" s="1"/>
  <c r="Z38" i="6" s="1"/>
  <c r="I106" i="6"/>
  <c r="I140" i="6"/>
  <c r="BB95" i="18"/>
  <c r="BI95" i="18"/>
  <c r="H106" i="6"/>
  <c r="H140" i="6"/>
  <c r="G106" i="6"/>
  <c r="G140" i="6"/>
  <c r="O45" i="6"/>
  <c r="S45" i="6" s="1"/>
  <c r="Z44" i="6" s="1"/>
  <c r="G40" i="6"/>
  <c r="G74" i="6"/>
  <c r="O73" i="6"/>
  <c r="S73" i="6" s="1"/>
  <c r="AF38" i="6" s="1"/>
  <c r="I40" i="6"/>
  <c r="I74" i="6"/>
  <c r="H40" i="6"/>
  <c r="H74" i="6"/>
  <c r="I46" i="6"/>
  <c r="I80" i="6"/>
  <c r="G46" i="6"/>
  <c r="G80" i="6"/>
  <c r="O79" i="6"/>
  <c r="S79" i="6" s="1"/>
  <c r="AF44" i="6" s="1"/>
  <c r="H46" i="6"/>
  <c r="H80" i="6"/>
  <c r="BB97" i="3"/>
  <c r="BI97" i="3"/>
  <c r="K120" i="11"/>
  <c r="AA120" i="11" s="1"/>
  <c r="AB120" i="11" s="1"/>
  <c r="H200" i="11"/>
  <c r="R200" i="11"/>
  <c r="S200" i="11" s="1"/>
  <c r="U200" i="11" s="1"/>
  <c r="CE120" i="11" s="1"/>
  <c r="AH182" i="8"/>
  <c r="Z182" i="8"/>
  <c r="AH133" i="8"/>
  <c r="AI119" i="11"/>
  <c r="R182" i="8"/>
  <c r="R133" i="8"/>
  <c r="Y128" i="16"/>
  <c r="Y128" i="17"/>
  <c r="V129" i="16"/>
  <c r="V129" i="17"/>
  <c r="Z133" i="8"/>
  <c r="R134" i="8"/>
  <c r="AH134" i="8"/>
  <c r="Z134" i="8"/>
  <c r="P97" i="19"/>
  <c r="L97" i="19"/>
  <c r="S96" i="18"/>
  <c r="U96" i="18" s="1"/>
  <c r="V96" i="18" s="1"/>
  <c r="R96" i="18"/>
  <c r="T96" i="18" s="1"/>
  <c r="AH107" i="8"/>
  <c r="R107" i="8"/>
  <c r="Z107" i="8"/>
  <c r="S104" i="3"/>
  <c r="R104" i="3"/>
  <c r="P105" i="3"/>
  <c r="Q105" i="3" s="1"/>
  <c r="L105"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7" i="3" s="1"/>
  <c r="AU87" i="3" s="1"/>
  <c r="D126" i="7"/>
  <c r="AA120" i="16"/>
  <c r="G97" i="16"/>
  <c r="F99" i="11"/>
  <c r="E98" i="11"/>
  <c r="Z128" i="11"/>
  <c r="AJ119" i="11"/>
  <c r="AH119" i="11"/>
  <c r="AB127" i="11"/>
  <c r="AA128" i="11"/>
  <c r="Y129" i="11"/>
  <c r="J122" i="11"/>
  <c r="J123" i="11" s="1"/>
  <c r="V130" i="11"/>
  <c r="K121" i="11"/>
  <c r="AA121" i="11" s="1"/>
  <c r="B137" i="9" l="1"/>
  <c r="B103" i="9"/>
  <c r="B148" i="9"/>
  <c r="B114" i="9"/>
  <c r="H249" i="9"/>
  <c r="U249" i="9" s="1"/>
  <c r="G249" i="9"/>
  <c r="T249" i="9" s="1"/>
  <c r="J249" i="9"/>
  <c r="W249" i="9" s="1"/>
  <c r="G147" i="9"/>
  <c r="T147" i="9" s="1"/>
  <c r="H147" i="9"/>
  <c r="U147" i="9" s="1"/>
  <c r="J147" i="9"/>
  <c r="W147" i="9" s="1"/>
  <c r="B284" i="9"/>
  <c r="B250" i="9"/>
  <c r="B182" i="9"/>
  <c r="B216" i="9"/>
  <c r="G215" i="9"/>
  <c r="T215" i="9" s="1"/>
  <c r="J215" i="9"/>
  <c r="W215" i="9" s="1"/>
  <c r="H215" i="9"/>
  <c r="U215" i="9" s="1"/>
  <c r="H102" i="9"/>
  <c r="U102" i="9" s="1"/>
  <c r="G102" i="9"/>
  <c r="T102" i="9" s="1"/>
  <c r="J102" i="9"/>
  <c r="W102" i="9" s="1"/>
  <c r="G283" i="9"/>
  <c r="T283" i="9" s="1"/>
  <c r="H283" i="9"/>
  <c r="U283" i="9" s="1"/>
  <c r="J283" i="9"/>
  <c r="W283" i="9" s="1"/>
  <c r="G136" i="9"/>
  <c r="T136" i="9" s="1"/>
  <c r="H136" i="9"/>
  <c r="U136" i="9" s="1"/>
  <c r="J136" i="9"/>
  <c r="W136" i="9" s="1"/>
  <c r="G172" i="9"/>
  <c r="T172" i="9" s="1"/>
  <c r="J172" i="9"/>
  <c r="W172" i="9" s="1"/>
  <c r="H172" i="9"/>
  <c r="U172" i="9" s="1"/>
  <c r="G181" i="9"/>
  <c r="T181" i="9" s="1"/>
  <c r="H181" i="9"/>
  <c r="U181" i="9" s="1"/>
  <c r="J181" i="9"/>
  <c r="W181" i="9" s="1"/>
  <c r="G171" i="9"/>
  <c r="T171" i="9" s="1"/>
  <c r="J171" i="9"/>
  <c r="W171" i="9" s="1"/>
  <c r="H171" i="9"/>
  <c r="U171" i="9" s="1"/>
  <c r="CL124" i="17"/>
  <c r="CM124" i="17" s="1"/>
  <c r="AN124" i="17"/>
  <c r="G129" i="16"/>
  <c r="AR119" i="18" s="1"/>
  <c r="BY122" i="17"/>
  <c r="CE123" i="16"/>
  <c r="AL203" i="16"/>
  <c r="AM203" i="16"/>
  <c r="AH113" i="18" s="1"/>
  <c r="CE123" i="17"/>
  <c r="AL203" i="17"/>
  <c r="AM203" i="17"/>
  <c r="AH113" i="19" s="1"/>
  <c r="AN199" i="11"/>
  <c r="AO199" i="11" s="1"/>
  <c r="AH108" i="3"/>
  <c r="CH117" i="16"/>
  <c r="CK117" i="16"/>
  <c r="CG117" i="16"/>
  <c r="CD117" i="16"/>
  <c r="CJ117" i="16"/>
  <c r="CB117" i="16"/>
  <c r="CI117" i="16"/>
  <c r="H168" i="16"/>
  <c r="BZ116" i="11"/>
  <c r="AN202" i="16"/>
  <c r="AO202" i="16" s="1"/>
  <c r="CL118" i="11"/>
  <c r="CM118" i="11" s="1"/>
  <c r="BL123" i="17"/>
  <c r="BE115" i="16"/>
  <c r="CI126" i="17"/>
  <c r="CD126" i="17"/>
  <c r="CH126" i="17"/>
  <c r="CK126" i="17"/>
  <c r="CG126" i="17"/>
  <c r="CB126" i="17"/>
  <c r="CJ126" i="17"/>
  <c r="G130" i="11"/>
  <c r="AR119" i="3" s="1"/>
  <c r="BJ115" i="16"/>
  <c r="BZ120" i="17"/>
  <c r="BL114" i="16"/>
  <c r="BY118" i="11"/>
  <c r="AL115" i="16"/>
  <c r="BY115" i="16"/>
  <c r="CJ118" i="16"/>
  <c r="CK118" i="16"/>
  <c r="CD118" i="16"/>
  <c r="CG118" i="16"/>
  <c r="CB118" i="16"/>
  <c r="CI118" i="16"/>
  <c r="CH118" i="16"/>
  <c r="CK119" i="11"/>
  <c r="CG119" i="11"/>
  <c r="CB119" i="11"/>
  <c r="CJ119" i="11"/>
  <c r="CD119" i="11"/>
  <c r="CH119" i="11"/>
  <c r="CI119" i="11"/>
  <c r="G129" i="17"/>
  <c r="AR119" i="19" s="1"/>
  <c r="AU119" i="19" s="1"/>
  <c r="H168" i="17"/>
  <c r="AE201" i="17"/>
  <c r="AK111" i="19" s="1"/>
  <c r="AN202" i="17"/>
  <c r="AO202" i="17" s="1"/>
  <c r="AH112" i="19"/>
  <c r="BG115" i="16"/>
  <c r="G105" i="18" s="1"/>
  <c r="BK115" i="16"/>
  <c r="BH115" i="16"/>
  <c r="H105" i="18" s="1"/>
  <c r="BI115" i="16"/>
  <c r="CL125" i="17"/>
  <c r="CM125" i="17" s="1"/>
  <c r="AL200" i="11"/>
  <c r="AM200" i="11"/>
  <c r="AH109" i="3" s="1"/>
  <c r="Z200" i="11"/>
  <c r="X200" i="11"/>
  <c r="O210" i="6"/>
  <c r="S210" i="6" s="1"/>
  <c r="BD39" i="6" s="1"/>
  <c r="M207" i="11"/>
  <c r="P207" i="11"/>
  <c r="Q207" i="11" s="1"/>
  <c r="Z183" i="8"/>
  <c r="H225" i="6" s="1"/>
  <c r="AB47" i="3"/>
  <c r="AD47" i="3" s="1"/>
  <c r="AC47" i="3"/>
  <c r="AE47" i="3" s="1"/>
  <c r="AF47" i="3" s="1"/>
  <c r="BC47" i="3" s="1"/>
  <c r="BE47" i="3" s="1"/>
  <c r="BG47" i="3" s="1"/>
  <c r="S98" i="3"/>
  <c r="U98" i="3" s="1"/>
  <c r="V98" i="3" s="1"/>
  <c r="BI98" i="3" s="1"/>
  <c r="AA48" i="3"/>
  <c r="AI119" i="16"/>
  <c r="K208" i="11"/>
  <c r="AK208" i="11" s="1"/>
  <c r="AJ119" i="16"/>
  <c r="AK105" i="3"/>
  <c r="AL105" i="3" s="1"/>
  <c r="AJ200" i="17"/>
  <c r="Y16" i="23"/>
  <c r="AA16" i="23"/>
  <c r="L97" i="18"/>
  <c r="S16" i="23"/>
  <c r="U16" i="23"/>
  <c r="AF201" i="16"/>
  <c r="AJ196" i="11"/>
  <c r="AM110" i="18"/>
  <c r="AI201" i="17"/>
  <c r="AH201" i="17"/>
  <c r="U19" i="23"/>
  <c r="S19" i="23"/>
  <c r="U22" i="23"/>
  <c r="S22" i="23"/>
  <c r="AV223" i="7"/>
  <c r="J194" i="6" s="1"/>
  <c r="P194" i="6" s="1"/>
  <c r="T194" i="6" s="1"/>
  <c r="AY57" i="6" s="1"/>
  <c r="AA19" i="23"/>
  <c r="Y19" i="23"/>
  <c r="AA22" i="23"/>
  <c r="Y22" i="23"/>
  <c r="AM190" i="7"/>
  <c r="AJ200" i="16"/>
  <c r="AL23" i="23"/>
  <c r="AT190" i="7"/>
  <c r="AE201" i="16"/>
  <c r="AC48" i="19"/>
  <c r="AE48" i="19" s="1"/>
  <c r="AF48" i="19" s="1"/>
  <c r="BC48" i="19" s="1"/>
  <c r="BE48" i="19" s="1"/>
  <c r="BG48" i="19" s="1"/>
  <c r="AB48" i="19"/>
  <c r="AD48" i="19" s="1"/>
  <c r="K196" i="6"/>
  <c r="K230" i="6"/>
  <c r="BG54" i="6"/>
  <c r="AU54" i="6"/>
  <c r="I209" i="11"/>
  <c r="I130" i="11"/>
  <c r="I129" i="17"/>
  <c r="I129" i="16"/>
  <c r="AM156" i="7"/>
  <c r="AC202" i="16"/>
  <c r="AD202" i="16" s="1"/>
  <c r="I208" i="16"/>
  <c r="AM110" i="19"/>
  <c r="AL110" i="19"/>
  <c r="M206" i="16"/>
  <c r="P206" i="16"/>
  <c r="Q206" i="16" s="1"/>
  <c r="I208" i="17"/>
  <c r="AW158" i="7"/>
  <c r="E158" i="7"/>
  <c r="G158" i="7" s="1"/>
  <c r="I170" i="11"/>
  <c r="R205" i="16"/>
  <c r="S205" i="16" s="1"/>
  <c r="AM104" i="3"/>
  <c r="D209" i="16"/>
  <c r="CA129" i="16" s="1"/>
  <c r="D209" i="17"/>
  <c r="CA129" i="17" s="1"/>
  <c r="D210" i="11"/>
  <c r="CA130" i="11" s="1"/>
  <c r="AA49" i="18"/>
  <c r="AK49" i="18"/>
  <c r="AA49" i="19"/>
  <c r="AK49" i="19"/>
  <c r="AK49" i="3"/>
  <c r="Z203" i="17"/>
  <c r="AB203" i="17"/>
  <c r="W203" i="17"/>
  <c r="AA203" i="17"/>
  <c r="Y203" i="17"/>
  <c r="X203" i="17"/>
  <c r="AD201" i="17"/>
  <c r="K207" i="16"/>
  <c r="AK207" i="16" s="1"/>
  <c r="H207" i="16"/>
  <c r="I169" i="16"/>
  <c r="AB48" i="18"/>
  <c r="AD48" i="18" s="1"/>
  <c r="AC48" i="18"/>
  <c r="AE48" i="18" s="1"/>
  <c r="AF48" i="18" s="1"/>
  <c r="BC48" i="18" s="1"/>
  <c r="BE48" i="18" s="1"/>
  <c r="BG48" i="18" s="1"/>
  <c r="AM224" i="7"/>
  <c r="F169" i="16"/>
  <c r="F210" i="11"/>
  <c r="F169" i="17"/>
  <c r="F209" i="17"/>
  <c r="F209" i="16"/>
  <c r="F170" i="11"/>
  <c r="AI201" i="16"/>
  <c r="AG201" i="16"/>
  <c r="AL157" i="7"/>
  <c r="AI157" i="7"/>
  <c r="AK157" i="7"/>
  <c r="AO157" i="7"/>
  <c r="AA157" i="7"/>
  <c r="AJ157" i="7"/>
  <c r="AH157" i="7"/>
  <c r="AG157" i="7"/>
  <c r="AT224" i="7"/>
  <c r="AF201" i="17"/>
  <c r="AH201" i="16"/>
  <c r="AW226" i="7"/>
  <c r="E226" i="7"/>
  <c r="G226" i="7" s="1"/>
  <c r="K162" i="6"/>
  <c r="K128" i="6"/>
  <c r="T204" i="17"/>
  <c r="U204" i="17"/>
  <c r="V204" i="17"/>
  <c r="K207" i="17"/>
  <c r="AK207" i="17" s="1"/>
  <c r="H207" i="17"/>
  <c r="AC202" i="17"/>
  <c r="R205" i="17"/>
  <c r="S205" i="17" s="1"/>
  <c r="K94" i="6"/>
  <c r="K60" i="6"/>
  <c r="AO23" i="23" s="1"/>
  <c r="I169" i="17"/>
  <c r="AM48" i="3"/>
  <c r="AO48" i="3" s="1"/>
  <c r="AP48" i="3" s="1"/>
  <c r="BJ48" i="3" s="1"/>
  <c r="BL48" i="3" s="1"/>
  <c r="BN48" i="3" s="1"/>
  <c r="AL48" i="3"/>
  <c r="AN48" i="3" s="1"/>
  <c r="T204" i="16"/>
  <c r="V204" i="16"/>
  <c r="U204" i="16"/>
  <c r="W203" i="16"/>
  <c r="AB203" i="16"/>
  <c r="Y203" i="16"/>
  <c r="AA203" i="16"/>
  <c r="Z203" i="16"/>
  <c r="X203" i="16"/>
  <c r="AL48" i="18"/>
  <c r="AN48" i="18" s="1"/>
  <c r="AM48" i="18"/>
  <c r="AO48" i="18" s="1"/>
  <c r="AP48" i="18" s="1"/>
  <c r="BJ48" i="18" s="1"/>
  <c r="BL48" i="18" s="1"/>
  <c r="BN48" i="18" s="1"/>
  <c r="AE191" i="7"/>
  <c r="AI191" i="7"/>
  <c r="AR191" i="7"/>
  <c r="AH191" i="7"/>
  <c r="AL191" i="7"/>
  <c r="AJ191" i="7"/>
  <c r="AQ191" i="7"/>
  <c r="AK191" i="7"/>
  <c r="AA191" i="7"/>
  <c r="AD191" i="7"/>
  <c r="AC191" i="7"/>
  <c r="AP191" i="7"/>
  <c r="AB191" i="7"/>
  <c r="AO191" i="7"/>
  <c r="AN191" i="7"/>
  <c r="AG191" i="7"/>
  <c r="P208" i="11"/>
  <c r="Q208" i="11" s="1"/>
  <c r="E192" i="7"/>
  <c r="G192" i="7" s="1"/>
  <c r="AW192" i="7"/>
  <c r="AF224" i="7"/>
  <c r="P206" i="17"/>
  <c r="Q206" i="17" s="1"/>
  <c r="M206" i="17"/>
  <c r="AE225" i="7"/>
  <c r="AO225" i="7"/>
  <c r="AK225" i="7"/>
  <c r="AL225" i="7"/>
  <c r="AI225" i="7"/>
  <c r="AJ225" i="7"/>
  <c r="AH225" i="7"/>
  <c r="AC225" i="7"/>
  <c r="AP225" i="7"/>
  <c r="AD225" i="7"/>
  <c r="AR225" i="7"/>
  <c r="AA225" i="7"/>
  <c r="AB225" i="7"/>
  <c r="AQ225" i="7"/>
  <c r="Z225" i="7"/>
  <c r="AN225" i="7"/>
  <c r="AG225" i="7"/>
  <c r="AW119" i="19"/>
  <c r="AV119" i="19"/>
  <c r="AM111" i="19"/>
  <c r="AL111" i="19"/>
  <c r="AL48" i="19"/>
  <c r="AN48" i="19" s="1"/>
  <c r="AM48" i="19"/>
  <c r="AO48" i="19" s="1"/>
  <c r="AP48" i="19" s="1"/>
  <c r="BJ48" i="19" s="1"/>
  <c r="BL48" i="19" s="1"/>
  <c r="BN48" i="19" s="1"/>
  <c r="AH183" i="8"/>
  <c r="I191" i="6" s="1"/>
  <c r="R183" i="8"/>
  <c r="G191" i="6" s="1"/>
  <c r="AM124" i="17"/>
  <c r="D114" i="19" s="1"/>
  <c r="AO124" i="17"/>
  <c r="S103" i="18"/>
  <c r="R98" i="18"/>
  <c r="AJ127" i="16"/>
  <c r="C107" i="3"/>
  <c r="BC125" i="17"/>
  <c r="BG125" i="17" s="1"/>
  <c r="AL125" i="17"/>
  <c r="Y129" i="17"/>
  <c r="Z129" i="17" s="1"/>
  <c r="E113" i="19"/>
  <c r="AP124" i="17"/>
  <c r="B184" i="8" s="1"/>
  <c r="AL124" i="17"/>
  <c r="AC127" i="17"/>
  <c r="AE127" i="17"/>
  <c r="AD127" i="17"/>
  <c r="AJ127" i="17"/>
  <c r="AI127" i="17"/>
  <c r="AH127" i="17"/>
  <c r="AF126" i="17"/>
  <c r="AV126" i="17"/>
  <c r="AX126" i="17"/>
  <c r="AW126" i="17"/>
  <c r="AU126" i="17"/>
  <c r="AY126" i="17"/>
  <c r="AZ126" i="17"/>
  <c r="BB126" i="17"/>
  <c r="BA126" i="17"/>
  <c r="AS126" i="17"/>
  <c r="AR126" i="17"/>
  <c r="AT126" i="17"/>
  <c r="AG126" i="17"/>
  <c r="AK126" i="17" s="1"/>
  <c r="BC124" i="17"/>
  <c r="BE124" i="17" s="1"/>
  <c r="AH127" i="16"/>
  <c r="R102" i="18"/>
  <c r="J141" i="8"/>
  <c r="AM115" i="16"/>
  <c r="D105" i="18" s="1"/>
  <c r="N105" i="18" s="1"/>
  <c r="E152" i="6"/>
  <c r="D152" i="6"/>
  <c r="F152" i="6"/>
  <c r="F151" i="6"/>
  <c r="D151" i="6"/>
  <c r="E151" i="6"/>
  <c r="N81" i="6"/>
  <c r="R81" i="6" s="1"/>
  <c r="AE46" i="6" s="1"/>
  <c r="AD127" i="11"/>
  <c r="AC127" i="11"/>
  <c r="AE127" i="11"/>
  <c r="V200" i="11"/>
  <c r="T200" i="11"/>
  <c r="AI50" i="6" s="1"/>
  <c r="Z139" i="8"/>
  <c r="H113" i="6" s="1"/>
  <c r="R139" i="8"/>
  <c r="G113" i="6" s="1"/>
  <c r="BC118" i="11"/>
  <c r="BE118" i="11" s="1"/>
  <c r="AC120" i="11"/>
  <c r="AE120" i="11"/>
  <c r="AD120" i="11"/>
  <c r="AC198" i="11"/>
  <c r="AD198" i="11" s="1"/>
  <c r="W199" i="11"/>
  <c r="AA199" i="11"/>
  <c r="Y199" i="11"/>
  <c r="AB199" i="11"/>
  <c r="AZ119" i="11"/>
  <c r="AU119" i="11"/>
  <c r="AX119" i="11"/>
  <c r="AR119" i="11"/>
  <c r="AG119" i="11"/>
  <c r="AK119" i="11" s="1"/>
  <c r="AW119" i="11"/>
  <c r="AV119" i="11"/>
  <c r="AF119" i="11"/>
  <c r="AS119" i="11"/>
  <c r="BA119" i="11"/>
  <c r="AT119" i="11"/>
  <c r="BB119" i="11"/>
  <c r="AY119" i="11"/>
  <c r="O175" i="6"/>
  <c r="S175" i="6" s="1"/>
  <c r="AX38" i="6" s="1"/>
  <c r="AH139" i="8"/>
  <c r="M147" i="6"/>
  <c r="R146" i="6"/>
  <c r="AQ43" i="6" s="1"/>
  <c r="O111" i="6"/>
  <c r="S111" i="6" s="1"/>
  <c r="AL42" i="6" s="1"/>
  <c r="AC119" i="16"/>
  <c r="AE119" i="16"/>
  <c r="AD119" i="16"/>
  <c r="J105" i="18"/>
  <c r="I105" i="18"/>
  <c r="F105" i="18"/>
  <c r="BD115" i="16"/>
  <c r="G112" i="6"/>
  <c r="G146" i="6"/>
  <c r="AC127" i="16"/>
  <c r="AD127" i="16"/>
  <c r="AE127" i="16"/>
  <c r="I112" i="6"/>
  <c r="I146" i="6"/>
  <c r="N147" i="6"/>
  <c r="D104" i="18"/>
  <c r="N104" i="18" s="1"/>
  <c r="AQ114" i="16"/>
  <c r="AC126" i="16"/>
  <c r="AE126" i="16"/>
  <c r="AD126" i="16"/>
  <c r="O145" i="6"/>
  <c r="S145" i="6" s="1"/>
  <c r="AR42" i="6" s="1"/>
  <c r="AF117" i="16"/>
  <c r="AU117" i="16"/>
  <c r="AY117" i="16"/>
  <c r="AR117" i="16"/>
  <c r="AW117" i="16"/>
  <c r="BB117" i="16"/>
  <c r="AS117" i="16"/>
  <c r="AX117" i="16"/>
  <c r="AT117" i="16"/>
  <c r="AZ117" i="16"/>
  <c r="AV117" i="16"/>
  <c r="BA117" i="16"/>
  <c r="AG117" i="16"/>
  <c r="AF118" i="16"/>
  <c r="AR118" i="16"/>
  <c r="AV118" i="16"/>
  <c r="AW118" i="16"/>
  <c r="BB118" i="16"/>
  <c r="AS118" i="16"/>
  <c r="AX118" i="16"/>
  <c r="AT118" i="16"/>
  <c r="AY118" i="16"/>
  <c r="BA118" i="16"/>
  <c r="AU118" i="16"/>
  <c r="AZ118" i="16"/>
  <c r="AG118" i="16"/>
  <c r="AN115" i="16"/>
  <c r="AP115" i="16"/>
  <c r="B141" i="8" s="1"/>
  <c r="AO115" i="16"/>
  <c r="H146" i="6"/>
  <c r="H112" i="6"/>
  <c r="E104" i="18"/>
  <c r="K105" i="18"/>
  <c r="AO125" i="17"/>
  <c r="O223" i="6"/>
  <c r="S223" i="6" s="1"/>
  <c r="BD52" i="6" s="1"/>
  <c r="O189" i="6"/>
  <c r="S189" i="6" s="1"/>
  <c r="AX52" i="6" s="1"/>
  <c r="O46" i="6"/>
  <c r="S46" i="6" s="1"/>
  <c r="Z45" i="6" s="1"/>
  <c r="H167" i="11"/>
  <c r="H207" i="11"/>
  <c r="H169" i="11"/>
  <c r="H168" i="11"/>
  <c r="O209" i="6"/>
  <c r="S209" i="6" s="1"/>
  <c r="BD38" i="6" s="1"/>
  <c r="I190" i="6"/>
  <c r="I224" i="6"/>
  <c r="G190" i="6"/>
  <c r="G224" i="6"/>
  <c r="H190" i="6"/>
  <c r="H224" i="6"/>
  <c r="AB120" i="16"/>
  <c r="AJ120" i="16" s="1"/>
  <c r="O106" i="6"/>
  <c r="S106" i="6" s="1"/>
  <c r="AL37" i="6" s="1"/>
  <c r="O140" i="6"/>
  <c r="S140" i="6" s="1"/>
  <c r="AR37" i="6" s="1"/>
  <c r="I108" i="6"/>
  <c r="I142" i="6"/>
  <c r="G107" i="6"/>
  <c r="G141" i="6"/>
  <c r="H108" i="6"/>
  <c r="H142" i="6"/>
  <c r="G108" i="6"/>
  <c r="G142" i="6"/>
  <c r="H107" i="6"/>
  <c r="H141" i="6"/>
  <c r="I107" i="6"/>
  <c r="I141" i="6"/>
  <c r="BI96" i="18"/>
  <c r="BB96" i="18"/>
  <c r="O40" i="6"/>
  <c r="S40" i="6" s="1"/>
  <c r="Z39" i="6" s="1"/>
  <c r="O74" i="6"/>
  <c r="S74" i="6" s="1"/>
  <c r="AF39" i="6" s="1"/>
  <c r="O80" i="6"/>
  <c r="S80" i="6" s="1"/>
  <c r="AF45" i="6" s="1"/>
  <c r="G47" i="6"/>
  <c r="Z16" i="23" s="1"/>
  <c r="G81" i="6"/>
  <c r="H47" i="6"/>
  <c r="H81" i="6"/>
  <c r="I47" i="6"/>
  <c r="I81" i="6"/>
  <c r="H201" i="11"/>
  <c r="R201" i="11"/>
  <c r="S201" i="11" s="1"/>
  <c r="U201" i="11" s="1"/>
  <c r="CE121" i="11" s="1"/>
  <c r="AI127" i="11"/>
  <c r="AI120" i="11"/>
  <c r="AM125" i="17"/>
  <c r="AN125" i="17"/>
  <c r="AI126" i="16"/>
  <c r="AJ126" i="16"/>
  <c r="AH126" i="16"/>
  <c r="R97" i="18"/>
  <c r="T97" i="18" s="1"/>
  <c r="AP125" i="17"/>
  <c r="B185" i="8" s="1"/>
  <c r="Z128" i="17"/>
  <c r="AA128" i="17"/>
  <c r="Y129" i="16"/>
  <c r="AP118" i="11"/>
  <c r="B109" i="8" s="1"/>
  <c r="Z128" i="16"/>
  <c r="AA128" i="16"/>
  <c r="AV87" i="3"/>
  <c r="AW87" i="3"/>
  <c r="U97" i="18"/>
  <c r="V97" i="18" s="1"/>
  <c r="AR87" i="18"/>
  <c r="AU87" i="18" s="1"/>
  <c r="AW87" i="18" s="1"/>
  <c r="AU87" i="19"/>
  <c r="L127" i="7"/>
  <c r="AD127" i="7" s="1"/>
  <c r="Y127" i="7"/>
  <c r="AS127" i="7" s="1"/>
  <c r="S105" i="3"/>
  <c r="R105" i="3"/>
  <c r="T99" i="3"/>
  <c r="U99" i="3"/>
  <c r="V99" i="3" s="1"/>
  <c r="AR160" i="7"/>
  <c r="H127" i="7"/>
  <c r="Z126" i="7"/>
  <c r="M127" i="7"/>
  <c r="AE126" i="7"/>
  <c r="V127" i="7"/>
  <c r="T127" i="7"/>
  <c r="AN126" i="7"/>
  <c r="W127" i="7"/>
  <c r="J127" i="7"/>
  <c r="AB126" i="7"/>
  <c r="F100" i="11"/>
  <c r="D128" i="7" s="1"/>
  <c r="D127" i="7"/>
  <c r="E99" i="11"/>
  <c r="C126" i="7"/>
  <c r="AA121" i="16"/>
  <c r="G99" i="11"/>
  <c r="AR88" i="3" s="1"/>
  <c r="AU88" i="3" s="1"/>
  <c r="AM118" i="11"/>
  <c r="N107" i="19" s="1"/>
  <c r="Q107" i="19" s="1"/>
  <c r="AO118" i="11"/>
  <c r="AL118" i="11"/>
  <c r="AN118" i="11"/>
  <c r="AB128" i="11"/>
  <c r="Y130" i="11"/>
  <c r="AJ127" i="11"/>
  <c r="AH127" i="11"/>
  <c r="AJ120" i="11"/>
  <c r="AH120" i="11"/>
  <c r="AB121" i="11"/>
  <c r="AA129" i="11"/>
  <c r="Z129" i="11"/>
  <c r="K122" i="11"/>
  <c r="AA122" i="11" s="1"/>
  <c r="J124" i="11"/>
  <c r="K123" i="11"/>
  <c r="AA123" i="11" s="1"/>
  <c r="G250" i="9" l="1"/>
  <c r="T250" i="9" s="1"/>
  <c r="J250" i="9"/>
  <c r="W250" i="9" s="1"/>
  <c r="H250" i="9"/>
  <c r="U250" i="9" s="1"/>
  <c r="G284" i="9"/>
  <c r="T284" i="9" s="1"/>
  <c r="J284" i="9"/>
  <c r="W284" i="9" s="1"/>
  <c r="H284" i="9"/>
  <c r="U284" i="9" s="1"/>
  <c r="G148" i="9"/>
  <c r="T148" i="9" s="1"/>
  <c r="H148" i="9"/>
  <c r="U148" i="9" s="1"/>
  <c r="J148" i="9"/>
  <c r="W148" i="9" s="1"/>
  <c r="B138" i="9"/>
  <c r="B104" i="9"/>
  <c r="G216" i="9"/>
  <c r="T216" i="9" s="1"/>
  <c r="H216" i="9"/>
  <c r="U216" i="9" s="1"/>
  <c r="J216" i="9"/>
  <c r="W216" i="9" s="1"/>
  <c r="G137" i="9"/>
  <c r="T137" i="9" s="1"/>
  <c r="J137" i="9"/>
  <c r="W137" i="9" s="1"/>
  <c r="H137" i="9"/>
  <c r="U137" i="9" s="1"/>
  <c r="G180" i="9"/>
  <c r="T180" i="9" s="1"/>
  <c r="H180" i="9"/>
  <c r="U180" i="9" s="1"/>
  <c r="J180" i="9"/>
  <c r="W180" i="9" s="1"/>
  <c r="G173" i="9"/>
  <c r="T173" i="9" s="1"/>
  <c r="J173" i="9"/>
  <c r="W173" i="9" s="1"/>
  <c r="H173" i="9"/>
  <c r="U173" i="9" s="1"/>
  <c r="BD118" i="11"/>
  <c r="G103" i="9"/>
  <c r="T103" i="9" s="1"/>
  <c r="J103" i="9"/>
  <c r="W103" i="9" s="1"/>
  <c r="H103" i="9"/>
  <c r="U103" i="9" s="1"/>
  <c r="CL126" i="17"/>
  <c r="CM126" i="17" s="1"/>
  <c r="H191" i="6"/>
  <c r="CL118" i="16"/>
  <c r="CM118" i="16" s="1"/>
  <c r="BK124" i="17"/>
  <c r="BH124" i="17"/>
  <c r="CJ126" i="16"/>
  <c r="CK126" i="16"/>
  <c r="CD126" i="16"/>
  <c r="CH126" i="16"/>
  <c r="CG126" i="16"/>
  <c r="CB126" i="16"/>
  <c r="CI126" i="16"/>
  <c r="BY123" i="17"/>
  <c r="CH127" i="16"/>
  <c r="CJ127" i="16"/>
  <c r="CD127" i="16"/>
  <c r="CG127" i="16"/>
  <c r="CB127" i="16"/>
  <c r="CK127" i="16"/>
  <c r="CI127" i="16"/>
  <c r="CI120" i="11"/>
  <c r="CD120" i="11"/>
  <c r="CJ120" i="11"/>
  <c r="CG120" i="11"/>
  <c r="CH120" i="11"/>
  <c r="CB120" i="11"/>
  <c r="CK120" i="11"/>
  <c r="CE124" i="16"/>
  <c r="AL204" i="16"/>
  <c r="AM204" i="16"/>
  <c r="BL115" i="16"/>
  <c r="BH125" i="17"/>
  <c r="H115" i="19" s="1"/>
  <c r="BZ115" i="16"/>
  <c r="BG124" i="17"/>
  <c r="BJ124" i="17"/>
  <c r="J114" i="19" s="1"/>
  <c r="CK127" i="11"/>
  <c r="CG127" i="11"/>
  <c r="CB127" i="11"/>
  <c r="CJ127" i="11"/>
  <c r="CD127" i="11"/>
  <c r="CH127" i="11"/>
  <c r="CI127" i="11"/>
  <c r="BK125" i="17"/>
  <c r="CH119" i="16"/>
  <c r="CJ119" i="16"/>
  <c r="CD119" i="16"/>
  <c r="CK119" i="16"/>
  <c r="CB119" i="16"/>
  <c r="CI119" i="16"/>
  <c r="CG119" i="16"/>
  <c r="CK127" i="17"/>
  <c r="CG127" i="17"/>
  <c r="CB127" i="17"/>
  <c r="CJ127" i="17"/>
  <c r="CI127" i="17"/>
  <c r="CD127" i="17"/>
  <c r="CH127" i="17"/>
  <c r="H169" i="17"/>
  <c r="BZ121" i="17"/>
  <c r="BF125" i="17"/>
  <c r="BI125" i="17"/>
  <c r="BI124" i="17"/>
  <c r="BE125" i="17"/>
  <c r="BF124" i="17"/>
  <c r="F114" i="19" s="1"/>
  <c r="BJ118" i="11"/>
  <c r="CL117" i="16"/>
  <c r="CM117" i="16" s="1"/>
  <c r="AN203" i="16"/>
  <c r="AO203" i="16" s="1"/>
  <c r="BJ125" i="17"/>
  <c r="J115" i="19" s="1"/>
  <c r="H170" i="11"/>
  <c r="BK118" i="11"/>
  <c r="K107" i="3" s="1"/>
  <c r="BY119" i="11"/>
  <c r="AE202" i="17"/>
  <c r="BZ122" i="17" s="1"/>
  <c r="CE124" i="17"/>
  <c r="AL204" i="17"/>
  <c r="AM204" i="17"/>
  <c r="AH114" i="19" s="1"/>
  <c r="H169" i="16"/>
  <c r="BI118" i="11"/>
  <c r="I107" i="3" s="1"/>
  <c r="CL119" i="11"/>
  <c r="CM119" i="11" s="1"/>
  <c r="BF118" i="11"/>
  <c r="F107" i="3" s="1"/>
  <c r="BH118" i="11"/>
  <c r="AN203" i="17"/>
  <c r="AO203" i="17" s="1"/>
  <c r="BG118" i="11"/>
  <c r="G107" i="3" s="1"/>
  <c r="T98" i="18"/>
  <c r="U99" i="18" s="1"/>
  <c r="V99" i="18" s="1"/>
  <c r="R207" i="11"/>
  <c r="S207" i="11" s="1"/>
  <c r="U207" i="11" s="1"/>
  <c r="AL201" i="11"/>
  <c r="Z201" i="11"/>
  <c r="AM201" i="11"/>
  <c r="AH110" i="3" s="1"/>
  <c r="X201" i="11"/>
  <c r="AN200" i="11"/>
  <c r="AO200" i="11" s="1"/>
  <c r="BD125" i="17"/>
  <c r="BB98" i="3"/>
  <c r="E107" i="3"/>
  <c r="F115" i="19"/>
  <c r="AB48" i="3"/>
  <c r="AD48" i="3" s="1"/>
  <c r="AC48" i="3"/>
  <c r="AE48" i="3" s="1"/>
  <c r="AF48" i="3" s="1"/>
  <c r="BC48" i="3" s="1"/>
  <c r="BE48" i="3" s="1"/>
  <c r="BG48" i="3" s="1"/>
  <c r="I225" i="6"/>
  <c r="G225" i="6"/>
  <c r="K209" i="11"/>
  <c r="AK209" i="11" s="1"/>
  <c r="M208" i="11"/>
  <c r="AA49" i="3"/>
  <c r="AM105" i="3"/>
  <c r="AF198" i="11"/>
  <c r="AJ201" i="17"/>
  <c r="AF202" i="17"/>
  <c r="G147" i="6"/>
  <c r="J228" i="6"/>
  <c r="P228" i="6" s="1"/>
  <c r="T228" i="6" s="1"/>
  <c r="BE57" i="6" s="1"/>
  <c r="AM23" i="23"/>
  <c r="Z22" i="23"/>
  <c r="AG202" i="17"/>
  <c r="Z19" i="23"/>
  <c r="AI202" i="17"/>
  <c r="AH202" i="17"/>
  <c r="AK112" i="19"/>
  <c r="K208" i="17"/>
  <c r="AK208" i="17" s="1"/>
  <c r="H208" i="17"/>
  <c r="AB204" i="17"/>
  <c r="W204" i="17"/>
  <c r="BY124" i="17" s="1"/>
  <c r="Z204" i="17"/>
  <c r="AA204" i="17"/>
  <c r="Y204" i="17"/>
  <c r="X204" i="17"/>
  <c r="AM49" i="3"/>
  <c r="AO49" i="3" s="1"/>
  <c r="AP49" i="3" s="1"/>
  <c r="BJ49" i="3" s="1"/>
  <c r="BL49" i="3" s="1"/>
  <c r="BN49" i="3" s="1"/>
  <c r="AL49" i="3"/>
  <c r="AN49" i="3" s="1"/>
  <c r="T205" i="16"/>
  <c r="V205" i="16"/>
  <c r="U205" i="16"/>
  <c r="AE202" i="16"/>
  <c r="R206" i="17"/>
  <c r="S206" i="17" s="1"/>
  <c r="AC49" i="19"/>
  <c r="AE49" i="19" s="1"/>
  <c r="AF49" i="19" s="1"/>
  <c r="BC49" i="19" s="1"/>
  <c r="BE49" i="19" s="1"/>
  <c r="BG49" i="19" s="1"/>
  <c r="AB49" i="19"/>
  <c r="AD49" i="19" s="1"/>
  <c r="AM49" i="18"/>
  <c r="AO49" i="18" s="1"/>
  <c r="AP49" i="18" s="1"/>
  <c r="BJ49" i="18" s="1"/>
  <c r="BL49" i="18" s="1"/>
  <c r="BN49" i="18" s="1"/>
  <c r="AL49" i="18"/>
  <c r="AN49" i="18" s="1"/>
  <c r="R206" i="16"/>
  <c r="S206"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0" i="19"/>
  <c r="AK50" i="18"/>
  <c r="AK50" i="3"/>
  <c r="AA50" i="19"/>
  <c r="AA50" i="18"/>
  <c r="AM225" i="7"/>
  <c r="K197" i="6"/>
  <c r="K231" i="6"/>
  <c r="AL49" i="19"/>
  <c r="AN49" i="19" s="1"/>
  <c r="AM49" i="19"/>
  <c r="AO49" i="19" s="1"/>
  <c r="AP49" i="19" s="1"/>
  <c r="BJ49" i="19" s="1"/>
  <c r="BL49" i="19" s="1"/>
  <c r="BN49" i="19" s="1"/>
  <c r="AT225" i="7"/>
  <c r="U205" i="17"/>
  <c r="T205" i="17"/>
  <c r="V205" i="17"/>
  <c r="AC49" i="18"/>
  <c r="AE49" i="18" s="1"/>
  <c r="AF49" i="18" s="1"/>
  <c r="BC49" i="18" s="1"/>
  <c r="BE49" i="18" s="1"/>
  <c r="BG49" i="18" s="1"/>
  <c r="AB49" i="18"/>
  <c r="AD49" i="18" s="1"/>
  <c r="AC203" i="17"/>
  <c r="AF225" i="7"/>
  <c r="AM191" i="7"/>
  <c r="I210" i="11"/>
  <c r="AH202" i="16"/>
  <c r="AF202" i="16"/>
  <c r="AT191" i="7"/>
  <c r="W204" i="16"/>
  <c r="Z204" i="16"/>
  <c r="AB204" i="16"/>
  <c r="AA204" i="16"/>
  <c r="Y204" i="16"/>
  <c r="X204" i="16"/>
  <c r="AD202" i="17"/>
  <c r="M207" i="16"/>
  <c r="P207" i="16"/>
  <c r="Q207" i="16" s="1"/>
  <c r="I209" i="17"/>
  <c r="AI202" i="16"/>
  <c r="P209" i="11"/>
  <c r="Q209" i="11" s="1"/>
  <c r="AV224" i="7"/>
  <c r="I209" i="16"/>
  <c r="AE158" i="7"/>
  <c r="AI158" i="7"/>
  <c r="AG158" i="7"/>
  <c r="Z158" i="7"/>
  <c r="AL158" i="7"/>
  <c r="AN158" i="7"/>
  <c r="AO158" i="7"/>
  <c r="AK158" i="7"/>
  <c r="AP158" i="7"/>
  <c r="AH158" i="7"/>
  <c r="AR158" i="7"/>
  <c r="AJ158" i="7"/>
  <c r="AQ158" i="7"/>
  <c r="AB158" i="7"/>
  <c r="AD158" i="7"/>
  <c r="AA158" i="7"/>
  <c r="AJ201" i="16"/>
  <c r="AK111" i="18"/>
  <c r="AC203" i="16"/>
  <c r="AD203" i="16" s="1"/>
  <c r="BG55" i="6"/>
  <c r="AU55" i="6"/>
  <c r="P207" i="17"/>
  <c r="Q207" i="17" s="1"/>
  <c r="M207" i="17"/>
  <c r="AM157" i="7"/>
  <c r="AG202" i="16"/>
  <c r="K95" i="6"/>
  <c r="K61" i="6"/>
  <c r="AP23" i="23" s="1"/>
  <c r="K208" i="16"/>
  <c r="AK208" i="16" s="1"/>
  <c r="H208" i="16"/>
  <c r="I115" i="19"/>
  <c r="G115" i="19"/>
  <c r="K115" i="19"/>
  <c r="E115" i="19"/>
  <c r="J185" i="8"/>
  <c r="AG198" i="11"/>
  <c r="AE198" i="11"/>
  <c r="BZ118" i="11" s="1"/>
  <c r="AQ124" i="17"/>
  <c r="AF127" i="17"/>
  <c r="AX127" i="17"/>
  <c r="AU127" i="17"/>
  <c r="AV127" i="17"/>
  <c r="AW127" i="17"/>
  <c r="BA127" i="17"/>
  <c r="BB127" i="17"/>
  <c r="AZ127" i="17"/>
  <c r="AR127" i="17"/>
  <c r="AS127" i="17"/>
  <c r="AT127" i="17"/>
  <c r="AY127" i="17"/>
  <c r="AG127" i="17"/>
  <c r="AK127" i="17" s="1"/>
  <c r="AA129" i="17"/>
  <c r="AB129" i="17" s="1"/>
  <c r="AL126" i="17"/>
  <c r="J184" i="8"/>
  <c r="L113" i="19"/>
  <c r="P113" i="19"/>
  <c r="K114" i="19"/>
  <c r="BD124" i="17"/>
  <c r="I114" i="19"/>
  <c r="H114" i="19"/>
  <c r="BC126" i="17"/>
  <c r="BF126" i="17" s="1"/>
  <c r="G114" i="19"/>
  <c r="AH120" i="16"/>
  <c r="AI120" i="16"/>
  <c r="H147" i="6"/>
  <c r="AQ115" i="16"/>
  <c r="D153" i="6"/>
  <c r="F153" i="6"/>
  <c r="E153" i="6"/>
  <c r="J107" i="3"/>
  <c r="BC119" i="11"/>
  <c r="BK119" i="11" s="1"/>
  <c r="J109" i="8"/>
  <c r="AC128" i="11"/>
  <c r="AE128" i="11"/>
  <c r="AD128" i="11"/>
  <c r="W200" i="11"/>
  <c r="AA200" i="11"/>
  <c r="Y200" i="11"/>
  <c r="AB200" i="11"/>
  <c r="C108" i="3"/>
  <c r="AW127" i="11"/>
  <c r="AF127" i="11"/>
  <c r="AU127" i="11"/>
  <c r="AV127" i="11"/>
  <c r="AX127" i="11"/>
  <c r="AT127" i="11"/>
  <c r="AR127" i="11"/>
  <c r="AZ127" i="11"/>
  <c r="BB127" i="11"/>
  <c r="AY127" i="11"/>
  <c r="BA127" i="11"/>
  <c r="AS127" i="11"/>
  <c r="AG127" i="11"/>
  <c r="AK127" i="11" s="1"/>
  <c r="AC199" i="11"/>
  <c r="AD199" i="11" s="1"/>
  <c r="AD121" i="11"/>
  <c r="AC121" i="11"/>
  <c r="AE121" i="11"/>
  <c r="AW120" i="11"/>
  <c r="AF120" i="11"/>
  <c r="AV120" i="11"/>
  <c r="BA120" i="11"/>
  <c r="AU120" i="11"/>
  <c r="AG120" i="11"/>
  <c r="AK120" i="11" s="1"/>
  <c r="AS120" i="11"/>
  <c r="AX120" i="11"/>
  <c r="AY120" i="11"/>
  <c r="AR120" i="11"/>
  <c r="AZ120" i="11"/>
  <c r="AT120" i="11"/>
  <c r="BB120" i="11"/>
  <c r="T201" i="11"/>
  <c r="AI51" i="6" s="1"/>
  <c r="V201" i="11"/>
  <c r="V207" i="11"/>
  <c r="T207" i="11"/>
  <c r="AI57" i="6" s="1"/>
  <c r="AI198" i="11"/>
  <c r="AH198" i="11"/>
  <c r="E105" i="18"/>
  <c r="AK118" i="16"/>
  <c r="R140" i="8"/>
  <c r="AF126" i="16"/>
  <c r="AR126" i="16"/>
  <c r="AV126" i="16"/>
  <c r="AT126" i="16"/>
  <c r="AY126" i="16"/>
  <c r="AU126" i="16"/>
  <c r="BA126" i="16"/>
  <c r="AW126" i="16"/>
  <c r="BB126" i="16"/>
  <c r="AX126" i="16"/>
  <c r="AS126" i="16"/>
  <c r="AZ126" i="16"/>
  <c r="AG126" i="16"/>
  <c r="AK126" i="16" s="1"/>
  <c r="O146" i="6"/>
  <c r="S146" i="6" s="1"/>
  <c r="AR43" i="6" s="1"/>
  <c r="AF119" i="16"/>
  <c r="AS119" i="16"/>
  <c r="AW119" i="16"/>
  <c r="BA119" i="16"/>
  <c r="AV119" i="16"/>
  <c r="BB119" i="16"/>
  <c r="AR119" i="16"/>
  <c r="AX119" i="16"/>
  <c r="AT119" i="16"/>
  <c r="AU119" i="16"/>
  <c r="AZ119" i="16"/>
  <c r="AY119" i="16"/>
  <c r="AG119" i="16"/>
  <c r="I147" i="6"/>
  <c r="I113" i="6"/>
  <c r="O113" i="6" s="1"/>
  <c r="S113" i="6" s="1"/>
  <c r="AL44" i="6" s="1"/>
  <c r="AK117" i="16"/>
  <c r="AH140" i="8"/>
  <c r="Z140" i="8"/>
  <c r="O112" i="6"/>
  <c r="S112" i="6" s="1"/>
  <c r="AL43" i="6" s="1"/>
  <c r="AD120" i="16"/>
  <c r="AC120" i="16"/>
  <c r="AE120" i="16"/>
  <c r="BC118" i="16"/>
  <c r="BG118" i="16" s="1"/>
  <c r="N148" i="6"/>
  <c r="P104" i="18"/>
  <c r="Q104" i="18" s="1"/>
  <c r="L104" i="18"/>
  <c r="BC117" i="16"/>
  <c r="BG117" i="16" s="1"/>
  <c r="AF127" i="16"/>
  <c r="AS127" i="16"/>
  <c r="AW127" i="16"/>
  <c r="BA127" i="16"/>
  <c r="AT127" i="16"/>
  <c r="AU127" i="16"/>
  <c r="AZ127" i="16"/>
  <c r="AV127" i="16"/>
  <c r="BB127" i="16"/>
  <c r="AR127" i="16"/>
  <c r="AX127" i="16"/>
  <c r="AY127" i="16"/>
  <c r="AG127" i="16"/>
  <c r="AK127" i="16" s="1"/>
  <c r="M148" i="6"/>
  <c r="R147" i="6"/>
  <c r="AQ44" i="6" s="1"/>
  <c r="O190" i="6"/>
  <c r="S190" i="6" s="1"/>
  <c r="AX53" i="6" s="1"/>
  <c r="AN126" i="17"/>
  <c r="O191" i="6"/>
  <c r="S191" i="6" s="1"/>
  <c r="AX54" i="6" s="1"/>
  <c r="H208" i="11"/>
  <c r="R208" i="11"/>
  <c r="S208" i="11" s="1"/>
  <c r="U208" i="11" s="1"/>
  <c r="CE128" i="11" s="1"/>
  <c r="O224" i="6"/>
  <c r="S224" i="6" s="1"/>
  <c r="BD53" i="6" s="1"/>
  <c r="AB128" i="16"/>
  <c r="AB121" i="16"/>
  <c r="AJ121" i="16" s="1"/>
  <c r="O108" i="6"/>
  <c r="S108" i="6" s="1"/>
  <c r="AL39" i="6" s="1"/>
  <c r="O107" i="6"/>
  <c r="S107" i="6" s="1"/>
  <c r="AL38" i="6" s="1"/>
  <c r="BI97" i="18"/>
  <c r="BB97" i="18"/>
  <c r="O142" i="6"/>
  <c r="S142" i="6" s="1"/>
  <c r="AR39" i="6" s="1"/>
  <c r="O141" i="6"/>
  <c r="S141" i="6" s="1"/>
  <c r="AR38" i="6" s="1"/>
  <c r="O47" i="6"/>
  <c r="S47" i="6" s="1"/>
  <c r="Z46" i="6" s="1"/>
  <c r="O81" i="6"/>
  <c r="S81" i="6" s="1"/>
  <c r="AF46" i="6" s="1"/>
  <c r="H162" i="11"/>
  <c r="BB99" i="3"/>
  <c r="BI99" i="3"/>
  <c r="H202" i="11"/>
  <c r="R202" i="11"/>
  <c r="S202" i="11" s="1"/>
  <c r="U202" i="11" s="1"/>
  <c r="CE122" i="11" s="1"/>
  <c r="AI121" i="11"/>
  <c r="AI128" i="11"/>
  <c r="AP126" i="17"/>
  <c r="B186" i="8" s="1"/>
  <c r="AM126" i="17"/>
  <c r="D115" i="19"/>
  <c r="AQ125" i="17"/>
  <c r="Z129" i="16"/>
  <c r="AA129" i="16"/>
  <c r="AO126" i="17"/>
  <c r="AB128" i="17"/>
  <c r="AO119" i="11"/>
  <c r="H163" i="11"/>
  <c r="U98" i="18"/>
  <c r="V98" i="18" s="1"/>
  <c r="AV88" i="3"/>
  <c r="AW88" i="3"/>
  <c r="AV87" i="18"/>
  <c r="T99" i="18"/>
  <c r="U100" i="18" s="1"/>
  <c r="V100" i="18" s="1"/>
  <c r="AW87" i="19"/>
  <c r="AV87" i="19"/>
  <c r="L128" i="7"/>
  <c r="AD128" i="7" s="1"/>
  <c r="S107" i="19"/>
  <c r="R107" i="19"/>
  <c r="Y128" i="7"/>
  <c r="Y129" i="7" s="1"/>
  <c r="Y130" i="7" s="1"/>
  <c r="D107" i="3"/>
  <c r="N107" i="3" s="1"/>
  <c r="H107" i="3"/>
  <c r="T100" i="3"/>
  <c r="U100" i="3"/>
  <c r="V100" i="3" s="1"/>
  <c r="G100" i="11"/>
  <c r="AR89" i="3" s="1"/>
  <c r="AU89" i="3" s="1"/>
  <c r="F101" i="11"/>
  <c r="D129" i="7" s="1"/>
  <c r="AQ127" i="7"/>
  <c r="W128" i="7"/>
  <c r="E100" i="11"/>
  <c r="C127" i="7"/>
  <c r="J128" i="7"/>
  <c r="AB127" i="7"/>
  <c r="H128" i="7"/>
  <c r="Z127" i="7"/>
  <c r="AN127" i="7"/>
  <c r="T128" i="7"/>
  <c r="AR161" i="7"/>
  <c r="AP127" i="7"/>
  <c r="V128" i="7"/>
  <c r="AE127" i="7"/>
  <c r="M128" i="7"/>
  <c r="G98" i="16"/>
  <c r="AA122" i="16"/>
  <c r="AQ118" i="11"/>
  <c r="AH128" i="11"/>
  <c r="AJ128" i="11"/>
  <c r="AL119" i="11"/>
  <c r="AN119" i="11"/>
  <c r="AP119" i="11"/>
  <c r="B110" i="8" s="1"/>
  <c r="AM119" i="11"/>
  <c r="N108" i="19" s="1"/>
  <c r="Q108" i="19" s="1"/>
  <c r="Z130" i="11"/>
  <c r="AA130" i="11"/>
  <c r="AJ121" i="11"/>
  <c r="AH121" i="11"/>
  <c r="AB129" i="11"/>
  <c r="AB123" i="11"/>
  <c r="AB122" i="11"/>
  <c r="J125" i="11"/>
  <c r="K124" i="11"/>
  <c r="AA124" i="11" s="1"/>
  <c r="B105" i="9" l="1"/>
  <c r="B139" i="9"/>
  <c r="H138" i="9"/>
  <c r="U138" i="9" s="1"/>
  <c r="J138" i="9"/>
  <c r="W138" i="9" s="1"/>
  <c r="G138" i="9"/>
  <c r="T138" i="9" s="1"/>
  <c r="G174" i="9"/>
  <c r="T174" i="9" s="1"/>
  <c r="J174" i="9"/>
  <c r="W174" i="9" s="1"/>
  <c r="H174" i="9"/>
  <c r="U174" i="9" s="1"/>
  <c r="H104" i="9"/>
  <c r="U104" i="9" s="1"/>
  <c r="G104" i="9"/>
  <c r="T104" i="9" s="1"/>
  <c r="J104" i="9"/>
  <c r="W104" i="9" s="1"/>
  <c r="M209" i="11"/>
  <c r="O147" i="6"/>
  <c r="S147" i="6" s="1"/>
  <c r="AR44" i="6" s="1"/>
  <c r="BI117" i="16"/>
  <c r="BK126" i="17"/>
  <c r="BL118" i="11"/>
  <c r="BE117" i="16"/>
  <c r="AN204" i="17"/>
  <c r="BJ126" i="17"/>
  <c r="BH118" i="16"/>
  <c r="CL120" i="11"/>
  <c r="CM120" i="11" s="1"/>
  <c r="BG119" i="11"/>
  <c r="BJ117" i="16"/>
  <c r="AP127" i="16"/>
  <c r="B153" i="8" s="1"/>
  <c r="CJ120" i="16"/>
  <c r="CI120" i="16"/>
  <c r="CD120" i="16"/>
  <c r="CK120" i="16"/>
  <c r="CB120" i="16"/>
  <c r="CH120" i="16"/>
  <c r="CG120" i="16"/>
  <c r="AL118" i="16"/>
  <c r="BY118" i="16"/>
  <c r="X207" i="11"/>
  <c r="CE127" i="11"/>
  <c r="BG126" i="17"/>
  <c r="BE118" i="16"/>
  <c r="BL125" i="17"/>
  <c r="BH126" i="17"/>
  <c r="BK117" i="16"/>
  <c r="K107" i="18" s="1"/>
  <c r="BE126" i="17"/>
  <c r="BL124" i="17"/>
  <c r="BI126" i="17"/>
  <c r="CL126" i="16"/>
  <c r="CM126" i="16" s="1"/>
  <c r="BY117" i="16"/>
  <c r="AO127" i="17"/>
  <c r="BY120" i="11"/>
  <c r="CK121" i="11"/>
  <c r="CG121" i="11"/>
  <c r="CB121" i="11"/>
  <c r="CI121" i="11"/>
  <c r="CD121" i="11"/>
  <c r="CH121" i="11"/>
  <c r="CJ121" i="11"/>
  <c r="AI203" i="17"/>
  <c r="BF119" i="11"/>
  <c r="F108" i="3" s="1"/>
  <c r="BF118" i="16"/>
  <c r="F108" i="18" s="1"/>
  <c r="BH117" i="16"/>
  <c r="CL127" i="17"/>
  <c r="CM127" i="17" s="1"/>
  <c r="BH119" i="11"/>
  <c r="H108" i="3" s="1"/>
  <c r="CL119" i="16"/>
  <c r="CM119" i="16" s="1"/>
  <c r="BI118" i="16"/>
  <c r="BE119" i="11"/>
  <c r="E108" i="3" s="1"/>
  <c r="AN204" i="16"/>
  <c r="AO204" i="16" s="1"/>
  <c r="AH114" i="18"/>
  <c r="BJ118" i="16"/>
  <c r="CI128" i="11"/>
  <c r="CD128" i="11"/>
  <c r="CJ128" i="11"/>
  <c r="CG128" i="11"/>
  <c r="CK128" i="11"/>
  <c r="CH128" i="11"/>
  <c r="CB128" i="11"/>
  <c r="AO204" i="17"/>
  <c r="G108" i="3"/>
  <c r="CE125" i="17"/>
  <c r="AL205" i="17"/>
  <c r="AM205" i="17"/>
  <c r="CE125" i="16"/>
  <c r="AL205" i="16"/>
  <c r="AN205" i="16" s="1"/>
  <c r="AM205" i="16"/>
  <c r="AH115" i="18" s="1"/>
  <c r="BF117" i="16"/>
  <c r="BJ119" i="11"/>
  <c r="J108" i="3" s="1"/>
  <c r="BK118" i="16"/>
  <c r="CL127" i="11"/>
  <c r="CM127" i="11" s="1"/>
  <c r="BI119" i="11"/>
  <c r="I108" i="3" s="1"/>
  <c r="CL127" i="16"/>
  <c r="CM127" i="16" s="1"/>
  <c r="O225" i="6"/>
  <c r="S225" i="6" s="1"/>
  <c r="BD54" i="6" s="1"/>
  <c r="AN201" i="11"/>
  <c r="AO201" i="11" s="1"/>
  <c r="AL202" i="11"/>
  <c r="Z202" i="11"/>
  <c r="AM202" i="11"/>
  <c r="AH111" i="3" s="1"/>
  <c r="X202" i="11"/>
  <c r="AL207" i="11"/>
  <c r="AM207" i="11"/>
  <c r="Z207" i="11"/>
  <c r="AL208" i="11"/>
  <c r="Z208" i="11"/>
  <c r="AM208" i="11"/>
  <c r="X208" i="11"/>
  <c r="C109" i="3"/>
  <c r="AB49" i="3"/>
  <c r="AD49" i="3" s="1"/>
  <c r="AC49" i="3"/>
  <c r="AE49" i="3" s="1"/>
  <c r="AF49" i="3" s="1"/>
  <c r="BC49" i="3" s="1"/>
  <c r="BE49" i="3" s="1"/>
  <c r="BG49" i="3" s="1"/>
  <c r="BD126" i="17"/>
  <c r="AA50" i="3"/>
  <c r="AI199" i="11"/>
  <c r="AJ202" i="17"/>
  <c r="AI121" i="16"/>
  <c r="L115" i="19"/>
  <c r="AV225" i="7"/>
  <c r="J230" i="6" s="1"/>
  <c r="P230" i="6" s="1"/>
  <c r="T230" i="6" s="1"/>
  <c r="BE59" i="6" s="1"/>
  <c r="AT226" i="7"/>
  <c r="AF203" i="17"/>
  <c r="AE203" i="16"/>
  <c r="AK113" i="18" s="1"/>
  <c r="AG203" i="16"/>
  <c r="AN23" i="23"/>
  <c r="AH203" i="16"/>
  <c r="AM226" i="7"/>
  <c r="R207" i="17"/>
  <c r="S207" i="17" s="1"/>
  <c r="AC204" i="17"/>
  <c r="K108" i="3"/>
  <c r="R207" i="16"/>
  <c r="S207" i="16" s="1"/>
  <c r="W205" i="17"/>
  <c r="AB205" i="17"/>
  <c r="Z205" i="17"/>
  <c r="Y205" i="17"/>
  <c r="AA205" i="17"/>
  <c r="X205" i="17"/>
  <c r="AC50" i="18"/>
  <c r="AE50" i="18" s="1"/>
  <c r="AF50" i="18" s="1"/>
  <c r="BC50" i="18" s="1"/>
  <c r="BE50" i="18" s="1"/>
  <c r="BG50" i="18" s="1"/>
  <c r="AB50" i="18"/>
  <c r="AD50" i="18" s="1"/>
  <c r="M208" i="16"/>
  <c r="P208" i="16"/>
  <c r="Q208" i="16" s="1"/>
  <c r="K210" i="11"/>
  <c r="AK210" i="11" s="1"/>
  <c r="H210" i="11"/>
  <c r="AC50" i="19"/>
  <c r="AE50" i="19" s="1"/>
  <c r="AF50" i="19" s="1"/>
  <c r="BC50" i="19" s="1"/>
  <c r="BE50" i="19" s="1"/>
  <c r="BG50" i="19" s="1"/>
  <c r="AB50" i="19"/>
  <c r="AD50" i="19" s="1"/>
  <c r="V206" i="16"/>
  <c r="U206" i="16"/>
  <c r="T206" i="16"/>
  <c r="AL111" i="18"/>
  <c r="AM111" i="18"/>
  <c r="AT158" i="7"/>
  <c r="J195" i="6"/>
  <c r="P195" i="6" s="1"/>
  <c r="T195" i="6" s="1"/>
  <c r="AY58" i="6" s="1"/>
  <c r="J229" i="6"/>
  <c r="P229" i="6" s="1"/>
  <c r="T229" i="6" s="1"/>
  <c r="BE58" i="6" s="1"/>
  <c r="AC204" i="16"/>
  <c r="AD204" i="16" s="1"/>
  <c r="AF226" i="7"/>
  <c r="AK51" i="18"/>
  <c r="AA51" i="18"/>
  <c r="AK51" i="3"/>
  <c r="AK51" i="19"/>
  <c r="AA51" i="19"/>
  <c r="U206" i="17"/>
  <c r="V206" i="17"/>
  <c r="T206" i="17"/>
  <c r="AK112" i="18"/>
  <c r="AJ202" i="16"/>
  <c r="AE203" i="17"/>
  <c r="BZ123" i="17" s="1"/>
  <c r="AF203" i="16"/>
  <c r="W205" i="16"/>
  <c r="Z205" i="16"/>
  <c r="AB205" i="16"/>
  <c r="Y205" i="16"/>
  <c r="AA205" i="16"/>
  <c r="X205" i="16"/>
  <c r="AM158" i="7"/>
  <c r="AD203" i="17"/>
  <c r="AH203" i="17"/>
  <c r="AM50" i="3"/>
  <c r="AO50" i="3" s="1"/>
  <c r="AP50" i="3" s="1"/>
  <c r="BJ50" i="3" s="1"/>
  <c r="BL50" i="3" s="1"/>
  <c r="BN50" i="3" s="1"/>
  <c r="AL50" i="3"/>
  <c r="AN50" i="3" s="1"/>
  <c r="AM192" i="7"/>
  <c r="AT192" i="7"/>
  <c r="BG56" i="6"/>
  <c r="AU56" i="6"/>
  <c r="P208" i="17"/>
  <c r="Q208" i="17" s="1"/>
  <c r="M208" i="17"/>
  <c r="AM50" i="18"/>
  <c r="AO50" i="18" s="1"/>
  <c r="AP50" i="18" s="1"/>
  <c r="BJ50" i="18" s="1"/>
  <c r="BL50" i="18" s="1"/>
  <c r="BN50" i="18" s="1"/>
  <c r="AL50" i="18"/>
  <c r="AN50" i="18" s="1"/>
  <c r="K209" i="16"/>
  <c r="AK209" i="16" s="1"/>
  <c r="H209" i="16"/>
  <c r="K209" i="17"/>
  <c r="AK209" i="17" s="1"/>
  <c r="H209" i="17"/>
  <c r="AG203" i="17"/>
  <c r="AI203" i="16"/>
  <c r="AM50" i="19"/>
  <c r="AO50" i="19" s="1"/>
  <c r="AP50" i="19" s="1"/>
  <c r="BJ50" i="19" s="1"/>
  <c r="BL50" i="19" s="1"/>
  <c r="BN50" i="19" s="1"/>
  <c r="AL50" i="19"/>
  <c r="AN50" i="19" s="1"/>
  <c r="AL112" i="19"/>
  <c r="AM112" i="19"/>
  <c r="BD119" i="11"/>
  <c r="P115" i="19"/>
  <c r="J186" i="8"/>
  <c r="Z184" i="8"/>
  <c r="AO127" i="16"/>
  <c r="AN127" i="16"/>
  <c r="AM127" i="16"/>
  <c r="D117" i="18" s="1"/>
  <c r="J143" i="8"/>
  <c r="AK107" i="3"/>
  <c r="AM107" i="3" s="1"/>
  <c r="AJ198" i="11"/>
  <c r="BC127" i="11"/>
  <c r="BH127" i="11" s="1"/>
  <c r="J110" i="8"/>
  <c r="K116" i="19"/>
  <c r="F116" i="19"/>
  <c r="G116" i="19"/>
  <c r="J116" i="19"/>
  <c r="AD129" i="17"/>
  <c r="AE129" i="17"/>
  <c r="AC129" i="17"/>
  <c r="AJ129" i="17"/>
  <c r="AI129" i="17"/>
  <c r="AH129" i="17"/>
  <c r="AD128" i="17"/>
  <c r="AC128" i="17"/>
  <c r="AE128" i="17"/>
  <c r="AJ128" i="17"/>
  <c r="AI128" i="17"/>
  <c r="AH128" i="17"/>
  <c r="AH184" i="8"/>
  <c r="AP127" i="17"/>
  <c r="B187" i="8" s="1"/>
  <c r="BC127" i="17"/>
  <c r="BG127" i="17" s="1"/>
  <c r="AL127" i="17"/>
  <c r="E114" i="19"/>
  <c r="R184" i="8"/>
  <c r="AN127" i="17"/>
  <c r="AM127" i="17"/>
  <c r="I116" i="19"/>
  <c r="H116" i="19"/>
  <c r="BC127" i="16"/>
  <c r="BI127" i="16" s="1"/>
  <c r="AL126" i="16"/>
  <c r="J144" i="8"/>
  <c r="AL127" i="16"/>
  <c r="I107" i="18"/>
  <c r="F154" i="6"/>
  <c r="D154" i="6"/>
  <c r="E154" i="6"/>
  <c r="BC126" i="16"/>
  <c r="BJ126" i="16" s="1"/>
  <c r="AL117" i="16"/>
  <c r="AE199" i="11"/>
  <c r="AK108" i="3" s="1"/>
  <c r="AF199" i="11"/>
  <c r="AW128" i="11"/>
  <c r="AU128" i="11"/>
  <c r="AF128" i="11"/>
  <c r="AX128" i="11"/>
  <c r="AV128" i="11"/>
  <c r="AT128" i="11"/>
  <c r="AY128" i="11"/>
  <c r="AZ128" i="11"/>
  <c r="BA128" i="11"/>
  <c r="AR128" i="11"/>
  <c r="AS128" i="11"/>
  <c r="BB128" i="11"/>
  <c r="AG128" i="11"/>
  <c r="AK128" i="11" s="1"/>
  <c r="AD129" i="11"/>
  <c r="AE129" i="11"/>
  <c r="AC129" i="11"/>
  <c r="C116" i="3"/>
  <c r="AG199" i="11"/>
  <c r="AC200" i="11"/>
  <c r="AD200" i="11" s="1"/>
  <c r="AH199" i="11"/>
  <c r="BC120" i="11"/>
  <c r="BF120" i="11" s="1"/>
  <c r="W207" i="11"/>
  <c r="AA207" i="11"/>
  <c r="Y207" i="11"/>
  <c r="AB207" i="11"/>
  <c r="AE122" i="11"/>
  <c r="AD122" i="11"/>
  <c r="AC122" i="11"/>
  <c r="T202" i="11"/>
  <c r="AI52" i="6" s="1"/>
  <c r="V202" i="11"/>
  <c r="AE123" i="11"/>
  <c r="AD123" i="11"/>
  <c r="AC123" i="11"/>
  <c r="V208" i="11"/>
  <c r="T208" i="11"/>
  <c r="AI58" i="6" s="1"/>
  <c r="W201" i="11"/>
  <c r="Y201" i="11"/>
  <c r="AB201" i="11"/>
  <c r="AA201" i="11"/>
  <c r="D83" i="6"/>
  <c r="M83" i="6" s="1"/>
  <c r="F83" i="6"/>
  <c r="E83" i="6"/>
  <c r="AV121" i="11"/>
  <c r="AU121" i="11"/>
  <c r="AF121" i="11"/>
  <c r="AX121" i="11"/>
  <c r="AG121" i="11"/>
  <c r="AK121" i="11" s="1"/>
  <c r="AW121" i="11"/>
  <c r="AY121" i="11"/>
  <c r="AR121" i="11"/>
  <c r="BB121" i="11"/>
  <c r="AZ121" i="11"/>
  <c r="AS121" i="11"/>
  <c r="AT121" i="11"/>
  <c r="BA121" i="11"/>
  <c r="R148" i="6"/>
  <c r="AQ45" i="6" s="1"/>
  <c r="BD118" i="16"/>
  <c r="G108" i="18"/>
  <c r="H108" i="18"/>
  <c r="I108" i="18"/>
  <c r="K108" i="18"/>
  <c r="J108" i="18"/>
  <c r="AH141" i="8"/>
  <c r="AE121" i="16"/>
  <c r="AD121" i="16"/>
  <c r="AC121" i="16"/>
  <c r="AO117" i="16"/>
  <c r="AP117" i="16"/>
  <c r="B143" i="8" s="1"/>
  <c r="AN117" i="16"/>
  <c r="Z141" i="8"/>
  <c r="AO118" i="16"/>
  <c r="AN118" i="16"/>
  <c r="AP118" i="16"/>
  <c r="B144" i="8" s="1"/>
  <c r="M149" i="6"/>
  <c r="S104" i="18"/>
  <c r="R104" i="18"/>
  <c r="AD128" i="16"/>
  <c r="AC128" i="16"/>
  <c r="AE128" i="16"/>
  <c r="H107" i="18"/>
  <c r="BD117" i="16"/>
  <c r="J107" i="18"/>
  <c r="G107" i="18"/>
  <c r="F107" i="18"/>
  <c r="H148" i="6"/>
  <c r="H114" i="6"/>
  <c r="AM117" i="16"/>
  <c r="BC119" i="16"/>
  <c r="BI119" i="16" s="1"/>
  <c r="AM118" i="16"/>
  <c r="AK119" i="16"/>
  <c r="AF120" i="16"/>
  <c r="AX120" i="16"/>
  <c r="AV120" i="16"/>
  <c r="BA120" i="16"/>
  <c r="AR120" i="16"/>
  <c r="AW120" i="16"/>
  <c r="AS120" i="16"/>
  <c r="AY120" i="16"/>
  <c r="AZ120" i="16"/>
  <c r="AU120" i="16"/>
  <c r="BB120" i="16"/>
  <c r="AT120" i="16"/>
  <c r="AG120" i="16"/>
  <c r="I114" i="6"/>
  <c r="I148" i="6"/>
  <c r="R141" i="8"/>
  <c r="G148" i="6"/>
  <c r="G114" i="6"/>
  <c r="N149" i="6"/>
  <c r="L105" i="18"/>
  <c r="P105" i="18"/>
  <c r="Q105" i="18" s="1"/>
  <c r="H209" i="11"/>
  <c r="R209" i="11"/>
  <c r="S209" i="11" s="1"/>
  <c r="U209" i="11" s="1"/>
  <c r="CE129" i="11" s="1"/>
  <c r="AH185" i="8"/>
  <c r="AH121" i="16"/>
  <c r="AB122" i="16"/>
  <c r="AJ122" i="16" s="1"/>
  <c r="AB129" i="16"/>
  <c r="AJ129" i="16" s="1"/>
  <c r="BI98" i="18"/>
  <c r="BB98" i="18"/>
  <c r="AN126" i="16"/>
  <c r="BB99" i="18"/>
  <c r="BI99" i="18"/>
  <c r="BI100" i="18"/>
  <c r="BB100" i="18"/>
  <c r="BB100" i="3"/>
  <c r="BI100" i="3"/>
  <c r="R109" i="8"/>
  <c r="H203" i="11"/>
  <c r="R203" i="11"/>
  <c r="S203" i="11" s="1"/>
  <c r="U203" i="11" s="1"/>
  <c r="CE123" i="11" s="1"/>
  <c r="AP126" i="16"/>
  <c r="B152" i="8" s="1"/>
  <c r="AI122" i="11"/>
  <c r="Z185" i="8"/>
  <c r="Z109" i="8"/>
  <c r="AH109" i="8"/>
  <c r="AI129" i="11"/>
  <c r="AI123" i="11"/>
  <c r="R185" i="8"/>
  <c r="AL120" i="11"/>
  <c r="H164" i="11"/>
  <c r="AI128" i="16"/>
  <c r="AJ128" i="16"/>
  <c r="AH128" i="16"/>
  <c r="AO127" i="11"/>
  <c r="L129" i="7"/>
  <c r="AD129" i="7" s="1"/>
  <c r="AM126" i="16"/>
  <c r="AO126" i="16"/>
  <c r="D116" i="19"/>
  <c r="N116" i="19" s="1"/>
  <c r="AQ126" i="17"/>
  <c r="T100" i="18"/>
  <c r="T101" i="18" s="1"/>
  <c r="AV89" i="3"/>
  <c r="AW89" i="3"/>
  <c r="AR88" i="18"/>
  <c r="AU88" i="18" s="1"/>
  <c r="AV88" i="18" s="1"/>
  <c r="AU88" i="19"/>
  <c r="R108" i="19"/>
  <c r="S108" i="19"/>
  <c r="G101" i="11"/>
  <c r="AR90" i="3" s="1"/>
  <c r="AU90" i="3" s="1"/>
  <c r="AS129" i="7"/>
  <c r="F102" i="11"/>
  <c r="D130" i="7" s="1"/>
  <c r="AS128" i="7"/>
  <c r="D108" i="3"/>
  <c r="N108" i="3" s="1"/>
  <c r="U101" i="3"/>
  <c r="V101" i="3" s="1"/>
  <c r="T101" i="3"/>
  <c r="L107" i="3"/>
  <c r="P107" i="3"/>
  <c r="Q107" i="3" s="1"/>
  <c r="Y131" i="7"/>
  <c r="AS130" i="7"/>
  <c r="E101" i="11"/>
  <c r="C128" i="7"/>
  <c r="AN128" i="7"/>
  <c r="T129" i="7"/>
  <c r="V129" i="7"/>
  <c r="AP128" i="7"/>
  <c r="W129" i="7"/>
  <c r="AQ128" i="7"/>
  <c r="M129" i="7"/>
  <c r="AE128" i="7"/>
  <c r="AR162" i="7"/>
  <c r="H129" i="7"/>
  <c r="Z128" i="7"/>
  <c r="J129" i="7"/>
  <c r="AB128" i="7"/>
  <c r="G99" i="16"/>
  <c r="AA123" i="16"/>
  <c r="AM120" i="11"/>
  <c r="N109" i="19" s="1"/>
  <c r="Q109" i="19" s="1"/>
  <c r="AN120" i="11"/>
  <c r="AO120" i="11"/>
  <c r="AP120" i="11"/>
  <c r="B111" i="8" s="1"/>
  <c r="AN127" i="11"/>
  <c r="AQ119" i="11"/>
  <c r="AM127" i="11"/>
  <c r="AB130" i="11"/>
  <c r="AP127" i="11"/>
  <c r="B118" i="8" s="1"/>
  <c r="AL127" i="11"/>
  <c r="AJ123" i="11"/>
  <c r="AH123" i="11"/>
  <c r="AJ122" i="11"/>
  <c r="AH122" i="11"/>
  <c r="AJ129" i="11"/>
  <c r="AH129" i="11"/>
  <c r="AB124" i="11"/>
  <c r="J126" i="11"/>
  <c r="K125" i="11"/>
  <c r="AA125" i="11" s="1"/>
  <c r="B107" i="9" l="1"/>
  <c r="B141" i="9"/>
  <c r="B140" i="9"/>
  <c r="B106" i="9"/>
  <c r="J139" i="9"/>
  <c r="W139" i="9" s="1"/>
  <c r="G139" i="9"/>
  <c r="T139" i="9" s="1"/>
  <c r="H139" i="9"/>
  <c r="U139" i="9" s="1"/>
  <c r="G182" i="9"/>
  <c r="T182" i="9" s="1"/>
  <c r="J182" i="9"/>
  <c r="W182" i="9" s="1"/>
  <c r="H182" i="9"/>
  <c r="U182" i="9" s="1"/>
  <c r="G175" i="9"/>
  <c r="T175" i="9" s="1"/>
  <c r="J175" i="9"/>
  <c r="W175" i="9" s="1"/>
  <c r="H175" i="9"/>
  <c r="U175" i="9" s="1"/>
  <c r="J111" i="8"/>
  <c r="H105" i="9"/>
  <c r="U105" i="9" s="1"/>
  <c r="J105" i="9"/>
  <c r="W105" i="9" s="1"/>
  <c r="G105" i="9"/>
  <c r="T105" i="9" s="1"/>
  <c r="G112" i="9"/>
  <c r="T112" i="9" s="1"/>
  <c r="J112" i="9"/>
  <c r="W112" i="9" s="1"/>
  <c r="H112" i="9"/>
  <c r="U112" i="9" s="1"/>
  <c r="BG120" i="11"/>
  <c r="G109" i="3" s="1"/>
  <c r="BG127" i="11"/>
  <c r="G116" i="3" s="1"/>
  <c r="BJ127" i="17"/>
  <c r="AO205" i="16"/>
  <c r="BH119" i="16"/>
  <c r="BE119" i="16"/>
  <c r="BH126" i="16"/>
  <c r="H116" i="18" s="1"/>
  <c r="BF126" i="16"/>
  <c r="BL117" i="16"/>
  <c r="BF127" i="11"/>
  <c r="F116" i="3" s="1"/>
  <c r="BY119" i="16"/>
  <c r="CL121" i="11"/>
  <c r="CM121" i="11" s="1"/>
  <c r="BY121" i="11"/>
  <c r="CK123" i="11"/>
  <c r="CG123" i="11"/>
  <c r="CB123" i="11"/>
  <c r="CH123" i="11"/>
  <c r="CJ123" i="11"/>
  <c r="CD123" i="11"/>
  <c r="CI123" i="11"/>
  <c r="F109" i="3"/>
  <c r="BJ127" i="11"/>
  <c r="J116" i="3" s="1"/>
  <c r="BG126" i="16"/>
  <c r="G116" i="18" s="1"/>
  <c r="BF127" i="16"/>
  <c r="F117" i="18" s="1"/>
  <c r="CL128" i="11"/>
  <c r="CM128" i="11" s="1"/>
  <c r="BG119" i="16"/>
  <c r="BL119" i="11"/>
  <c r="BJ120" i="11"/>
  <c r="J109" i="3" s="1"/>
  <c r="BJ127" i="16"/>
  <c r="BK126" i="16"/>
  <c r="BZ117" i="16"/>
  <c r="BG127" i="16"/>
  <c r="BL126" i="17"/>
  <c r="E116" i="19"/>
  <c r="P116" i="19" s="1"/>
  <c r="Q116" i="19" s="1"/>
  <c r="BL118" i="16"/>
  <c r="BI127" i="17"/>
  <c r="BZ118" i="16"/>
  <c r="CI128" i="17"/>
  <c r="CD128" i="17"/>
  <c r="CH128" i="17"/>
  <c r="CK128" i="17"/>
  <c r="CG128" i="17"/>
  <c r="CB128" i="17"/>
  <c r="CJ128" i="17"/>
  <c r="CE126" i="17"/>
  <c r="AL206" i="17"/>
  <c r="AM206" i="17"/>
  <c r="AH116" i="19" s="1"/>
  <c r="AN208" i="11"/>
  <c r="AO208" i="11" s="1"/>
  <c r="AH117" i="3"/>
  <c r="CJ128" i="16"/>
  <c r="CI128" i="16"/>
  <c r="CG128" i="16"/>
  <c r="CD128" i="16"/>
  <c r="CK128" i="16"/>
  <c r="CB128" i="16"/>
  <c r="CH128" i="16"/>
  <c r="CH121" i="16"/>
  <c r="CI121" i="16"/>
  <c r="CB121" i="16"/>
  <c r="CK121" i="16"/>
  <c r="CD121" i="16"/>
  <c r="CJ121" i="16"/>
  <c r="CG121" i="16"/>
  <c r="CK129" i="17"/>
  <c r="CG129" i="17"/>
  <c r="CB129" i="17"/>
  <c r="CJ129" i="17"/>
  <c r="CI129" i="17"/>
  <c r="CD129" i="17"/>
  <c r="CH129" i="17"/>
  <c r="BY125" i="17"/>
  <c r="AI204" i="17"/>
  <c r="BZ119" i="11"/>
  <c r="AN205" i="17"/>
  <c r="AO205" i="17" s="1"/>
  <c r="AH115" i="19"/>
  <c r="BK127" i="17"/>
  <c r="BK127" i="11"/>
  <c r="K116" i="3" s="1"/>
  <c r="BY127" i="11"/>
  <c r="BH127" i="16"/>
  <c r="BH127" i="17"/>
  <c r="BH120" i="11"/>
  <c r="H109" i="3" s="1"/>
  <c r="BK127" i="16"/>
  <c r="K117" i="18" s="1"/>
  <c r="BE120" i="11"/>
  <c r="E109" i="3" s="1"/>
  <c r="BK119" i="16"/>
  <c r="BI127" i="11"/>
  <c r="I116" i="3" s="1"/>
  <c r="AN207" i="11"/>
  <c r="AO207" i="11" s="1"/>
  <c r="AH116" i="3"/>
  <c r="I109" i="18"/>
  <c r="CI122" i="11"/>
  <c r="CD122" i="11"/>
  <c r="CH122" i="11"/>
  <c r="CB122" i="11"/>
  <c r="CK122" i="11"/>
  <c r="CG122" i="11"/>
  <c r="CJ122" i="11"/>
  <c r="CK129" i="11"/>
  <c r="CG129" i="11"/>
  <c r="CB129" i="11"/>
  <c r="CI129" i="11"/>
  <c r="CH129" i="11"/>
  <c r="CJ129" i="11"/>
  <c r="CD129" i="11"/>
  <c r="CE126" i="16"/>
  <c r="AL206" i="16"/>
  <c r="AM206" i="16"/>
  <c r="AH116" i="18" s="1"/>
  <c r="BF127" i="17"/>
  <c r="BK120" i="11"/>
  <c r="K109" i="3" s="1"/>
  <c r="BF119" i="16"/>
  <c r="BE127" i="16"/>
  <c r="BE127" i="17"/>
  <c r="BI120" i="11"/>
  <c r="I109" i="3" s="1"/>
  <c r="BJ119" i="16"/>
  <c r="BE126" i="16"/>
  <c r="BI126" i="16"/>
  <c r="BE127" i="11"/>
  <c r="E116" i="3" s="1"/>
  <c r="CL120" i="16"/>
  <c r="CM120" i="16" s="1"/>
  <c r="AL203" i="11"/>
  <c r="Z203" i="11"/>
  <c r="AM203" i="11"/>
  <c r="X203" i="11"/>
  <c r="AL209" i="11"/>
  <c r="Z209" i="11"/>
  <c r="AM209" i="11"/>
  <c r="AH118" i="3" s="1"/>
  <c r="AN202" i="11"/>
  <c r="AO202" i="11" s="1"/>
  <c r="X209" i="11"/>
  <c r="J196" i="6"/>
  <c r="P196" i="6" s="1"/>
  <c r="T196" i="6" s="1"/>
  <c r="AY59" i="6" s="1"/>
  <c r="AB50" i="3"/>
  <c r="AD50" i="3" s="1"/>
  <c r="AC50" i="3"/>
  <c r="AE50" i="3" s="1"/>
  <c r="AF50" i="3" s="1"/>
  <c r="BC50" i="3" s="1"/>
  <c r="BE50" i="3" s="1"/>
  <c r="BG50" i="3" s="1"/>
  <c r="BD127" i="16"/>
  <c r="E117" i="18"/>
  <c r="AA51" i="3"/>
  <c r="AF200" i="11"/>
  <c r="AQ127" i="16"/>
  <c r="AH129" i="16"/>
  <c r="I117" i="18"/>
  <c r="H116" i="3"/>
  <c r="BD127" i="11"/>
  <c r="J117" i="18"/>
  <c r="H117" i="18"/>
  <c r="G117" i="18"/>
  <c r="AJ203" i="16"/>
  <c r="AH204" i="17"/>
  <c r="AE204" i="17"/>
  <c r="AV226" i="7"/>
  <c r="J231" i="6" s="1"/>
  <c r="P231" i="6" s="1"/>
  <c r="T231" i="6" s="1"/>
  <c r="BE60" i="6" s="1"/>
  <c r="AK113" i="19"/>
  <c r="AJ203" i="17"/>
  <c r="AM51" i="18"/>
  <c r="AO51" i="18" s="1"/>
  <c r="AP51" i="18" s="1"/>
  <c r="BJ51" i="18" s="1"/>
  <c r="BL51" i="18" s="1"/>
  <c r="BN51" i="18" s="1"/>
  <c r="AL51" i="18"/>
  <c r="AN51" i="18" s="1"/>
  <c r="BG57" i="6"/>
  <c r="AU57" i="6"/>
  <c r="P209" i="16"/>
  <c r="Q209" i="16" s="1"/>
  <c r="M209" i="16"/>
  <c r="AB206" i="17"/>
  <c r="W206" i="17"/>
  <c r="BY126" i="17" s="1"/>
  <c r="Z206" i="17"/>
  <c r="Y206" i="17"/>
  <c r="AA206" i="17"/>
  <c r="X206" i="17"/>
  <c r="AB206" i="16"/>
  <c r="W206" i="16"/>
  <c r="Y206" i="16"/>
  <c r="Z206" i="16"/>
  <c r="AA206" i="16"/>
  <c r="X206" i="16"/>
  <c r="AC51" i="19"/>
  <c r="AE51" i="19" s="1"/>
  <c r="AF51" i="19" s="1"/>
  <c r="BC51" i="19" s="1"/>
  <c r="BE51" i="19" s="1"/>
  <c r="BG51" i="19" s="1"/>
  <c r="AB51" i="19"/>
  <c r="AD51" i="19" s="1"/>
  <c r="AE204" i="16"/>
  <c r="AL112" i="18"/>
  <c r="AM112" i="18"/>
  <c r="AC205" i="17"/>
  <c r="U207" i="16"/>
  <c r="T207" i="16"/>
  <c r="V207" i="16"/>
  <c r="AC205" i="16"/>
  <c r="AD205" i="16" s="1"/>
  <c r="AM51" i="19"/>
  <c r="AO51" i="19" s="1"/>
  <c r="AP51" i="19" s="1"/>
  <c r="BJ51" i="19" s="1"/>
  <c r="BL51" i="19" s="1"/>
  <c r="BN51" i="19" s="1"/>
  <c r="AL51" i="19"/>
  <c r="AN51" i="19" s="1"/>
  <c r="R208" i="17"/>
  <c r="S208" i="17" s="1"/>
  <c r="AK52" i="19"/>
  <c r="AK52" i="18"/>
  <c r="AK52" i="3"/>
  <c r="AA52" i="18"/>
  <c r="AA52" i="19"/>
  <c r="AF204" i="16"/>
  <c r="M210" i="11"/>
  <c r="P210" i="11"/>
  <c r="Q210" i="11" s="1"/>
  <c r="AM113" i="18"/>
  <c r="AL113" i="18"/>
  <c r="AH204" i="16"/>
  <c r="R208" i="16"/>
  <c r="S208" i="16" s="1"/>
  <c r="AD204" i="17"/>
  <c r="AI204" i="16"/>
  <c r="AL51" i="3"/>
  <c r="AN51" i="3" s="1"/>
  <c r="AM51" i="3"/>
  <c r="AO51" i="3" s="1"/>
  <c r="AP51" i="3" s="1"/>
  <c r="BJ51" i="3" s="1"/>
  <c r="BL51" i="3" s="1"/>
  <c r="BN51" i="3" s="1"/>
  <c r="M209" i="17"/>
  <c r="P209" i="17"/>
  <c r="Q209" i="17" s="1"/>
  <c r="AG204" i="16"/>
  <c r="AC51" i="18"/>
  <c r="AE51" i="18" s="1"/>
  <c r="AF51" i="18" s="1"/>
  <c r="BC51" i="18" s="1"/>
  <c r="BE51" i="18" s="1"/>
  <c r="BG51" i="18" s="1"/>
  <c r="AB51" i="18"/>
  <c r="AD51" i="18" s="1"/>
  <c r="AG204" i="17"/>
  <c r="AF204" i="17"/>
  <c r="U207" i="17"/>
  <c r="V207" i="17"/>
  <c r="T207" i="17"/>
  <c r="J152" i="8"/>
  <c r="AL107" i="3"/>
  <c r="AI200" i="11"/>
  <c r="D117" i="19"/>
  <c r="N117" i="19" s="1"/>
  <c r="H226" i="6"/>
  <c r="H192" i="6"/>
  <c r="K116" i="18"/>
  <c r="I116" i="18"/>
  <c r="BD126" i="16"/>
  <c r="J116" i="18"/>
  <c r="F116" i="18"/>
  <c r="N83" i="6"/>
  <c r="R83" i="6" s="1"/>
  <c r="AE48" i="6" s="1"/>
  <c r="AQ127" i="17"/>
  <c r="I117" i="19"/>
  <c r="BD127" i="17"/>
  <c r="J117" i="19"/>
  <c r="F117" i="19"/>
  <c r="K117" i="19"/>
  <c r="H117" i="19"/>
  <c r="AF129" i="17"/>
  <c r="AV129" i="17"/>
  <c r="AU129" i="17"/>
  <c r="AW129" i="17"/>
  <c r="AX129" i="17"/>
  <c r="BA129" i="17"/>
  <c r="AT129" i="17"/>
  <c r="AR129" i="17"/>
  <c r="BB129" i="17"/>
  <c r="AY129" i="17"/>
  <c r="AS129" i="17"/>
  <c r="AZ129" i="17"/>
  <c r="AG129" i="17"/>
  <c r="AK129" i="17" s="1"/>
  <c r="P114" i="19"/>
  <c r="L114" i="19"/>
  <c r="J187" i="8"/>
  <c r="G117" i="19"/>
  <c r="I192" i="6"/>
  <c r="I226" i="6"/>
  <c r="G192" i="6"/>
  <c r="G226" i="6"/>
  <c r="AF128" i="17"/>
  <c r="AW128" i="17"/>
  <c r="AV128" i="17"/>
  <c r="AU128" i="17"/>
  <c r="AX128" i="17"/>
  <c r="AZ128" i="17"/>
  <c r="BA128" i="17"/>
  <c r="AY128" i="17"/>
  <c r="AS128" i="17"/>
  <c r="BB128" i="17"/>
  <c r="AR128" i="17"/>
  <c r="AT128" i="17"/>
  <c r="AG128" i="17"/>
  <c r="AK128" i="17" s="1"/>
  <c r="J145" i="8"/>
  <c r="AL119" i="16"/>
  <c r="J153" i="8"/>
  <c r="F155" i="6"/>
  <c r="E155" i="6"/>
  <c r="D155" i="6"/>
  <c r="AM119" i="16"/>
  <c r="D109" i="18" s="1"/>
  <c r="N109" i="18" s="1"/>
  <c r="AG200" i="11"/>
  <c r="AE200" i="11"/>
  <c r="AK109" i="3" s="1"/>
  <c r="J118" i="8"/>
  <c r="BC128" i="11"/>
  <c r="BD120" i="11"/>
  <c r="AH200" i="11"/>
  <c r="AJ199" i="11"/>
  <c r="AX129" i="11"/>
  <c r="AF129" i="11"/>
  <c r="AW129" i="11"/>
  <c r="AU129" i="11"/>
  <c r="AV129" i="11"/>
  <c r="AT129" i="11"/>
  <c r="AY129" i="11"/>
  <c r="AZ129" i="11"/>
  <c r="BA129" i="11"/>
  <c r="BB129" i="11"/>
  <c r="AS129" i="11"/>
  <c r="AR129" i="11"/>
  <c r="AG129" i="11"/>
  <c r="AK129" i="11" s="1"/>
  <c r="C117" i="3"/>
  <c r="AE130" i="11"/>
  <c r="AC130" i="11"/>
  <c r="AD130" i="11"/>
  <c r="C110" i="3"/>
  <c r="O114" i="6"/>
  <c r="S114" i="6" s="1"/>
  <c r="AL45" i="6" s="1"/>
  <c r="O148" i="6"/>
  <c r="S148" i="6" s="1"/>
  <c r="AR45" i="6" s="1"/>
  <c r="BC121" i="11"/>
  <c r="BH121" i="11" s="1"/>
  <c r="AC207" i="11"/>
  <c r="AD207" i="11" s="1"/>
  <c r="AM108" i="3"/>
  <c r="AL108" i="3"/>
  <c r="AV122" i="11"/>
  <c r="AG122" i="11"/>
  <c r="AK122" i="11" s="1"/>
  <c r="AY122" i="11"/>
  <c r="AU122" i="11"/>
  <c r="AX122" i="11"/>
  <c r="AF122" i="11"/>
  <c r="AW122" i="11"/>
  <c r="BA122" i="11"/>
  <c r="AT122" i="11"/>
  <c r="AR122" i="11"/>
  <c r="BB122" i="11"/>
  <c r="AZ122" i="11"/>
  <c r="AS122" i="11"/>
  <c r="V203" i="11"/>
  <c r="T203" i="11"/>
  <c r="AI53" i="6" s="1"/>
  <c r="W208" i="11"/>
  <c r="BY128" i="11" s="1"/>
  <c r="Y208" i="11"/>
  <c r="AB208" i="11"/>
  <c r="AA208" i="11"/>
  <c r="AX123" i="11"/>
  <c r="AR123" i="11"/>
  <c r="AW123" i="11"/>
  <c r="AG123" i="11"/>
  <c r="AK123" i="11" s="1"/>
  <c r="AV123" i="11"/>
  <c r="AU123" i="11"/>
  <c r="AZ123" i="11"/>
  <c r="AF123" i="11"/>
  <c r="BA123" i="11"/>
  <c r="AT123" i="11"/>
  <c r="BB123" i="11"/>
  <c r="AY123" i="11"/>
  <c r="AS123" i="11"/>
  <c r="W202" i="11"/>
  <c r="AB202" i="11"/>
  <c r="AA202" i="11"/>
  <c r="Y202" i="11"/>
  <c r="AC124" i="11"/>
  <c r="AE124" i="11"/>
  <c r="AD124" i="11"/>
  <c r="T209" i="11"/>
  <c r="AI59" i="6" s="1"/>
  <c r="V209" i="11"/>
  <c r="AC201" i="11"/>
  <c r="AD201" i="11" s="1"/>
  <c r="D84" i="6"/>
  <c r="M84" i="6" s="1"/>
  <c r="E84" i="6"/>
  <c r="F84" i="6"/>
  <c r="E108" i="18"/>
  <c r="P108" i="18" s="1"/>
  <c r="AN119" i="16"/>
  <c r="AO119" i="16"/>
  <c r="AP119" i="16"/>
  <c r="B145" i="8" s="1"/>
  <c r="D108" i="18"/>
  <c r="N108" i="18" s="1"/>
  <c r="AQ118" i="16"/>
  <c r="D107" i="18"/>
  <c r="N107" i="18" s="1"/>
  <c r="AQ117" i="16"/>
  <c r="E107" i="18"/>
  <c r="AC122" i="16"/>
  <c r="AE122" i="16"/>
  <c r="AD122" i="16"/>
  <c r="AF128" i="16"/>
  <c r="AX128" i="16"/>
  <c r="AS128" i="16"/>
  <c r="AY128" i="16"/>
  <c r="AU128" i="16"/>
  <c r="AZ128" i="16"/>
  <c r="AV128" i="16"/>
  <c r="BA128" i="16"/>
  <c r="AW128" i="16"/>
  <c r="AR128" i="16"/>
  <c r="AT128" i="16"/>
  <c r="BB128" i="16"/>
  <c r="AG128" i="16"/>
  <c r="AK128" i="16" s="1"/>
  <c r="AI122" i="16"/>
  <c r="S105" i="18"/>
  <c r="R105" i="18"/>
  <c r="H115" i="6"/>
  <c r="H149" i="6"/>
  <c r="AF121" i="16"/>
  <c r="AU121" i="16"/>
  <c r="AY121" i="16"/>
  <c r="AV121" i="16"/>
  <c r="AR121" i="16"/>
  <c r="AW121" i="16"/>
  <c r="BB121" i="16"/>
  <c r="AS121" i="16"/>
  <c r="AX121" i="16"/>
  <c r="AT121" i="16"/>
  <c r="AZ121" i="16"/>
  <c r="BA121" i="16"/>
  <c r="AG121" i="16"/>
  <c r="G149" i="6"/>
  <c r="G115" i="6"/>
  <c r="J109" i="18"/>
  <c r="F109" i="18"/>
  <c r="H109" i="18"/>
  <c r="BD119" i="16"/>
  <c r="K109" i="18"/>
  <c r="AH122" i="16"/>
  <c r="AE129" i="16"/>
  <c r="AD129" i="16"/>
  <c r="AC129" i="16"/>
  <c r="AK120" i="16"/>
  <c r="BC120" i="16"/>
  <c r="R149" i="6"/>
  <c r="AQ46" i="6" s="1"/>
  <c r="I115" i="6"/>
  <c r="I149" i="6"/>
  <c r="G109" i="18"/>
  <c r="AL128" i="11"/>
  <c r="AH186" i="8"/>
  <c r="I228" i="6" s="1"/>
  <c r="R186" i="8"/>
  <c r="G228" i="6" s="1"/>
  <c r="I49" i="6"/>
  <c r="I83" i="6"/>
  <c r="H49" i="6"/>
  <c r="H83" i="6"/>
  <c r="G49" i="6"/>
  <c r="AB16" i="23" s="1"/>
  <c r="G83" i="6"/>
  <c r="G193" i="6"/>
  <c r="G227" i="6"/>
  <c r="I193" i="6"/>
  <c r="I227" i="6"/>
  <c r="H193" i="6"/>
  <c r="H227" i="6"/>
  <c r="AI129" i="16"/>
  <c r="AB123" i="16"/>
  <c r="AH123" i="16" s="1"/>
  <c r="BB101" i="3"/>
  <c r="BI101" i="3"/>
  <c r="H204" i="11"/>
  <c r="R204" i="11"/>
  <c r="S204" i="11" s="1"/>
  <c r="U204" i="11" s="1"/>
  <c r="CE124" i="11" s="1"/>
  <c r="Z186" i="8"/>
  <c r="AI124" i="11"/>
  <c r="AI130" i="11"/>
  <c r="L130" i="7"/>
  <c r="AI123" i="16"/>
  <c r="AP128" i="11"/>
  <c r="B119" i="8" s="1"/>
  <c r="D116" i="18"/>
  <c r="N116" i="18" s="1"/>
  <c r="AQ126" i="16"/>
  <c r="H165" i="11"/>
  <c r="AM121" i="11"/>
  <c r="N110" i="19" s="1"/>
  <c r="Q110" i="19" s="1"/>
  <c r="S110" i="19" s="1"/>
  <c r="U101" i="18"/>
  <c r="V101" i="18" s="1"/>
  <c r="AW88" i="18"/>
  <c r="AV90" i="3"/>
  <c r="AW90" i="3"/>
  <c r="R110" i="8"/>
  <c r="AR89" i="18"/>
  <c r="AU89" i="18" s="1"/>
  <c r="AW89" i="18" s="1"/>
  <c r="AU89" i="19"/>
  <c r="S109" i="19"/>
  <c r="R109" i="19"/>
  <c r="F103" i="11"/>
  <c r="D131" i="7" s="1"/>
  <c r="AW88" i="19"/>
  <c r="AV88" i="19"/>
  <c r="AH110" i="8"/>
  <c r="G102" i="11"/>
  <c r="D116" i="3"/>
  <c r="N116" i="3" s="1"/>
  <c r="Z110" i="8"/>
  <c r="S107" i="3"/>
  <c r="R107" i="3"/>
  <c r="U102" i="3"/>
  <c r="V102" i="3" s="1"/>
  <c r="T102" i="3"/>
  <c r="T102" i="18"/>
  <c r="U102" i="18"/>
  <c r="V102" i="18" s="1"/>
  <c r="P108" i="3"/>
  <c r="Q108" i="3" s="1"/>
  <c r="L108" i="3"/>
  <c r="D109" i="3"/>
  <c r="N109" i="3" s="1"/>
  <c r="AR163" i="7"/>
  <c r="J130" i="7"/>
  <c r="AB129" i="7"/>
  <c r="W130" i="7"/>
  <c r="AQ129" i="7"/>
  <c r="Y132" i="7"/>
  <c r="AS131" i="7"/>
  <c r="AN129" i="7"/>
  <c r="T130" i="7"/>
  <c r="H130" i="7"/>
  <c r="Z129" i="7"/>
  <c r="M130" i="7"/>
  <c r="AE129" i="7"/>
  <c r="V130" i="7"/>
  <c r="AP129" i="7"/>
  <c r="E102" i="11"/>
  <c r="C129" i="7"/>
  <c r="AO128" i="11"/>
  <c r="G100" i="16"/>
  <c r="AA124" i="16"/>
  <c r="AM128" i="11"/>
  <c r="AN128" i="11"/>
  <c r="AQ120" i="11"/>
  <c r="AO121" i="11"/>
  <c r="AN121" i="11"/>
  <c r="AL121" i="11"/>
  <c r="AH130" i="11"/>
  <c r="AP121" i="11"/>
  <c r="B112" i="8" s="1"/>
  <c r="AJ130" i="11"/>
  <c r="AQ127" i="11"/>
  <c r="AJ124" i="11"/>
  <c r="AH124" i="11"/>
  <c r="AB125" i="11"/>
  <c r="K126" i="11"/>
  <c r="AA126" i="11" s="1"/>
  <c r="B142" i="9" l="1"/>
  <c r="B108" i="9"/>
  <c r="H140" i="9"/>
  <c r="U140" i="9" s="1"/>
  <c r="J140" i="9"/>
  <c r="W140" i="9" s="1"/>
  <c r="G140" i="9"/>
  <c r="T140" i="9" s="1"/>
  <c r="G141" i="9"/>
  <c r="T141" i="9" s="1"/>
  <c r="J141" i="9"/>
  <c r="W141" i="9" s="1"/>
  <c r="H141" i="9"/>
  <c r="U141" i="9" s="1"/>
  <c r="G176" i="9"/>
  <c r="T176" i="9" s="1"/>
  <c r="J176" i="9"/>
  <c r="W176" i="9" s="1"/>
  <c r="H176" i="9"/>
  <c r="U176" i="9" s="1"/>
  <c r="G177" i="9"/>
  <c r="T177" i="9" s="1"/>
  <c r="H177" i="9"/>
  <c r="U177" i="9" s="1"/>
  <c r="J177" i="9"/>
  <c r="W177" i="9" s="1"/>
  <c r="G113" i="9"/>
  <c r="T113" i="9" s="1"/>
  <c r="H113" i="9"/>
  <c r="U113" i="9" s="1"/>
  <c r="J113" i="9"/>
  <c r="W113" i="9" s="1"/>
  <c r="G106" i="9"/>
  <c r="T106" i="9" s="1"/>
  <c r="J106" i="9"/>
  <c r="W106" i="9" s="1"/>
  <c r="H106" i="9"/>
  <c r="U106" i="9" s="1"/>
  <c r="BL126" i="16"/>
  <c r="BL119" i="16"/>
  <c r="BI121" i="11"/>
  <c r="BG121" i="11"/>
  <c r="BY122" i="11"/>
  <c r="CE127" i="17"/>
  <c r="AL207" i="17"/>
  <c r="AM207" i="17"/>
  <c r="AH117" i="19" s="1"/>
  <c r="AN203" i="11"/>
  <c r="AO203" i="11" s="1"/>
  <c r="AH112" i="3"/>
  <c r="BE128" i="11"/>
  <c r="E117" i="3" s="1"/>
  <c r="BK120" i="16"/>
  <c r="K110" i="18" s="1"/>
  <c r="BY120" i="16"/>
  <c r="CJ122" i="16"/>
  <c r="CH122" i="16"/>
  <c r="CB122" i="16"/>
  <c r="CK122" i="16"/>
  <c r="CI122" i="16"/>
  <c r="CG122" i="16"/>
  <c r="CD122" i="16"/>
  <c r="H110" i="3"/>
  <c r="AO129" i="17"/>
  <c r="L116" i="19"/>
  <c r="BY126" i="16"/>
  <c r="BZ120" i="11"/>
  <c r="CL122" i="11"/>
  <c r="CM122" i="11" s="1"/>
  <c r="BE120" i="16"/>
  <c r="BI128" i="11"/>
  <c r="I117" i="3" s="1"/>
  <c r="BL120" i="11"/>
  <c r="BF128" i="11"/>
  <c r="CL121" i="16"/>
  <c r="CM121" i="16" s="1"/>
  <c r="CL128" i="16"/>
  <c r="CM128" i="16" s="1"/>
  <c r="BJ120" i="16"/>
  <c r="J110" i="18" s="1"/>
  <c r="BI120" i="16"/>
  <c r="I110" i="18" s="1"/>
  <c r="BJ128" i="11"/>
  <c r="J197" i="6"/>
  <c r="P197" i="6" s="1"/>
  <c r="T197" i="6" s="1"/>
  <c r="AY60" i="6" s="1"/>
  <c r="E116" i="18"/>
  <c r="L116" i="18" s="1"/>
  <c r="CI124" i="11"/>
  <c r="CD124" i="11"/>
  <c r="CG124" i="11"/>
  <c r="CJ124" i="11"/>
  <c r="CH124" i="11"/>
  <c r="CB124" i="11"/>
  <c r="CK124" i="11"/>
  <c r="CI130" i="11"/>
  <c r="CD130" i="11"/>
  <c r="CH130" i="11"/>
  <c r="CB130" i="11"/>
  <c r="CK130" i="11"/>
  <c r="CJ130" i="11"/>
  <c r="CG130" i="11"/>
  <c r="CE127" i="16"/>
  <c r="AL207" i="16"/>
  <c r="AM207" i="16"/>
  <c r="AH117" i="18" s="1"/>
  <c r="BL127" i="11"/>
  <c r="AN206" i="16"/>
  <c r="AO206" i="16" s="1"/>
  <c r="BH128" i="11"/>
  <c r="H117" i="3" s="1"/>
  <c r="CL129" i="11"/>
  <c r="CM129" i="11" s="1"/>
  <c r="BJ121" i="11"/>
  <c r="BL127" i="17"/>
  <c r="BZ124" i="17"/>
  <c r="BK121" i="11"/>
  <c r="K110" i="3" s="1"/>
  <c r="BH120" i="16"/>
  <c r="H110" i="18" s="1"/>
  <c r="AN206" i="17"/>
  <c r="AO206" i="17" s="1"/>
  <c r="CL128" i="17"/>
  <c r="CM128" i="17" s="1"/>
  <c r="CL123" i="11"/>
  <c r="CM123" i="11" s="1"/>
  <c r="BF120" i="16"/>
  <c r="BG120" i="16"/>
  <c r="CH129" i="16"/>
  <c r="CI129" i="16"/>
  <c r="CB129" i="16"/>
  <c r="CK129" i="16"/>
  <c r="CD129" i="16"/>
  <c r="CJ129" i="16"/>
  <c r="CG129" i="16"/>
  <c r="AG205" i="17"/>
  <c r="BG128" i="11"/>
  <c r="G117" i="3" s="1"/>
  <c r="BF121" i="11"/>
  <c r="BL127" i="16"/>
  <c r="CL129" i="17"/>
  <c r="CM129" i="17" s="1"/>
  <c r="BE121" i="11"/>
  <c r="BK128" i="11"/>
  <c r="BZ119" i="16"/>
  <c r="L108" i="18"/>
  <c r="AH205" i="17"/>
  <c r="AL204" i="11"/>
  <c r="Z204" i="11"/>
  <c r="AM204" i="11"/>
  <c r="X204" i="11"/>
  <c r="AN209" i="11"/>
  <c r="AO209" i="11" s="1"/>
  <c r="AK114" i="19"/>
  <c r="AL114" i="19" s="1"/>
  <c r="J117" i="3"/>
  <c r="F117" i="3"/>
  <c r="P116" i="3"/>
  <c r="Q116" i="3" s="1"/>
  <c r="R116" i="3" s="1"/>
  <c r="AC51" i="3"/>
  <c r="AE51" i="3" s="1"/>
  <c r="AF51" i="3" s="1"/>
  <c r="BC51" i="3" s="1"/>
  <c r="BE51" i="3" s="1"/>
  <c r="BG51" i="3" s="1"/>
  <c r="AB51" i="3"/>
  <c r="AD51" i="3" s="1"/>
  <c r="AA52" i="3"/>
  <c r="AJ123" i="16"/>
  <c r="P117" i="18"/>
  <c r="AF201" i="11"/>
  <c r="AE207" i="11"/>
  <c r="AK116" i="3" s="1"/>
  <c r="AL116" i="3" s="1"/>
  <c r="L116" i="3"/>
  <c r="AJ204" i="17"/>
  <c r="AI205" i="17"/>
  <c r="AE205" i="16"/>
  <c r="AK115" i="18" s="1"/>
  <c r="AG205" i="16"/>
  <c r="AE205" i="17"/>
  <c r="AK115" i="19" s="1"/>
  <c r="R153" i="8"/>
  <c r="G127" i="6" s="1"/>
  <c r="AB19" i="23"/>
  <c r="AB22" i="23"/>
  <c r="AB207" i="16"/>
  <c r="W207" i="16"/>
  <c r="Z207" i="16"/>
  <c r="Y207" i="16"/>
  <c r="AA207" i="16"/>
  <c r="X207" i="16"/>
  <c r="BG58" i="6"/>
  <c r="AU58" i="6"/>
  <c r="W207" i="17"/>
  <c r="AB207" i="17"/>
  <c r="Z207" i="17"/>
  <c r="AA207" i="17"/>
  <c r="Y207" i="17"/>
  <c r="X207" i="17"/>
  <c r="AC52" i="19"/>
  <c r="AE52" i="19" s="1"/>
  <c r="AF52" i="19" s="1"/>
  <c r="BC52" i="19" s="1"/>
  <c r="BE52" i="19" s="1"/>
  <c r="BG52" i="19" s="1"/>
  <c r="AB52" i="19"/>
  <c r="AD52" i="19" s="1"/>
  <c r="AD205" i="17"/>
  <c r="T208" i="17"/>
  <c r="V208" i="17"/>
  <c r="U208" i="17"/>
  <c r="R209" i="16"/>
  <c r="S209" i="16" s="1"/>
  <c r="AC52" i="18"/>
  <c r="AE52" i="18" s="1"/>
  <c r="AF52" i="18" s="1"/>
  <c r="BC52" i="18" s="1"/>
  <c r="BE52" i="18" s="1"/>
  <c r="BG52" i="18" s="1"/>
  <c r="AB52" i="18"/>
  <c r="AD52" i="18" s="1"/>
  <c r="AK53" i="19"/>
  <c r="AK53" i="18"/>
  <c r="AK53" i="3"/>
  <c r="AA53" i="18"/>
  <c r="AA53" i="19"/>
  <c r="AF205" i="16"/>
  <c r="AL52" i="19"/>
  <c r="AN52" i="19" s="1"/>
  <c r="AM52" i="19"/>
  <c r="AO52" i="19" s="1"/>
  <c r="AP52" i="19" s="1"/>
  <c r="BJ52" i="19" s="1"/>
  <c r="BL52" i="19" s="1"/>
  <c r="BN52" i="19" s="1"/>
  <c r="R210" i="11"/>
  <c r="S210" i="11" s="1"/>
  <c r="U210" i="11" s="1"/>
  <c r="CE130" i="11" s="1"/>
  <c r="AF205" i="17"/>
  <c r="AI205" i="16"/>
  <c r="AK114" i="18"/>
  <c r="AJ204" i="16"/>
  <c r="AC206" i="17"/>
  <c r="AH205" i="16"/>
  <c r="R209" i="17"/>
  <c r="S209" i="17" s="1"/>
  <c r="AM52" i="3"/>
  <c r="AO52" i="3" s="1"/>
  <c r="AP52" i="3" s="1"/>
  <c r="BJ52" i="3" s="1"/>
  <c r="BL52" i="3" s="1"/>
  <c r="BN52" i="3" s="1"/>
  <c r="AL52" i="3"/>
  <c r="AN52" i="3" s="1"/>
  <c r="J112" i="8"/>
  <c r="U208" i="16"/>
  <c r="V208" i="16"/>
  <c r="T208" i="16"/>
  <c r="AM52" i="18"/>
  <c r="AO52" i="18" s="1"/>
  <c r="AP52" i="18" s="1"/>
  <c r="BJ52" i="18" s="1"/>
  <c r="BL52" i="18" s="1"/>
  <c r="BN52" i="18" s="1"/>
  <c r="AL52" i="18"/>
  <c r="AN52" i="18" s="1"/>
  <c r="AC206" i="16"/>
  <c r="AM113" i="19"/>
  <c r="AL113" i="19"/>
  <c r="AH153" i="8"/>
  <c r="I161" i="6" s="1"/>
  <c r="AH207" i="11"/>
  <c r="N84" i="6"/>
  <c r="R84" i="6" s="1"/>
  <c r="AE49" i="6" s="1"/>
  <c r="AP129" i="17"/>
  <c r="B189" i="8" s="1"/>
  <c r="Q108" i="18"/>
  <c r="R108" i="18" s="1"/>
  <c r="Z153" i="8"/>
  <c r="H161" i="6" s="1"/>
  <c r="F110" i="3"/>
  <c r="I110" i="3"/>
  <c r="BD128" i="11"/>
  <c r="AE201" i="11"/>
  <c r="AG207" i="11"/>
  <c r="BC123" i="11"/>
  <c r="BI123" i="11" s="1"/>
  <c r="AC208" i="11"/>
  <c r="AI201" i="11"/>
  <c r="J119" i="8"/>
  <c r="AJ200" i="11"/>
  <c r="AH187" i="8"/>
  <c r="I195" i="6" s="1"/>
  <c r="O226" i="6"/>
  <c r="S226" i="6" s="1"/>
  <c r="BD55" i="6" s="1"/>
  <c r="AP128" i="17"/>
  <c r="B188" i="8" s="1"/>
  <c r="BC129" i="17"/>
  <c r="BE129" i="17" s="1"/>
  <c r="O192" i="6"/>
  <c r="S192" i="6" s="1"/>
  <c r="AX55" i="6" s="1"/>
  <c r="E117" i="19"/>
  <c r="BC128" i="17"/>
  <c r="BI128" i="17" s="1"/>
  <c r="Z187" i="8"/>
  <c r="AL128" i="17"/>
  <c r="R187" i="8"/>
  <c r="AL129" i="17"/>
  <c r="AQ119" i="16"/>
  <c r="L117" i="18"/>
  <c r="R143" i="8"/>
  <c r="G117" i="6" s="1"/>
  <c r="AL128" i="16"/>
  <c r="AL120" i="16"/>
  <c r="AM120" i="16"/>
  <c r="D110" i="18" s="1"/>
  <c r="N110" i="18" s="1"/>
  <c r="J146" i="8"/>
  <c r="BC128" i="16"/>
  <c r="BJ128" i="16" s="1"/>
  <c r="C112" i="3"/>
  <c r="BC129" i="11"/>
  <c r="BJ129" i="11" s="1"/>
  <c r="AL109" i="3"/>
  <c r="AM109" i="3"/>
  <c r="J110" i="3"/>
  <c r="C118" i="3"/>
  <c r="AW130" i="11"/>
  <c r="AU130" i="11"/>
  <c r="AF130" i="11"/>
  <c r="AV130" i="11"/>
  <c r="AX130" i="11"/>
  <c r="AT130" i="11"/>
  <c r="AS130" i="11"/>
  <c r="AY130" i="11"/>
  <c r="AZ130" i="11"/>
  <c r="BB130" i="11"/>
  <c r="BA130" i="11"/>
  <c r="AR130" i="11"/>
  <c r="AG130" i="11"/>
  <c r="AK130" i="11" s="1"/>
  <c r="C111" i="3"/>
  <c r="G110" i="3"/>
  <c r="BD121" i="11"/>
  <c r="D92" i="6"/>
  <c r="M92" i="6" s="1"/>
  <c r="F92" i="6"/>
  <c r="E92" i="6"/>
  <c r="AH144" i="8"/>
  <c r="O49" i="6"/>
  <c r="S49" i="6" s="1"/>
  <c r="Z48" i="6" s="1"/>
  <c r="AI207" i="11"/>
  <c r="AF207" i="11"/>
  <c r="BC122" i="11"/>
  <c r="BF122" i="11" s="1"/>
  <c r="D85" i="6"/>
  <c r="M85" i="6" s="1"/>
  <c r="F85" i="6"/>
  <c r="E85" i="6"/>
  <c r="V204" i="11"/>
  <c r="T204" i="11"/>
  <c r="AI54" i="6" s="1"/>
  <c r="AV124" i="11"/>
  <c r="AF124" i="11"/>
  <c r="BA124" i="11"/>
  <c r="AU124" i="11"/>
  <c r="AX124" i="11"/>
  <c r="AS124" i="11"/>
  <c r="AG124" i="11"/>
  <c r="AK124" i="11" s="1"/>
  <c r="AW124" i="11"/>
  <c r="AZ124" i="11"/>
  <c r="AT124" i="11"/>
  <c r="BB124" i="11"/>
  <c r="AY124" i="11"/>
  <c r="AR124" i="11"/>
  <c r="AC202" i="11"/>
  <c r="AD202" i="11" s="1"/>
  <c r="AH201" i="11"/>
  <c r="AD125" i="11"/>
  <c r="AC125" i="11"/>
  <c r="AE125" i="11"/>
  <c r="W209" i="11"/>
  <c r="BY129" i="11" s="1"/>
  <c r="Y209" i="11"/>
  <c r="AB209" i="11"/>
  <c r="AA209" i="11"/>
  <c r="AG201" i="11"/>
  <c r="W203" i="11"/>
  <c r="AA203" i="11"/>
  <c r="Y203" i="11"/>
  <c r="AB203" i="11"/>
  <c r="G194" i="6"/>
  <c r="I194" i="6"/>
  <c r="N151" i="6"/>
  <c r="AC123" i="16"/>
  <c r="AE123" i="16"/>
  <c r="AD123" i="16"/>
  <c r="Z144" i="8"/>
  <c r="AK121" i="16"/>
  <c r="BC121" i="16"/>
  <c r="BJ121" i="16" s="1"/>
  <c r="N152" i="6"/>
  <c r="F110" i="18"/>
  <c r="BD120" i="16"/>
  <c r="AF129" i="16"/>
  <c r="AR129" i="16"/>
  <c r="AV129" i="16"/>
  <c r="AZ129" i="16"/>
  <c r="AS129" i="16"/>
  <c r="AW129" i="16"/>
  <c r="AT129" i="16"/>
  <c r="AX129" i="16"/>
  <c r="BB129" i="16"/>
  <c r="AU129" i="16"/>
  <c r="AY129" i="16"/>
  <c r="BA129" i="16"/>
  <c r="AG129" i="16"/>
  <c r="AK129" i="16" s="1"/>
  <c r="O115" i="6"/>
  <c r="S115" i="6" s="1"/>
  <c r="AL46" i="6" s="1"/>
  <c r="Z143" i="8"/>
  <c r="AH143" i="8"/>
  <c r="M152" i="6"/>
  <c r="L107" i="18"/>
  <c r="P107" i="18"/>
  <c r="Q107" i="18" s="1"/>
  <c r="E109" i="18"/>
  <c r="P109" i="18" s="1"/>
  <c r="Q109" i="18" s="1"/>
  <c r="M151" i="6"/>
  <c r="R144" i="8"/>
  <c r="AP120" i="16"/>
  <c r="B146" i="8" s="1"/>
  <c r="AN120" i="16"/>
  <c r="AO120" i="16"/>
  <c r="O149" i="6"/>
  <c r="S149" i="6" s="1"/>
  <c r="AR46" i="6" s="1"/>
  <c r="AF122" i="16"/>
  <c r="AR122" i="16"/>
  <c r="AV122" i="16"/>
  <c r="AU122" i="16"/>
  <c r="BA122" i="16"/>
  <c r="AW122" i="16"/>
  <c r="BB122" i="16"/>
  <c r="AS122" i="16"/>
  <c r="AX122" i="16"/>
  <c r="AY122" i="16"/>
  <c r="AT122" i="16"/>
  <c r="AZ122" i="16"/>
  <c r="AG122" i="16"/>
  <c r="AK122" i="16" s="1"/>
  <c r="G110" i="18"/>
  <c r="I50" i="6"/>
  <c r="I84" i="6"/>
  <c r="O83" i="6"/>
  <c r="S83" i="6" s="1"/>
  <c r="AF48" i="6" s="1"/>
  <c r="H50" i="6"/>
  <c r="H84" i="6"/>
  <c r="G50" i="6"/>
  <c r="AC16" i="23" s="1"/>
  <c r="G84" i="6"/>
  <c r="O227" i="6"/>
  <c r="S227" i="6" s="1"/>
  <c r="BD56" i="6" s="1"/>
  <c r="R110" i="19"/>
  <c r="O193" i="6"/>
  <c r="S193" i="6" s="1"/>
  <c r="AX56" i="6" s="1"/>
  <c r="H194" i="6"/>
  <c r="H228" i="6"/>
  <c r="O228" i="6" s="1"/>
  <c r="S228" i="6" s="1"/>
  <c r="BD57" i="6" s="1"/>
  <c r="AB124" i="16"/>
  <c r="AI124" i="16" s="1"/>
  <c r="R152" i="8"/>
  <c r="G126" i="6" s="1"/>
  <c r="Z152" i="8"/>
  <c r="H126" i="6" s="1"/>
  <c r="AH152" i="8"/>
  <c r="I126" i="6" s="1"/>
  <c r="BI102" i="18"/>
  <c r="BB102" i="18"/>
  <c r="BI101" i="18"/>
  <c r="BB101" i="18"/>
  <c r="AP128" i="16"/>
  <c r="B154" i="8" s="1"/>
  <c r="BB102" i="3"/>
  <c r="BI102" i="3"/>
  <c r="D110" i="3"/>
  <c r="N110" i="3" s="1"/>
  <c r="H205" i="11"/>
  <c r="R205" i="11"/>
  <c r="S205" i="11" s="1"/>
  <c r="U205" i="11" s="1"/>
  <c r="CE125" i="11" s="1"/>
  <c r="AQ128" i="11"/>
  <c r="AI125" i="11"/>
  <c r="AD130" i="7"/>
  <c r="L131" i="7"/>
  <c r="AO123" i="11"/>
  <c r="AL129" i="11"/>
  <c r="R116" i="19"/>
  <c r="S116" i="19"/>
  <c r="AM128" i="16"/>
  <c r="H166" i="11"/>
  <c r="AO128" i="16"/>
  <c r="AM129" i="17"/>
  <c r="AL122" i="11"/>
  <c r="AN128" i="16"/>
  <c r="AM128" i="17"/>
  <c r="AO128" i="17"/>
  <c r="AN129" i="17"/>
  <c r="AN128" i="17"/>
  <c r="AP129" i="16"/>
  <c r="B155" i="8" s="1"/>
  <c r="R118" i="8"/>
  <c r="AV89" i="18"/>
  <c r="AR91" i="3"/>
  <c r="AU91" i="3" s="1"/>
  <c r="G103" i="11"/>
  <c r="AV89" i="19"/>
  <c r="AW89" i="19"/>
  <c r="F104" i="11"/>
  <c r="D132" i="7" s="1"/>
  <c r="AR90" i="18"/>
  <c r="AU90" i="18" s="1"/>
  <c r="AW90" i="18" s="1"/>
  <c r="AU90" i="19"/>
  <c r="K117" i="3"/>
  <c r="R111" i="8"/>
  <c r="Z111" i="8"/>
  <c r="AH111" i="8"/>
  <c r="AH118" i="8"/>
  <c r="N117" i="18"/>
  <c r="D117" i="3"/>
  <c r="N117" i="3" s="1"/>
  <c r="Z118" i="8"/>
  <c r="S108" i="3"/>
  <c r="R108" i="3"/>
  <c r="U103" i="18"/>
  <c r="V103" i="18" s="1"/>
  <c r="T103" i="18"/>
  <c r="T103" i="3"/>
  <c r="U103" i="3"/>
  <c r="V103" i="3" s="1"/>
  <c r="L109" i="3"/>
  <c r="P109" i="3"/>
  <c r="Q109" i="3" s="1"/>
  <c r="V131" i="7"/>
  <c r="AP130" i="7"/>
  <c r="H131" i="7"/>
  <c r="Z130" i="7"/>
  <c r="Y133" i="7"/>
  <c r="AS132" i="7"/>
  <c r="J131" i="7"/>
  <c r="AB130" i="7"/>
  <c r="AN130" i="7"/>
  <c r="T131" i="7"/>
  <c r="AR164" i="7"/>
  <c r="E103" i="11"/>
  <c r="C130" i="7"/>
  <c r="M131" i="7"/>
  <c r="AE130" i="7"/>
  <c r="W131" i="7"/>
  <c r="AQ130" i="7"/>
  <c r="G101" i="16"/>
  <c r="AA125" i="16"/>
  <c r="AH124" i="16"/>
  <c r="AQ121" i="11"/>
  <c r="AM123" i="11"/>
  <c r="N112" i="19" s="1"/>
  <c r="Q112" i="19" s="1"/>
  <c r="AM122" i="11"/>
  <c r="N111" i="19" s="1"/>
  <c r="Q111" i="19" s="1"/>
  <c r="AP122" i="11"/>
  <c r="B113" i="8" s="1"/>
  <c r="AO122" i="11"/>
  <c r="AN122" i="11"/>
  <c r="AN123" i="11"/>
  <c r="AP123" i="11"/>
  <c r="B114" i="8" s="1"/>
  <c r="AL123" i="11"/>
  <c r="AJ125" i="11"/>
  <c r="AH125" i="11"/>
  <c r="AB126" i="11"/>
  <c r="AM129" i="11"/>
  <c r="AP129" i="11"/>
  <c r="B120" i="8" s="1"/>
  <c r="AO129" i="11"/>
  <c r="AN129" i="11"/>
  <c r="B109" i="9" l="1"/>
  <c r="B143" i="9"/>
  <c r="J142" i="9"/>
  <c r="W142" i="9" s="1"/>
  <c r="H142" i="9"/>
  <c r="U142" i="9" s="1"/>
  <c r="G142" i="9"/>
  <c r="T142" i="9" s="1"/>
  <c r="G178" i="9"/>
  <c r="T178" i="9" s="1"/>
  <c r="J178" i="9"/>
  <c r="W178" i="9" s="1"/>
  <c r="H178" i="9"/>
  <c r="U178" i="9" s="1"/>
  <c r="BD122" i="11"/>
  <c r="J108" i="9"/>
  <c r="W108" i="9" s="1"/>
  <c r="H108" i="9"/>
  <c r="U108" i="9" s="1"/>
  <c r="G108" i="9"/>
  <c r="T108" i="9" s="1"/>
  <c r="G114" i="9"/>
  <c r="T114" i="9" s="1"/>
  <c r="J114" i="9"/>
  <c r="W114" i="9" s="1"/>
  <c r="H114" i="9"/>
  <c r="U114" i="9" s="1"/>
  <c r="CL130" i="11"/>
  <c r="CM130" i="11" s="1"/>
  <c r="G107" i="9"/>
  <c r="T107" i="9" s="1"/>
  <c r="H107" i="9"/>
  <c r="U107" i="9" s="1"/>
  <c r="J107" i="9"/>
  <c r="W107" i="9" s="1"/>
  <c r="BG129" i="17"/>
  <c r="BI129" i="11"/>
  <c r="I118" i="3" s="1"/>
  <c r="BE123" i="11"/>
  <c r="BL121" i="11"/>
  <c r="BE122" i="11"/>
  <c r="E111" i="3" s="1"/>
  <c r="BG122" i="11"/>
  <c r="G111" i="3" s="1"/>
  <c r="AN207" i="17"/>
  <c r="AO207" i="17" s="1"/>
  <c r="BK128" i="16"/>
  <c r="BL120" i="16"/>
  <c r="BH128" i="16"/>
  <c r="H118" i="18" s="1"/>
  <c r="AO129" i="16"/>
  <c r="BY121" i="16"/>
  <c r="G119" i="19"/>
  <c r="BZ127" i="11"/>
  <c r="BZ125" i="17"/>
  <c r="BF129" i="17"/>
  <c r="F119" i="19" s="1"/>
  <c r="BF129" i="11"/>
  <c r="F118" i="3" s="1"/>
  <c r="BE128" i="16"/>
  <c r="E118" i="18" s="1"/>
  <c r="BG123" i="11"/>
  <c r="BL128" i="11"/>
  <c r="AN207" i="16"/>
  <c r="AO207" i="16" s="1"/>
  <c r="BJ128" i="17"/>
  <c r="J118" i="19" s="1"/>
  <c r="BG128" i="16"/>
  <c r="BZ121" i="11"/>
  <c r="BF123" i="11"/>
  <c r="F112" i="3" s="1"/>
  <c r="BE121" i="16"/>
  <c r="J111" i="18"/>
  <c r="CK125" i="11"/>
  <c r="CG125" i="11"/>
  <c r="CB125" i="11"/>
  <c r="CI125" i="11"/>
  <c r="CJ125" i="11"/>
  <c r="CD125" i="11"/>
  <c r="CH125" i="11"/>
  <c r="G118" i="18"/>
  <c r="AN204" i="11"/>
  <c r="AO204" i="11" s="1"/>
  <c r="AH113" i="3"/>
  <c r="BI128" i="16"/>
  <c r="I118" i="18" s="1"/>
  <c r="P116" i="18"/>
  <c r="Q116" i="18" s="1"/>
  <c r="R116" i="18" s="1"/>
  <c r="AO122" i="16"/>
  <c r="BY122" i="16"/>
  <c r="F111" i="3"/>
  <c r="E110" i="3"/>
  <c r="P110" i="3" s="1"/>
  <c r="Q110" i="3" s="1"/>
  <c r="CE128" i="16"/>
  <c r="AL208" i="16"/>
  <c r="AM208" i="16"/>
  <c r="BY127" i="17"/>
  <c r="BY127" i="16"/>
  <c r="BK128" i="17"/>
  <c r="K118" i="19" s="1"/>
  <c r="BJ122" i="11"/>
  <c r="J111" i="3" s="1"/>
  <c r="CL129" i="16"/>
  <c r="CM129" i="16" s="1"/>
  <c r="BH128" i="17"/>
  <c r="BG121" i="16"/>
  <c r="G111" i="18" s="1"/>
  <c r="BH129" i="11"/>
  <c r="BY123" i="11"/>
  <c r="CL124" i="11"/>
  <c r="CM124" i="11" s="1"/>
  <c r="BI121" i="16"/>
  <c r="BI129" i="17"/>
  <c r="I119" i="19" s="1"/>
  <c r="BH121" i="16"/>
  <c r="BE128" i="17"/>
  <c r="BI122" i="11"/>
  <c r="I111" i="3" s="1"/>
  <c r="BK121" i="16"/>
  <c r="AG206" i="17"/>
  <c r="CH123" i="16"/>
  <c r="CG123" i="16"/>
  <c r="CJ123" i="16"/>
  <c r="CB123" i="16"/>
  <c r="CI123" i="16"/>
  <c r="CK123" i="16"/>
  <c r="CD123" i="16"/>
  <c r="CE128" i="17"/>
  <c r="AL208" i="17"/>
  <c r="AM208" i="17"/>
  <c r="BH129" i="17"/>
  <c r="BF128" i="17"/>
  <c r="F118" i="19" s="1"/>
  <c r="BJ123" i="11"/>
  <c r="J112" i="3" s="1"/>
  <c r="BG129" i="11"/>
  <c r="G118" i="3" s="1"/>
  <c r="BJ129" i="17"/>
  <c r="J119" i="19" s="1"/>
  <c r="BE129" i="11"/>
  <c r="E118" i="3" s="1"/>
  <c r="BH122" i="11"/>
  <c r="H111" i="3" s="1"/>
  <c r="BF128" i="16"/>
  <c r="F118" i="18" s="1"/>
  <c r="BF121" i="16"/>
  <c r="F111" i="18" s="1"/>
  <c r="BG128" i="17"/>
  <c r="BK129" i="17"/>
  <c r="K119" i="19" s="1"/>
  <c r="BK129" i="11"/>
  <c r="K118" i="3" s="1"/>
  <c r="BK122" i="11"/>
  <c r="BK123" i="11"/>
  <c r="CL122" i="16"/>
  <c r="CM122" i="16" s="1"/>
  <c r="BZ120" i="16"/>
  <c r="BH123" i="11"/>
  <c r="H112" i="3" s="1"/>
  <c r="AM114" i="19"/>
  <c r="AL205" i="11"/>
  <c r="Z205" i="11"/>
  <c r="AM205" i="11"/>
  <c r="AH114" i="3" s="1"/>
  <c r="X205" i="11"/>
  <c r="AL210" i="11"/>
  <c r="AM210" i="11"/>
  <c r="Z210" i="11"/>
  <c r="X210" i="11"/>
  <c r="AN129" i="16"/>
  <c r="I127" i="6"/>
  <c r="J118" i="3"/>
  <c r="G161" i="6"/>
  <c r="O161" i="6" s="1"/>
  <c r="S161" i="6" s="1"/>
  <c r="AR58" i="6" s="1"/>
  <c r="L109" i="18"/>
  <c r="AC52" i="3"/>
  <c r="AE52" i="3" s="1"/>
  <c r="AF52" i="3" s="1"/>
  <c r="BC52" i="3" s="1"/>
  <c r="BE52" i="3" s="1"/>
  <c r="BG52" i="3" s="1"/>
  <c r="AB52" i="3"/>
  <c r="AD52" i="3" s="1"/>
  <c r="AA53" i="3"/>
  <c r="AE208" i="11"/>
  <c r="AK117" i="3" s="1"/>
  <c r="AM117" i="3" s="1"/>
  <c r="AD208" i="11"/>
  <c r="Q117" i="18"/>
  <c r="R117" i="18" s="1"/>
  <c r="BD129" i="11"/>
  <c r="J118" i="18"/>
  <c r="K118" i="18"/>
  <c r="AE202" i="11"/>
  <c r="AK111" i="3" s="1"/>
  <c r="AH208" i="11"/>
  <c r="S108" i="18"/>
  <c r="BD129" i="17"/>
  <c r="AJ205" i="17"/>
  <c r="AH206" i="17"/>
  <c r="AC19" i="23"/>
  <c r="AJ205" i="16"/>
  <c r="AC22" i="23"/>
  <c r="AF206" i="17"/>
  <c r="AD206" i="16"/>
  <c r="AF206" i="16"/>
  <c r="AL114" i="18"/>
  <c r="AM114" i="18"/>
  <c r="AM53" i="19"/>
  <c r="AO53" i="19" s="1"/>
  <c r="AP53" i="19" s="1"/>
  <c r="BJ53" i="19" s="1"/>
  <c r="BL53" i="19" s="1"/>
  <c r="BN53" i="19" s="1"/>
  <c r="AL53" i="19"/>
  <c r="AN53" i="19" s="1"/>
  <c r="AI206" i="17"/>
  <c r="AM115" i="19"/>
  <c r="AL115" i="19"/>
  <c r="T209" i="17"/>
  <c r="V209" i="17"/>
  <c r="U209" i="17"/>
  <c r="U209" i="16"/>
  <c r="T209" i="16"/>
  <c r="V209" i="16"/>
  <c r="AC207" i="17"/>
  <c r="AC53" i="19"/>
  <c r="AE53" i="19" s="1"/>
  <c r="AF53" i="19" s="1"/>
  <c r="BC53" i="19" s="1"/>
  <c r="BE53" i="19" s="1"/>
  <c r="BG53" i="19" s="1"/>
  <c r="AB53" i="19"/>
  <c r="AD53" i="19" s="1"/>
  <c r="AH206" i="16"/>
  <c r="T210" i="11"/>
  <c r="AI60" i="6" s="1"/>
  <c r="V210" i="11"/>
  <c r="AI206" i="16"/>
  <c r="AC207" i="16"/>
  <c r="AU59" i="6"/>
  <c r="BG59" i="6"/>
  <c r="AC53" i="18"/>
  <c r="AE53" i="18" s="1"/>
  <c r="AF53" i="18" s="1"/>
  <c r="BC53" i="18" s="1"/>
  <c r="BE53" i="18" s="1"/>
  <c r="BG53" i="18" s="1"/>
  <c r="AB53" i="18"/>
  <c r="AD53" i="18" s="1"/>
  <c r="AL115" i="18"/>
  <c r="AM115" i="18"/>
  <c r="Z208" i="17"/>
  <c r="W208" i="17"/>
  <c r="BY128" i="17" s="1"/>
  <c r="AB208" i="17"/>
  <c r="AA208" i="17"/>
  <c r="Y208" i="17"/>
  <c r="X208" i="17"/>
  <c r="D160" i="6"/>
  <c r="M160" i="6" s="1"/>
  <c r="E160" i="6"/>
  <c r="F160" i="6"/>
  <c r="AA54" i="18"/>
  <c r="AA54" i="19"/>
  <c r="AK54" i="19"/>
  <c r="AK54" i="18"/>
  <c r="AK54" i="3"/>
  <c r="H127" i="6"/>
  <c r="AB208" i="16"/>
  <c r="Z208" i="16"/>
  <c r="W208" i="16"/>
  <c r="BY128" i="16" s="1"/>
  <c r="Y208" i="16"/>
  <c r="AA208" i="16"/>
  <c r="X208" i="16"/>
  <c r="AG206" i="16"/>
  <c r="AL53" i="3"/>
  <c r="AN53" i="3" s="1"/>
  <c r="AM53" i="3"/>
  <c r="AO53" i="3" s="1"/>
  <c r="AP53" i="3" s="1"/>
  <c r="BJ53" i="3" s="1"/>
  <c r="BL53" i="3" s="1"/>
  <c r="BN53" i="3" s="1"/>
  <c r="AE206" i="16"/>
  <c r="BZ126" i="16" s="1"/>
  <c r="AE206" i="17"/>
  <c r="BZ126" i="17" s="1"/>
  <c r="AD206" i="17"/>
  <c r="AL53" i="18"/>
  <c r="AN53" i="18" s="1"/>
  <c r="AM53" i="18"/>
  <c r="AO53" i="18" s="1"/>
  <c r="AP53" i="18" s="1"/>
  <c r="BJ53" i="18" s="1"/>
  <c r="BL53" i="18" s="1"/>
  <c r="BN53" i="18" s="1"/>
  <c r="AI208" i="11"/>
  <c r="AG208" i="11"/>
  <c r="AF208" i="11"/>
  <c r="AH202" i="11"/>
  <c r="I229" i="6"/>
  <c r="AP122" i="16"/>
  <c r="B148" i="8" s="1"/>
  <c r="AN122" i="16"/>
  <c r="J154" i="8"/>
  <c r="AM122" i="16"/>
  <c r="D112" i="18" s="1"/>
  <c r="N112" i="18" s="1"/>
  <c r="AG202" i="11"/>
  <c r="AK110" i="3"/>
  <c r="AM110" i="3" s="1"/>
  <c r="AF202" i="11"/>
  <c r="C113" i="3"/>
  <c r="AI202" i="11"/>
  <c r="BC130" i="11"/>
  <c r="J114" i="8"/>
  <c r="J113" i="8"/>
  <c r="L117" i="3"/>
  <c r="AJ201" i="11"/>
  <c r="I112" i="3"/>
  <c r="K112" i="3"/>
  <c r="E112" i="3"/>
  <c r="BD123" i="11"/>
  <c r="J189" i="8"/>
  <c r="I118" i="19"/>
  <c r="J188" i="8"/>
  <c r="E119" i="19"/>
  <c r="H118" i="19"/>
  <c r="BD128" i="17"/>
  <c r="G195" i="6"/>
  <c r="G229" i="6"/>
  <c r="G118" i="19"/>
  <c r="H195" i="6"/>
  <c r="H229" i="6"/>
  <c r="L117" i="19"/>
  <c r="P117" i="19"/>
  <c r="Q117" i="19" s="1"/>
  <c r="AJ124" i="16"/>
  <c r="AM129" i="16"/>
  <c r="BD128" i="16"/>
  <c r="AQ120" i="16"/>
  <c r="G151" i="6"/>
  <c r="AL121" i="16"/>
  <c r="BC129" i="16"/>
  <c r="F156" i="6"/>
  <c r="D156" i="6"/>
  <c r="M156" i="6" s="1"/>
  <c r="E156" i="6"/>
  <c r="J147" i="8"/>
  <c r="R145" i="8"/>
  <c r="G119" i="6" s="1"/>
  <c r="AH145" i="8"/>
  <c r="I119" i="6" s="1"/>
  <c r="AL129" i="16"/>
  <c r="AL122" i="16"/>
  <c r="D157" i="6"/>
  <c r="F157" i="6"/>
  <c r="E157" i="6"/>
  <c r="C119" i="3"/>
  <c r="J120" i="8"/>
  <c r="AM116" i="3"/>
  <c r="K111" i="3"/>
  <c r="H118" i="3"/>
  <c r="AJ207" i="11"/>
  <c r="D93" i="6"/>
  <c r="M93" i="6" s="1"/>
  <c r="E93" i="6"/>
  <c r="F93" i="6"/>
  <c r="N92" i="6"/>
  <c r="R92" i="6" s="1"/>
  <c r="AE57" i="6" s="1"/>
  <c r="N85" i="6"/>
  <c r="R85" i="6" s="1"/>
  <c r="AE50" i="6" s="1"/>
  <c r="O194" i="6"/>
  <c r="S194" i="6" s="1"/>
  <c r="AX57" i="6" s="1"/>
  <c r="I152" i="6"/>
  <c r="I118" i="6"/>
  <c r="BC124" i="11"/>
  <c r="BE124" i="11" s="1"/>
  <c r="AC209" i="11"/>
  <c r="AD209" i="11" s="1"/>
  <c r="W204" i="11"/>
  <c r="Y204" i="11"/>
  <c r="AB204" i="11"/>
  <c r="AA204" i="11"/>
  <c r="AE126" i="11"/>
  <c r="AD126" i="11"/>
  <c r="AC126" i="11"/>
  <c r="T205" i="11"/>
  <c r="AI55" i="6" s="1"/>
  <c r="V205" i="11"/>
  <c r="AC203" i="11"/>
  <c r="AD203" i="11" s="1"/>
  <c r="D86" i="6"/>
  <c r="M86" i="6" s="1"/>
  <c r="E86" i="6"/>
  <c r="F86" i="6"/>
  <c r="AU125" i="11"/>
  <c r="AX125" i="11"/>
  <c r="AF125" i="11"/>
  <c r="AW125" i="11"/>
  <c r="AV125" i="11"/>
  <c r="AG125" i="11"/>
  <c r="AK125" i="11" s="1"/>
  <c r="AT125" i="11"/>
  <c r="AR125" i="11"/>
  <c r="BB125" i="11"/>
  <c r="AZ125" i="11"/>
  <c r="AS125" i="11"/>
  <c r="BA125" i="11"/>
  <c r="AY125" i="11"/>
  <c r="R152" i="6"/>
  <c r="AQ49" i="6" s="1"/>
  <c r="R151" i="6"/>
  <c r="AQ48" i="6" s="1"/>
  <c r="AP121" i="16"/>
  <c r="B147" i="8" s="1"/>
  <c r="AO121" i="16"/>
  <c r="AN121" i="16"/>
  <c r="AD124" i="16"/>
  <c r="AC124" i="16"/>
  <c r="AE124" i="16"/>
  <c r="N153" i="6"/>
  <c r="S107" i="18"/>
  <c r="R107" i="18"/>
  <c r="AM121" i="16"/>
  <c r="AF123" i="16"/>
  <c r="AS123" i="16"/>
  <c r="AW123" i="16"/>
  <c r="BA123" i="16"/>
  <c r="AU123" i="16"/>
  <c r="AZ123" i="16"/>
  <c r="AV123" i="16"/>
  <c r="BB123" i="16"/>
  <c r="AR123" i="16"/>
  <c r="AX123" i="16"/>
  <c r="AT123" i="16"/>
  <c r="AY123" i="16"/>
  <c r="AG123" i="16"/>
  <c r="AK123" i="16" s="1"/>
  <c r="AN123" i="16" s="1"/>
  <c r="BC122" i="16"/>
  <c r="BK122" i="16" s="1"/>
  <c r="G118" i="6"/>
  <c r="G152" i="6"/>
  <c r="Z145" i="8"/>
  <c r="I151" i="6"/>
  <c r="I117" i="6"/>
  <c r="H118" i="6"/>
  <c r="H152" i="6"/>
  <c r="M153" i="6"/>
  <c r="H117" i="6"/>
  <c r="H151" i="6"/>
  <c r="E110" i="18"/>
  <c r="P110" i="18" s="1"/>
  <c r="Q110" i="18" s="1"/>
  <c r="BD121" i="16"/>
  <c r="H111" i="18"/>
  <c r="I111" i="18"/>
  <c r="K111" i="18"/>
  <c r="I58" i="6"/>
  <c r="I92" i="6"/>
  <c r="G58" i="6"/>
  <c r="G92" i="6"/>
  <c r="O50" i="6"/>
  <c r="S50" i="6" s="1"/>
  <c r="Z49" i="6" s="1"/>
  <c r="H58" i="6"/>
  <c r="H92" i="6"/>
  <c r="G51" i="6"/>
  <c r="AD16" i="23" s="1"/>
  <c r="G85" i="6"/>
  <c r="I51" i="6"/>
  <c r="I85" i="6"/>
  <c r="H51" i="6"/>
  <c r="H85" i="6"/>
  <c r="O84" i="6"/>
  <c r="S84" i="6" s="1"/>
  <c r="AF49" i="6" s="1"/>
  <c r="G160" i="6"/>
  <c r="I160" i="6"/>
  <c r="AB125" i="16"/>
  <c r="AI125" i="16" s="1"/>
  <c r="H160" i="6"/>
  <c r="O126" i="6"/>
  <c r="S126" i="6" s="1"/>
  <c r="AL57" i="6" s="1"/>
  <c r="BB103" i="18"/>
  <c r="BI103" i="18"/>
  <c r="BB103" i="3"/>
  <c r="BI103" i="3"/>
  <c r="H206" i="11"/>
  <c r="R206" i="11"/>
  <c r="S206" i="11" s="1"/>
  <c r="U206" i="11" s="1"/>
  <c r="CE126" i="11" s="1"/>
  <c r="AH119" i="8"/>
  <c r="Z119" i="8"/>
  <c r="R119" i="8"/>
  <c r="AI126" i="11"/>
  <c r="S116" i="3"/>
  <c r="AD131" i="7"/>
  <c r="L132" i="7"/>
  <c r="S116" i="18"/>
  <c r="D118" i="19"/>
  <c r="N118" i="19" s="1"/>
  <c r="AQ128" i="17"/>
  <c r="D118" i="18"/>
  <c r="N118" i="18" s="1"/>
  <c r="AQ128" i="16"/>
  <c r="AM130" i="11"/>
  <c r="AL124" i="11"/>
  <c r="D119" i="19"/>
  <c r="N119" i="19" s="1"/>
  <c r="AQ129" i="17"/>
  <c r="G104" i="11"/>
  <c r="AR93" i="3" s="1"/>
  <c r="AU93" i="3" s="1"/>
  <c r="AV93" i="3" s="1"/>
  <c r="F105" i="11"/>
  <c r="D133" i="7" s="1"/>
  <c r="AR92" i="3"/>
  <c r="AU92" i="3" s="1"/>
  <c r="AV91" i="3"/>
  <c r="AW91" i="3"/>
  <c r="AV90" i="18"/>
  <c r="S111" i="19"/>
  <c r="R111" i="19"/>
  <c r="AW90" i="19"/>
  <c r="AV90" i="19"/>
  <c r="R112" i="19"/>
  <c r="S112" i="19"/>
  <c r="AR91" i="18"/>
  <c r="AU91" i="18" s="1"/>
  <c r="AW91" i="18" s="1"/>
  <c r="AU91" i="19"/>
  <c r="AH112" i="8"/>
  <c r="D118" i="3"/>
  <c r="N118" i="3" s="1"/>
  <c r="AO130" i="11"/>
  <c r="Z112" i="8"/>
  <c r="P117" i="3"/>
  <c r="Q117" i="3" s="1"/>
  <c r="R112" i="8"/>
  <c r="R109" i="3"/>
  <c r="S109" i="3"/>
  <c r="D111" i="3"/>
  <c r="N111" i="3" s="1"/>
  <c r="S109" i="18"/>
  <c r="R109" i="18"/>
  <c r="D112" i="3"/>
  <c r="N112" i="3" s="1"/>
  <c r="U104" i="3"/>
  <c r="V104" i="3" s="1"/>
  <c r="T104" i="3"/>
  <c r="U104" i="18"/>
  <c r="V104" i="18" s="1"/>
  <c r="T104" i="18"/>
  <c r="AN131" i="7"/>
  <c r="T132" i="7"/>
  <c r="W132" i="7"/>
  <c r="AQ131" i="7"/>
  <c r="E104" i="11"/>
  <c r="C131" i="7"/>
  <c r="Y134" i="7"/>
  <c r="AS133" i="7"/>
  <c r="V132" i="7"/>
  <c r="AP131" i="7"/>
  <c r="AR165" i="7"/>
  <c r="M132" i="7"/>
  <c r="AE131" i="7"/>
  <c r="J132" i="7"/>
  <c r="AB131" i="7"/>
  <c r="H132" i="7"/>
  <c r="Z131" i="7"/>
  <c r="AN130" i="11"/>
  <c r="G102" i="16"/>
  <c r="AL130" i="11"/>
  <c r="AP130" i="11"/>
  <c r="AO124" i="11"/>
  <c r="AQ122" i="11"/>
  <c r="AM124" i="11"/>
  <c r="N113" i="19" s="1"/>
  <c r="Q113" i="19" s="1"/>
  <c r="AP124" i="11"/>
  <c r="B115" i="8" s="1"/>
  <c r="AN124" i="11"/>
  <c r="AQ123" i="11"/>
  <c r="AJ126" i="11"/>
  <c r="AH126" i="11"/>
  <c r="AQ129" i="11"/>
  <c r="B144" i="9" l="1"/>
  <c r="B110" i="9"/>
  <c r="G143" i="9"/>
  <c r="T143" i="9" s="1"/>
  <c r="J143" i="9"/>
  <c r="W143" i="9" s="1"/>
  <c r="H143" i="9"/>
  <c r="U143" i="9" s="1"/>
  <c r="G179" i="9"/>
  <c r="T179" i="9" s="1"/>
  <c r="J179" i="9"/>
  <c r="W179" i="9" s="1"/>
  <c r="H179" i="9"/>
  <c r="U179" i="9" s="1"/>
  <c r="H109" i="9"/>
  <c r="U109" i="9" s="1"/>
  <c r="J109" i="9"/>
  <c r="W109" i="9" s="1"/>
  <c r="G109" i="9"/>
  <c r="T109" i="9" s="1"/>
  <c r="AQ129" i="16"/>
  <c r="BL129" i="17"/>
  <c r="BI124" i="11"/>
  <c r="BH122" i="16"/>
  <c r="BL128" i="17"/>
  <c r="BF124" i="11"/>
  <c r="BJ124" i="11"/>
  <c r="J113" i="3" s="1"/>
  <c r="BE122" i="16"/>
  <c r="H119" i="19"/>
  <c r="P119" i="19" s="1"/>
  <c r="Q119" i="19" s="1"/>
  <c r="O127" i="6"/>
  <c r="S127" i="6" s="1"/>
  <c r="AL58" i="6" s="1"/>
  <c r="BL122" i="11"/>
  <c r="BH124" i="11"/>
  <c r="H113" i="3" s="1"/>
  <c r="BL123" i="11"/>
  <c r="BK124" i="11"/>
  <c r="CL123" i="16"/>
  <c r="CM123" i="16" s="1"/>
  <c r="BF122" i="16"/>
  <c r="BI122" i="16"/>
  <c r="I112" i="18" s="1"/>
  <c r="AN208" i="16"/>
  <c r="AO208" i="16" s="1"/>
  <c r="AH118" i="18"/>
  <c r="E118" i="19"/>
  <c r="L118" i="19" s="1"/>
  <c r="BG124" i="11"/>
  <c r="G113" i="3" s="1"/>
  <c r="BZ122" i="16"/>
  <c r="BJ129" i="16"/>
  <c r="BL128" i="16"/>
  <c r="BJ122" i="16"/>
  <c r="J112" i="18" s="1"/>
  <c r="BE129" i="16"/>
  <c r="BZ128" i="11"/>
  <c r="L110" i="3"/>
  <c r="CE129" i="16"/>
  <c r="AL209" i="16"/>
  <c r="AM209" i="16"/>
  <c r="BZ122" i="11"/>
  <c r="BL121" i="16"/>
  <c r="BH130" i="11"/>
  <c r="H119" i="3" s="1"/>
  <c r="BI129" i="16"/>
  <c r="I119" i="18" s="1"/>
  <c r="BF130" i="11"/>
  <c r="F119" i="3" s="1"/>
  <c r="BK129" i="16"/>
  <c r="CL125" i="11"/>
  <c r="CM125" i="11" s="1"/>
  <c r="BG122" i="16"/>
  <c r="G112" i="18" s="1"/>
  <c r="BZ121" i="16"/>
  <c r="BF129" i="16"/>
  <c r="BH129" i="16"/>
  <c r="H119" i="18" s="1"/>
  <c r="BY123" i="16"/>
  <c r="CJ124" i="16"/>
  <c r="CG124" i="16"/>
  <c r="CI124" i="16"/>
  <c r="CB124" i="16"/>
  <c r="CH124" i="16"/>
  <c r="CD124" i="16"/>
  <c r="CK124" i="16"/>
  <c r="AE207" i="16"/>
  <c r="BZ127" i="16" s="1"/>
  <c r="BE130" i="11"/>
  <c r="E119" i="3" s="1"/>
  <c r="CI126" i="11"/>
  <c r="CD126" i="11"/>
  <c r="CK126" i="11"/>
  <c r="CH126" i="11"/>
  <c r="CB126" i="11"/>
  <c r="CG126" i="11"/>
  <c r="CJ126" i="11"/>
  <c r="AE207" i="17"/>
  <c r="BZ127" i="17" s="1"/>
  <c r="CE129" i="17"/>
  <c r="AL209" i="17"/>
  <c r="AM209" i="17"/>
  <c r="AN210" i="11"/>
  <c r="AO210" i="11" s="1"/>
  <c r="AH119" i="3"/>
  <c r="BL129" i="11"/>
  <c r="AN208" i="17"/>
  <c r="AO208" i="17" s="1"/>
  <c r="AH118" i="19"/>
  <c r="BG130" i="11"/>
  <c r="G119" i="3" s="1"/>
  <c r="BG129" i="16"/>
  <c r="BJ130" i="11"/>
  <c r="J119" i="3" s="1"/>
  <c r="BI130" i="11"/>
  <c r="I119" i="3" s="1"/>
  <c r="BY124" i="11"/>
  <c r="BK130" i="11"/>
  <c r="K119" i="3" s="1"/>
  <c r="AL206" i="11"/>
  <c r="AM206" i="11"/>
  <c r="Z206" i="11"/>
  <c r="X206" i="11"/>
  <c r="AN205" i="11"/>
  <c r="AO205" i="11" s="1"/>
  <c r="BD130" i="11"/>
  <c r="L110" i="18"/>
  <c r="AC53" i="3"/>
  <c r="AE53" i="3" s="1"/>
  <c r="AF53" i="3" s="1"/>
  <c r="BC53" i="3" s="1"/>
  <c r="BE53" i="3" s="1"/>
  <c r="BG53" i="3" s="1"/>
  <c r="AB53" i="3"/>
  <c r="AD53" i="3" s="1"/>
  <c r="S117" i="18"/>
  <c r="AA54" i="3"/>
  <c r="AH203" i="11"/>
  <c r="AH209" i="11"/>
  <c r="AH207" i="16"/>
  <c r="AG207" i="16"/>
  <c r="AF207" i="16"/>
  <c r="AI207" i="16"/>
  <c r="N160" i="6"/>
  <c r="R160" i="6" s="1"/>
  <c r="AQ57" i="6" s="1"/>
  <c r="AG207" i="17"/>
  <c r="G153" i="6"/>
  <c r="AH207" i="17"/>
  <c r="AD19" i="23"/>
  <c r="AD22" i="23"/>
  <c r="AI207" i="17"/>
  <c r="AL54" i="18"/>
  <c r="AN54" i="18" s="1"/>
  <c r="AM54" i="18"/>
  <c r="AO54" i="18" s="1"/>
  <c r="AP54" i="18" s="1"/>
  <c r="BJ54" i="18" s="1"/>
  <c r="BL54" i="18" s="1"/>
  <c r="BN54" i="18" s="1"/>
  <c r="AJ206" i="17"/>
  <c r="AK116" i="19"/>
  <c r="AK117" i="18"/>
  <c r="AK117" i="19"/>
  <c r="AK116" i="18"/>
  <c r="AJ206" i="16"/>
  <c r="AB54" i="18"/>
  <c r="AD54" i="18" s="1"/>
  <c r="AC54" i="18"/>
  <c r="AE54" i="18" s="1"/>
  <c r="AF54" i="18" s="1"/>
  <c r="BC54" i="18" s="1"/>
  <c r="BE54" i="18" s="1"/>
  <c r="BG54" i="18" s="1"/>
  <c r="AD207" i="16"/>
  <c r="AD207" i="17"/>
  <c r="AB54" i="19"/>
  <c r="AD54" i="19" s="1"/>
  <c r="AC54" i="19"/>
  <c r="AE54" i="19" s="1"/>
  <c r="AF54" i="19" s="1"/>
  <c r="BC54" i="19" s="1"/>
  <c r="BE54" i="19" s="1"/>
  <c r="BG54" i="19" s="1"/>
  <c r="F161" i="6"/>
  <c r="E161" i="6"/>
  <c r="D161" i="6"/>
  <c r="M161" i="6" s="1"/>
  <c r="AB210" i="11"/>
  <c r="W210" i="11"/>
  <c r="Y210" i="11"/>
  <c r="AA210" i="11"/>
  <c r="AU60" i="6"/>
  <c r="BG60" i="6"/>
  <c r="AK55" i="18"/>
  <c r="AK55" i="19"/>
  <c r="AK55" i="3"/>
  <c r="AA55" i="18"/>
  <c r="AA55" i="19"/>
  <c r="W209" i="16"/>
  <c r="BY129" i="16" s="1"/>
  <c r="AB209" i="16"/>
  <c r="Z209" i="16"/>
  <c r="Y209" i="16"/>
  <c r="AA209" i="16"/>
  <c r="X209" i="16"/>
  <c r="J115" i="8"/>
  <c r="Z209" i="17"/>
  <c r="W209" i="17"/>
  <c r="AB209" i="17"/>
  <c r="Y209" i="17"/>
  <c r="AA209" i="17"/>
  <c r="X209" i="17"/>
  <c r="AM54" i="19"/>
  <c r="AO54" i="19" s="1"/>
  <c r="AP54" i="19" s="1"/>
  <c r="BJ54" i="19" s="1"/>
  <c r="BL54" i="19" s="1"/>
  <c r="BN54" i="19" s="1"/>
  <c r="AL54" i="19"/>
  <c r="AN54" i="19" s="1"/>
  <c r="AC208" i="17"/>
  <c r="AC208" i="16"/>
  <c r="AM54" i="3"/>
  <c r="AO54" i="3" s="1"/>
  <c r="AP54" i="3" s="1"/>
  <c r="BJ54" i="3" s="1"/>
  <c r="BL54" i="3" s="1"/>
  <c r="BN54" i="3" s="1"/>
  <c r="AL54" i="3"/>
  <c r="AN54" i="3" s="1"/>
  <c r="AF207" i="17"/>
  <c r="AJ208" i="11"/>
  <c r="AH189" i="8"/>
  <c r="I197" i="6" s="1"/>
  <c r="Z188" i="8"/>
  <c r="H196" i="6" s="1"/>
  <c r="AL110" i="3"/>
  <c r="AG203" i="11"/>
  <c r="AJ202" i="11"/>
  <c r="AE209" i="11"/>
  <c r="O195" i="6"/>
  <c r="S195" i="6" s="1"/>
  <c r="AX58" i="6" s="1"/>
  <c r="Z189" i="8"/>
  <c r="H197" i="6" s="1"/>
  <c r="R189" i="8"/>
  <c r="G197" i="6" s="1"/>
  <c r="AH188" i="8"/>
  <c r="I196" i="6" s="1"/>
  <c r="R188" i="8"/>
  <c r="G196" i="6" s="1"/>
  <c r="AQ122" i="16"/>
  <c r="O117" i="6"/>
  <c r="S117" i="6" s="1"/>
  <c r="AL48" i="6" s="1"/>
  <c r="I153" i="6"/>
  <c r="K119" i="18"/>
  <c r="BD129" i="16"/>
  <c r="J119" i="18"/>
  <c r="F119" i="18"/>
  <c r="N156" i="6"/>
  <c r="R156" i="6" s="1"/>
  <c r="AQ53" i="6" s="1"/>
  <c r="AF203" i="11"/>
  <c r="J121" i="8"/>
  <c r="G112" i="3"/>
  <c r="L112" i="3" s="1"/>
  <c r="I113" i="3"/>
  <c r="K113" i="3"/>
  <c r="N86" i="6"/>
  <c r="R86" i="6" s="1"/>
  <c r="AE51" i="6" s="1"/>
  <c r="S117" i="19"/>
  <c r="R117" i="19"/>
  <c r="O229" i="6"/>
  <c r="S229" i="6" s="1"/>
  <c r="BD58" i="6" s="1"/>
  <c r="AH125" i="16"/>
  <c r="R146" i="8"/>
  <c r="G120" i="6" s="1"/>
  <c r="E119" i="18"/>
  <c r="D119" i="18"/>
  <c r="N119" i="18" s="1"/>
  <c r="AJ125" i="16"/>
  <c r="G119" i="18"/>
  <c r="BC123" i="16"/>
  <c r="AL123" i="16"/>
  <c r="J148" i="8"/>
  <c r="D158" i="6"/>
  <c r="E158" i="6"/>
  <c r="F158" i="6"/>
  <c r="J155" i="8"/>
  <c r="BD124" i="11"/>
  <c r="E113" i="3"/>
  <c r="N93" i="6"/>
  <c r="R93" i="6" s="1"/>
  <c r="AE58" i="6" s="1"/>
  <c r="AL117" i="3"/>
  <c r="AG209" i="11"/>
  <c r="D94" i="6"/>
  <c r="M94" i="6" s="1"/>
  <c r="F94" i="6"/>
  <c r="E94" i="6"/>
  <c r="C114" i="3"/>
  <c r="AI209" i="11"/>
  <c r="O151" i="6"/>
  <c r="S151" i="6" s="1"/>
  <c r="AR48" i="6" s="1"/>
  <c r="O152" i="6"/>
  <c r="S152" i="6" s="1"/>
  <c r="AR49" i="6" s="1"/>
  <c r="AF209" i="11"/>
  <c r="BC125" i="11"/>
  <c r="BK125" i="11" s="1"/>
  <c r="AL111" i="3"/>
  <c r="AM111" i="3"/>
  <c r="AC204" i="11"/>
  <c r="AD204" i="11" s="1"/>
  <c r="D87" i="6"/>
  <c r="M87" i="6" s="1"/>
  <c r="F87" i="6"/>
  <c r="E87" i="6"/>
  <c r="D88" i="6"/>
  <c r="M88" i="6" s="1"/>
  <c r="F88" i="6"/>
  <c r="E88" i="6"/>
  <c r="AE203" i="11"/>
  <c r="BZ123" i="11" s="1"/>
  <c r="AI203" i="11"/>
  <c r="T206" i="11"/>
  <c r="AI56" i="6" s="1"/>
  <c r="V206" i="11"/>
  <c r="W205" i="11"/>
  <c r="Y205" i="11"/>
  <c r="AB205" i="11"/>
  <c r="AA205" i="11"/>
  <c r="AY126" i="11"/>
  <c r="AU126" i="11"/>
  <c r="AG126" i="11"/>
  <c r="AK126" i="11" s="1"/>
  <c r="AX126" i="11"/>
  <c r="AW126" i="11"/>
  <c r="AF126" i="11"/>
  <c r="AV126" i="11"/>
  <c r="AR126" i="11"/>
  <c r="BB126" i="11"/>
  <c r="AZ126" i="11"/>
  <c r="AS126" i="11"/>
  <c r="BA126" i="11"/>
  <c r="AT126" i="11"/>
  <c r="R153" i="6"/>
  <c r="AQ50" i="6" s="1"/>
  <c r="N154" i="6"/>
  <c r="O118" i="6"/>
  <c r="S118" i="6" s="1"/>
  <c r="AL49" i="6" s="1"/>
  <c r="D111" i="18"/>
  <c r="N111" i="18" s="1"/>
  <c r="AQ121" i="16"/>
  <c r="AM123" i="16"/>
  <c r="D113" i="18" s="1"/>
  <c r="N113" i="18" s="1"/>
  <c r="AE125" i="16"/>
  <c r="AD125" i="16"/>
  <c r="AC125" i="16"/>
  <c r="E111" i="18"/>
  <c r="L111" i="18" s="1"/>
  <c r="BD122" i="16"/>
  <c r="K112" i="18"/>
  <c r="Z146" i="8"/>
  <c r="AP123" i="16"/>
  <c r="B149" i="8" s="1"/>
  <c r="AO123" i="16"/>
  <c r="M154" i="6"/>
  <c r="H119" i="6"/>
  <c r="O119" i="6" s="1"/>
  <c r="S119" i="6" s="1"/>
  <c r="AL50" i="6" s="1"/>
  <c r="H153" i="6"/>
  <c r="AH146" i="8"/>
  <c r="AF124" i="16"/>
  <c r="AX124" i="16"/>
  <c r="AU124" i="16"/>
  <c r="AZ124" i="16"/>
  <c r="AV124" i="16"/>
  <c r="BA124" i="16"/>
  <c r="AR124" i="16"/>
  <c r="AW124" i="16"/>
  <c r="AY124" i="16"/>
  <c r="AS124" i="16"/>
  <c r="AT124" i="16"/>
  <c r="BB124" i="16"/>
  <c r="AG124" i="16"/>
  <c r="AK124" i="16" s="1"/>
  <c r="H112" i="18"/>
  <c r="O58" i="6"/>
  <c r="S58" i="6" s="1"/>
  <c r="Z57" i="6" s="1"/>
  <c r="O51" i="6"/>
  <c r="S51" i="6" s="1"/>
  <c r="Z50" i="6" s="1"/>
  <c r="G59" i="6"/>
  <c r="G93" i="6"/>
  <c r="H59" i="6"/>
  <c r="H93" i="6"/>
  <c r="O92" i="6"/>
  <c r="S92" i="6" s="1"/>
  <c r="AF57" i="6" s="1"/>
  <c r="I59" i="6"/>
  <c r="I93" i="6"/>
  <c r="H52" i="6"/>
  <c r="H86" i="6"/>
  <c r="O85" i="6"/>
  <c r="S85" i="6" s="1"/>
  <c r="AF50" i="6" s="1"/>
  <c r="I52" i="6"/>
  <c r="I86" i="6"/>
  <c r="G52" i="6"/>
  <c r="AE16" i="23" s="1"/>
  <c r="G86" i="6"/>
  <c r="O160" i="6"/>
  <c r="S160" i="6" s="1"/>
  <c r="AR57" i="6" s="1"/>
  <c r="Z154" i="8"/>
  <c r="H128" i="6" s="1"/>
  <c r="R154" i="8"/>
  <c r="G128" i="6" s="1"/>
  <c r="AH154" i="8"/>
  <c r="I128" i="6" s="1"/>
  <c r="BI104" i="18"/>
  <c r="BB104" i="18"/>
  <c r="BB104" i="3"/>
  <c r="BI104" i="3"/>
  <c r="D119" i="3"/>
  <c r="N119" i="3" s="1"/>
  <c r="L133" i="7"/>
  <c r="AD132" i="7"/>
  <c r="AW93" i="3"/>
  <c r="AL125" i="11"/>
  <c r="L119" i="19"/>
  <c r="P118" i="18"/>
  <c r="Q118" i="18" s="1"/>
  <c r="L118" i="18"/>
  <c r="Z120" i="8"/>
  <c r="G105" i="11"/>
  <c r="AR94" i="3" s="1"/>
  <c r="AU94" i="3" s="1"/>
  <c r="AW94" i="3" s="1"/>
  <c r="F106" i="11"/>
  <c r="D134" i="7" s="1"/>
  <c r="M157" i="6"/>
  <c r="AV92" i="3"/>
  <c r="AW92" i="3"/>
  <c r="AR92" i="18"/>
  <c r="AU92" i="18" s="1"/>
  <c r="AV92" i="18" s="1"/>
  <c r="AU92" i="19"/>
  <c r="AV91" i="18"/>
  <c r="S113" i="19"/>
  <c r="R113" i="19"/>
  <c r="AW91" i="19"/>
  <c r="AV91" i="19"/>
  <c r="R114" i="8"/>
  <c r="Z113" i="8"/>
  <c r="S117" i="3"/>
  <c r="R117" i="3"/>
  <c r="R113" i="8"/>
  <c r="Z114" i="8"/>
  <c r="L118" i="3"/>
  <c r="P118" i="3"/>
  <c r="Q118" i="3" s="1"/>
  <c r="AH114" i="8"/>
  <c r="AQ130" i="11"/>
  <c r="B121" i="8"/>
  <c r="AH113" i="8"/>
  <c r="R120" i="8"/>
  <c r="AH120" i="8"/>
  <c r="T105" i="18"/>
  <c r="U105" i="18"/>
  <c r="V105" i="18" s="1"/>
  <c r="S110" i="18"/>
  <c r="R110" i="18"/>
  <c r="S110" i="3"/>
  <c r="R110" i="3"/>
  <c r="D113" i="3"/>
  <c r="N113" i="3" s="1"/>
  <c r="L111" i="3"/>
  <c r="P111" i="3"/>
  <c r="Q111" i="3" s="1"/>
  <c r="T105" i="3"/>
  <c r="U105" i="3"/>
  <c r="V105" i="3" s="1"/>
  <c r="J133" i="7"/>
  <c r="AB132" i="7"/>
  <c r="Y135" i="7"/>
  <c r="AS134" i="7"/>
  <c r="W133" i="7"/>
  <c r="AQ132" i="7"/>
  <c r="AR166" i="7"/>
  <c r="AN132" i="7"/>
  <c r="T133" i="7"/>
  <c r="H133" i="7"/>
  <c r="Z132" i="7"/>
  <c r="M133" i="7"/>
  <c r="AE132" i="7"/>
  <c r="V133" i="7"/>
  <c r="AP132" i="7"/>
  <c r="E105" i="11"/>
  <c r="C132" i="7"/>
  <c r="G103" i="16"/>
  <c r="AQ124" i="11"/>
  <c r="AN125" i="11"/>
  <c r="AO125" i="11"/>
  <c r="AM125" i="11"/>
  <c r="N114" i="19" s="1"/>
  <c r="Q114" i="19" s="1"/>
  <c r="AP125" i="11"/>
  <c r="B116" i="8" s="1"/>
  <c r="G231" i="6" l="1"/>
  <c r="J144" i="9"/>
  <c r="W144" i="9" s="1"/>
  <c r="H144" i="9"/>
  <c r="U144" i="9" s="1"/>
  <c r="G144" i="9"/>
  <c r="T144" i="9" s="1"/>
  <c r="G110" i="9"/>
  <c r="T110" i="9" s="1"/>
  <c r="H110" i="9"/>
  <c r="U110" i="9" s="1"/>
  <c r="J110" i="9"/>
  <c r="W110" i="9" s="1"/>
  <c r="CL126" i="11"/>
  <c r="CM126" i="11" s="1"/>
  <c r="BL124" i="11"/>
  <c r="BL122" i="16"/>
  <c r="P118" i="19"/>
  <c r="Q118" i="19" s="1"/>
  <c r="S118" i="19" s="1"/>
  <c r="CH125" i="16"/>
  <c r="CK125" i="16"/>
  <c r="CI125" i="16"/>
  <c r="CG125" i="16"/>
  <c r="CD125" i="16"/>
  <c r="CJ125" i="16"/>
  <c r="CB125" i="16"/>
  <c r="AF208" i="16"/>
  <c r="BF123" i="16"/>
  <c r="F113" i="18" s="1"/>
  <c r="AI208" i="17"/>
  <c r="BY129" i="17"/>
  <c r="BK123" i="16"/>
  <c r="K113" i="18" s="1"/>
  <c r="BZ123" i="16"/>
  <c r="BI125" i="11"/>
  <c r="BL129" i="16"/>
  <c r="BY125" i="11"/>
  <c r="BH123" i="16"/>
  <c r="AP124" i="16"/>
  <c r="B150" i="8" s="1"/>
  <c r="BY124" i="16"/>
  <c r="AN209" i="17"/>
  <c r="AO209" i="17" s="1"/>
  <c r="AH119" i="19"/>
  <c r="BH125" i="11"/>
  <c r="H114" i="3" s="1"/>
  <c r="BG123" i="16"/>
  <c r="G113" i="18" s="1"/>
  <c r="BF125" i="11"/>
  <c r="F114" i="3" s="1"/>
  <c r="F112" i="18"/>
  <c r="BZ129" i="11"/>
  <c r="BY130" i="11"/>
  <c r="AN206" i="11"/>
  <c r="AO206" i="11" s="1"/>
  <c r="AH115" i="3"/>
  <c r="BJ125" i="11"/>
  <c r="J114" i="3" s="1"/>
  <c r="BL130" i="11"/>
  <c r="CL124" i="16"/>
  <c r="CM124" i="16" s="1"/>
  <c r="BJ123" i="16"/>
  <c r="J113" i="18" s="1"/>
  <c r="BG125" i="11"/>
  <c r="AN209" i="16"/>
  <c r="AO209" i="16" s="1"/>
  <c r="AH119" i="18"/>
  <c r="BE125" i="11"/>
  <c r="BI123" i="16"/>
  <c r="BE123" i="16"/>
  <c r="H230" i="6"/>
  <c r="P111" i="18"/>
  <c r="I231" i="6"/>
  <c r="AC54" i="3"/>
  <c r="AE54" i="3" s="1"/>
  <c r="AF54" i="3" s="1"/>
  <c r="BC54" i="3" s="1"/>
  <c r="BE54" i="3" s="1"/>
  <c r="BG54" i="3" s="1"/>
  <c r="AB54" i="3"/>
  <c r="AD54" i="3" s="1"/>
  <c r="G230" i="6"/>
  <c r="AA55" i="3"/>
  <c r="AB55" i="3" s="1"/>
  <c r="AJ207" i="16"/>
  <c r="AH204" i="11"/>
  <c r="Z155" i="8"/>
  <c r="H129" i="6" s="1"/>
  <c r="AJ207" i="17"/>
  <c r="AE208" i="16"/>
  <c r="BZ128" i="16" s="1"/>
  <c r="AE208" i="17"/>
  <c r="AE19" i="23"/>
  <c r="AE22" i="23"/>
  <c r="AM116" i="19"/>
  <c r="AL116" i="19"/>
  <c r="N161" i="6"/>
  <c r="R161" i="6" s="1"/>
  <c r="AQ58" i="6" s="1"/>
  <c r="AL116" i="18"/>
  <c r="AM116" i="18"/>
  <c r="AL55" i="3"/>
  <c r="AN55" i="3" s="1"/>
  <c r="AM55" i="3"/>
  <c r="AO55" i="3" s="1"/>
  <c r="AP55" i="3" s="1"/>
  <c r="BJ55" i="3" s="1"/>
  <c r="BL55" i="3" s="1"/>
  <c r="BN55" i="3" s="1"/>
  <c r="AD208" i="17"/>
  <c r="AM55" i="19"/>
  <c r="AO55" i="19" s="1"/>
  <c r="AP55" i="19" s="1"/>
  <c r="BJ55" i="19" s="1"/>
  <c r="BL55" i="19" s="1"/>
  <c r="BN55" i="19" s="1"/>
  <c r="AL55" i="19"/>
  <c r="AN55" i="19" s="1"/>
  <c r="AG208" i="17"/>
  <c r="AM55" i="18"/>
  <c r="AO55" i="18" s="1"/>
  <c r="AP55" i="18" s="1"/>
  <c r="BJ55" i="18" s="1"/>
  <c r="BL55" i="18" s="1"/>
  <c r="BN55" i="18" s="1"/>
  <c r="AL55" i="18"/>
  <c r="AN55" i="18" s="1"/>
  <c r="AL117" i="19"/>
  <c r="AM117" i="19"/>
  <c r="AK56" i="3"/>
  <c r="AA56" i="18"/>
  <c r="AA56" i="19"/>
  <c r="AK56" i="19"/>
  <c r="AK56" i="18"/>
  <c r="AD208" i="16"/>
  <c r="AB55" i="19"/>
  <c r="AD55" i="19" s="1"/>
  <c r="AC55" i="19"/>
  <c r="AE55" i="19" s="1"/>
  <c r="AF55" i="19" s="1"/>
  <c r="BC55" i="19" s="1"/>
  <c r="BE55" i="19" s="1"/>
  <c r="BG55" i="19" s="1"/>
  <c r="F162" i="6"/>
  <c r="E162" i="6"/>
  <c r="D162" i="6"/>
  <c r="M162" i="6" s="1"/>
  <c r="AM117" i="18"/>
  <c r="AL117" i="18"/>
  <c r="AK118" i="3"/>
  <c r="AL118" i="3" s="1"/>
  <c r="AC209" i="17"/>
  <c r="AB55" i="18"/>
  <c r="AD55" i="18" s="1"/>
  <c r="AC55" i="18"/>
  <c r="AE55" i="18" s="1"/>
  <c r="AF55" i="18" s="1"/>
  <c r="BC55" i="18" s="1"/>
  <c r="BE55" i="18" s="1"/>
  <c r="BG55" i="18" s="1"/>
  <c r="AG208" i="16"/>
  <c r="AF208" i="17"/>
  <c r="AC210" i="11"/>
  <c r="AI208" i="16"/>
  <c r="AC209" i="16"/>
  <c r="AH208" i="17"/>
  <c r="AH208" i="16"/>
  <c r="H231" i="6"/>
  <c r="R155" i="8"/>
  <c r="G129" i="6" s="1"/>
  <c r="AH148" i="8"/>
  <c r="I122" i="6" s="1"/>
  <c r="R148" i="8"/>
  <c r="G156" i="6" s="1"/>
  <c r="G154" i="6"/>
  <c r="P112" i="3"/>
  <c r="Q112" i="3" s="1"/>
  <c r="R112" i="3" s="1"/>
  <c r="AE204" i="11"/>
  <c r="AK113" i="3" s="1"/>
  <c r="BD125" i="11"/>
  <c r="I230" i="6"/>
  <c r="Z148" i="8"/>
  <c r="H122" i="6" s="1"/>
  <c r="O153" i="6"/>
  <c r="S153" i="6" s="1"/>
  <c r="AR50" i="6" s="1"/>
  <c r="AN124" i="16"/>
  <c r="AM124" i="16"/>
  <c r="D114" i="18" s="1"/>
  <c r="N114" i="18" s="1"/>
  <c r="I113" i="18"/>
  <c r="AH155" i="8"/>
  <c r="I129" i="6" s="1"/>
  <c r="L119" i="18"/>
  <c r="AO124" i="16"/>
  <c r="AQ123" i="16"/>
  <c r="P119" i="18"/>
  <c r="Q119" i="18" s="1"/>
  <c r="R119" i="18" s="1"/>
  <c r="BD123" i="16"/>
  <c r="E159" i="6"/>
  <c r="D159" i="6"/>
  <c r="F159" i="6"/>
  <c r="AL124" i="16"/>
  <c r="J149" i="8"/>
  <c r="E113" i="18"/>
  <c r="H113" i="18"/>
  <c r="F113" i="3"/>
  <c r="P113" i="3" s="1"/>
  <c r="Q113" i="3" s="1"/>
  <c r="J116" i="8"/>
  <c r="C115" i="3"/>
  <c r="AJ209" i="11"/>
  <c r="N94" i="6"/>
  <c r="R94" i="6" s="1"/>
  <c r="AE59" i="6" s="1"/>
  <c r="G114" i="3"/>
  <c r="AF204" i="11"/>
  <c r="AG204" i="11"/>
  <c r="K114" i="3"/>
  <c r="AI204" i="11"/>
  <c r="AJ203" i="11"/>
  <c r="R147" i="8"/>
  <c r="BC126" i="11"/>
  <c r="BG126" i="11" s="1"/>
  <c r="N88" i="6"/>
  <c r="R88" i="6" s="1"/>
  <c r="AE53" i="6" s="1"/>
  <c r="N87" i="6"/>
  <c r="R87" i="6" s="1"/>
  <c r="AE52" i="6" s="1"/>
  <c r="D89" i="6"/>
  <c r="M89" i="6" s="1"/>
  <c r="F89" i="6"/>
  <c r="E89" i="6"/>
  <c r="AC205" i="11"/>
  <c r="AD205" i="11" s="1"/>
  <c r="W206" i="11"/>
  <c r="AB206" i="11"/>
  <c r="AA206" i="11"/>
  <c r="Y206" i="11"/>
  <c r="AK112" i="3"/>
  <c r="O196" i="6"/>
  <c r="S196" i="6" s="1"/>
  <c r="AX59" i="6" s="1"/>
  <c r="E112" i="18"/>
  <c r="AF125" i="16"/>
  <c r="AU125" i="16"/>
  <c r="AY125" i="16"/>
  <c r="AT125" i="16"/>
  <c r="AZ125" i="16"/>
  <c r="AV125" i="16"/>
  <c r="AR125" i="16"/>
  <c r="AW125" i="16"/>
  <c r="BB125" i="16"/>
  <c r="AS125" i="16"/>
  <c r="AX125" i="16"/>
  <c r="BA125" i="16"/>
  <c r="AG125" i="16"/>
  <c r="AK125" i="16" s="1"/>
  <c r="AH147" i="8"/>
  <c r="Z147" i="8"/>
  <c r="H120" i="6"/>
  <c r="H154" i="6"/>
  <c r="N155" i="6"/>
  <c r="I120" i="6"/>
  <c r="I154" i="6"/>
  <c r="M155" i="6"/>
  <c r="Q111" i="18"/>
  <c r="S111" i="18" s="1"/>
  <c r="BC124" i="16"/>
  <c r="BJ124" i="16" s="1"/>
  <c r="R154" i="6"/>
  <c r="AQ51" i="6" s="1"/>
  <c r="O59" i="6"/>
  <c r="S59" i="6" s="1"/>
  <c r="Z58" i="6" s="1"/>
  <c r="O52" i="6"/>
  <c r="S52" i="6" s="1"/>
  <c r="Z51" i="6" s="1"/>
  <c r="R118" i="19"/>
  <c r="O197" i="6"/>
  <c r="S197" i="6" s="1"/>
  <c r="AX60" i="6" s="1"/>
  <c r="G60" i="6"/>
  <c r="G94" i="6"/>
  <c r="H60" i="6"/>
  <c r="AO19" i="23" s="1"/>
  <c r="H94" i="6"/>
  <c r="O93" i="6"/>
  <c r="S93" i="6" s="1"/>
  <c r="AF58" i="6" s="1"/>
  <c r="I60" i="6"/>
  <c r="AO22" i="23" s="1"/>
  <c r="I94" i="6"/>
  <c r="O86" i="6"/>
  <c r="S86" i="6" s="1"/>
  <c r="AF51" i="6" s="1"/>
  <c r="I54" i="6"/>
  <c r="I88" i="6"/>
  <c r="I53" i="6"/>
  <c r="I87" i="6"/>
  <c r="H54" i="6"/>
  <c r="H88" i="6"/>
  <c r="H53" i="6"/>
  <c r="H87" i="6"/>
  <c r="G53" i="6"/>
  <c r="AF16" i="23" s="1"/>
  <c r="G87" i="6"/>
  <c r="G54" i="6"/>
  <c r="AG16" i="23" s="1"/>
  <c r="G88" i="6"/>
  <c r="H162" i="6"/>
  <c r="I162" i="6"/>
  <c r="G162" i="6"/>
  <c r="O128" i="6"/>
  <c r="S128" i="6" s="1"/>
  <c r="AL59" i="6" s="1"/>
  <c r="N157" i="6"/>
  <c r="R157" i="6" s="1"/>
  <c r="AQ54" i="6" s="1"/>
  <c r="BB105" i="18"/>
  <c r="BI105" i="18"/>
  <c r="BB105" i="3"/>
  <c r="BI105" i="3"/>
  <c r="AV94" i="3"/>
  <c r="F107" i="11"/>
  <c r="D135" i="7" s="1"/>
  <c r="AD133" i="7"/>
  <c r="L134" i="7"/>
  <c r="S118" i="18"/>
  <c r="R118" i="18"/>
  <c r="AP126" i="11"/>
  <c r="B117" i="8" s="1"/>
  <c r="R119" i="19"/>
  <c r="S119" i="19"/>
  <c r="AM125" i="16"/>
  <c r="D115" i="18" s="1"/>
  <c r="AW92" i="18"/>
  <c r="G106" i="11"/>
  <c r="AR95" i="3" s="1"/>
  <c r="AU95" i="3" s="1"/>
  <c r="AV95" i="3" s="1"/>
  <c r="M158" i="6"/>
  <c r="N158" i="6"/>
  <c r="AR93" i="18"/>
  <c r="AU93" i="18" s="1"/>
  <c r="AV93" i="18" s="1"/>
  <c r="AU93" i="19"/>
  <c r="AW92" i="19"/>
  <c r="AV92" i="19"/>
  <c r="S114" i="19"/>
  <c r="R114" i="19"/>
  <c r="R118" i="3"/>
  <c r="S118" i="3"/>
  <c r="Z115" i="8"/>
  <c r="AH115" i="8"/>
  <c r="R115" i="8"/>
  <c r="L119" i="3"/>
  <c r="P119" i="3"/>
  <c r="Q119" i="3" s="1"/>
  <c r="R111" i="3"/>
  <c r="S111" i="3"/>
  <c r="I114" i="3"/>
  <c r="U106" i="3"/>
  <c r="V106" i="3" s="1"/>
  <c r="T106" i="3"/>
  <c r="D114" i="3"/>
  <c r="N114" i="3" s="1"/>
  <c r="T106" i="18"/>
  <c r="U106" i="18"/>
  <c r="V106" i="18" s="1"/>
  <c r="E106" i="11"/>
  <c r="C133" i="7"/>
  <c r="M134" i="7"/>
  <c r="AE133" i="7"/>
  <c r="W134" i="7"/>
  <c r="AQ133" i="7"/>
  <c r="J134" i="7"/>
  <c r="AB133" i="7"/>
  <c r="AN133" i="7"/>
  <c r="T134" i="7"/>
  <c r="AR167" i="7"/>
  <c r="V134" i="7"/>
  <c r="AP133" i="7"/>
  <c r="H134" i="7"/>
  <c r="Z133" i="7"/>
  <c r="Y136" i="7"/>
  <c r="AS135" i="7"/>
  <c r="AN126" i="11"/>
  <c r="G104" i="16"/>
  <c r="AL126" i="11"/>
  <c r="AM126" i="11"/>
  <c r="N115" i="19" s="1"/>
  <c r="Q115" i="19" s="1"/>
  <c r="AO126" i="11"/>
  <c r="AQ125" i="11"/>
  <c r="G122" i="6" l="1"/>
  <c r="S119" i="18"/>
  <c r="G111" i="9"/>
  <c r="T111" i="9" s="1"/>
  <c r="J111" i="9"/>
  <c r="W111" i="9" s="1"/>
  <c r="H111" i="9"/>
  <c r="U111" i="9" s="1"/>
  <c r="O231" i="6"/>
  <c r="S231" i="6" s="1"/>
  <c r="BD60" i="6" s="1"/>
  <c r="I163" i="6"/>
  <c r="BL125" i="11"/>
  <c r="BF124" i="16"/>
  <c r="F114" i="18" s="1"/>
  <c r="BK126" i="11"/>
  <c r="K115" i="3" s="1"/>
  <c r="BH126" i="11"/>
  <c r="H115" i="3" s="1"/>
  <c r="BG124" i="16"/>
  <c r="BI126" i="11"/>
  <c r="I115" i="3" s="1"/>
  <c r="BE126" i="11"/>
  <c r="E115" i="3" s="1"/>
  <c r="BJ126" i="11"/>
  <c r="J115" i="3" s="1"/>
  <c r="AE209" i="16"/>
  <c r="BZ129" i="16" s="1"/>
  <c r="AD210" i="11"/>
  <c r="BF126" i="11"/>
  <c r="BH124" i="16"/>
  <c r="H114" i="18" s="1"/>
  <c r="BZ124" i="16"/>
  <c r="BL123" i="16"/>
  <c r="BZ128" i="17"/>
  <c r="CL125" i="16"/>
  <c r="CM125" i="16" s="1"/>
  <c r="AN125" i="16"/>
  <c r="BY125" i="16"/>
  <c r="BZ125" i="16"/>
  <c r="AH209" i="17"/>
  <c r="BZ124" i="11"/>
  <c r="BY126" i="11"/>
  <c r="BK124" i="16"/>
  <c r="K114" i="18" s="1"/>
  <c r="BI124" i="16"/>
  <c r="BE124" i="16"/>
  <c r="R111" i="18"/>
  <c r="AD55" i="3"/>
  <c r="O230" i="6"/>
  <c r="S230" i="6" s="1"/>
  <c r="BD59" i="6" s="1"/>
  <c r="H163" i="6"/>
  <c r="H156" i="6"/>
  <c r="G163" i="6"/>
  <c r="AC55" i="3"/>
  <c r="AE55" i="3" s="1"/>
  <c r="AF55" i="3" s="1"/>
  <c r="BC55" i="3" s="1"/>
  <c r="BE55" i="3" s="1"/>
  <c r="BG55" i="3" s="1"/>
  <c r="AA56" i="3"/>
  <c r="AC56" i="3" s="1"/>
  <c r="AF210" i="11"/>
  <c r="AG205" i="11"/>
  <c r="AK118" i="19"/>
  <c r="AM118" i="19" s="1"/>
  <c r="AM118" i="3"/>
  <c r="I156" i="6"/>
  <c r="O156" i="6" s="1"/>
  <c r="S156" i="6" s="1"/>
  <c r="AR53" i="6" s="1"/>
  <c r="AM16" i="23"/>
  <c r="AO16" i="23"/>
  <c r="N162" i="6"/>
  <c r="R162" i="6" s="1"/>
  <c r="AQ59" i="6" s="1"/>
  <c r="AE209" i="17"/>
  <c r="AK119" i="19" s="1"/>
  <c r="AI209" i="17"/>
  <c r="AF209" i="17"/>
  <c r="AK118" i="18"/>
  <c r="AL118" i="18" s="1"/>
  <c r="AJ208" i="17"/>
  <c r="AG210" i="11"/>
  <c r="AF19" i="23"/>
  <c r="AM19" i="23"/>
  <c r="AF22" i="23"/>
  <c r="AG22" i="23"/>
  <c r="AJ208" i="16"/>
  <c r="AI209" i="16"/>
  <c r="AH209" i="16"/>
  <c r="AG19" i="23"/>
  <c r="AM22" i="23"/>
  <c r="S112" i="3"/>
  <c r="AA57" i="19"/>
  <c r="AA57" i="18"/>
  <c r="AK57" i="18"/>
  <c r="AK57" i="19"/>
  <c r="AK57" i="3"/>
  <c r="AI210" i="11"/>
  <c r="AH210" i="11"/>
  <c r="AI205" i="11"/>
  <c r="AC56" i="19"/>
  <c r="AE56" i="19" s="1"/>
  <c r="AF56" i="19" s="1"/>
  <c r="BC56" i="19" s="1"/>
  <c r="BE56" i="19" s="1"/>
  <c r="BG56" i="19" s="1"/>
  <c r="AB56" i="19"/>
  <c r="AD56" i="19" s="1"/>
  <c r="AF205" i="11"/>
  <c r="AD209" i="16"/>
  <c r="D95" i="6"/>
  <c r="M95" i="6" s="1"/>
  <c r="F95" i="6"/>
  <c r="E95" i="6"/>
  <c r="AH205" i="11"/>
  <c r="AE205" i="11"/>
  <c r="AK119" i="18"/>
  <c r="D163" i="6"/>
  <c r="M163" i="6" s="1"/>
  <c r="E163" i="6"/>
  <c r="F163" i="6"/>
  <c r="AL56" i="19"/>
  <c r="AN56" i="19" s="1"/>
  <c r="AM56" i="19"/>
  <c r="AO56" i="19" s="1"/>
  <c r="AP56" i="19" s="1"/>
  <c r="BJ56" i="19" s="1"/>
  <c r="BL56" i="19" s="1"/>
  <c r="BN56" i="19" s="1"/>
  <c r="AD209" i="17"/>
  <c r="AC56" i="18"/>
  <c r="AE56" i="18" s="1"/>
  <c r="AF56" i="18" s="1"/>
  <c r="BC56" i="18" s="1"/>
  <c r="BE56" i="18" s="1"/>
  <c r="BG56" i="18" s="1"/>
  <c r="AB56" i="18"/>
  <c r="AD56" i="18" s="1"/>
  <c r="AG209" i="16"/>
  <c r="AL56" i="3"/>
  <c r="AN56" i="3" s="1"/>
  <c r="AM56" i="3"/>
  <c r="AO56" i="3" s="1"/>
  <c r="AP56" i="3" s="1"/>
  <c r="BJ56" i="3" s="1"/>
  <c r="BL56" i="3" s="1"/>
  <c r="BN56" i="3" s="1"/>
  <c r="AG209" i="17"/>
  <c r="AE210" i="11"/>
  <c r="BZ130" i="11" s="1"/>
  <c r="AM56" i="18"/>
  <c r="AO56" i="18" s="1"/>
  <c r="AP56" i="18" s="1"/>
  <c r="BJ56" i="18" s="1"/>
  <c r="BL56" i="18" s="1"/>
  <c r="BN56" i="18" s="1"/>
  <c r="AL56" i="18"/>
  <c r="AN56" i="18" s="1"/>
  <c r="AF209" i="16"/>
  <c r="AQ124" i="16"/>
  <c r="L113" i="18"/>
  <c r="AH149" i="8"/>
  <c r="I123" i="6" s="1"/>
  <c r="R149" i="8"/>
  <c r="G123" i="6" s="1"/>
  <c r="Z149" i="8"/>
  <c r="H157" i="6" s="1"/>
  <c r="AJ204" i="11"/>
  <c r="J117" i="8"/>
  <c r="O53" i="6"/>
  <c r="S53" i="6" s="1"/>
  <c r="Z52" i="6" s="1"/>
  <c r="N89" i="6"/>
  <c r="R89" i="6" s="1"/>
  <c r="AE54" i="6" s="1"/>
  <c r="E114" i="3"/>
  <c r="L114" i="3" s="1"/>
  <c r="P113" i="18"/>
  <c r="Q113" i="18" s="1"/>
  <c r="R113" i="18" s="1"/>
  <c r="AP125" i="16"/>
  <c r="B151" i="8" s="1"/>
  <c r="J150" i="8"/>
  <c r="AL125" i="16"/>
  <c r="L113" i="3"/>
  <c r="BD126" i="11"/>
  <c r="G115" i="3"/>
  <c r="G155" i="6"/>
  <c r="G121" i="6"/>
  <c r="O154" i="6"/>
  <c r="S154" i="6" s="1"/>
  <c r="AR51" i="6" s="1"/>
  <c r="O120" i="6"/>
  <c r="S120" i="6" s="1"/>
  <c r="AL51" i="6" s="1"/>
  <c r="AL113" i="3"/>
  <c r="AM113" i="3"/>
  <c r="AL112" i="3"/>
  <c r="AM112" i="3"/>
  <c r="AC206" i="11"/>
  <c r="AD206" i="11" s="1"/>
  <c r="D90" i="6"/>
  <c r="M90" i="6" s="1"/>
  <c r="F90" i="6"/>
  <c r="E90" i="6"/>
  <c r="R155" i="6"/>
  <c r="AQ52" i="6" s="1"/>
  <c r="AO125" i="16"/>
  <c r="H155" i="6"/>
  <c r="H121" i="6"/>
  <c r="BC125" i="16"/>
  <c r="BK125" i="16" s="1"/>
  <c r="P112" i="18"/>
  <c r="Q112" i="18" s="1"/>
  <c r="L112" i="18"/>
  <c r="BD124" i="16"/>
  <c r="I114" i="18"/>
  <c r="G114" i="18"/>
  <c r="J114" i="18"/>
  <c r="I121" i="6"/>
  <c r="I155" i="6"/>
  <c r="O54" i="6"/>
  <c r="S54" i="6" s="1"/>
  <c r="Z53" i="6" s="1"/>
  <c r="O60" i="6"/>
  <c r="S60" i="6" s="1"/>
  <c r="Z59" i="6" s="1"/>
  <c r="O94" i="6"/>
  <c r="S94" i="6" s="1"/>
  <c r="AF59" i="6" s="1"/>
  <c r="O87" i="6"/>
  <c r="S87" i="6" s="1"/>
  <c r="AF52" i="6" s="1"/>
  <c r="O88" i="6"/>
  <c r="S88" i="6" s="1"/>
  <c r="AF53" i="6" s="1"/>
  <c r="I55" i="6"/>
  <c r="AH22" i="23" s="1"/>
  <c r="I89" i="6"/>
  <c r="G107" i="11"/>
  <c r="AR96" i="3" s="1"/>
  <c r="AU96" i="3" s="1"/>
  <c r="AW96" i="3" s="1"/>
  <c r="F108" i="11"/>
  <c r="D136" i="7" s="1"/>
  <c r="G55" i="6"/>
  <c r="AH16" i="23" s="1"/>
  <c r="G89" i="6"/>
  <c r="H55" i="6"/>
  <c r="AH19" i="23" s="1"/>
  <c r="H89" i="6"/>
  <c r="O162" i="6"/>
  <c r="S162" i="6" s="1"/>
  <c r="AR59" i="6" s="1"/>
  <c r="R158" i="6"/>
  <c r="AQ55" i="6" s="1"/>
  <c r="O129" i="6"/>
  <c r="S129" i="6" s="1"/>
  <c r="AL60" i="6" s="1"/>
  <c r="O122" i="6"/>
  <c r="S122" i="6" s="1"/>
  <c r="AL53" i="6" s="1"/>
  <c r="BI106" i="18"/>
  <c r="BB106" i="18"/>
  <c r="BB106" i="3"/>
  <c r="BI106" i="3"/>
  <c r="L135" i="7"/>
  <c r="AD134" i="7"/>
  <c r="AW95" i="3"/>
  <c r="M159" i="6"/>
  <c r="N159" i="6"/>
  <c r="AW93" i="18"/>
  <c r="S115" i="19"/>
  <c r="R115" i="19"/>
  <c r="AV93" i="19"/>
  <c r="AW93" i="19"/>
  <c r="AR94" i="18"/>
  <c r="AU94" i="18" s="1"/>
  <c r="AV94" i="18" s="1"/>
  <c r="AU94" i="19"/>
  <c r="R121" i="8"/>
  <c r="AH116" i="8"/>
  <c r="R119" i="3"/>
  <c r="S119" i="3"/>
  <c r="AH121" i="8"/>
  <c r="Z116" i="8"/>
  <c r="Z121" i="8"/>
  <c r="R116" i="8"/>
  <c r="R113" i="3"/>
  <c r="S113" i="3"/>
  <c r="T107" i="18"/>
  <c r="U107" i="18"/>
  <c r="V107" i="18" s="1"/>
  <c r="N115" i="18"/>
  <c r="D115" i="3"/>
  <c r="N115" i="3" s="1"/>
  <c r="T107" i="3"/>
  <c r="U107" i="3"/>
  <c r="V107" i="3" s="1"/>
  <c r="F115" i="3"/>
  <c r="H135" i="7"/>
  <c r="Z134" i="7"/>
  <c r="J135" i="7"/>
  <c r="AB134" i="7"/>
  <c r="M135" i="7"/>
  <c r="AE134" i="7"/>
  <c r="AN134" i="7"/>
  <c r="T135" i="7"/>
  <c r="AR168" i="7"/>
  <c r="Y137" i="7"/>
  <c r="AS136" i="7"/>
  <c r="V135" i="7"/>
  <c r="AP134" i="7"/>
  <c r="W135" i="7"/>
  <c r="AQ134" i="7"/>
  <c r="E107" i="11"/>
  <c r="C134" i="7"/>
  <c r="G105" i="16"/>
  <c r="AQ126" i="11"/>
  <c r="AE56" i="3" l="1"/>
  <c r="AF56" i="3" s="1"/>
  <c r="BC56" i="3" s="1"/>
  <c r="BE56" i="3" s="1"/>
  <c r="BG56" i="3" s="1"/>
  <c r="BI125" i="16"/>
  <c r="BG125" i="16"/>
  <c r="BJ125" i="16"/>
  <c r="BF125" i="16"/>
  <c r="BZ129" i="17"/>
  <c r="BL124" i="16"/>
  <c r="BE125" i="16"/>
  <c r="AK114" i="3"/>
  <c r="AL114" i="3" s="1"/>
  <c r="BZ125" i="11"/>
  <c r="BH125" i="16"/>
  <c r="H115" i="18" s="1"/>
  <c r="BL126" i="11"/>
  <c r="O163" i="6"/>
  <c r="S163" i="6" s="1"/>
  <c r="AR60" i="6" s="1"/>
  <c r="AL118" i="19"/>
  <c r="AB56" i="3"/>
  <c r="AD56" i="3" s="1"/>
  <c r="AA57" i="3"/>
  <c r="AC57" i="3" s="1"/>
  <c r="AE206" i="11"/>
  <c r="AJ209" i="17"/>
  <c r="S113" i="18"/>
  <c r="G157" i="6"/>
  <c r="AM118" i="18"/>
  <c r="AJ205" i="11"/>
  <c r="AJ209" i="16"/>
  <c r="N163" i="6"/>
  <c r="R163" i="6" s="1"/>
  <c r="AQ60" i="6" s="1"/>
  <c r="N95" i="6"/>
  <c r="R95" i="6" s="1"/>
  <c r="AE60" i="6" s="1"/>
  <c r="AM57" i="18"/>
  <c r="AO57" i="18" s="1"/>
  <c r="AP57" i="18" s="1"/>
  <c r="BJ57" i="18" s="1"/>
  <c r="BL57" i="18" s="1"/>
  <c r="BN57" i="18" s="1"/>
  <c r="AL57" i="18"/>
  <c r="AN57" i="18" s="1"/>
  <c r="AC57" i="18"/>
  <c r="AE57" i="18" s="1"/>
  <c r="AF57" i="18" s="1"/>
  <c r="BC57" i="18" s="1"/>
  <c r="BE57" i="18" s="1"/>
  <c r="BG57" i="18" s="1"/>
  <c r="AB57" i="18"/>
  <c r="AD57" i="18" s="1"/>
  <c r="AM119" i="18"/>
  <c r="AL119" i="18"/>
  <c r="AM119" i="19"/>
  <c r="AL119" i="19"/>
  <c r="AC57" i="19"/>
  <c r="AE57" i="19" s="1"/>
  <c r="AF57" i="19" s="1"/>
  <c r="BC57" i="19" s="1"/>
  <c r="BE57" i="19" s="1"/>
  <c r="BG57" i="19" s="1"/>
  <c r="AB57" i="19"/>
  <c r="AD57" i="19" s="1"/>
  <c r="AK119" i="3"/>
  <c r="AJ210" i="11"/>
  <c r="AM57" i="3"/>
  <c r="AO57" i="3" s="1"/>
  <c r="AP57" i="3" s="1"/>
  <c r="BJ57" i="3" s="1"/>
  <c r="BL57" i="3" s="1"/>
  <c r="BN57" i="3" s="1"/>
  <c r="AL57" i="3"/>
  <c r="AN57" i="3" s="1"/>
  <c r="AA58" i="3"/>
  <c r="AA58" i="19"/>
  <c r="AK58" i="18"/>
  <c r="AK58" i="19"/>
  <c r="AA58" i="18"/>
  <c r="AK58" i="3"/>
  <c r="AM57" i="19"/>
  <c r="AO57" i="19" s="1"/>
  <c r="AP57" i="19" s="1"/>
  <c r="BJ57" i="19" s="1"/>
  <c r="BL57" i="19" s="1"/>
  <c r="BN57" i="19" s="1"/>
  <c r="AL57" i="19"/>
  <c r="AN57" i="19" s="1"/>
  <c r="H123" i="6"/>
  <c r="O123" i="6" s="1"/>
  <c r="S123" i="6" s="1"/>
  <c r="AL54" i="6" s="1"/>
  <c r="O55" i="6"/>
  <c r="S55" i="6" s="1"/>
  <c r="Z54" i="6" s="1"/>
  <c r="AH206" i="11"/>
  <c r="P114" i="3"/>
  <c r="Q114" i="3" s="1"/>
  <c r="S114" i="3" s="1"/>
  <c r="N90" i="6"/>
  <c r="R90" i="6" s="1"/>
  <c r="AE55" i="6" s="1"/>
  <c r="AH150" i="8"/>
  <c r="I124" i="6" s="1"/>
  <c r="R150" i="8"/>
  <c r="G124" i="6" s="1"/>
  <c r="I157" i="6"/>
  <c r="AQ125" i="16"/>
  <c r="Z150" i="8"/>
  <c r="H158" i="6" s="1"/>
  <c r="AF206" i="11"/>
  <c r="AG206" i="11"/>
  <c r="J151" i="8"/>
  <c r="G108" i="11"/>
  <c r="AR97" i="3" s="1"/>
  <c r="AU97" i="3" s="1"/>
  <c r="AW97" i="3" s="1"/>
  <c r="F109" i="11"/>
  <c r="D137" i="7" s="1"/>
  <c r="R117" i="8"/>
  <c r="G91" i="6" s="1"/>
  <c r="O155" i="6"/>
  <c r="S155" i="6" s="1"/>
  <c r="AR52" i="6" s="1"/>
  <c r="D91" i="6"/>
  <c r="M91" i="6" s="1"/>
  <c r="F91" i="6"/>
  <c r="E91" i="6"/>
  <c r="AI206" i="11"/>
  <c r="R112" i="18"/>
  <c r="S112" i="18"/>
  <c r="F115" i="18"/>
  <c r="G115" i="18"/>
  <c r="I115" i="18"/>
  <c r="BD125" i="16"/>
  <c r="J115" i="18"/>
  <c r="E114" i="18"/>
  <c r="O121" i="6"/>
  <c r="S121" i="6" s="1"/>
  <c r="AL52" i="6" s="1"/>
  <c r="K115" i="18"/>
  <c r="AH117" i="8"/>
  <c r="I91" i="6" s="1"/>
  <c r="Z117" i="8"/>
  <c r="H57" i="6" s="1"/>
  <c r="AL19" i="23" s="1"/>
  <c r="H61" i="6"/>
  <c r="AP19" i="23" s="1"/>
  <c r="H95" i="6"/>
  <c r="AV96" i="3"/>
  <c r="I61" i="6"/>
  <c r="AP22" i="23" s="1"/>
  <c r="I95" i="6"/>
  <c r="G61" i="6"/>
  <c r="G95" i="6"/>
  <c r="H56" i="6"/>
  <c r="H90" i="6"/>
  <c r="G56" i="6"/>
  <c r="G90" i="6"/>
  <c r="I56" i="6"/>
  <c r="I90" i="6"/>
  <c r="O89" i="6"/>
  <c r="S89" i="6" s="1"/>
  <c r="AF54" i="6" s="1"/>
  <c r="BI107" i="18"/>
  <c r="BB107" i="18"/>
  <c r="R159" i="6"/>
  <c r="AQ56" i="6" s="1"/>
  <c r="BB107" i="3"/>
  <c r="BI107" i="3"/>
  <c r="L136" i="7"/>
  <c r="AD135" i="7"/>
  <c r="AW94" i="18"/>
  <c r="AW94" i="19"/>
  <c r="AV94" i="19"/>
  <c r="AR95" i="18"/>
  <c r="AU95" i="18" s="1"/>
  <c r="AV95" i="18" s="1"/>
  <c r="AU95" i="19"/>
  <c r="T108" i="18"/>
  <c r="U108" i="18"/>
  <c r="V108" i="18" s="1"/>
  <c r="T108" i="3"/>
  <c r="U108" i="3"/>
  <c r="V108" i="3" s="1"/>
  <c r="L115" i="3"/>
  <c r="P115" i="3"/>
  <c r="Q115" i="3" s="1"/>
  <c r="E108" i="11"/>
  <c r="C135" i="7"/>
  <c r="V136" i="7"/>
  <c r="AP135" i="7"/>
  <c r="M136" i="7"/>
  <c r="AE135" i="7"/>
  <c r="H136" i="7"/>
  <c r="Z135" i="7"/>
  <c r="AN135" i="7"/>
  <c r="T136" i="7"/>
  <c r="AR169" i="7"/>
  <c r="W136" i="7"/>
  <c r="AQ135" i="7"/>
  <c r="Y138" i="7"/>
  <c r="AS137" i="7"/>
  <c r="J136" i="7"/>
  <c r="AB135" i="7"/>
  <c r="G106" i="16"/>
  <c r="AE57" i="3" l="1"/>
  <c r="AF57" i="3" s="1"/>
  <c r="BC57" i="3" s="1"/>
  <c r="BE57" i="3" s="1"/>
  <c r="BG57" i="3" s="1"/>
  <c r="AM114" i="3"/>
  <c r="O157" i="6"/>
  <c r="S157" i="6" s="1"/>
  <c r="AR54" i="6" s="1"/>
  <c r="BZ126" i="11"/>
  <c r="BL125" i="16"/>
  <c r="AK115" i="3"/>
  <c r="AM115" i="3" s="1"/>
  <c r="AB57" i="3"/>
  <c r="AD57" i="3" s="1"/>
  <c r="G158" i="6"/>
  <c r="AI16" i="23"/>
  <c r="AK16" i="23"/>
  <c r="AN16" i="23"/>
  <c r="AP16" i="23"/>
  <c r="I158" i="6"/>
  <c r="AN19" i="23"/>
  <c r="AJ19" i="23"/>
  <c r="AK19" i="23"/>
  <c r="AI19" i="23"/>
  <c r="R114" i="3"/>
  <c r="AK22" i="23"/>
  <c r="AI22" i="23"/>
  <c r="AN22" i="23"/>
  <c r="AB58" i="3"/>
  <c r="AC58" i="3"/>
  <c r="AE58" i="3" s="1"/>
  <c r="AF58" i="3" s="1"/>
  <c r="BC58" i="3" s="1"/>
  <c r="BE58" i="3" s="1"/>
  <c r="BG58" i="3" s="1"/>
  <c r="AB58" i="19"/>
  <c r="AD58" i="19" s="1"/>
  <c r="AC58" i="19"/>
  <c r="AE58" i="19" s="1"/>
  <c r="AF58" i="19" s="1"/>
  <c r="BC58" i="19" s="1"/>
  <c r="BE58" i="19" s="1"/>
  <c r="BG58" i="19" s="1"/>
  <c r="AM58" i="3"/>
  <c r="AO58" i="3" s="1"/>
  <c r="AP58" i="3" s="1"/>
  <c r="BJ58" i="3" s="1"/>
  <c r="BL58" i="3" s="1"/>
  <c r="BN58" i="3" s="1"/>
  <c r="AL58" i="3"/>
  <c r="AN58" i="3" s="1"/>
  <c r="AC58" i="18"/>
  <c r="AE58" i="18" s="1"/>
  <c r="AF58" i="18" s="1"/>
  <c r="BC58" i="18" s="1"/>
  <c r="BE58" i="18" s="1"/>
  <c r="BG58" i="18" s="1"/>
  <c r="AB58" i="18"/>
  <c r="AD58" i="18" s="1"/>
  <c r="AK59" i="19"/>
  <c r="AK59" i="3"/>
  <c r="AA59" i="19"/>
  <c r="AA59" i="18"/>
  <c r="AK59" i="18"/>
  <c r="AM58" i="19"/>
  <c r="AO58" i="19" s="1"/>
  <c r="AP58" i="19" s="1"/>
  <c r="BJ58" i="19" s="1"/>
  <c r="BL58" i="19" s="1"/>
  <c r="BN58" i="19" s="1"/>
  <c r="AL58" i="19"/>
  <c r="AN58" i="19" s="1"/>
  <c r="AL119" i="3"/>
  <c r="AM119" i="3"/>
  <c r="AM58" i="18"/>
  <c r="AO58" i="18" s="1"/>
  <c r="AP58" i="18" s="1"/>
  <c r="BJ58" i="18" s="1"/>
  <c r="BL58" i="18" s="1"/>
  <c r="BN58" i="18" s="1"/>
  <c r="AL58" i="18"/>
  <c r="AN58" i="18" s="1"/>
  <c r="I57" i="6"/>
  <c r="O56" i="6"/>
  <c r="S56" i="6" s="1"/>
  <c r="Z55" i="6" s="1"/>
  <c r="AJ206" i="11"/>
  <c r="Z151" i="8"/>
  <c r="H159" i="6" s="1"/>
  <c r="AH151" i="8"/>
  <c r="I159" i="6" s="1"/>
  <c r="R151" i="8"/>
  <c r="G125" i="6" s="1"/>
  <c r="H124" i="6"/>
  <c r="O124" i="6" s="1"/>
  <c r="S124" i="6" s="1"/>
  <c r="AL55" i="6" s="1"/>
  <c r="G109" i="11"/>
  <c r="AR98" i="3" s="1"/>
  <c r="AU98" i="3" s="1"/>
  <c r="AW98" i="3" s="1"/>
  <c r="F110" i="11"/>
  <c r="D138" i="7" s="1"/>
  <c r="G57" i="6"/>
  <c r="AV97" i="3"/>
  <c r="H91" i="6"/>
  <c r="O91" i="6" s="1"/>
  <c r="S91" i="6" s="1"/>
  <c r="AF56" i="6" s="1"/>
  <c r="N91" i="6"/>
  <c r="R91" i="6" s="1"/>
  <c r="AE56" i="6" s="1"/>
  <c r="AL115" i="3"/>
  <c r="E115" i="18"/>
  <c r="P114" i="18"/>
  <c r="Q114" i="18" s="1"/>
  <c r="L114" i="18"/>
  <c r="O95" i="6"/>
  <c r="S95" i="6" s="1"/>
  <c r="AF60" i="6" s="1"/>
  <c r="O61" i="6"/>
  <c r="S61" i="6" s="1"/>
  <c r="Z60" i="6" s="1"/>
  <c r="O90" i="6"/>
  <c r="S90" i="6" s="1"/>
  <c r="AF55" i="6" s="1"/>
  <c r="BI108" i="18"/>
  <c r="BB108" i="18"/>
  <c r="BB108" i="3"/>
  <c r="BI108" i="3"/>
  <c r="L137" i="7"/>
  <c r="AD136" i="7"/>
  <c r="AW95" i="19"/>
  <c r="AV95" i="19"/>
  <c r="AR96" i="18"/>
  <c r="AU96" i="18" s="1"/>
  <c r="AV96" i="18" s="1"/>
  <c r="AU96" i="19"/>
  <c r="AW95" i="18"/>
  <c r="R115" i="3"/>
  <c r="S115" i="3"/>
  <c r="U109" i="3"/>
  <c r="V109" i="3" s="1"/>
  <c r="T109" i="3"/>
  <c r="U109" i="18"/>
  <c r="V109" i="18" s="1"/>
  <c r="T109" i="18"/>
  <c r="AR170" i="7"/>
  <c r="AR171" i="7"/>
  <c r="Y139" i="7"/>
  <c r="AS138" i="7"/>
  <c r="H137" i="7"/>
  <c r="Z136" i="7"/>
  <c r="V137" i="7"/>
  <c r="AP136" i="7"/>
  <c r="AN136" i="7"/>
  <c r="T137" i="7"/>
  <c r="J137" i="7"/>
  <c r="AB136" i="7"/>
  <c r="W137" i="7"/>
  <c r="AQ136" i="7"/>
  <c r="M137" i="7"/>
  <c r="AE136" i="7"/>
  <c r="E109" i="11"/>
  <c r="C136" i="7"/>
  <c r="G107" i="16"/>
  <c r="AD58" i="3" l="1"/>
  <c r="O158" i="6"/>
  <c r="S158" i="6" s="1"/>
  <c r="AR55" i="6" s="1"/>
  <c r="AA59" i="3"/>
  <c r="AJ16" i="23"/>
  <c r="AL16" i="23"/>
  <c r="H125" i="6"/>
  <c r="AL22" i="23"/>
  <c r="AJ22" i="23"/>
  <c r="I125" i="6"/>
  <c r="AM59" i="18"/>
  <c r="AO59" i="18" s="1"/>
  <c r="AP59" i="18" s="1"/>
  <c r="BJ59" i="18" s="1"/>
  <c r="BL59" i="18" s="1"/>
  <c r="BN59" i="18" s="1"/>
  <c r="AL59" i="18"/>
  <c r="AN59" i="18" s="1"/>
  <c r="AC59" i="18"/>
  <c r="AE59" i="18" s="1"/>
  <c r="AF59" i="18" s="1"/>
  <c r="BC59" i="18" s="1"/>
  <c r="BE59" i="18" s="1"/>
  <c r="BG59" i="18" s="1"/>
  <c r="AB59" i="18"/>
  <c r="AD59" i="18" s="1"/>
  <c r="G110" i="11"/>
  <c r="AR99" i="3" s="1"/>
  <c r="AU99" i="3" s="1"/>
  <c r="AW99" i="3" s="1"/>
  <c r="F111" i="11"/>
  <c r="D139" i="7" s="1"/>
  <c r="AB59" i="19"/>
  <c r="AD59" i="19" s="1"/>
  <c r="AC59" i="19"/>
  <c r="AE59" i="19" s="1"/>
  <c r="AF59" i="19" s="1"/>
  <c r="BC59" i="19" s="1"/>
  <c r="BE59" i="19" s="1"/>
  <c r="BG59" i="19" s="1"/>
  <c r="AL59" i="3"/>
  <c r="AN59" i="3" s="1"/>
  <c r="AM59" i="3"/>
  <c r="AO59" i="3" s="1"/>
  <c r="AP59" i="3" s="1"/>
  <c r="BJ59" i="3" s="1"/>
  <c r="BL59" i="3" s="1"/>
  <c r="BN59" i="3" s="1"/>
  <c r="AA60" i="18"/>
  <c r="AA60" i="19"/>
  <c r="AK60" i="18"/>
  <c r="AK60" i="19"/>
  <c r="AK60" i="3"/>
  <c r="AL59" i="19"/>
  <c r="AN59" i="19" s="1"/>
  <c r="AM59" i="19"/>
  <c r="AO59" i="19" s="1"/>
  <c r="AP59" i="19" s="1"/>
  <c r="BJ59" i="19" s="1"/>
  <c r="BL59" i="19" s="1"/>
  <c r="BN59" i="19" s="1"/>
  <c r="O57" i="6"/>
  <c r="S57" i="6" s="1"/>
  <c r="Z56" i="6" s="1"/>
  <c r="AV98" i="3"/>
  <c r="G159" i="6"/>
  <c r="O159" i="6" s="1"/>
  <c r="S159" i="6" s="1"/>
  <c r="AR56" i="6" s="1"/>
  <c r="S114" i="18"/>
  <c r="R114" i="18"/>
  <c r="L115" i="18"/>
  <c r="P115" i="18"/>
  <c r="Q115" i="18" s="1"/>
  <c r="BI109" i="18"/>
  <c r="BB109" i="18"/>
  <c r="BB109" i="3"/>
  <c r="BI109" i="3"/>
  <c r="L138" i="7"/>
  <c r="AD137" i="7"/>
  <c r="AW96" i="18"/>
  <c r="AV96" i="19"/>
  <c r="AW96" i="19"/>
  <c r="AR97" i="18"/>
  <c r="AU97" i="18" s="1"/>
  <c r="AV97" i="18" s="1"/>
  <c r="AU97" i="19"/>
  <c r="T110" i="3"/>
  <c r="U110" i="3"/>
  <c r="V110" i="3" s="1"/>
  <c r="T110" i="18"/>
  <c r="U110" i="18"/>
  <c r="V110" i="18" s="1"/>
  <c r="AN137" i="7"/>
  <c r="T138" i="7"/>
  <c r="E110" i="11"/>
  <c r="C137" i="7"/>
  <c r="W138" i="7"/>
  <c r="AQ137" i="7"/>
  <c r="H138" i="7"/>
  <c r="Z137" i="7"/>
  <c r="M138" i="7"/>
  <c r="AE137" i="7"/>
  <c r="J138" i="7"/>
  <c r="AB137" i="7"/>
  <c r="V138" i="7"/>
  <c r="AP137" i="7"/>
  <c r="Y140" i="7"/>
  <c r="AS139" i="7"/>
  <c r="G108" i="16"/>
  <c r="G111" i="11"/>
  <c r="AR100" i="3" s="1"/>
  <c r="AU100" i="3" s="1"/>
  <c r="O125" i="6" l="1"/>
  <c r="S125" i="6" s="1"/>
  <c r="AL56" i="6" s="1"/>
  <c r="AC59" i="3"/>
  <c r="AE59" i="3" s="1"/>
  <c r="AF59" i="3" s="1"/>
  <c r="BC59" i="3" s="1"/>
  <c r="BE59" i="3" s="1"/>
  <c r="BG59" i="3" s="1"/>
  <c r="AB59" i="3"/>
  <c r="AD59" i="3" s="1"/>
  <c r="AA60" i="3"/>
  <c r="F112" i="11"/>
  <c r="D140" i="7" s="1"/>
  <c r="AV99" i="3"/>
  <c r="AM60" i="18"/>
  <c r="AO60" i="18" s="1"/>
  <c r="AP60" i="18" s="1"/>
  <c r="BJ60" i="18" s="1"/>
  <c r="BL60" i="18" s="1"/>
  <c r="BN60" i="18" s="1"/>
  <c r="AL60" i="18"/>
  <c r="AN60" i="18" s="1"/>
  <c r="AC60" i="19"/>
  <c r="AE60" i="19" s="1"/>
  <c r="AF60" i="19" s="1"/>
  <c r="BC60" i="19" s="1"/>
  <c r="BE60" i="19" s="1"/>
  <c r="BG60" i="19" s="1"/>
  <c r="AB60" i="19"/>
  <c r="AD60" i="19" s="1"/>
  <c r="AC60" i="18"/>
  <c r="AE60" i="18" s="1"/>
  <c r="AF60" i="18" s="1"/>
  <c r="BC60" i="18" s="1"/>
  <c r="BE60" i="18" s="1"/>
  <c r="BG60" i="18" s="1"/>
  <c r="AB60" i="18"/>
  <c r="AD60" i="18" s="1"/>
  <c r="AM60" i="3"/>
  <c r="AO60" i="3" s="1"/>
  <c r="AP60" i="3" s="1"/>
  <c r="BJ60" i="3" s="1"/>
  <c r="BL60" i="3" s="1"/>
  <c r="BN60" i="3" s="1"/>
  <c r="AL60" i="3"/>
  <c r="AN60" i="3" s="1"/>
  <c r="AA61" i="18"/>
  <c r="AA61" i="19"/>
  <c r="AK61" i="18"/>
  <c r="AK61" i="19"/>
  <c r="AK61" i="3"/>
  <c r="AL60" i="19"/>
  <c r="AN60" i="19" s="1"/>
  <c r="AM60" i="19"/>
  <c r="AO60" i="19" s="1"/>
  <c r="AP60" i="19" s="1"/>
  <c r="BJ60" i="19" s="1"/>
  <c r="BL60" i="19" s="1"/>
  <c r="BN60" i="19" s="1"/>
  <c r="S115" i="18"/>
  <c r="R115" i="18"/>
  <c r="BB110" i="18"/>
  <c r="BI110" i="18"/>
  <c r="BB110" i="3"/>
  <c r="BI110" i="3"/>
  <c r="AD138" i="7"/>
  <c r="L139" i="7"/>
  <c r="AW100" i="3"/>
  <c r="AV100" i="3"/>
  <c r="AR98" i="18"/>
  <c r="AU98" i="18" s="1"/>
  <c r="AV98" i="18" s="1"/>
  <c r="AU98" i="19"/>
  <c r="AW97" i="18"/>
  <c r="AW97" i="19"/>
  <c r="AV97" i="19"/>
  <c r="U111" i="3"/>
  <c r="V111" i="3" s="1"/>
  <c r="T111" i="3"/>
  <c r="T111" i="18"/>
  <c r="U111" i="18"/>
  <c r="V111" i="18" s="1"/>
  <c r="V139" i="7"/>
  <c r="AP138" i="7"/>
  <c r="H139" i="7"/>
  <c r="Z138" i="7"/>
  <c r="AN138" i="7"/>
  <c r="T139" i="7"/>
  <c r="M139" i="7"/>
  <c r="AE138" i="7"/>
  <c r="E111" i="11"/>
  <c r="C138" i="7"/>
  <c r="Y141" i="7"/>
  <c r="AS140" i="7"/>
  <c r="J139" i="7"/>
  <c r="AB138" i="7"/>
  <c r="W139" i="7"/>
  <c r="AQ138" i="7"/>
  <c r="G109" i="16"/>
  <c r="AR99" i="18" s="1"/>
  <c r="AU99" i="18" s="1"/>
  <c r="F113" i="11"/>
  <c r="D141" i="7" s="1"/>
  <c r="G112" i="11"/>
  <c r="AR101" i="3" s="1"/>
  <c r="AU101" i="3" s="1"/>
  <c r="AC60" i="3" l="1"/>
  <c r="AE60" i="3" s="1"/>
  <c r="AF60" i="3" s="1"/>
  <c r="BC60" i="3" s="1"/>
  <c r="BE60" i="3" s="1"/>
  <c r="BG60" i="3" s="1"/>
  <c r="AB60" i="3"/>
  <c r="AD60" i="3" s="1"/>
  <c r="AA61" i="3"/>
  <c r="AC61" i="18"/>
  <c r="AE61" i="18" s="1"/>
  <c r="AF61" i="18" s="1"/>
  <c r="BC61" i="18" s="1"/>
  <c r="BE61" i="18" s="1"/>
  <c r="BG61" i="18" s="1"/>
  <c r="AB61" i="18"/>
  <c r="AD61" i="18" s="1"/>
  <c r="AC61" i="19"/>
  <c r="AE61" i="19" s="1"/>
  <c r="AF61" i="19" s="1"/>
  <c r="BC61" i="19" s="1"/>
  <c r="BE61" i="19" s="1"/>
  <c r="BG61" i="19" s="1"/>
  <c r="AB61" i="19"/>
  <c r="AD61" i="19" s="1"/>
  <c r="AM61" i="3"/>
  <c r="AO61" i="3" s="1"/>
  <c r="AP61" i="3" s="1"/>
  <c r="BJ61" i="3" s="1"/>
  <c r="BL61" i="3" s="1"/>
  <c r="BN61" i="3" s="1"/>
  <c r="AL61" i="3"/>
  <c r="AN61" i="3" s="1"/>
  <c r="AM61" i="19"/>
  <c r="AO61" i="19" s="1"/>
  <c r="AP61" i="19" s="1"/>
  <c r="BJ61" i="19" s="1"/>
  <c r="BL61" i="19" s="1"/>
  <c r="BN61" i="19" s="1"/>
  <c r="AL61" i="19"/>
  <c r="AN61" i="19" s="1"/>
  <c r="AM61" i="18"/>
  <c r="AO61" i="18" s="1"/>
  <c r="AP61" i="18" s="1"/>
  <c r="BJ61" i="18" s="1"/>
  <c r="BL61" i="18" s="1"/>
  <c r="BN61" i="18" s="1"/>
  <c r="AL61" i="18"/>
  <c r="AN61" i="18" s="1"/>
  <c r="AA62" i="18"/>
  <c r="AK62" i="19"/>
  <c r="AK62" i="18"/>
  <c r="AK62" i="3"/>
  <c r="AA62" i="19"/>
  <c r="BI111" i="18"/>
  <c r="BB111" i="18"/>
  <c r="BB111" i="3"/>
  <c r="BI111" i="3"/>
  <c r="L140" i="7"/>
  <c r="AD139" i="7"/>
  <c r="AW98" i="18"/>
  <c r="AV101" i="3"/>
  <c r="AW101" i="3"/>
  <c r="AW98" i="19"/>
  <c r="AV98" i="19"/>
  <c r="AW99" i="18"/>
  <c r="AV99" i="18"/>
  <c r="U112" i="18"/>
  <c r="V112" i="18" s="1"/>
  <c r="T112" i="18"/>
  <c r="T112" i="3"/>
  <c r="U112" i="3"/>
  <c r="V112" i="3" s="1"/>
  <c r="Y142" i="7"/>
  <c r="AS141" i="7"/>
  <c r="H140" i="7"/>
  <c r="Z139" i="7"/>
  <c r="AN139" i="7"/>
  <c r="T140" i="7"/>
  <c r="M140" i="7"/>
  <c r="AE139" i="7"/>
  <c r="W140" i="7"/>
  <c r="AQ139" i="7"/>
  <c r="J140" i="7"/>
  <c r="AB139" i="7"/>
  <c r="E112" i="11"/>
  <c r="C139" i="7"/>
  <c r="V140" i="7"/>
  <c r="AP139" i="7"/>
  <c r="G110" i="16"/>
  <c r="AR100" i="18" s="1"/>
  <c r="AU100" i="18" s="1"/>
  <c r="F114" i="11"/>
  <c r="D142" i="7" s="1"/>
  <c r="G113" i="11"/>
  <c r="AR102" i="3" s="1"/>
  <c r="AU102" i="3" s="1"/>
  <c r="AC61" i="3" l="1"/>
  <c r="AE61" i="3" s="1"/>
  <c r="AF61" i="3" s="1"/>
  <c r="BC61" i="3" s="1"/>
  <c r="BE61" i="3" s="1"/>
  <c r="BG61" i="3" s="1"/>
  <c r="AB61" i="3"/>
  <c r="AD61" i="3" s="1"/>
  <c r="AA62" i="3"/>
  <c r="AL62" i="19"/>
  <c r="AN62" i="19" s="1"/>
  <c r="AM62" i="19"/>
  <c r="AO62" i="19" s="1"/>
  <c r="AP62" i="19" s="1"/>
  <c r="BJ62" i="19" s="1"/>
  <c r="BL62" i="19" s="1"/>
  <c r="BN62" i="19" s="1"/>
  <c r="AB62" i="18"/>
  <c r="AD62" i="18" s="1"/>
  <c r="AC62" i="18"/>
  <c r="AE62" i="18" s="1"/>
  <c r="AF62" i="18" s="1"/>
  <c r="BC62" i="18" s="1"/>
  <c r="BE62" i="18" s="1"/>
  <c r="BG62" i="18" s="1"/>
  <c r="AL62" i="18"/>
  <c r="AN62" i="18" s="1"/>
  <c r="AM62" i="18"/>
  <c r="AO62" i="18" s="1"/>
  <c r="AP62" i="18" s="1"/>
  <c r="BJ62" i="18" s="1"/>
  <c r="BL62" i="18" s="1"/>
  <c r="BN62" i="18" s="1"/>
  <c r="AC62" i="19"/>
  <c r="AE62" i="19" s="1"/>
  <c r="AF62" i="19" s="1"/>
  <c r="BC62" i="19" s="1"/>
  <c r="BE62" i="19" s="1"/>
  <c r="BG62" i="19" s="1"/>
  <c r="AB62" i="19"/>
  <c r="AD62" i="19" s="1"/>
  <c r="AK63" i="19"/>
  <c r="AK63" i="18"/>
  <c r="AA63" i="18"/>
  <c r="AK63" i="3"/>
  <c r="AA63" i="19"/>
  <c r="AA63" i="3"/>
  <c r="AM62" i="3"/>
  <c r="AO62" i="3" s="1"/>
  <c r="AP62" i="3" s="1"/>
  <c r="BJ62" i="3" s="1"/>
  <c r="BL62" i="3" s="1"/>
  <c r="BN62" i="3" s="1"/>
  <c r="AL62" i="3"/>
  <c r="AN62" i="3" s="1"/>
  <c r="BB112" i="18"/>
  <c r="BI112" i="18"/>
  <c r="BB112" i="3"/>
  <c r="BI112" i="3"/>
  <c r="L141" i="7"/>
  <c r="AD140" i="7"/>
  <c r="AV102" i="3"/>
  <c r="AW102" i="3"/>
  <c r="AW100" i="18"/>
  <c r="AV100" i="18"/>
  <c r="U113" i="18"/>
  <c r="V113" i="18" s="1"/>
  <c r="T113" i="18"/>
  <c r="U113" i="3"/>
  <c r="V113" i="3" s="1"/>
  <c r="T113" i="3"/>
  <c r="E113" i="11"/>
  <c r="C140" i="7"/>
  <c r="H141" i="7"/>
  <c r="Z140" i="7"/>
  <c r="AN140" i="7"/>
  <c r="T141" i="7"/>
  <c r="W141" i="7"/>
  <c r="AQ140" i="7"/>
  <c r="V141" i="7"/>
  <c r="AP140" i="7"/>
  <c r="J141" i="7"/>
  <c r="AB140" i="7"/>
  <c r="M141" i="7"/>
  <c r="AE140" i="7"/>
  <c r="Y143" i="7"/>
  <c r="AS142" i="7"/>
  <c r="G111" i="16"/>
  <c r="AR101" i="18" s="1"/>
  <c r="AU101" i="18" s="1"/>
  <c r="F115" i="11"/>
  <c r="D143" i="7" s="1"/>
  <c r="G114" i="11"/>
  <c r="AR103" i="3" s="1"/>
  <c r="AU103" i="3" s="1"/>
  <c r="AB62" i="3" l="1"/>
  <c r="AD62" i="3" s="1"/>
  <c r="AC62" i="3"/>
  <c r="AE62" i="3" s="1"/>
  <c r="AF62" i="3" s="1"/>
  <c r="BC62" i="3" s="1"/>
  <c r="BE62" i="3" s="1"/>
  <c r="BG62" i="3" s="1"/>
  <c r="AB63" i="19"/>
  <c r="AD63" i="19" s="1"/>
  <c r="AC63" i="19"/>
  <c r="AE63" i="19" s="1"/>
  <c r="AF63" i="19" s="1"/>
  <c r="BC63" i="19" s="1"/>
  <c r="BE63" i="19" s="1"/>
  <c r="BG63" i="19" s="1"/>
  <c r="AL63" i="3"/>
  <c r="AN63" i="3" s="1"/>
  <c r="AM63" i="3"/>
  <c r="AO63" i="3" s="1"/>
  <c r="AP63" i="3" s="1"/>
  <c r="BJ63" i="3" s="1"/>
  <c r="BL63" i="3" s="1"/>
  <c r="BN63" i="3" s="1"/>
  <c r="AB63" i="18"/>
  <c r="AD63" i="18" s="1"/>
  <c r="AC63" i="18"/>
  <c r="AE63" i="18" s="1"/>
  <c r="AF63" i="18" s="1"/>
  <c r="BC63" i="18" s="1"/>
  <c r="BE63" i="18" s="1"/>
  <c r="BG63" i="18" s="1"/>
  <c r="AK64" i="19"/>
  <c r="AA64" i="18"/>
  <c r="AK64" i="18"/>
  <c r="AA64" i="19"/>
  <c r="AK64" i="3"/>
  <c r="AC63" i="3"/>
  <c r="AE63" i="3" s="1"/>
  <c r="AF63" i="3" s="1"/>
  <c r="BC63" i="3" s="1"/>
  <c r="BE63" i="3" s="1"/>
  <c r="BG63" i="3" s="1"/>
  <c r="AB63" i="3"/>
  <c r="AM63" i="18"/>
  <c r="AO63" i="18" s="1"/>
  <c r="AP63" i="18" s="1"/>
  <c r="BJ63" i="18" s="1"/>
  <c r="BL63" i="18" s="1"/>
  <c r="BN63" i="18" s="1"/>
  <c r="AL63" i="18"/>
  <c r="AN63" i="18" s="1"/>
  <c r="AM63" i="19"/>
  <c r="AO63" i="19" s="1"/>
  <c r="AP63" i="19" s="1"/>
  <c r="BJ63" i="19" s="1"/>
  <c r="BL63" i="19" s="1"/>
  <c r="BN63" i="19" s="1"/>
  <c r="AL63" i="19"/>
  <c r="AN63" i="19" s="1"/>
  <c r="BI113" i="18"/>
  <c r="BB113" i="18"/>
  <c r="BB113" i="3"/>
  <c r="BI113" i="3"/>
  <c r="AD141" i="7"/>
  <c r="L142" i="7"/>
  <c r="AV103" i="3"/>
  <c r="AW103" i="3"/>
  <c r="AW101" i="18"/>
  <c r="AV101" i="18"/>
  <c r="U114" i="3"/>
  <c r="V114" i="3" s="1"/>
  <c r="T114" i="3"/>
  <c r="T114" i="18"/>
  <c r="U114" i="18"/>
  <c r="V114" i="18" s="1"/>
  <c r="V142" i="7"/>
  <c r="AP141" i="7"/>
  <c r="AN141" i="7"/>
  <c r="T142" i="7"/>
  <c r="M142" i="7"/>
  <c r="AE141" i="7"/>
  <c r="Y144" i="7"/>
  <c r="AS143" i="7"/>
  <c r="J142" i="7"/>
  <c r="AB141" i="7"/>
  <c r="W142" i="7"/>
  <c r="AQ141" i="7"/>
  <c r="H142" i="7"/>
  <c r="Z141" i="7"/>
  <c r="E114" i="11"/>
  <c r="C141" i="7"/>
  <c r="G112" i="16"/>
  <c r="AR102" i="18" s="1"/>
  <c r="AU102" i="18" s="1"/>
  <c r="F116" i="11"/>
  <c r="D144" i="7" s="1"/>
  <c r="G115" i="11"/>
  <c r="AR104" i="3" s="1"/>
  <c r="AU104" i="3" s="1"/>
  <c r="AD63" i="3" l="1"/>
  <c r="AA64" i="3"/>
  <c r="AK65" i="19"/>
  <c r="AK65" i="18"/>
  <c r="AK65" i="3"/>
  <c r="AL64" i="19"/>
  <c r="AN64" i="19" s="1"/>
  <c r="AM64" i="19"/>
  <c r="AO64" i="19" s="1"/>
  <c r="AP64" i="19" s="1"/>
  <c r="BJ64" i="19" s="1"/>
  <c r="BL64" i="19" s="1"/>
  <c r="BN64" i="19" s="1"/>
  <c r="AM64" i="3"/>
  <c r="AO64" i="3" s="1"/>
  <c r="AP64" i="3" s="1"/>
  <c r="BJ64" i="3" s="1"/>
  <c r="BL64" i="3" s="1"/>
  <c r="BN64" i="3" s="1"/>
  <c r="AL64" i="3"/>
  <c r="AN64" i="3" s="1"/>
  <c r="AC64" i="19"/>
  <c r="AE64" i="19" s="1"/>
  <c r="AF64" i="19" s="1"/>
  <c r="BC64" i="19" s="1"/>
  <c r="BE64" i="19" s="1"/>
  <c r="BG64" i="19" s="1"/>
  <c r="AB64" i="19"/>
  <c r="AD64" i="19" s="1"/>
  <c r="AM64" i="18"/>
  <c r="AO64" i="18" s="1"/>
  <c r="AP64" i="18" s="1"/>
  <c r="BJ64" i="18" s="1"/>
  <c r="BL64" i="18" s="1"/>
  <c r="BN64" i="18" s="1"/>
  <c r="AL64" i="18"/>
  <c r="AN64" i="18" s="1"/>
  <c r="AC64" i="18"/>
  <c r="AE64" i="18" s="1"/>
  <c r="AF64" i="18" s="1"/>
  <c r="BC64" i="18" s="1"/>
  <c r="BE64" i="18" s="1"/>
  <c r="BG64" i="18" s="1"/>
  <c r="AB64" i="18"/>
  <c r="AD64" i="18" s="1"/>
  <c r="BB114" i="18"/>
  <c r="BI114" i="18"/>
  <c r="BB114" i="3"/>
  <c r="BI114" i="3"/>
  <c r="L143" i="7"/>
  <c r="AD142" i="7"/>
  <c r="AV104" i="3"/>
  <c r="AW104" i="3"/>
  <c r="AW102" i="18"/>
  <c r="AV102" i="18"/>
  <c r="U115" i="18"/>
  <c r="V115" i="18" s="1"/>
  <c r="T115" i="18"/>
  <c r="U115" i="3"/>
  <c r="V115" i="3" s="1"/>
  <c r="T115" i="3"/>
  <c r="J143" i="7"/>
  <c r="AB142" i="7"/>
  <c r="AN142" i="7"/>
  <c r="T143" i="7"/>
  <c r="H143" i="7"/>
  <c r="Z142" i="7"/>
  <c r="M143" i="7"/>
  <c r="AE142" i="7"/>
  <c r="E115" i="11"/>
  <c r="C142" i="7"/>
  <c r="W143" i="7"/>
  <c r="AQ142" i="7"/>
  <c r="Y145" i="7"/>
  <c r="AS144" i="7"/>
  <c r="V143" i="7"/>
  <c r="AP142" i="7"/>
  <c r="G113" i="16"/>
  <c r="AR103" i="18" s="1"/>
  <c r="AU103" i="18" s="1"/>
  <c r="F117" i="11"/>
  <c r="D145" i="7" s="1"/>
  <c r="G116" i="11"/>
  <c r="AR105" i="3" s="1"/>
  <c r="AU105" i="3" s="1"/>
  <c r="AC64" i="3" l="1"/>
  <c r="AE64" i="3" s="1"/>
  <c r="AF64" i="3" s="1"/>
  <c r="BC64" i="3" s="1"/>
  <c r="BE64" i="3" s="1"/>
  <c r="BG64" i="3" s="1"/>
  <c r="AB64" i="3"/>
  <c r="AD64" i="3" s="1"/>
  <c r="AK66" i="19"/>
  <c r="AK66" i="18"/>
  <c r="AK66" i="3"/>
  <c r="AA65" i="19"/>
  <c r="AR65" i="19"/>
  <c r="AU65" i="19" s="1"/>
  <c r="AA65" i="18"/>
  <c r="AR65" i="18"/>
  <c r="AU65" i="18" s="1"/>
  <c r="AM65" i="3"/>
  <c r="AO65" i="3" s="1"/>
  <c r="AP65" i="3" s="1"/>
  <c r="BJ65" i="3" s="1"/>
  <c r="AL65" i="3"/>
  <c r="AN65" i="3" s="1"/>
  <c r="AM65" i="19"/>
  <c r="AO65" i="19" s="1"/>
  <c r="AP65" i="19" s="1"/>
  <c r="BJ65" i="19" s="1"/>
  <c r="AL65" i="19"/>
  <c r="AN65" i="19" s="1"/>
  <c r="AA65" i="3"/>
  <c r="AR65" i="3"/>
  <c r="AU65" i="3" s="1"/>
  <c r="AM65" i="18"/>
  <c r="AO65" i="18" s="1"/>
  <c r="AP65" i="18" s="1"/>
  <c r="BJ65" i="18" s="1"/>
  <c r="AL65" i="18"/>
  <c r="AN65" i="18" s="1"/>
  <c r="BI115" i="18"/>
  <c r="BB115" i="18"/>
  <c r="BB115" i="3"/>
  <c r="BI115" i="3"/>
  <c r="L144" i="7"/>
  <c r="AD143" i="7"/>
  <c r="AV105" i="3"/>
  <c r="AW105" i="3"/>
  <c r="AW103" i="18"/>
  <c r="AV103" i="18"/>
  <c r="T116" i="3"/>
  <c r="U116" i="3"/>
  <c r="V116" i="3" s="1"/>
  <c r="T116" i="18"/>
  <c r="U116" i="18"/>
  <c r="V116" i="18" s="1"/>
  <c r="Y146" i="7"/>
  <c r="AS145" i="7"/>
  <c r="H144" i="7"/>
  <c r="Z143" i="7"/>
  <c r="AN143" i="7"/>
  <c r="T144" i="7"/>
  <c r="E116" i="11"/>
  <c r="C143" i="7"/>
  <c r="V144" i="7"/>
  <c r="AP143" i="7"/>
  <c r="W144" i="7"/>
  <c r="AQ143" i="7"/>
  <c r="M144" i="7"/>
  <c r="AE143" i="7"/>
  <c r="J144" i="7"/>
  <c r="AB143" i="7"/>
  <c r="G114" i="16"/>
  <c r="AR104" i="18" s="1"/>
  <c r="AU104" i="18" s="1"/>
  <c r="F118" i="11"/>
  <c r="D146" i="7" s="1"/>
  <c r="G117" i="11"/>
  <c r="AR106" i="3" s="1"/>
  <c r="AU106" i="3" s="1"/>
  <c r="AB65" i="19" l="1"/>
  <c r="AD65" i="19" s="1"/>
  <c r="AC65" i="19"/>
  <c r="AE65" i="19" s="1"/>
  <c r="AF65" i="19" s="1"/>
  <c r="BC65" i="19" s="1"/>
  <c r="AL66" i="18"/>
  <c r="AN66" i="18" s="1"/>
  <c r="AM66" i="18"/>
  <c r="AO66" i="18" s="1"/>
  <c r="AP66" i="18" s="1"/>
  <c r="BJ66" i="18" s="1"/>
  <c r="AL66" i="19"/>
  <c r="AN66" i="19" s="1"/>
  <c r="AM66" i="19"/>
  <c r="AO66" i="19" s="1"/>
  <c r="AP66" i="19" s="1"/>
  <c r="BJ66" i="19" s="1"/>
  <c r="AV65" i="3"/>
  <c r="AX65" i="3" s="1"/>
  <c r="AW65" i="3"/>
  <c r="AY65" i="3" s="1"/>
  <c r="AZ65" i="3" s="1"/>
  <c r="AB65" i="3"/>
  <c r="AD65" i="3" s="1"/>
  <c r="AC65" i="3"/>
  <c r="AE65" i="3" s="1"/>
  <c r="AF65" i="3" s="1"/>
  <c r="BC65" i="3" s="1"/>
  <c r="AK67" i="3"/>
  <c r="AK67" i="19"/>
  <c r="AK67" i="18"/>
  <c r="AA66" i="3"/>
  <c r="AR66" i="3"/>
  <c r="AU66" i="3" s="1"/>
  <c r="AM66" i="3"/>
  <c r="AO66" i="3" s="1"/>
  <c r="AP66" i="3" s="1"/>
  <c r="BJ66" i="3" s="1"/>
  <c r="AL66" i="3"/>
  <c r="AN66" i="3" s="1"/>
  <c r="AV65" i="18"/>
  <c r="AX65" i="18" s="1"/>
  <c r="AW65" i="18"/>
  <c r="AY65" i="18" s="1"/>
  <c r="AZ65" i="18" s="1"/>
  <c r="AA66" i="18"/>
  <c r="AR66" i="18"/>
  <c r="AU66" i="18" s="1"/>
  <c r="AB65" i="18"/>
  <c r="AD65" i="18" s="1"/>
  <c r="AC65" i="18"/>
  <c r="AE65" i="18" s="1"/>
  <c r="AF65" i="18" s="1"/>
  <c r="BC65" i="18" s="1"/>
  <c r="AW65" i="19"/>
  <c r="AY65" i="19" s="1"/>
  <c r="AZ65" i="19" s="1"/>
  <c r="AV65" i="19"/>
  <c r="AX65" i="19" s="1"/>
  <c r="AA66" i="19"/>
  <c r="AR66" i="19"/>
  <c r="AU66" i="19" s="1"/>
  <c r="BB116" i="18"/>
  <c r="BI116" i="18"/>
  <c r="BB116" i="3"/>
  <c r="BI116" i="3"/>
  <c r="L145" i="7"/>
  <c r="AD144" i="7"/>
  <c r="AV106" i="3"/>
  <c r="AW106" i="3"/>
  <c r="AW104" i="18"/>
  <c r="AV104" i="18"/>
  <c r="T117" i="18"/>
  <c r="U117" i="18"/>
  <c r="V117" i="18" s="1"/>
  <c r="U117" i="3"/>
  <c r="V117" i="3" s="1"/>
  <c r="T117" i="3"/>
  <c r="V145" i="7"/>
  <c r="AP144" i="7"/>
  <c r="H145" i="7"/>
  <c r="Z144" i="7"/>
  <c r="AN144" i="7"/>
  <c r="T145" i="7"/>
  <c r="M145" i="7"/>
  <c r="AE144" i="7"/>
  <c r="E117" i="11"/>
  <c r="C144" i="7"/>
  <c r="J145" i="7"/>
  <c r="AB144" i="7"/>
  <c r="W145" i="7"/>
  <c r="AQ144" i="7"/>
  <c r="Y147" i="7"/>
  <c r="AS146" i="7"/>
  <c r="G115" i="16"/>
  <c r="AR105" i="18" s="1"/>
  <c r="AU105" i="18" s="1"/>
  <c r="F119" i="11"/>
  <c r="D147" i="7" s="1"/>
  <c r="G118" i="11"/>
  <c r="AR107" i="3" s="1"/>
  <c r="AU107" i="3" s="1"/>
  <c r="AC66" i="18" l="1"/>
  <c r="AE66" i="18" s="1"/>
  <c r="AF66" i="18" s="1"/>
  <c r="BC66" i="18" s="1"/>
  <c r="AB66" i="18"/>
  <c r="AD66" i="18" s="1"/>
  <c r="BK65" i="3"/>
  <c r="BL65" i="3" s="1"/>
  <c r="BN65" i="3" s="1"/>
  <c r="BD65" i="3"/>
  <c r="BE65" i="3" s="1"/>
  <c r="BG65" i="3" s="1"/>
  <c r="BK65" i="18"/>
  <c r="BL65" i="18" s="1"/>
  <c r="BN65" i="18" s="1"/>
  <c r="BD65" i="18"/>
  <c r="BE65" i="18" s="1"/>
  <c r="BG65" i="18" s="1"/>
  <c r="AA67" i="18"/>
  <c r="AR67" i="18"/>
  <c r="AU67" i="18" s="1"/>
  <c r="AC66" i="19"/>
  <c r="AE66" i="19" s="1"/>
  <c r="AF66" i="19" s="1"/>
  <c r="BC66" i="19" s="1"/>
  <c r="AB66" i="19"/>
  <c r="AD66" i="19" s="1"/>
  <c r="AV66" i="3"/>
  <c r="AX66" i="3" s="1"/>
  <c r="AW66" i="3"/>
  <c r="AY66" i="3" s="1"/>
  <c r="AZ66" i="3" s="1"/>
  <c r="AL67" i="3"/>
  <c r="AN67" i="3" s="1"/>
  <c r="AM67" i="3"/>
  <c r="AO67" i="3" s="1"/>
  <c r="AP67" i="3" s="1"/>
  <c r="BJ67" i="3" s="1"/>
  <c r="AA67" i="3"/>
  <c r="AR67" i="3"/>
  <c r="AU67" i="3" s="1"/>
  <c r="AV66" i="19"/>
  <c r="AX66" i="19" s="1"/>
  <c r="AW66" i="19"/>
  <c r="AY66" i="19" s="1"/>
  <c r="AZ66" i="19" s="1"/>
  <c r="AC66" i="3"/>
  <c r="AE66" i="3" s="1"/>
  <c r="AF66" i="3" s="1"/>
  <c r="BC66" i="3" s="1"/>
  <c r="AB66" i="3"/>
  <c r="AD66" i="3" s="1"/>
  <c r="AM67" i="18"/>
  <c r="AO67" i="18" s="1"/>
  <c r="AP67" i="18" s="1"/>
  <c r="BJ67" i="18" s="1"/>
  <c r="AL67" i="18"/>
  <c r="AN67" i="18" s="1"/>
  <c r="AV66" i="18"/>
  <c r="AX66" i="18" s="1"/>
  <c r="AW66" i="18"/>
  <c r="AY66" i="18" s="1"/>
  <c r="AZ66" i="18" s="1"/>
  <c r="AA67" i="19"/>
  <c r="AR67" i="19"/>
  <c r="AU67" i="19" s="1"/>
  <c r="BK65" i="19"/>
  <c r="BL65" i="19" s="1"/>
  <c r="BN65" i="19" s="1"/>
  <c r="BD65" i="19"/>
  <c r="BE65" i="19" s="1"/>
  <c r="BG65" i="19" s="1"/>
  <c r="AM67" i="19"/>
  <c r="AO67" i="19" s="1"/>
  <c r="AP67" i="19" s="1"/>
  <c r="BJ67" i="19" s="1"/>
  <c r="AL67" i="19"/>
  <c r="AN67" i="19" s="1"/>
  <c r="AK68" i="18"/>
  <c r="AK68" i="19"/>
  <c r="AK68" i="3"/>
  <c r="BI117" i="18"/>
  <c r="BB117" i="18"/>
  <c r="BB117" i="3"/>
  <c r="BI117" i="3"/>
  <c r="L146" i="7"/>
  <c r="AD145" i="7"/>
  <c r="AV107" i="3"/>
  <c r="AW107" i="3"/>
  <c r="AV105" i="18"/>
  <c r="AW105" i="18"/>
  <c r="T118" i="3"/>
  <c r="U118" i="3"/>
  <c r="V118" i="3" s="1"/>
  <c r="T118" i="18"/>
  <c r="U118" i="18"/>
  <c r="V118" i="18" s="1"/>
  <c r="J146" i="7"/>
  <c r="AB145" i="7"/>
  <c r="H146" i="7"/>
  <c r="Z145" i="7"/>
  <c r="AN145" i="7"/>
  <c r="T146" i="7"/>
  <c r="M146" i="7"/>
  <c r="AE145" i="7"/>
  <c r="Y148" i="7"/>
  <c r="AS147" i="7"/>
  <c r="W146" i="7"/>
  <c r="AQ145" i="7"/>
  <c r="E118" i="11"/>
  <c r="C145" i="7"/>
  <c r="V146" i="7"/>
  <c r="AP145" i="7"/>
  <c r="G116" i="16"/>
  <c r="AR106" i="18" s="1"/>
  <c r="AU106" i="18" s="1"/>
  <c r="F120" i="11"/>
  <c r="D148" i="7" s="1"/>
  <c r="G119" i="11"/>
  <c r="AR108" i="3" s="1"/>
  <c r="AU108" i="3" s="1"/>
  <c r="AL68" i="18" l="1"/>
  <c r="AN68" i="18" s="1"/>
  <c r="AM68" i="18"/>
  <c r="AO68" i="18" s="1"/>
  <c r="AP68" i="18" s="1"/>
  <c r="BJ68" i="18" s="1"/>
  <c r="AW67" i="19"/>
  <c r="AY67" i="19" s="1"/>
  <c r="AZ67" i="19" s="1"/>
  <c r="AV67" i="19"/>
  <c r="AX67" i="19" s="1"/>
  <c r="AC67" i="19"/>
  <c r="AE67" i="19" s="1"/>
  <c r="AF67" i="19" s="1"/>
  <c r="BC67" i="19" s="1"/>
  <c r="AB67" i="19"/>
  <c r="AD67" i="19" s="1"/>
  <c r="AV67" i="3"/>
  <c r="AX67" i="3" s="1"/>
  <c r="AW67" i="3"/>
  <c r="AY67" i="3" s="1"/>
  <c r="AZ67" i="3" s="1"/>
  <c r="AW67" i="18"/>
  <c r="AY67" i="18" s="1"/>
  <c r="AZ67" i="18" s="1"/>
  <c r="AV67" i="18"/>
  <c r="AX67" i="18" s="1"/>
  <c r="BK66" i="19"/>
  <c r="BL66" i="19" s="1"/>
  <c r="BN66" i="19" s="1"/>
  <c r="BD66" i="19"/>
  <c r="BE66" i="19" s="1"/>
  <c r="BG66" i="19" s="1"/>
  <c r="BK66" i="18"/>
  <c r="BL66" i="18" s="1"/>
  <c r="BN66" i="18" s="1"/>
  <c r="BD66" i="18"/>
  <c r="BE66" i="18" s="1"/>
  <c r="BG66" i="18" s="1"/>
  <c r="AB67" i="3"/>
  <c r="AD67" i="3" s="1"/>
  <c r="AC67" i="3"/>
  <c r="AE67" i="3" s="1"/>
  <c r="AF67" i="3" s="1"/>
  <c r="BC67" i="3" s="1"/>
  <c r="AC67" i="18"/>
  <c r="AE67" i="18" s="1"/>
  <c r="AF67" i="18" s="1"/>
  <c r="BC67" i="18" s="1"/>
  <c r="AB67" i="18"/>
  <c r="AD67" i="18" s="1"/>
  <c r="AA69" i="18"/>
  <c r="AA69" i="19"/>
  <c r="AK69" i="18"/>
  <c r="AK69" i="19"/>
  <c r="AK69" i="3"/>
  <c r="AA68" i="3"/>
  <c r="AR68" i="3"/>
  <c r="AU68" i="3" s="1"/>
  <c r="AL68" i="19"/>
  <c r="AN68" i="19" s="1"/>
  <c r="AM68" i="19"/>
  <c r="AO68" i="19" s="1"/>
  <c r="AP68" i="19" s="1"/>
  <c r="BJ68" i="19" s="1"/>
  <c r="BK66" i="3"/>
  <c r="BL66" i="3" s="1"/>
  <c r="BN66" i="3" s="1"/>
  <c r="BD66" i="3"/>
  <c r="BE66" i="3" s="1"/>
  <c r="BG66" i="3" s="1"/>
  <c r="AA68" i="18"/>
  <c r="AR68" i="18"/>
  <c r="AU68" i="18" s="1"/>
  <c r="AA68" i="19"/>
  <c r="AR68" i="19"/>
  <c r="AU68" i="19" s="1"/>
  <c r="AM68" i="3"/>
  <c r="AO68" i="3" s="1"/>
  <c r="AP68" i="3" s="1"/>
  <c r="BJ68" i="3" s="1"/>
  <c r="AL68" i="3"/>
  <c r="AN68" i="3" s="1"/>
  <c r="BB118" i="18"/>
  <c r="BI118" i="18"/>
  <c r="BB118" i="3"/>
  <c r="BI118" i="3"/>
  <c r="L147" i="7"/>
  <c r="AD146" i="7"/>
  <c r="AV108" i="3"/>
  <c r="AW108" i="3"/>
  <c r="AW106" i="18"/>
  <c r="AV106" i="18"/>
  <c r="U119" i="18"/>
  <c r="V119" i="18" s="1"/>
  <c r="T119" i="18"/>
  <c r="U119" i="3"/>
  <c r="V119" i="3" s="1"/>
  <c r="T119" i="3"/>
  <c r="Y149" i="7"/>
  <c r="AS148" i="7"/>
  <c r="H147" i="7"/>
  <c r="Z146" i="7"/>
  <c r="AN146" i="7"/>
  <c r="T147" i="7"/>
  <c r="E119" i="11"/>
  <c r="C146" i="7"/>
  <c r="V147" i="7"/>
  <c r="AP146" i="7"/>
  <c r="W147" i="7"/>
  <c r="AQ146" i="7"/>
  <c r="M147" i="7"/>
  <c r="AE146" i="7"/>
  <c r="J147" i="7"/>
  <c r="AB146" i="7"/>
  <c r="G117" i="16"/>
  <c r="AR107" i="18" s="1"/>
  <c r="AU107" i="18" s="1"/>
  <c r="F121" i="11"/>
  <c r="D149" i="7" s="1"/>
  <c r="G120" i="11"/>
  <c r="AR109" i="3" s="1"/>
  <c r="AU109" i="3" s="1"/>
  <c r="AA69" i="3" l="1"/>
  <c r="BK67" i="3"/>
  <c r="BL67" i="3" s="1"/>
  <c r="BN67" i="3" s="1"/>
  <c r="BD67" i="3"/>
  <c r="BE67" i="3" s="1"/>
  <c r="BG67" i="3" s="1"/>
  <c r="AA70" i="18"/>
  <c r="AK70" i="18"/>
  <c r="AA70" i="19"/>
  <c r="AK70" i="19"/>
  <c r="AK70" i="3"/>
  <c r="AC69" i="18"/>
  <c r="AB69" i="18"/>
  <c r="AV68" i="18"/>
  <c r="AX68" i="18" s="1"/>
  <c r="AW68" i="18"/>
  <c r="AY68" i="18" s="1"/>
  <c r="AZ68" i="18" s="1"/>
  <c r="AM69" i="3"/>
  <c r="AO69" i="3" s="1"/>
  <c r="AP69" i="3" s="1"/>
  <c r="BJ69" i="3" s="1"/>
  <c r="AL69" i="3"/>
  <c r="AN69" i="3" s="1"/>
  <c r="AB68" i="18"/>
  <c r="AD68" i="18" s="1"/>
  <c r="AC68" i="18"/>
  <c r="AE68" i="18" s="1"/>
  <c r="AF68" i="18" s="1"/>
  <c r="BC68" i="18" s="1"/>
  <c r="AM69" i="19"/>
  <c r="AO69" i="19" s="1"/>
  <c r="AP69" i="19" s="1"/>
  <c r="BJ69" i="19" s="1"/>
  <c r="AL69" i="19"/>
  <c r="AN69" i="19" s="1"/>
  <c r="AV68" i="3"/>
  <c r="AX68" i="3" s="1"/>
  <c r="AW68" i="3"/>
  <c r="AY68" i="3" s="1"/>
  <c r="AZ68" i="3" s="1"/>
  <c r="AM69" i="18"/>
  <c r="AO69" i="18" s="1"/>
  <c r="AP69" i="18" s="1"/>
  <c r="BJ69" i="18" s="1"/>
  <c r="AL69" i="18"/>
  <c r="AN69" i="18" s="1"/>
  <c r="AC69" i="19"/>
  <c r="AB69" i="19"/>
  <c r="AC68" i="3"/>
  <c r="AE68" i="3" s="1"/>
  <c r="AF68" i="3" s="1"/>
  <c r="BC68" i="3" s="1"/>
  <c r="AB68" i="3"/>
  <c r="AD68" i="3" s="1"/>
  <c r="E10" i="6"/>
  <c r="F10" i="6"/>
  <c r="BK67" i="19"/>
  <c r="BL67" i="19" s="1"/>
  <c r="BN67" i="19" s="1"/>
  <c r="BD67" i="19"/>
  <c r="BE67" i="19" s="1"/>
  <c r="BG67" i="19" s="1"/>
  <c r="AV68" i="19"/>
  <c r="AX68" i="19" s="1"/>
  <c r="AW68" i="19"/>
  <c r="AY68" i="19" s="1"/>
  <c r="AZ68" i="19" s="1"/>
  <c r="AC68" i="19"/>
  <c r="AE68" i="19" s="1"/>
  <c r="AF68" i="19" s="1"/>
  <c r="BC68" i="19" s="1"/>
  <c r="AB68" i="19"/>
  <c r="AD68" i="19" s="1"/>
  <c r="BD67" i="18"/>
  <c r="BE67" i="18" s="1"/>
  <c r="BG67" i="18" s="1"/>
  <c r="BK67" i="18"/>
  <c r="BL67" i="18" s="1"/>
  <c r="BN67" i="18" s="1"/>
  <c r="BI119" i="18"/>
  <c r="BB119" i="18"/>
  <c r="BB119" i="3"/>
  <c r="BI119" i="3"/>
  <c r="AD147" i="7"/>
  <c r="L148" i="7"/>
  <c r="AW109" i="3"/>
  <c r="AV109" i="3"/>
  <c r="AW107" i="18"/>
  <c r="AV107" i="18"/>
  <c r="M148" i="7"/>
  <c r="AE147" i="7"/>
  <c r="E120" i="11"/>
  <c r="C147" i="7"/>
  <c r="AN147" i="7"/>
  <c r="T148" i="7"/>
  <c r="V148" i="7"/>
  <c r="AP147" i="7"/>
  <c r="H148" i="7"/>
  <c r="Z147" i="7"/>
  <c r="J148" i="7"/>
  <c r="AB147" i="7"/>
  <c r="W148" i="7"/>
  <c r="AQ147" i="7"/>
  <c r="Y150" i="7"/>
  <c r="AS149" i="7"/>
  <c r="G118" i="16"/>
  <c r="AR108" i="18" s="1"/>
  <c r="AU108" i="18" s="1"/>
  <c r="F122" i="11"/>
  <c r="D150" i="7" s="1"/>
  <c r="G121" i="11"/>
  <c r="AR110" i="3" s="1"/>
  <c r="AU110" i="3" s="1"/>
  <c r="AC69" i="3" l="1"/>
  <c r="AB69" i="3"/>
  <c r="AA70" i="3"/>
  <c r="AE69" i="18"/>
  <c r="AF69" i="18" s="1"/>
  <c r="BC69" i="18" s="1"/>
  <c r="AD69" i="18"/>
  <c r="AE69" i="19"/>
  <c r="AF69" i="19" s="1"/>
  <c r="BC69" i="19" s="1"/>
  <c r="N10" i="6"/>
  <c r="R10" i="6" s="1"/>
  <c r="AQ10" i="6" s="1"/>
  <c r="AX69" i="19"/>
  <c r="AY69" i="19"/>
  <c r="AZ69" i="19" s="1"/>
  <c r="AM70" i="3"/>
  <c r="AO70" i="3" s="1"/>
  <c r="AP70" i="3" s="1"/>
  <c r="BJ70" i="3" s="1"/>
  <c r="AL70" i="3"/>
  <c r="AN70" i="3" s="1"/>
  <c r="E11" i="6"/>
  <c r="F11" i="6"/>
  <c r="BK68" i="3"/>
  <c r="BL68" i="3" s="1"/>
  <c r="BN68" i="3" s="1"/>
  <c r="BD68" i="3"/>
  <c r="BE68" i="3" s="1"/>
  <c r="BG68" i="3" s="1"/>
  <c r="BK68" i="18"/>
  <c r="BL68" i="18" s="1"/>
  <c r="BN68" i="18" s="1"/>
  <c r="BD68" i="18"/>
  <c r="BE68" i="18" s="1"/>
  <c r="BG68" i="18" s="1"/>
  <c r="AL70" i="19"/>
  <c r="AN70" i="19" s="1"/>
  <c r="AM70" i="19"/>
  <c r="AO70" i="19" s="1"/>
  <c r="AP70" i="19" s="1"/>
  <c r="BJ70" i="19" s="1"/>
  <c r="AX69" i="3"/>
  <c r="AY69" i="3"/>
  <c r="AZ69" i="3" s="1"/>
  <c r="AC70" i="19"/>
  <c r="AB70" i="19"/>
  <c r="AL70" i="18"/>
  <c r="AN70" i="18" s="1"/>
  <c r="AM70" i="18"/>
  <c r="AO70" i="18" s="1"/>
  <c r="AP70" i="18" s="1"/>
  <c r="BJ70" i="18" s="1"/>
  <c r="AA71" i="18"/>
  <c r="AA71" i="19"/>
  <c r="AK71" i="18"/>
  <c r="AK71" i="19"/>
  <c r="AK71" i="3"/>
  <c r="AY69" i="18"/>
  <c r="AZ69" i="18" s="1"/>
  <c r="AX69" i="18"/>
  <c r="AE69" i="3"/>
  <c r="AF69" i="3" s="1"/>
  <c r="BC69" i="3" s="1"/>
  <c r="AB70" i="18"/>
  <c r="AC70" i="18"/>
  <c r="BD68" i="19"/>
  <c r="BE68" i="19" s="1"/>
  <c r="BG68" i="19" s="1"/>
  <c r="BK68" i="19"/>
  <c r="BL68" i="19" s="1"/>
  <c r="BN68" i="19" s="1"/>
  <c r="AD69" i="3"/>
  <c r="AD69" i="19"/>
  <c r="L149" i="7"/>
  <c r="AD148" i="7"/>
  <c r="AW110" i="3"/>
  <c r="AV110" i="3"/>
  <c r="AW108" i="18"/>
  <c r="AV108" i="18"/>
  <c r="AU119" i="3"/>
  <c r="AW119" i="3" s="1"/>
  <c r="AU119" i="18"/>
  <c r="V149" i="7"/>
  <c r="AP148" i="7"/>
  <c r="AN148" i="7"/>
  <c r="T149" i="7"/>
  <c r="J149" i="7"/>
  <c r="AB148" i="7"/>
  <c r="E121" i="11"/>
  <c r="C148" i="7"/>
  <c r="Y151" i="7"/>
  <c r="AS150" i="7"/>
  <c r="W149" i="7"/>
  <c r="AQ148" i="7"/>
  <c r="H149" i="7"/>
  <c r="Z148" i="7"/>
  <c r="M149" i="7"/>
  <c r="AE148" i="7"/>
  <c r="G119" i="16"/>
  <c r="AR109" i="18" s="1"/>
  <c r="AU109" i="18" s="1"/>
  <c r="F123" i="11"/>
  <c r="D151" i="7" s="1"/>
  <c r="G122" i="11"/>
  <c r="AR111" i="3" s="1"/>
  <c r="AU111" i="3" s="1"/>
  <c r="AE70" i="18" l="1"/>
  <c r="AF70" i="18" s="1"/>
  <c r="BC70" i="18" s="1"/>
  <c r="AD70" i="18"/>
  <c r="Y10" i="6"/>
  <c r="AW10" i="6" s="1"/>
  <c r="BC10" i="6"/>
  <c r="N11" i="6"/>
  <c r="R11" i="6" s="1"/>
  <c r="AE11" i="6" s="1"/>
  <c r="AE10" i="6"/>
  <c r="AK10" i="6"/>
  <c r="AB70" i="3"/>
  <c r="AD70" i="3" s="1"/>
  <c r="AC70" i="3"/>
  <c r="AE70" i="3" s="1"/>
  <c r="AF70" i="3" s="1"/>
  <c r="BC70" i="3" s="1"/>
  <c r="AA71" i="3"/>
  <c r="AD70" i="19"/>
  <c r="BK69" i="18"/>
  <c r="BL69" i="18" s="1"/>
  <c r="BN69" i="18" s="1"/>
  <c r="BD69" i="18"/>
  <c r="BE69" i="18" s="1"/>
  <c r="BG69" i="18" s="1"/>
  <c r="E12" i="6"/>
  <c r="F12" i="6"/>
  <c r="AL71" i="3"/>
  <c r="AN71" i="3" s="1"/>
  <c r="AM71" i="3"/>
  <c r="AO71" i="3" s="1"/>
  <c r="AP71" i="3" s="1"/>
  <c r="BJ71" i="3" s="1"/>
  <c r="AE70" i="19"/>
  <c r="AF70" i="19" s="1"/>
  <c r="BC70" i="19" s="1"/>
  <c r="AL71" i="19"/>
  <c r="AN71" i="19" s="1"/>
  <c r="AM71" i="19"/>
  <c r="AO71" i="19" s="1"/>
  <c r="AP71" i="19" s="1"/>
  <c r="BJ71" i="19" s="1"/>
  <c r="AK72" i="19"/>
  <c r="AA72" i="19"/>
  <c r="AK72" i="3"/>
  <c r="AA72" i="18"/>
  <c r="AK72" i="18"/>
  <c r="BD69" i="3"/>
  <c r="BE69" i="3" s="1"/>
  <c r="BG69" i="3" s="1"/>
  <c r="C10" i="6" s="1"/>
  <c r="L10" i="6" s="1"/>
  <c r="Q10" i="6" s="1"/>
  <c r="BK69" i="3"/>
  <c r="BL69" i="3" s="1"/>
  <c r="BN69" i="3" s="1"/>
  <c r="AB71" i="18"/>
  <c r="AD71" i="18" s="1"/>
  <c r="AC71" i="18"/>
  <c r="AE71" i="18" s="1"/>
  <c r="AF71" i="18" s="1"/>
  <c r="BC71" i="18" s="1"/>
  <c r="AM71" i="18"/>
  <c r="AO71" i="18" s="1"/>
  <c r="AP71" i="18" s="1"/>
  <c r="BJ71" i="18" s="1"/>
  <c r="AL71" i="18"/>
  <c r="AN71" i="18" s="1"/>
  <c r="AX70" i="3"/>
  <c r="AY70" i="3"/>
  <c r="AZ70" i="3" s="1"/>
  <c r="BK69" i="19"/>
  <c r="BL69" i="19" s="1"/>
  <c r="BN69" i="19" s="1"/>
  <c r="BD69" i="19"/>
  <c r="BE69" i="19" s="1"/>
  <c r="BG69" i="19" s="1"/>
  <c r="AX70" i="19"/>
  <c r="AY70" i="19"/>
  <c r="AZ70" i="19" s="1"/>
  <c r="AY70" i="18"/>
  <c r="AZ70" i="18" s="1"/>
  <c r="AX70" i="18"/>
  <c r="AC71" i="19"/>
  <c r="AE71" i="19" s="1"/>
  <c r="AF71" i="19" s="1"/>
  <c r="BC71" i="19" s="1"/>
  <c r="AB71" i="19"/>
  <c r="AD149" i="7"/>
  <c r="L150" i="7"/>
  <c r="AW111" i="3"/>
  <c r="AV111" i="3"/>
  <c r="AV119" i="3"/>
  <c r="AV109" i="18"/>
  <c r="AW109" i="18"/>
  <c r="AW119" i="18"/>
  <c r="AV119" i="18"/>
  <c r="J150" i="7"/>
  <c r="AB149" i="7"/>
  <c r="V150" i="7"/>
  <c r="AP149" i="7"/>
  <c r="H150" i="7"/>
  <c r="Z149" i="7"/>
  <c r="AN149" i="7"/>
  <c r="T150" i="7"/>
  <c r="Y152" i="7"/>
  <c r="AS151" i="7"/>
  <c r="M150" i="7"/>
  <c r="AE149" i="7"/>
  <c r="W150" i="7"/>
  <c r="AQ149" i="7"/>
  <c r="E122" i="11"/>
  <c r="C149" i="7"/>
  <c r="G120" i="16"/>
  <c r="AR110" i="18" s="1"/>
  <c r="AU110" i="18" s="1"/>
  <c r="F124" i="11"/>
  <c r="D152" i="7" s="1"/>
  <c r="G123" i="11"/>
  <c r="AR112" i="3" s="1"/>
  <c r="AU112" i="3" s="1"/>
  <c r="AD71" i="19" l="1"/>
  <c r="Y11" i="6"/>
  <c r="AK11" i="6" s="1"/>
  <c r="BC11" i="6"/>
  <c r="AQ11" i="6"/>
  <c r="AB71" i="3"/>
  <c r="AD71" i="3" s="1"/>
  <c r="AC71" i="3"/>
  <c r="AA72" i="3"/>
  <c r="BB10" i="6"/>
  <c r="AJ10" i="6"/>
  <c r="AN10" i="6" s="1"/>
  <c r="U10" i="6"/>
  <c r="X10" i="6"/>
  <c r="AD10" i="6"/>
  <c r="AP10" i="6"/>
  <c r="AT10" i="6" s="1"/>
  <c r="BK70" i="3"/>
  <c r="BL70" i="3" s="1"/>
  <c r="BN70" i="3" s="1"/>
  <c r="BD70" i="3"/>
  <c r="BE70" i="3" s="1"/>
  <c r="BG70" i="3" s="1"/>
  <c r="C11" i="6" s="1"/>
  <c r="L11" i="6" s="1"/>
  <c r="Q11" i="6" s="1"/>
  <c r="AY71" i="3"/>
  <c r="AZ71" i="3" s="1"/>
  <c r="AX71" i="3"/>
  <c r="AC72" i="18"/>
  <c r="AE72" i="18" s="1"/>
  <c r="AF72" i="18" s="1"/>
  <c r="BC72" i="18" s="1"/>
  <c r="AB72" i="18"/>
  <c r="AD72" i="18" s="1"/>
  <c r="E13" i="6"/>
  <c r="F13" i="6"/>
  <c r="AX71" i="18"/>
  <c r="AY71" i="18"/>
  <c r="AZ71" i="18" s="1"/>
  <c r="AM72" i="3"/>
  <c r="AO72" i="3" s="1"/>
  <c r="AP72" i="3" s="1"/>
  <c r="BJ72" i="3" s="1"/>
  <c r="AL72" i="3"/>
  <c r="AN72" i="3" s="1"/>
  <c r="BK70" i="18"/>
  <c r="BL70" i="18" s="1"/>
  <c r="BN70" i="18" s="1"/>
  <c r="BD70" i="18"/>
  <c r="BE70" i="18" s="1"/>
  <c r="BG70" i="18" s="1"/>
  <c r="AA73" i="18"/>
  <c r="AA73" i="19"/>
  <c r="AK73" i="3"/>
  <c r="AK73" i="18"/>
  <c r="AK73" i="19"/>
  <c r="BK70" i="19"/>
  <c r="BL70" i="19" s="1"/>
  <c r="BN70" i="19" s="1"/>
  <c r="BD70" i="19"/>
  <c r="BE70" i="19" s="1"/>
  <c r="BG70" i="19" s="1"/>
  <c r="AC72" i="19"/>
  <c r="AE72" i="19" s="1"/>
  <c r="AF72" i="19" s="1"/>
  <c r="BC72" i="19" s="1"/>
  <c r="AB72" i="19"/>
  <c r="AD72" i="19" s="1"/>
  <c r="N12" i="6"/>
  <c r="R12" i="6" s="1"/>
  <c r="AX71" i="19"/>
  <c r="AY71" i="19"/>
  <c r="AZ71" i="19" s="1"/>
  <c r="AE71" i="3"/>
  <c r="AF71" i="3" s="1"/>
  <c r="BC71" i="3" s="1"/>
  <c r="AL72" i="19"/>
  <c r="AN72" i="19" s="1"/>
  <c r="AM72" i="19"/>
  <c r="AO72" i="19" s="1"/>
  <c r="AP72" i="19" s="1"/>
  <c r="BJ72" i="19" s="1"/>
  <c r="AM72" i="18"/>
  <c r="AO72" i="18" s="1"/>
  <c r="AP72" i="18" s="1"/>
  <c r="BJ72" i="18" s="1"/>
  <c r="AL72" i="18"/>
  <c r="AN72" i="18" s="1"/>
  <c r="AW11" i="6"/>
  <c r="AD150" i="7"/>
  <c r="L151" i="7"/>
  <c r="AV112" i="3"/>
  <c r="AW112" i="3"/>
  <c r="AW110" i="18"/>
  <c r="AV110" i="18"/>
  <c r="M151" i="7"/>
  <c r="AE150" i="7"/>
  <c r="V151" i="7"/>
  <c r="AP150" i="7"/>
  <c r="E123" i="11"/>
  <c r="C150" i="7"/>
  <c r="AN150" i="7"/>
  <c r="T151" i="7"/>
  <c r="W151" i="7"/>
  <c r="AQ150" i="7"/>
  <c r="Y153" i="7"/>
  <c r="AS152" i="7"/>
  <c r="H151" i="7"/>
  <c r="Z150" i="7"/>
  <c r="J151" i="7"/>
  <c r="AB150" i="7"/>
  <c r="G121" i="16"/>
  <c r="AR111" i="18" s="1"/>
  <c r="AU111" i="18" s="1"/>
  <c r="F125" i="11"/>
  <c r="D153" i="7" s="1"/>
  <c r="G124" i="11"/>
  <c r="AR113" i="3" s="1"/>
  <c r="AU113" i="3" s="1"/>
  <c r="AB72" i="3" l="1"/>
  <c r="AC72" i="3"/>
  <c r="AA73" i="3"/>
  <c r="AB73" i="18"/>
  <c r="AD73" i="18" s="1"/>
  <c r="AC73" i="18"/>
  <c r="AE73" i="18" s="1"/>
  <c r="AF73" i="18" s="1"/>
  <c r="BC73" i="18" s="1"/>
  <c r="AY72" i="3"/>
  <c r="AZ72" i="3" s="1"/>
  <c r="AX72" i="3"/>
  <c r="N13" i="6"/>
  <c r="R13" i="6" s="1"/>
  <c r="BK71" i="3"/>
  <c r="BL71" i="3" s="1"/>
  <c r="BN71" i="3" s="1"/>
  <c r="BD71" i="3"/>
  <c r="BE71" i="3" s="1"/>
  <c r="BG71" i="3" s="1"/>
  <c r="C12" i="6" s="1"/>
  <c r="L12" i="6" s="1"/>
  <c r="Q12" i="6" s="1"/>
  <c r="BB11" i="6"/>
  <c r="BF11" i="6" s="1"/>
  <c r="U11" i="6"/>
  <c r="AP11" i="6"/>
  <c r="AT11" i="6" s="1"/>
  <c r="X11" i="6"/>
  <c r="AD11" i="6"/>
  <c r="AH11" i="6" s="1"/>
  <c r="AM73" i="18"/>
  <c r="AO73" i="18" s="1"/>
  <c r="AP73" i="18" s="1"/>
  <c r="BJ73" i="18" s="1"/>
  <c r="AL73" i="18"/>
  <c r="AN73" i="18" s="1"/>
  <c r="BD71" i="19"/>
  <c r="BE71" i="19" s="1"/>
  <c r="BG71" i="19" s="1"/>
  <c r="BK71" i="19"/>
  <c r="BL71" i="19" s="1"/>
  <c r="BN71" i="19" s="1"/>
  <c r="BF10" i="6"/>
  <c r="AH10" i="6"/>
  <c r="AA74" i="18"/>
  <c r="AA74" i="19"/>
  <c r="AK74" i="19"/>
  <c r="AK74" i="18"/>
  <c r="AK74" i="3"/>
  <c r="AY72" i="19"/>
  <c r="AZ72" i="19" s="1"/>
  <c r="AX72" i="19"/>
  <c r="AL73" i="3"/>
  <c r="AN73" i="3" s="1"/>
  <c r="AM73" i="3"/>
  <c r="AO73" i="3" s="1"/>
  <c r="AP73" i="3" s="1"/>
  <c r="BJ73" i="3" s="1"/>
  <c r="AB10" i="6"/>
  <c r="AV10" i="6"/>
  <c r="AZ10" i="6" s="1"/>
  <c r="AX72" i="18"/>
  <c r="AY72" i="18"/>
  <c r="AZ72" i="18" s="1"/>
  <c r="AM73" i="19"/>
  <c r="AO73" i="19" s="1"/>
  <c r="AP73" i="19" s="1"/>
  <c r="BJ73" i="19" s="1"/>
  <c r="AL73" i="19"/>
  <c r="AN73" i="19" s="1"/>
  <c r="AD72" i="3"/>
  <c r="AC73" i="19"/>
  <c r="AE73" i="19" s="1"/>
  <c r="AF73" i="19" s="1"/>
  <c r="BC73" i="19" s="1"/>
  <c r="AB73" i="19"/>
  <c r="AD73" i="19" s="1"/>
  <c r="AE72" i="3"/>
  <c r="AF72" i="3" s="1"/>
  <c r="BC72" i="3" s="1"/>
  <c r="AQ12" i="6"/>
  <c r="BC12" i="6"/>
  <c r="Y12" i="6"/>
  <c r="AE12" i="6"/>
  <c r="E14" i="6"/>
  <c r="F14" i="6"/>
  <c r="BK71" i="18"/>
  <c r="BL71" i="18" s="1"/>
  <c r="BN71" i="18" s="1"/>
  <c r="BD71" i="18"/>
  <c r="BE71" i="18" s="1"/>
  <c r="BG71" i="18" s="1"/>
  <c r="AD151" i="7"/>
  <c r="L152" i="7"/>
  <c r="AV113" i="3"/>
  <c r="AW113" i="3"/>
  <c r="AW111" i="18"/>
  <c r="AV111" i="18"/>
  <c r="AN151" i="7"/>
  <c r="T152" i="7"/>
  <c r="H152" i="7"/>
  <c r="Z151" i="7"/>
  <c r="W152" i="7"/>
  <c r="AQ151" i="7"/>
  <c r="V152" i="7"/>
  <c r="AP151" i="7"/>
  <c r="J152" i="7"/>
  <c r="AB151" i="7"/>
  <c r="Y154" i="7"/>
  <c r="AS153" i="7"/>
  <c r="E124" i="11"/>
  <c r="C151" i="7"/>
  <c r="M152" i="7"/>
  <c r="AE151" i="7"/>
  <c r="G122" i="16"/>
  <c r="AR112" i="18" s="1"/>
  <c r="AU112" i="18" s="1"/>
  <c r="F126" i="11"/>
  <c r="D154" i="7" s="1"/>
  <c r="G125" i="11"/>
  <c r="AR114" i="3" s="1"/>
  <c r="AU114" i="3" s="1"/>
  <c r="AB73" i="3" l="1"/>
  <c r="AC73" i="3"/>
  <c r="AE73" i="3" s="1"/>
  <c r="AF73" i="3" s="1"/>
  <c r="BC73" i="3" s="1"/>
  <c r="AA74" i="3"/>
  <c r="U12" i="6"/>
  <c r="X12" i="6"/>
  <c r="AD12" i="6"/>
  <c r="AH12" i="6" s="1"/>
  <c r="BB12" i="6"/>
  <c r="BF12" i="6" s="1"/>
  <c r="AP12" i="6"/>
  <c r="AT12" i="6" s="1"/>
  <c r="AC74" i="18"/>
  <c r="AE74" i="18" s="1"/>
  <c r="AF74" i="18" s="1"/>
  <c r="BC74" i="18" s="1"/>
  <c r="AB74" i="18"/>
  <c r="AD74" i="18" s="1"/>
  <c r="N14" i="6"/>
  <c r="R14" i="6" s="1"/>
  <c r="BK72" i="19"/>
  <c r="BL72" i="19" s="1"/>
  <c r="BN72" i="19" s="1"/>
  <c r="BD72" i="19"/>
  <c r="BE72" i="19" s="1"/>
  <c r="BG72" i="19" s="1"/>
  <c r="AQ13" i="6"/>
  <c r="Y13" i="6"/>
  <c r="BC13" i="6"/>
  <c r="AE13" i="6"/>
  <c r="BK72" i="18"/>
  <c r="BL72" i="18" s="1"/>
  <c r="BN72" i="18" s="1"/>
  <c r="BD72" i="18"/>
  <c r="BE72" i="18" s="1"/>
  <c r="BG72" i="18" s="1"/>
  <c r="AM74" i="3"/>
  <c r="AO74" i="3" s="1"/>
  <c r="AP74" i="3" s="1"/>
  <c r="BJ74" i="3" s="1"/>
  <c r="AL74" i="3"/>
  <c r="AN74" i="3" s="1"/>
  <c r="AX73" i="3"/>
  <c r="AY73" i="3"/>
  <c r="AZ73" i="3" s="1"/>
  <c r="AX73" i="18"/>
  <c r="AY73" i="18"/>
  <c r="AZ73" i="18" s="1"/>
  <c r="AK75" i="18"/>
  <c r="AK75" i="3"/>
  <c r="AA75" i="18"/>
  <c r="AA75" i="19"/>
  <c r="AK75" i="19"/>
  <c r="BK72" i="3"/>
  <c r="BL72" i="3" s="1"/>
  <c r="BN72" i="3" s="1"/>
  <c r="BD72" i="3"/>
  <c r="BE72" i="3" s="1"/>
  <c r="BG72" i="3" s="1"/>
  <c r="C13" i="6" s="1"/>
  <c r="L13" i="6" s="1"/>
  <c r="Q13" i="6" s="1"/>
  <c r="AM74" i="19"/>
  <c r="AO74" i="19" s="1"/>
  <c r="AP74" i="19" s="1"/>
  <c r="BJ74" i="19" s="1"/>
  <c r="AL74" i="19"/>
  <c r="AN74" i="19" s="1"/>
  <c r="AY73" i="19"/>
  <c r="AZ73" i="19" s="1"/>
  <c r="AX73" i="19"/>
  <c r="E15" i="6"/>
  <c r="F15" i="6"/>
  <c r="AB11" i="6"/>
  <c r="AJ11" i="6"/>
  <c r="AV11" i="6"/>
  <c r="AK12" i="6"/>
  <c r="AW12" i="6"/>
  <c r="AC74" i="19"/>
  <c r="AE74" i="19" s="1"/>
  <c r="AF74" i="19" s="1"/>
  <c r="BC74" i="19" s="1"/>
  <c r="AB74" i="19"/>
  <c r="AD74" i="19" s="1"/>
  <c r="AD73" i="3"/>
  <c r="AM74" i="18"/>
  <c r="AO74" i="18" s="1"/>
  <c r="AP74" i="18" s="1"/>
  <c r="BJ74" i="18" s="1"/>
  <c r="AL74" i="18"/>
  <c r="AN74" i="18" s="1"/>
  <c r="L153" i="7"/>
  <c r="AD152" i="7"/>
  <c r="AV114" i="3"/>
  <c r="AW114" i="3"/>
  <c r="AV112" i="18"/>
  <c r="AW112" i="18"/>
  <c r="E125" i="11"/>
  <c r="C152" i="7"/>
  <c r="Y155" i="7"/>
  <c r="AS154" i="7"/>
  <c r="V153" i="7"/>
  <c r="AP152" i="7"/>
  <c r="H153" i="7"/>
  <c r="Z152" i="7"/>
  <c r="AN152" i="7"/>
  <c r="T153" i="7"/>
  <c r="M153" i="7"/>
  <c r="AE152" i="7"/>
  <c r="J153" i="7"/>
  <c r="AB152" i="7"/>
  <c r="W153" i="7"/>
  <c r="AQ152" i="7"/>
  <c r="G123" i="16"/>
  <c r="AR113" i="18" s="1"/>
  <c r="AU113" i="18" s="1"/>
  <c r="F127" i="11"/>
  <c r="D155" i="7" s="1"/>
  <c r="G126" i="11"/>
  <c r="AR115" i="3" s="1"/>
  <c r="AU115" i="3" s="1"/>
  <c r="AC74" i="3" l="1"/>
  <c r="AE74" i="3" s="1"/>
  <c r="AF74" i="3" s="1"/>
  <c r="BC74" i="3" s="1"/>
  <c r="AB74" i="3"/>
  <c r="AA75" i="3"/>
  <c r="N15" i="6"/>
  <c r="R15" i="6" s="1"/>
  <c r="Y15" i="6" s="1"/>
  <c r="AY74" i="18"/>
  <c r="AZ74" i="18" s="1"/>
  <c r="AX74" i="18"/>
  <c r="AL75" i="19"/>
  <c r="AN75" i="19" s="1"/>
  <c r="AM75" i="19"/>
  <c r="AO75" i="19" s="1"/>
  <c r="AP75" i="19" s="1"/>
  <c r="BJ75" i="19" s="1"/>
  <c r="BK73" i="3"/>
  <c r="BL73" i="3" s="1"/>
  <c r="BN73" i="3" s="1"/>
  <c r="BD73" i="3"/>
  <c r="BE73" i="3" s="1"/>
  <c r="BG73" i="3" s="1"/>
  <c r="C14" i="6" s="1"/>
  <c r="L14" i="6" s="1"/>
  <c r="Q14" i="6" s="1"/>
  <c r="BC14" i="6"/>
  <c r="Y14" i="6"/>
  <c r="AE14" i="6"/>
  <c r="AQ14" i="6"/>
  <c r="AX74" i="3"/>
  <c r="AY74" i="3"/>
  <c r="AZ74" i="3" s="1"/>
  <c r="AK76" i="3"/>
  <c r="AA76" i="18"/>
  <c r="AK76" i="18"/>
  <c r="AA76" i="19"/>
  <c r="AK76" i="19"/>
  <c r="BK73" i="19"/>
  <c r="BL73" i="19" s="1"/>
  <c r="BN73" i="19" s="1"/>
  <c r="BD73" i="19"/>
  <c r="BE73" i="19" s="1"/>
  <c r="BG73" i="19" s="1"/>
  <c r="BB13" i="6"/>
  <c r="BF13" i="6" s="1"/>
  <c r="X13" i="6"/>
  <c r="AD13" i="6"/>
  <c r="AH13" i="6" s="1"/>
  <c r="U13" i="6"/>
  <c r="AP13" i="6"/>
  <c r="AT13" i="6" s="1"/>
  <c r="AD74" i="3"/>
  <c r="AZ11" i="6"/>
  <c r="AN11" i="6"/>
  <c r="AB75" i="19"/>
  <c r="AD75" i="19" s="1"/>
  <c r="AC75" i="19"/>
  <c r="AE75" i="19" s="1"/>
  <c r="AF75" i="19" s="1"/>
  <c r="BC75" i="19" s="1"/>
  <c r="E16" i="6"/>
  <c r="F16" i="6"/>
  <c r="AB75" i="18"/>
  <c r="AD75" i="18" s="1"/>
  <c r="AC75" i="18"/>
  <c r="AE75" i="18" s="1"/>
  <c r="AF75" i="18" s="1"/>
  <c r="BC75" i="18" s="1"/>
  <c r="BK73" i="18"/>
  <c r="BL73" i="18" s="1"/>
  <c r="BN73" i="18" s="1"/>
  <c r="BD73" i="18"/>
  <c r="BE73" i="18" s="1"/>
  <c r="BG73" i="18" s="1"/>
  <c r="AL75" i="3"/>
  <c r="AN75" i="3" s="1"/>
  <c r="AM75" i="3"/>
  <c r="AO75" i="3" s="1"/>
  <c r="AP75" i="3" s="1"/>
  <c r="BJ75" i="3" s="1"/>
  <c r="AK13" i="6"/>
  <c r="AW13" i="6"/>
  <c r="AB12" i="6"/>
  <c r="AJ12" i="6"/>
  <c r="AV12" i="6"/>
  <c r="AX74" i="19"/>
  <c r="AY74" i="19"/>
  <c r="AZ74" i="19" s="1"/>
  <c r="AM75" i="18"/>
  <c r="AO75" i="18" s="1"/>
  <c r="AP75" i="18" s="1"/>
  <c r="BJ75" i="18" s="1"/>
  <c r="AL75" i="18"/>
  <c r="AN75" i="18" s="1"/>
  <c r="L154" i="7"/>
  <c r="AD153" i="7"/>
  <c r="AV115" i="3"/>
  <c r="AW115" i="3"/>
  <c r="AV113" i="18"/>
  <c r="AW113" i="18"/>
  <c r="J154" i="7"/>
  <c r="AB153" i="7"/>
  <c r="Y156" i="7"/>
  <c r="AS155" i="7"/>
  <c r="H154" i="7"/>
  <c r="Z153" i="7"/>
  <c r="M154" i="7"/>
  <c r="AE153" i="7"/>
  <c r="AN153" i="7"/>
  <c r="T154" i="7"/>
  <c r="W154" i="7"/>
  <c r="AQ153" i="7"/>
  <c r="V154" i="7"/>
  <c r="AP153" i="7"/>
  <c r="E126" i="11"/>
  <c r="C153" i="7"/>
  <c r="G124" i="16"/>
  <c r="AR114" i="18" s="1"/>
  <c r="AU114" i="18" s="1"/>
  <c r="F128" i="11"/>
  <c r="D156" i="7" s="1"/>
  <c r="G127" i="11"/>
  <c r="AR116" i="3" s="1"/>
  <c r="AU116" i="3" s="1"/>
  <c r="BC15" i="6" l="1"/>
  <c r="AQ15" i="6"/>
  <c r="AE15" i="6"/>
  <c r="AB75" i="3"/>
  <c r="AD75" i="3" s="1"/>
  <c r="AC75" i="3"/>
  <c r="AE75" i="3" s="1"/>
  <c r="AF75" i="3" s="1"/>
  <c r="BC75" i="3" s="1"/>
  <c r="AA76" i="3"/>
  <c r="AA77" i="19"/>
  <c r="AK77" i="3"/>
  <c r="AK77" i="19"/>
  <c r="AK77" i="18"/>
  <c r="AA77" i="18"/>
  <c r="BK74" i="19"/>
  <c r="BL74" i="19" s="1"/>
  <c r="BN74" i="19" s="1"/>
  <c r="BD74" i="19"/>
  <c r="BE74" i="19" s="1"/>
  <c r="BG74" i="19" s="1"/>
  <c r="AB76" i="19"/>
  <c r="AD76" i="19" s="1"/>
  <c r="AC76" i="19"/>
  <c r="AE76" i="19" s="1"/>
  <c r="AF76" i="19" s="1"/>
  <c r="BC76" i="19" s="1"/>
  <c r="AK15" i="6"/>
  <c r="AW15" i="6"/>
  <c r="AM76" i="18"/>
  <c r="AO76" i="18" s="1"/>
  <c r="AP76" i="18" s="1"/>
  <c r="BJ76" i="18" s="1"/>
  <c r="AL76" i="18"/>
  <c r="AN76" i="18" s="1"/>
  <c r="AB13" i="6"/>
  <c r="AV13" i="6"/>
  <c r="AJ13" i="6"/>
  <c r="E17" i="6"/>
  <c r="F17" i="6"/>
  <c r="AX75" i="3"/>
  <c r="AY75" i="3"/>
  <c r="AZ75" i="3" s="1"/>
  <c r="AX75" i="18"/>
  <c r="AY75" i="18"/>
  <c r="AZ75" i="18" s="1"/>
  <c r="AW14" i="6"/>
  <c r="AK14" i="6"/>
  <c r="BK74" i="18"/>
  <c r="BL74" i="18" s="1"/>
  <c r="BN74" i="18" s="1"/>
  <c r="BD74" i="18"/>
  <c r="BE74" i="18" s="1"/>
  <c r="BG74" i="18" s="1"/>
  <c r="BB14" i="6"/>
  <c r="BF14" i="6" s="1"/>
  <c r="X14" i="6"/>
  <c r="AP14" i="6"/>
  <c r="AT14" i="6" s="1"/>
  <c r="U14" i="6"/>
  <c r="AD14" i="6"/>
  <c r="AH14" i="6" s="1"/>
  <c r="AC76" i="18"/>
  <c r="AE76" i="18" s="1"/>
  <c r="AF76" i="18" s="1"/>
  <c r="BC76" i="18" s="1"/>
  <c r="AB76" i="18"/>
  <c r="AD76" i="18" s="1"/>
  <c r="AX75" i="19"/>
  <c r="AY75" i="19"/>
  <c r="AZ75" i="19" s="1"/>
  <c r="AN12" i="6"/>
  <c r="AZ12" i="6"/>
  <c r="N16" i="6"/>
  <c r="R16" i="6" s="1"/>
  <c r="AM76" i="3"/>
  <c r="AO76" i="3" s="1"/>
  <c r="AP76" i="3" s="1"/>
  <c r="BJ76" i="3" s="1"/>
  <c r="AL76" i="3"/>
  <c r="AN76" i="3" s="1"/>
  <c r="AL76" i="19"/>
  <c r="AN76" i="19" s="1"/>
  <c r="AM76" i="19"/>
  <c r="AO76" i="19" s="1"/>
  <c r="AP76" i="19" s="1"/>
  <c r="BJ76" i="19" s="1"/>
  <c r="BK74" i="3"/>
  <c r="BL74" i="3" s="1"/>
  <c r="BN74" i="3" s="1"/>
  <c r="BD74" i="3"/>
  <c r="BE74" i="3" s="1"/>
  <c r="BG74" i="3" s="1"/>
  <c r="C15" i="6" s="1"/>
  <c r="L15" i="6" s="1"/>
  <c r="Q15" i="6" s="1"/>
  <c r="L155" i="7"/>
  <c r="AD154" i="7"/>
  <c r="AW116" i="3"/>
  <c r="AV116" i="3"/>
  <c r="AV114" i="18"/>
  <c r="AW114" i="18"/>
  <c r="V155" i="7"/>
  <c r="AP154" i="7"/>
  <c r="W155" i="7"/>
  <c r="AQ154" i="7"/>
  <c r="M155" i="7"/>
  <c r="AE154" i="7"/>
  <c r="Y157" i="7"/>
  <c r="AS156" i="7"/>
  <c r="AN154" i="7"/>
  <c r="T155" i="7"/>
  <c r="E127" i="11"/>
  <c r="C154" i="7"/>
  <c r="H155" i="7"/>
  <c r="Z154" i="7"/>
  <c r="J155" i="7"/>
  <c r="AB154" i="7"/>
  <c r="G125" i="16"/>
  <c r="AR115" i="18" s="1"/>
  <c r="AU115" i="18" s="1"/>
  <c r="F129" i="11"/>
  <c r="G128" i="11"/>
  <c r="AR117" i="3" s="1"/>
  <c r="AU117" i="3" s="1"/>
  <c r="AC76" i="3" l="1"/>
  <c r="AE76" i="3" s="1"/>
  <c r="AF76" i="3" s="1"/>
  <c r="BC76" i="3" s="1"/>
  <c r="AB76" i="3"/>
  <c r="AD76" i="3" s="1"/>
  <c r="AA77" i="3"/>
  <c r="BB15" i="6"/>
  <c r="BF15" i="6" s="1"/>
  <c r="X15" i="6"/>
  <c r="AD15" i="6"/>
  <c r="AH15" i="6" s="1"/>
  <c r="AP15" i="6"/>
  <c r="AT15" i="6" s="1"/>
  <c r="U15" i="6"/>
  <c r="BK75" i="3"/>
  <c r="BL75" i="3" s="1"/>
  <c r="BN75" i="3" s="1"/>
  <c r="BD75" i="3"/>
  <c r="BE75" i="3" s="1"/>
  <c r="BG75" i="3" s="1"/>
  <c r="C16" i="6" s="1"/>
  <c r="L16" i="6" s="1"/>
  <c r="Q16" i="6" s="1"/>
  <c r="AM77" i="3"/>
  <c r="AO77" i="3" s="1"/>
  <c r="AP77" i="3" s="1"/>
  <c r="BJ77" i="3" s="1"/>
  <c r="AL77" i="3"/>
  <c r="AN77" i="3" s="1"/>
  <c r="AY76" i="18"/>
  <c r="AZ76" i="18" s="1"/>
  <c r="AX76" i="18"/>
  <c r="AB14" i="6"/>
  <c r="AJ14" i="6"/>
  <c r="AV14" i="6"/>
  <c r="AX76" i="3"/>
  <c r="AY76" i="3"/>
  <c r="AZ76" i="3" s="1"/>
  <c r="AB77" i="19"/>
  <c r="AD77" i="19" s="1"/>
  <c r="AC77" i="19"/>
  <c r="AE77" i="19" s="1"/>
  <c r="AF77" i="19" s="1"/>
  <c r="BC77" i="19" s="1"/>
  <c r="N17" i="6"/>
  <c r="R17" i="6" s="1"/>
  <c r="AC77" i="18"/>
  <c r="AE77" i="18" s="1"/>
  <c r="AF77" i="18" s="1"/>
  <c r="BC77" i="18" s="1"/>
  <c r="AB77" i="18"/>
  <c r="AD77" i="18" s="1"/>
  <c r="AY76" i="19"/>
  <c r="AZ76" i="19" s="1"/>
  <c r="AX76" i="19"/>
  <c r="BC16" i="6"/>
  <c r="AE16" i="6"/>
  <c r="Y16" i="6"/>
  <c r="AQ16" i="6"/>
  <c r="AM77" i="18"/>
  <c r="AO77" i="18" s="1"/>
  <c r="AP77" i="18" s="1"/>
  <c r="BJ77" i="18" s="1"/>
  <c r="AL77" i="18"/>
  <c r="AN77" i="18" s="1"/>
  <c r="AZ13" i="6"/>
  <c r="AN13" i="6"/>
  <c r="AL77" i="19"/>
  <c r="AN77" i="19" s="1"/>
  <c r="AM77" i="19"/>
  <c r="AO77" i="19" s="1"/>
  <c r="AP77" i="19" s="1"/>
  <c r="BJ77" i="19" s="1"/>
  <c r="F18" i="6"/>
  <c r="E18" i="6"/>
  <c r="BD75" i="19"/>
  <c r="BE75" i="19" s="1"/>
  <c r="BG75" i="19" s="1"/>
  <c r="BK75" i="19"/>
  <c r="BL75" i="19" s="1"/>
  <c r="BN75" i="19" s="1"/>
  <c r="BK75" i="18"/>
  <c r="BL75" i="18" s="1"/>
  <c r="BN75" i="18" s="1"/>
  <c r="BD75" i="18"/>
  <c r="BE75" i="18" s="1"/>
  <c r="BG75" i="18" s="1"/>
  <c r="AA78" i="18"/>
  <c r="AA78" i="19"/>
  <c r="AK78" i="19"/>
  <c r="AK78" i="18"/>
  <c r="AK78" i="3"/>
  <c r="L156" i="7"/>
  <c r="AD155" i="7"/>
  <c r="AW117" i="3"/>
  <c r="AV117" i="3"/>
  <c r="AV115" i="18"/>
  <c r="AW115" i="18"/>
  <c r="H156" i="7"/>
  <c r="Z155" i="7"/>
  <c r="E128" i="11"/>
  <c r="C155" i="7"/>
  <c r="AS157" i="7"/>
  <c r="W156" i="7"/>
  <c r="AQ155" i="7"/>
  <c r="AN155" i="7"/>
  <c r="T156" i="7"/>
  <c r="J156" i="7"/>
  <c r="AB155" i="7"/>
  <c r="M156" i="7"/>
  <c r="AE155" i="7"/>
  <c r="V156" i="7"/>
  <c r="AP155" i="7"/>
  <c r="G129" i="11"/>
  <c r="AR118" i="3" s="1"/>
  <c r="AU118" i="3" s="1"/>
  <c r="D157" i="7"/>
  <c r="G126" i="16"/>
  <c r="AR116" i="18" s="1"/>
  <c r="AU116" i="18" s="1"/>
  <c r="AC77" i="3" l="1"/>
  <c r="AE77" i="3" s="1"/>
  <c r="AF77" i="3" s="1"/>
  <c r="BC77" i="3" s="1"/>
  <c r="AB77" i="3"/>
  <c r="AD77" i="3" s="1"/>
  <c r="AA78" i="3"/>
  <c r="N18" i="6"/>
  <c r="R18" i="6" s="1"/>
  <c r="BC18" i="6" s="1"/>
  <c r="E19" i="6"/>
  <c r="F19" i="6"/>
  <c r="BB16" i="6"/>
  <c r="BF16" i="6" s="1"/>
  <c r="U16" i="6"/>
  <c r="X16" i="6"/>
  <c r="AP16" i="6"/>
  <c r="AT16" i="6" s="1"/>
  <c r="AD16" i="6"/>
  <c r="AH16" i="6" s="1"/>
  <c r="BC17" i="6"/>
  <c r="AQ17" i="6"/>
  <c r="Y17" i="6"/>
  <c r="AE17" i="6"/>
  <c r="AL78" i="19"/>
  <c r="AN78" i="19" s="1"/>
  <c r="AM78" i="19"/>
  <c r="AO78" i="19" s="1"/>
  <c r="AP78" i="19" s="1"/>
  <c r="BJ78" i="19" s="1"/>
  <c r="BK76" i="3"/>
  <c r="BL76" i="3" s="1"/>
  <c r="BN76" i="3" s="1"/>
  <c r="BD76" i="3"/>
  <c r="BE76" i="3" s="1"/>
  <c r="BG76" i="3" s="1"/>
  <c r="C17" i="6" s="1"/>
  <c r="L17" i="6" s="1"/>
  <c r="Q17" i="6" s="1"/>
  <c r="BD76" i="18"/>
  <c r="BE76" i="18" s="1"/>
  <c r="BG76" i="18" s="1"/>
  <c r="BK76" i="18"/>
  <c r="BL76" i="18" s="1"/>
  <c r="BN76" i="18" s="1"/>
  <c r="AW16" i="6"/>
  <c r="AK16" i="6"/>
  <c r="AX77" i="3"/>
  <c r="AY77" i="3"/>
  <c r="AZ77" i="3" s="1"/>
  <c r="AK79" i="18"/>
  <c r="AA79" i="18"/>
  <c r="AK79" i="19"/>
  <c r="AA79" i="19"/>
  <c r="AK79" i="3"/>
  <c r="AA79" i="3"/>
  <c r="AB78" i="19"/>
  <c r="AD78" i="19" s="1"/>
  <c r="AC78" i="19"/>
  <c r="AE78" i="19" s="1"/>
  <c r="AF78" i="19" s="1"/>
  <c r="BC78" i="19" s="1"/>
  <c r="AB78" i="18"/>
  <c r="AD78" i="18" s="1"/>
  <c r="AC78" i="18"/>
  <c r="AE78" i="18" s="1"/>
  <c r="AF78" i="18" s="1"/>
  <c r="BC78" i="18" s="1"/>
  <c r="AL78" i="3"/>
  <c r="AN78" i="3" s="1"/>
  <c r="AM78" i="3"/>
  <c r="AO78" i="3" s="1"/>
  <c r="AP78" i="3" s="1"/>
  <c r="BJ78" i="3" s="1"/>
  <c r="AZ14" i="6"/>
  <c r="AN14" i="6"/>
  <c r="AB15" i="6"/>
  <c r="AV15" i="6"/>
  <c r="AJ15" i="6"/>
  <c r="BD76" i="19"/>
  <c r="BE76" i="19" s="1"/>
  <c r="BG76" i="19" s="1"/>
  <c r="BK76" i="19"/>
  <c r="BL76" i="19" s="1"/>
  <c r="BN76" i="19" s="1"/>
  <c r="AL78" i="18"/>
  <c r="AN78" i="18" s="1"/>
  <c r="AM78" i="18"/>
  <c r="AO78" i="18" s="1"/>
  <c r="AP78" i="18" s="1"/>
  <c r="BJ78" i="18" s="1"/>
  <c r="AX77" i="19"/>
  <c r="AY77" i="19"/>
  <c r="AZ77" i="19" s="1"/>
  <c r="AX77" i="18"/>
  <c r="AY77" i="18"/>
  <c r="AZ77" i="18" s="1"/>
  <c r="L157" i="7"/>
  <c r="AD157" i="7" s="1"/>
  <c r="AD156" i="7"/>
  <c r="AW118" i="3"/>
  <c r="AV118" i="3"/>
  <c r="AW116" i="18"/>
  <c r="AV116" i="18"/>
  <c r="W157" i="7"/>
  <c r="AQ156" i="7"/>
  <c r="E129" i="11"/>
  <c r="C157" i="7" s="1"/>
  <c r="C156" i="7"/>
  <c r="M157" i="7"/>
  <c r="AE156" i="7"/>
  <c r="AD160" i="7"/>
  <c r="AS160" i="7"/>
  <c r="J157" i="7"/>
  <c r="AB156" i="7"/>
  <c r="AN156" i="7"/>
  <c r="T157" i="7"/>
  <c r="V157" i="7"/>
  <c r="AP156" i="7"/>
  <c r="H157" i="7"/>
  <c r="Z156" i="7"/>
  <c r="G127" i="16"/>
  <c r="AR117" i="18" s="1"/>
  <c r="AU117" i="18" s="1"/>
  <c r="G128" i="16"/>
  <c r="AR118" i="18" s="1"/>
  <c r="AU118" i="18" s="1"/>
  <c r="AE18" i="6" l="1"/>
  <c r="AB78" i="3"/>
  <c r="AC78" i="3"/>
  <c r="AE78" i="3" s="1"/>
  <c r="AF78" i="3" s="1"/>
  <c r="BC78" i="3" s="1"/>
  <c r="Y18" i="6"/>
  <c r="AW18" i="6" s="1"/>
  <c r="AQ18" i="6"/>
  <c r="AD78" i="3"/>
  <c r="N19" i="6"/>
  <c r="R19" i="6" s="1"/>
  <c r="AE19" i="6" s="1"/>
  <c r="AY78" i="19"/>
  <c r="AZ78" i="19" s="1"/>
  <c r="AX78" i="19"/>
  <c r="AM79" i="3"/>
  <c r="AO79" i="3" s="1"/>
  <c r="AP79" i="3" s="1"/>
  <c r="BJ79" i="3" s="1"/>
  <c r="AL79" i="3"/>
  <c r="AN79" i="3" s="1"/>
  <c r="BK77" i="19"/>
  <c r="BL77" i="19" s="1"/>
  <c r="BN77" i="19" s="1"/>
  <c r="BD77" i="19"/>
  <c r="BE77" i="19" s="1"/>
  <c r="BG77" i="19" s="1"/>
  <c r="AB16" i="6"/>
  <c r="AV16" i="6"/>
  <c r="AJ16" i="6"/>
  <c r="AB79" i="19"/>
  <c r="AD79" i="19" s="1"/>
  <c r="AC79" i="19"/>
  <c r="AE79" i="19" s="1"/>
  <c r="AF79" i="19" s="1"/>
  <c r="BC79" i="19" s="1"/>
  <c r="AX78" i="3"/>
  <c r="AY78" i="3"/>
  <c r="AZ78" i="3" s="1"/>
  <c r="AL79" i="19"/>
  <c r="AN79" i="19" s="1"/>
  <c r="AM79" i="19"/>
  <c r="AO79" i="19" s="1"/>
  <c r="AP79" i="19" s="1"/>
  <c r="BJ79" i="19" s="1"/>
  <c r="AW17" i="6"/>
  <c r="AK17" i="6"/>
  <c r="AC79" i="3"/>
  <c r="AB79" i="3"/>
  <c r="AC79" i="18"/>
  <c r="AE79" i="18" s="1"/>
  <c r="AF79" i="18" s="1"/>
  <c r="BC79" i="18" s="1"/>
  <c r="AB79" i="18"/>
  <c r="AD79" i="18" s="1"/>
  <c r="AM79" i="18"/>
  <c r="AO79" i="18" s="1"/>
  <c r="AP79" i="18" s="1"/>
  <c r="BJ79" i="18" s="1"/>
  <c r="AL79" i="18"/>
  <c r="AN79" i="18" s="1"/>
  <c r="E20" i="6"/>
  <c r="F20" i="6"/>
  <c r="BB17" i="6"/>
  <c r="BF17" i="6" s="1"/>
  <c r="AD17" i="6"/>
  <c r="AH17" i="6" s="1"/>
  <c r="AP17" i="6"/>
  <c r="AT17" i="6" s="1"/>
  <c r="X17" i="6"/>
  <c r="U17" i="6"/>
  <c r="AA80" i="18"/>
  <c r="AK80" i="18"/>
  <c r="AA80" i="19"/>
  <c r="AK80" i="19"/>
  <c r="AK80" i="3"/>
  <c r="BK77" i="18"/>
  <c r="BL77" i="18" s="1"/>
  <c r="BN77" i="18" s="1"/>
  <c r="BD77" i="18"/>
  <c r="BE77" i="18" s="1"/>
  <c r="BG77" i="18" s="1"/>
  <c r="AN15" i="6"/>
  <c r="AZ15" i="6"/>
  <c r="AX78" i="18"/>
  <c r="AY78" i="18"/>
  <c r="AZ78" i="18" s="1"/>
  <c r="BK77" i="3"/>
  <c r="BL77" i="3" s="1"/>
  <c r="BN77" i="3" s="1"/>
  <c r="BD77" i="3"/>
  <c r="BE77" i="3" s="1"/>
  <c r="BG77" i="3" s="1"/>
  <c r="C18" i="6" s="1"/>
  <c r="L18" i="6" s="1"/>
  <c r="Q18" i="6" s="1"/>
  <c r="AW118" i="18"/>
  <c r="AV118" i="18"/>
  <c r="AV117" i="18"/>
  <c r="AW117"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AE79" i="3" l="1"/>
  <c r="AF79" i="3" s="1"/>
  <c r="BC79" i="3" s="1"/>
  <c r="BC19" i="6"/>
  <c r="Y19" i="6"/>
  <c r="AK19" i="6" s="1"/>
  <c r="AD79" i="3"/>
  <c r="AA80" i="3"/>
  <c r="AQ19" i="6"/>
  <c r="AK18" i="6"/>
  <c r="AM80" i="18"/>
  <c r="AO80" i="18" s="1"/>
  <c r="AP80" i="18" s="1"/>
  <c r="BJ80" i="18" s="1"/>
  <c r="AL80" i="18"/>
  <c r="AN80" i="18" s="1"/>
  <c r="BD78" i="18"/>
  <c r="BE78" i="18" s="1"/>
  <c r="BG78" i="18" s="1"/>
  <c r="BK78" i="18"/>
  <c r="BL78" i="18" s="1"/>
  <c r="BN78" i="18" s="1"/>
  <c r="E21" i="6"/>
  <c r="F21" i="6"/>
  <c r="D21" i="6"/>
  <c r="M21" i="6" s="1"/>
  <c r="AC80" i="18"/>
  <c r="AE80" i="18" s="1"/>
  <c r="AF80" i="18" s="1"/>
  <c r="BC80" i="18" s="1"/>
  <c r="AB80" i="18"/>
  <c r="AD80" i="18" s="1"/>
  <c r="AN16" i="6"/>
  <c r="AZ16" i="6"/>
  <c r="N20" i="6"/>
  <c r="R20" i="6" s="1"/>
  <c r="AK81" i="18"/>
  <c r="AA81" i="18"/>
  <c r="AK81" i="3"/>
  <c r="AA81" i="19"/>
  <c r="AK81" i="19"/>
  <c r="BD78" i="3"/>
  <c r="BE78" i="3" s="1"/>
  <c r="BG78" i="3" s="1"/>
  <c r="C19" i="6" s="1"/>
  <c r="L19" i="6" s="1"/>
  <c r="Q19" i="6" s="1"/>
  <c r="BK78" i="3"/>
  <c r="BL78" i="3" s="1"/>
  <c r="BN78" i="3" s="1"/>
  <c r="AL80" i="19"/>
  <c r="AN80" i="19" s="1"/>
  <c r="AM80" i="19"/>
  <c r="AO80" i="19" s="1"/>
  <c r="AP80" i="19" s="1"/>
  <c r="BJ80" i="19" s="1"/>
  <c r="AX79" i="3"/>
  <c r="AY79" i="3"/>
  <c r="AZ79" i="3" s="1"/>
  <c r="BB18" i="6"/>
  <c r="BF18" i="6" s="1"/>
  <c r="U18" i="6"/>
  <c r="AD18" i="6"/>
  <c r="AH18" i="6" s="1"/>
  <c r="X18" i="6"/>
  <c r="AP18" i="6"/>
  <c r="AT18" i="6" s="1"/>
  <c r="AX79" i="18"/>
  <c r="AY79" i="18"/>
  <c r="AZ79" i="18" s="1"/>
  <c r="AL80" i="3"/>
  <c r="AN80" i="3" s="1"/>
  <c r="AM80" i="3"/>
  <c r="AO80" i="3" s="1"/>
  <c r="AP80" i="3" s="1"/>
  <c r="BJ80" i="3" s="1"/>
  <c r="AB17" i="6"/>
  <c r="AJ17" i="6"/>
  <c r="AV17" i="6"/>
  <c r="AX79" i="19"/>
  <c r="AY79" i="19"/>
  <c r="AZ79" i="19" s="1"/>
  <c r="AC80" i="19"/>
  <c r="AE80" i="19" s="1"/>
  <c r="AF80" i="19" s="1"/>
  <c r="BC80" i="19" s="1"/>
  <c r="AB80" i="19"/>
  <c r="AD80" i="19" s="1"/>
  <c r="BK78" i="19"/>
  <c r="BL78" i="19" s="1"/>
  <c r="BN78" i="19" s="1"/>
  <c r="BD78" i="19"/>
  <c r="BE78" i="19" s="1"/>
  <c r="BG78" i="19" s="1"/>
  <c r="J61" i="6"/>
  <c r="AP20" i="23" s="1"/>
  <c r="AB160" i="7"/>
  <c r="AC160" i="7"/>
  <c r="AN160" i="7"/>
  <c r="AQ160" i="7"/>
  <c r="AS162" i="7"/>
  <c r="AE160" i="7"/>
  <c r="AP160" i="7"/>
  <c r="AD162" i="7"/>
  <c r="AC127" i="7"/>
  <c r="AF127" i="7" s="1"/>
  <c r="AC126" i="7"/>
  <c r="AF126" i="7" s="1"/>
  <c r="AW19" i="6" l="1"/>
  <c r="AB80" i="3"/>
  <c r="AD80" i="3" s="1"/>
  <c r="AC80" i="3"/>
  <c r="AE80" i="3" s="1"/>
  <c r="AF80" i="3" s="1"/>
  <c r="BC80" i="3" s="1"/>
  <c r="AA81" i="3"/>
  <c r="AB18" i="6"/>
  <c r="AJ18" i="6"/>
  <c r="AV18" i="6"/>
  <c r="AB81" i="19"/>
  <c r="AD81" i="19" s="1"/>
  <c r="AC81" i="19"/>
  <c r="AE81" i="19" s="1"/>
  <c r="AF81" i="19" s="1"/>
  <c r="BC81" i="19" s="1"/>
  <c r="AA82" i="19"/>
  <c r="AA82" i="18"/>
  <c r="AK82" i="18"/>
  <c r="AK82" i="19"/>
  <c r="AK82" i="3"/>
  <c r="BD79" i="19"/>
  <c r="BE79" i="19" s="1"/>
  <c r="BG79" i="19" s="1"/>
  <c r="BK79" i="19"/>
  <c r="BL79" i="19" s="1"/>
  <c r="BN79" i="19" s="1"/>
  <c r="E22" i="6"/>
  <c r="D22" i="6"/>
  <c r="M22" i="6" s="1"/>
  <c r="F22" i="6"/>
  <c r="AL81" i="3"/>
  <c r="AN81" i="3" s="1"/>
  <c r="AM81" i="3"/>
  <c r="AO81" i="3" s="1"/>
  <c r="AP81" i="3" s="1"/>
  <c r="BJ81" i="3" s="1"/>
  <c r="AC81" i="18"/>
  <c r="AE81" i="18" s="1"/>
  <c r="AF81" i="18" s="1"/>
  <c r="BC81" i="18" s="1"/>
  <c r="AB81" i="18"/>
  <c r="AD81" i="18" s="1"/>
  <c r="N21" i="6"/>
  <c r="R21" i="6" s="1"/>
  <c r="AM81" i="18"/>
  <c r="AO81" i="18" s="1"/>
  <c r="AP81" i="18" s="1"/>
  <c r="BJ81" i="18" s="1"/>
  <c r="AL81" i="18"/>
  <c r="AN81" i="18" s="1"/>
  <c r="BK79" i="3"/>
  <c r="BL79" i="3" s="1"/>
  <c r="BN79" i="3" s="1"/>
  <c r="BD79" i="3"/>
  <c r="BE79" i="3" s="1"/>
  <c r="BG79" i="3" s="1"/>
  <c r="C20" i="6" s="1"/>
  <c r="L20" i="6" s="1"/>
  <c r="Q20" i="6" s="1"/>
  <c r="BB19" i="6"/>
  <c r="BF19" i="6" s="1"/>
  <c r="U19" i="6"/>
  <c r="X19" i="6"/>
  <c r="AD19" i="6"/>
  <c r="AH19" i="6" s="1"/>
  <c r="AP19" i="6"/>
  <c r="AT19" i="6" s="1"/>
  <c r="AY80" i="19"/>
  <c r="AZ80" i="19" s="1"/>
  <c r="AX80" i="19"/>
  <c r="AX80" i="3"/>
  <c r="AY80" i="3"/>
  <c r="AZ80" i="3" s="1"/>
  <c r="Y20" i="6"/>
  <c r="AE20" i="6"/>
  <c r="AQ20" i="6"/>
  <c r="BC20" i="6"/>
  <c r="BK79" i="18"/>
  <c r="BL79" i="18" s="1"/>
  <c r="BN79" i="18" s="1"/>
  <c r="BD79" i="18"/>
  <c r="BE79" i="18" s="1"/>
  <c r="BG79" i="18" s="1"/>
  <c r="AN17" i="6"/>
  <c r="AZ17" i="6"/>
  <c r="AX80" i="18"/>
  <c r="AY80" i="18"/>
  <c r="AZ80" i="18" s="1"/>
  <c r="AM81" i="19"/>
  <c r="AO81" i="19" s="1"/>
  <c r="AP81" i="19" s="1"/>
  <c r="BJ81" i="19" s="1"/>
  <c r="AL81" i="19"/>
  <c r="AN81" i="19" s="1"/>
  <c r="P61" i="6"/>
  <c r="T61" i="6" s="1"/>
  <c r="AA60" i="6" s="1"/>
  <c r="AN161" i="7"/>
  <c r="AS163" i="7"/>
  <c r="AT160" i="7"/>
  <c r="AB161" i="7"/>
  <c r="AD163" i="7"/>
  <c r="AP161" i="7"/>
  <c r="AE161" i="7"/>
  <c r="AC161" i="7"/>
  <c r="AQ161" i="7"/>
  <c r="AC128" i="7"/>
  <c r="AF128" i="7" s="1"/>
  <c r="AC81" i="3" l="1"/>
  <c r="AE81" i="3" s="1"/>
  <c r="AF81" i="3" s="1"/>
  <c r="BC81" i="3" s="1"/>
  <c r="AB81" i="3"/>
  <c r="AD81" i="3" s="1"/>
  <c r="AA82" i="3"/>
  <c r="AB82" i="19"/>
  <c r="AD82" i="19" s="1"/>
  <c r="AC82" i="19"/>
  <c r="AE82" i="19" s="1"/>
  <c r="AF82" i="19" s="1"/>
  <c r="BC82" i="19" s="1"/>
  <c r="AM82" i="3"/>
  <c r="AO82" i="3" s="1"/>
  <c r="AP82" i="3" s="1"/>
  <c r="BJ82" i="3" s="1"/>
  <c r="AL82" i="3"/>
  <c r="AN82" i="3" s="1"/>
  <c r="AY81" i="19"/>
  <c r="AZ81" i="19" s="1"/>
  <c r="AX81" i="19"/>
  <c r="Y21" i="6"/>
  <c r="AQ21" i="6"/>
  <c r="BC21" i="6"/>
  <c r="AE21" i="6"/>
  <c r="AM82" i="19"/>
  <c r="AO82" i="19" s="1"/>
  <c r="AP82" i="19" s="1"/>
  <c r="BJ82" i="19" s="1"/>
  <c r="AL82" i="19"/>
  <c r="AN82" i="19" s="1"/>
  <c r="E23" i="6"/>
  <c r="D23" i="6"/>
  <c r="F23" i="6"/>
  <c r="AK83" i="3"/>
  <c r="AK83" i="19"/>
  <c r="AA83" i="19"/>
  <c r="AA83" i="18"/>
  <c r="AK83" i="18"/>
  <c r="BD80" i="18"/>
  <c r="BE80" i="18" s="1"/>
  <c r="BG80" i="18" s="1"/>
  <c r="BK80" i="18"/>
  <c r="BL80" i="18" s="1"/>
  <c r="BN80" i="18" s="1"/>
  <c r="AB19" i="6"/>
  <c r="AV19" i="6"/>
  <c r="AJ19" i="6"/>
  <c r="AM82" i="18"/>
  <c r="AO82" i="18" s="1"/>
  <c r="AP82" i="18" s="1"/>
  <c r="BJ82" i="18" s="1"/>
  <c r="AL82" i="18"/>
  <c r="AN82" i="18" s="1"/>
  <c r="AK20" i="6"/>
  <c r="AW20" i="6"/>
  <c r="AC82" i="18"/>
  <c r="AE82" i="18" s="1"/>
  <c r="AF82" i="18" s="1"/>
  <c r="BC82" i="18" s="1"/>
  <c r="AB82" i="18"/>
  <c r="AD82" i="18" s="1"/>
  <c r="AX81" i="18"/>
  <c r="AY81" i="18"/>
  <c r="AZ81" i="18" s="1"/>
  <c r="BD80" i="3"/>
  <c r="BE80" i="3" s="1"/>
  <c r="BG80" i="3" s="1"/>
  <c r="C21" i="6" s="1"/>
  <c r="L21" i="6" s="1"/>
  <c r="Q21" i="6" s="1"/>
  <c r="BK80" i="3"/>
  <c r="BL80" i="3" s="1"/>
  <c r="BN80" i="3" s="1"/>
  <c r="BB20" i="6"/>
  <c r="BF20" i="6" s="1"/>
  <c r="U20" i="6"/>
  <c r="X20" i="6"/>
  <c r="AD20" i="6"/>
  <c r="AH20" i="6" s="1"/>
  <c r="AP20" i="6"/>
  <c r="AT20" i="6" s="1"/>
  <c r="N22" i="6"/>
  <c r="R22" i="6" s="1"/>
  <c r="BD80" i="19"/>
  <c r="BE80" i="19" s="1"/>
  <c r="BG80" i="19" s="1"/>
  <c r="BK80" i="19"/>
  <c r="BL80" i="19" s="1"/>
  <c r="BN80" i="19" s="1"/>
  <c r="AX81" i="3"/>
  <c r="AY81" i="3"/>
  <c r="AZ81" i="3" s="1"/>
  <c r="AN18" i="6"/>
  <c r="AZ18" i="6"/>
  <c r="AT161" i="7"/>
  <c r="AQ162" i="7"/>
  <c r="AE162" i="7"/>
  <c r="AB162" i="7"/>
  <c r="AS164" i="7"/>
  <c r="AC162" i="7"/>
  <c r="AP162" i="7"/>
  <c r="AD164" i="7"/>
  <c r="AN162" i="7"/>
  <c r="AC129" i="7"/>
  <c r="AF129" i="7" s="1"/>
  <c r="AB82" i="3" l="1"/>
  <c r="AD82" i="3" s="1"/>
  <c r="AC82" i="3"/>
  <c r="AE82" i="3" s="1"/>
  <c r="AF82" i="3" s="1"/>
  <c r="BC82" i="3" s="1"/>
  <c r="AA83" i="3"/>
  <c r="N23" i="6"/>
  <c r="BB21" i="6"/>
  <c r="BF21" i="6" s="1"/>
  <c r="AD21" i="6"/>
  <c r="AH21" i="6" s="1"/>
  <c r="AP21" i="6"/>
  <c r="AT21" i="6" s="1"/>
  <c r="U21" i="6"/>
  <c r="X21" i="6"/>
  <c r="BD81" i="18"/>
  <c r="BE81" i="18" s="1"/>
  <c r="BG81" i="18" s="1"/>
  <c r="BK81" i="18"/>
  <c r="BL81" i="18" s="1"/>
  <c r="BN81" i="18" s="1"/>
  <c r="AY82" i="19"/>
  <c r="AZ82" i="19" s="1"/>
  <c r="AX82" i="19"/>
  <c r="AB83" i="18"/>
  <c r="AD83" i="18" s="1"/>
  <c r="AC83" i="18"/>
  <c r="AE83" i="18" s="1"/>
  <c r="AF83" i="18" s="1"/>
  <c r="BC83" i="18" s="1"/>
  <c r="BK81" i="19"/>
  <c r="BL81" i="19" s="1"/>
  <c r="BN81" i="19" s="1"/>
  <c r="BD81" i="19"/>
  <c r="BE81" i="19" s="1"/>
  <c r="BG81" i="19" s="1"/>
  <c r="AW21" i="6"/>
  <c r="AK21" i="6"/>
  <c r="F24" i="6"/>
  <c r="E24" i="6"/>
  <c r="D24" i="6"/>
  <c r="D18" i="23" s="1"/>
  <c r="AE22" i="6"/>
  <c r="Y22" i="6"/>
  <c r="AQ22" i="6"/>
  <c r="BC22" i="6"/>
  <c r="AC83" i="19"/>
  <c r="AE83" i="19" s="1"/>
  <c r="AF83" i="19" s="1"/>
  <c r="BC83" i="19" s="1"/>
  <c r="AB83" i="19"/>
  <c r="AD83" i="19" s="1"/>
  <c r="AL83" i="19"/>
  <c r="AN83" i="19" s="1"/>
  <c r="AM83" i="19"/>
  <c r="AO83" i="19" s="1"/>
  <c r="AP83" i="19" s="1"/>
  <c r="BJ83" i="19" s="1"/>
  <c r="AZ19" i="6"/>
  <c r="AN19" i="6"/>
  <c r="AB20" i="6"/>
  <c r="AV20" i="6"/>
  <c r="AJ20" i="6"/>
  <c r="AM83" i="3"/>
  <c r="AO83" i="3" s="1"/>
  <c r="AP83" i="3" s="1"/>
  <c r="BJ83" i="3" s="1"/>
  <c r="AL83" i="3"/>
  <c r="AN83" i="3" s="1"/>
  <c r="AL83" i="18"/>
  <c r="AN83" i="18" s="1"/>
  <c r="AM83" i="18"/>
  <c r="AO83" i="18" s="1"/>
  <c r="AP83" i="18" s="1"/>
  <c r="BJ83" i="18" s="1"/>
  <c r="AY82" i="18"/>
  <c r="AZ82" i="18" s="1"/>
  <c r="AX82" i="18"/>
  <c r="BK81" i="3"/>
  <c r="BL81" i="3" s="1"/>
  <c r="BN81" i="3" s="1"/>
  <c r="BD81" i="3"/>
  <c r="BE81" i="3" s="1"/>
  <c r="BG81" i="3" s="1"/>
  <c r="C22" i="6" s="1"/>
  <c r="AY82" i="3"/>
  <c r="AZ82" i="3" s="1"/>
  <c r="AX82" i="3"/>
  <c r="AK84" i="18"/>
  <c r="AK84" i="19"/>
  <c r="AK84" i="3"/>
  <c r="AA84" i="18"/>
  <c r="AA84" i="19"/>
  <c r="M23" i="6"/>
  <c r="AE163" i="7"/>
  <c r="AS165" i="7"/>
  <c r="AT162" i="7"/>
  <c r="AQ163" i="7"/>
  <c r="AN163" i="7"/>
  <c r="AP163" i="7"/>
  <c r="AD165" i="7"/>
  <c r="AC163" i="7"/>
  <c r="AB163" i="7"/>
  <c r="AC130" i="7"/>
  <c r="AF130" i="7" s="1"/>
  <c r="R23" i="6" l="1"/>
  <c r="AE23" i="6" s="1"/>
  <c r="AB83" i="3"/>
  <c r="AD83" i="3" s="1"/>
  <c r="AC83" i="3"/>
  <c r="AE83" i="3" s="1"/>
  <c r="AF83" i="3" s="1"/>
  <c r="BC83" i="3" s="1"/>
  <c r="AA84" i="3"/>
  <c r="N24" i="6"/>
  <c r="D21" i="23"/>
  <c r="AC84" i="19"/>
  <c r="AE84" i="19" s="1"/>
  <c r="AF84" i="19" s="1"/>
  <c r="BC84" i="19" s="1"/>
  <c r="AB84" i="19"/>
  <c r="AD84" i="19" s="1"/>
  <c r="AX83" i="19"/>
  <c r="AY83" i="19"/>
  <c r="AZ83" i="19" s="1"/>
  <c r="AB84" i="18"/>
  <c r="AD84" i="18" s="1"/>
  <c r="AC84" i="18"/>
  <c r="AE84" i="18" s="1"/>
  <c r="AF84" i="18" s="1"/>
  <c r="BC84" i="18" s="1"/>
  <c r="BD82" i="19"/>
  <c r="BE82" i="19" s="1"/>
  <c r="BG82" i="19" s="1"/>
  <c r="BK82" i="19"/>
  <c r="BL82" i="19" s="1"/>
  <c r="BN82" i="19" s="1"/>
  <c r="AM84" i="3"/>
  <c r="AO84" i="3" s="1"/>
  <c r="AP84" i="3" s="1"/>
  <c r="BJ84" i="3" s="1"/>
  <c r="AL84" i="3"/>
  <c r="AN84" i="3" s="1"/>
  <c r="M24" i="6"/>
  <c r="L22" i="6"/>
  <c r="Q22" i="6" s="1"/>
  <c r="AL84" i="18"/>
  <c r="AN84" i="18" s="1"/>
  <c r="AM84" i="18"/>
  <c r="AO84" i="18" s="1"/>
  <c r="AP84" i="18" s="1"/>
  <c r="BJ84" i="18" s="1"/>
  <c r="AJ21" i="6"/>
  <c r="AV21" i="6"/>
  <c r="AB21" i="6"/>
  <c r="AN20" i="6"/>
  <c r="AZ20" i="6"/>
  <c r="BD82" i="18"/>
  <c r="BE82" i="18" s="1"/>
  <c r="BG82" i="18" s="1"/>
  <c r="BK82" i="18"/>
  <c r="BL82" i="18" s="1"/>
  <c r="BN82" i="18" s="1"/>
  <c r="BC23" i="6"/>
  <c r="Y23" i="6"/>
  <c r="AA85" i="3"/>
  <c r="AK85" i="19"/>
  <c r="AK85" i="18"/>
  <c r="AK85" i="3"/>
  <c r="AA85" i="18"/>
  <c r="AA85" i="19"/>
  <c r="AK22" i="6"/>
  <c r="AW22" i="6"/>
  <c r="BD82" i="3"/>
  <c r="BE82" i="3" s="1"/>
  <c r="BG82" i="3" s="1"/>
  <c r="C23" i="6" s="1"/>
  <c r="BK82" i="3"/>
  <c r="BL82" i="3" s="1"/>
  <c r="BN82" i="3" s="1"/>
  <c r="AL84" i="19"/>
  <c r="AN84" i="19" s="1"/>
  <c r="AM84" i="19"/>
  <c r="AO84" i="19" s="1"/>
  <c r="AP84" i="19" s="1"/>
  <c r="BJ84" i="19" s="1"/>
  <c r="AY83" i="18"/>
  <c r="AZ83" i="18" s="1"/>
  <c r="AX83" i="18"/>
  <c r="D25" i="6"/>
  <c r="E18" i="23" s="1"/>
  <c r="F25" i="6"/>
  <c r="E25" i="6"/>
  <c r="AX83" i="3"/>
  <c r="AY83" i="3"/>
  <c r="AZ83" i="3" s="1"/>
  <c r="AD166" i="7"/>
  <c r="AE164" i="7"/>
  <c r="AC164" i="7"/>
  <c r="AQ164" i="7"/>
  <c r="AB164" i="7"/>
  <c r="AN164" i="7"/>
  <c r="AP164" i="7"/>
  <c r="AT163" i="7"/>
  <c r="AS166" i="7"/>
  <c r="AC131" i="7"/>
  <c r="AF131" i="7" s="1"/>
  <c r="AQ23" i="6" l="1"/>
  <c r="R24" i="6"/>
  <c r="BC24" i="6" s="1"/>
  <c r="AC84" i="3"/>
  <c r="AE84" i="3" s="1"/>
  <c r="AF84" i="3" s="1"/>
  <c r="BC84" i="3" s="1"/>
  <c r="AB84" i="3"/>
  <c r="AD84" i="3" s="1"/>
  <c r="N25" i="6"/>
  <c r="G21" i="23"/>
  <c r="E21" i="23"/>
  <c r="E26" i="6"/>
  <c r="F26" i="6"/>
  <c r="D26" i="6"/>
  <c r="F18" i="23" s="1"/>
  <c r="BB22" i="6"/>
  <c r="BF22" i="6" s="1"/>
  <c r="AP22" i="6"/>
  <c r="AT22" i="6" s="1"/>
  <c r="AD22" i="6"/>
  <c r="AH22" i="6" s="1"/>
  <c r="X22" i="6"/>
  <c r="U22" i="6"/>
  <c r="L23" i="6"/>
  <c r="Q23" i="6" s="1"/>
  <c r="M25" i="6"/>
  <c r="G18" i="23"/>
  <c r="AQ24" i="6"/>
  <c r="AE24" i="6"/>
  <c r="BD83" i="19"/>
  <c r="BE83" i="19" s="1"/>
  <c r="BG83" i="19" s="1"/>
  <c r="BK83" i="19"/>
  <c r="BL83" i="19" s="1"/>
  <c r="BN83" i="19" s="1"/>
  <c r="AB85" i="19"/>
  <c r="AD85" i="19" s="1"/>
  <c r="AC85" i="19"/>
  <c r="AE85" i="19" s="1"/>
  <c r="AF85" i="19" s="1"/>
  <c r="BC85" i="19" s="1"/>
  <c r="AX84" i="18"/>
  <c r="AY84" i="18"/>
  <c r="AZ84" i="18" s="1"/>
  <c r="AM85" i="3"/>
  <c r="AO85" i="3" s="1"/>
  <c r="AP85" i="3" s="1"/>
  <c r="BJ85" i="3" s="1"/>
  <c r="AL85" i="3"/>
  <c r="AN85" i="3" s="1"/>
  <c r="AN21" i="6"/>
  <c r="AZ21" i="6"/>
  <c r="AY84" i="19"/>
  <c r="AZ84" i="19" s="1"/>
  <c r="AX84" i="19"/>
  <c r="BD83" i="18"/>
  <c r="BE83" i="18" s="1"/>
  <c r="BG83" i="18" s="1"/>
  <c r="BK83" i="18"/>
  <c r="BL83" i="18" s="1"/>
  <c r="BN83" i="18" s="1"/>
  <c r="BD83" i="3"/>
  <c r="BE83" i="3" s="1"/>
  <c r="BG83" i="3" s="1"/>
  <c r="C24" i="6" s="1"/>
  <c r="D17" i="23" s="1"/>
  <c r="BK83" i="3"/>
  <c r="BL83" i="3" s="1"/>
  <c r="BN83" i="3" s="1"/>
  <c r="AB85" i="3"/>
  <c r="AC85" i="3"/>
  <c r="AW23" i="6"/>
  <c r="AK23" i="6"/>
  <c r="AB85" i="18"/>
  <c r="AD85" i="18" s="1"/>
  <c r="AC85" i="18"/>
  <c r="AE85" i="18" s="1"/>
  <c r="AF85" i="18" s="1"/>
  <c r="BC85" i="18" s="1"/>
  <c r="AL85" i="18"/>
  <c r="AN85" i="18" s="1"/>
  <c r="AM85" i="18"/>
  <c r="AO85" i="18" s="1"/>
  <c r="AP85" i="18" s="1"/>
  <c r="BJ85" i="18" s="1"/>
  <c r="AX84" i="3"/>
  <c r="AY84" i="3"/>
  <c r="AZ84" i="3" s="1"/>
  <c r="AM85" i="19"/>
  <c r="AO85" i="19" s="1"/>
  <c r="AP85" i="19" s="1"/>
  <c r="BJ85" i="19" s="1"/>
  <c r="AL85" i="19"/>
  <c r="AN85" i="19" s="1"/>
  <c r="AT164" i="7"/>
  <c r="AP165" i="7"/>
  <c r="AC165" i="7"/>
  <c r="AN165" i="7"/>
  <c r="AQ165" i="7"/>
  <c r="AE165" i="7"/>
  <c r="AD167" i="7"/>
  <c r="AS167" i="7"/>
  <c r="AB165" i="7"/>
  <c r="AC132" i="7"/>
  <c r="AF132" i="7" s="1"/>
  <c r="AE85" i="3" l="1"/>
  <c r="AF85" i="3" s="1"/>
  <c r="BC85" i="3" s="1"/>
  <c r="AD85" i="3"/>
  <c r="AD86" i="3" s="1"/>
  <c r="Y24" i="6"/>
  <c r="R25" i="6"/>
  <c r="AE25" i="6" s="1"/>
  <c r="H21" i="23"/>
  <c r="F21" i="23"/>
  <c r="BK84" i="18"/>
  <c r="BL84" i="18" s="1"/>
  <c r="BN84" i="18" s="1"/>
  <c r="BD84" i="18"/>
  <c r="BE84" i="18" s="1"/>
  <c r="BG84" i="18" s="1"/>
  <c r="AY85" i="18"/>
  <c r="AZ85" i="18" s="1"/>
  <c r="AX85" i="18"/>
  <c r="AB22" i="6"/>
  <c r="AV22" i="6"/>
  <c r="AJ22" i="6"/>
  <c r="AO86" i="3"/>
  <c r="AP86" i="3" s="1"/>
  <c r="BJ86" i="3" s="1"/>
  <c r="AN86" i="3"/>
  <c r="AQ25" i="6"/>
  <c r="BC25" i="6"/>
  <c r="AO86" i="18"/>
  <c r="AP86" i="18" s="1"/>
  <c r="BJ86" i="18" s="1"/>
  <c r="AN86" i="18"/>
  <c r="M26" i="6"/>
  <c r="H18" i="23"/>
  <c r="AE86" i="18"/>
  <c r="AF86" i="18" s="1"/>
  <c r="BC86" i="18" s="1"/>
  <c r="AD86" i="18"/>
  <c r="BD84" i="19"/>
  <c r="BE84" i="19" s="1"/>
  <c r="BG84" i="19" s="1"/>
  <c r="BK84" i="19"/>
  <c r="BL84" i="19" s="1"/>
  <c r="BN84" i="19" s="1"/>
  <c r="N26" i="6"/>
  <c r="BD84" i="3"/>
  <c r="BE84" i="3" s="1"/>
  <c r="BG84" i="3" s="1"/>
  <c r="C25" i="6" s="1"/>
  <c r="E17" i="23" s="1"/>
  <c r="BK84" i="3"/>
  <c r="BL84" i="3" s="1"/>
  <c r="BN84" i="3" s="1"/>
  <c r="AX85" i="3"/>
  <c r="AY85" i="3"/>
  <c r="AZ85" i="3" s="1"/>
  <c r="AE86" i="19"/>
  <c r="AF86" i="19" s="1"/>
  <c r="BC86" i="19" s="1"/>
  <c r="AD86" i="19"/>
  <c r="AY85" i="19"/>
  <c r="AZ85" i="19" s="1"/>
  <c r="AX85" i="19"/>
  <c r="AN86" i="19"/>
  <c r="AO86" i="19"/>
  <c r="AP86" i="19" s="1"/>
  <c r="BJ86" i="19" s="1"/>
  <c r="AK24" i="6"/>
  <c r="AW24" i="6"/>
  <c r="AE86" i="3"/>
  <c r="AF86" i="3" s="1"/>
  <c r="BC86" i="3" s="1"/>
  <c r="L24" i="6"/>
  <c r="Q24" i="6" s="1"/>
  <c r="BB23" i="6"/>
  <c r="BF23" i="6" s="1"/>
  <c r="X23" i="6"/>
  <c r="AP23" i="6"/>
  <c r="AT23" i="6" s="1"/>
  <c r="AD23" i="6"/>
  <c r="AH23" i="6" s="1"/>
  <c r="U23" i="6"/>
  <c r="AD168" i="7"/>
  <c r="AQ166" i="7"/>
  <c r="AC166" i="7"/>
  <c r="AB166" i="7"/>
  <c r="AP166" i="7"/>
  <c r="AS168" i="7"/>
  <c r="AE166" i="7"/>
  <c r="AN166" i="7"/>
  <c r="AT165" i="7"/>
  <c r="AC133" i="7"/>
  <c r="AF133" i="7" s="1"/>
  <c r="Y25" i="6" l="1"/>
  <c r="AK25" i="6" s="1"/>
  <c r="R26" i="6"/>
  <c r="Y26" i="6" s="1"/>
  <c r="AN87" i="3"/>
  <c r="AO87" i="3"/>
  <c r="AP87" i="3" s="1"/>
  <c r="BJ87" i="3" s="1"/>
  <c r="BB24" i="6"/>
  <c r="BF24" i="6" s="1"/>
  <c r="U24" i="6"/>
  <c r="X24" i="6"/>
  <c r="AP24" i="6"/>
  <c r="AT24" i="6" s="1"/>
  <c r="AD24" i="6"/>
  <c r="AH24" i="6" s="1"/>
  <c r="BD85" i="19"/>
  <c r="BE85" i="19" s="1"/>
  <c r="BG85" i="19" s="1"/>
  <c r="BK85" i="19"/>
  <c r="BL85" i="19" s="1"/>
  <c r="BN85" i="19" s="1"/>
  <c r="AZ22" i="6"/>
  <c r="AN22" i="6"/>
  <c r="AY86" i="18"/>
  <c r="AZ86" i="18" s="1"/>
  <c r="AX86" i="18"/>
  <c r="AX86" i="19"/>
  <c r="AY86" i="19"/>
  <c r="AZ86" i="19" s="1"/>
  <c r="BD85" i="18"/>
  <c r="BE85" i="18" s="1"/>
  <c r="BG85" i="18" s="1"/>
  <c r="BK85" i="18"/>
  <c r="BL85" i="18" s="1"/>
  <c r="BN85" i="18" s="1"/>
  <c r="AO87" i="19"/>
  <c r="AP87" i="19" s="1"/>
  <c r="BJ87" i="19" s="1"/>
  <c r="AN87" i="19"/>
  <c r="BD85" i="3"/>
  <c r="BE85" i="3" s="1"/>
  <c r="BG85" i="3" s="1"/>
  <c r="C26" i="6" s="1"/>
  <c r="F17" i="23" s="1"/>
  <c r="BK85" i="3"/>
  <c r="BL85" i="3" s="1"/>
  <c r="BN85" i="3" s="1"/>
  <c r="L25" i="6"/>
  <c r="Q25" i="6" s="1"/>
  <c r="AB23" i="6"/>
  <c r="AV23" i="6"/>
  <c r="AJ23" i="6"/>
  <c r="AX86" i="3"/>
  <c r="AY86" i="3"/>
  <c r="AZ86" i="3" s="1"/>
  <c r="AE87" i="3"/>
  <c r="AF87" i="3" s="1"/>
  <c r="BC87" i="3" s="1"/>
  <c r="AD87" i="3"/>
  <c r="AT166" i="7"/>
  <c r="AN167" i="7"/>
  <c r="AQ167" i="7"/>
  <c r="AC167" i="7"/>
  <c r="AD169" i="7"/>
  <c r="AS169" i="7"/>
  <c r="AB167" i="7"/>
  <c r="AE167" i="7"/>
  <c r="AP167" i="7"/>
  <c r="AC134" i="7"/>
  <c r="AF134" i="7" s="1"/>
  <c r="AW25" i="6" l="1"/>
  <c r="AE26" i="6"/>
  <c r="BC26" i="6"/>
  <c r="AQ26" i="6"/>
  <c r="L26" i="6"/>
  <c r="Q26" i="6" s="1"/>
  <c r="H17" i="23"/>
  <c r="BD86" i="3"/>
  <c r="BE86" i="3" s="1"/>
  <c r="BG86" i="3" s="1"/>
  <c r="C27" i="6" s="1"/>
  <c r="G17" i="23" s="1"/>
  <c r="BK86" i="3"/>
  <c r="BL86" i="3" s="1"/>
  <c r="AN88" i="19"/>
  <c r="AO88" i="19"/>
  <c r="AP88" i="19" s="1"/>
  <c r="BJ88" i="19" s="1"/>
  <c r="AW26" i="6"/>
  <c r="AK26" i="6"/>
  <c r="U25" i="6"/>
  <c r="AP25" i="6"/>
  <c r="AT25" i="6" s="1"/>
  <c r="AD25" i="6"/>
  <c r="AH25" i="6" s="1"/>
  <c r="BB25" i="6"/>
  <c r="BF25" i="6" s="1"/>
  <c r="X25" i="6"/>
  <c r="AX87" i="3"/>
  <c r="AY87" i="3"/>
  <c r="AZ87" i="3" s="1"/>
  <c r="AY87" i="19"/>
  <c r="AZ87" i="19" s="1"/>
  <c r="AX87" i="19"/>
  <c r="AY87" i="18"/>
  <c r="AZ87" i="18" s="1"/>
  <c r="AX87" i="18"/>
  <c r="BD86" i="19"/>
  <c r="BE86" i="19" s="1"/>
  <c r="BG86" i="19" s="1"/>
  <c r="BK86" i="19"/>
  <c r="BL86" i="19" s="1"/>
  <c r="BN86" i="19" s="1"/>
  <c r="AN23" i="6"/>
  <c r="AZ23" i="6"/>
  <c r="AN88" i="3"/>
  <c r="AO88" i="3"/>
  <c r="AP88" i="3" s="1"/>
  <c r="BJ88" i="3" s="1"/>
  <c r="BK86" i="18"/>
  <c r="BL86" i="18" s="1"/>
  <c r="BN86" i="18" s="1"/>
  <c r="BD86" i="18"/>
  <c r="BE86" i="18" s="1"/>
  <c r="BG86" i="18" s="1"/>
  <c r="AD88" i="3"/>
  <c r="AE88" i="3"/>
  <c r="AF88" i="3" s="1"/>
  <c r="BC88" i="3" s="1"/>
  <c r="AB24" i="6"/>
  <c r="AV24" i="6"/>
  <c r="AJ24" i="6"/>
  <c r="AD170" i="7"/>
  <c r="AD171" i="7"/>
  <c r="AP168" i="7"/>
  <c r="AT167" i="7"/>
  <c r="AN168" i="7"/>
  <c r="AB168" i="7"/>
  <c r="AE168" i="7"/>
  <c r="AS170" i="7"/>
  <c r="AS171" i="7"/>
  <c r="AC168" i="7"/>
  <c r="AQ168" i="7"/>
  <c r="AC135" i="7"/>
  <c r="AF135" i="7" s="1"/>
  <c r="BN86" i="3" l="1"/>
  <c r="AO89" i="3"/>
  <c r="AP89" i="3" s="1"/>
  <c r="BJ89" i="3" s="1"/>
  <c r="AN89" i="3"/>
  <c r="AZ24" i="6"/>
  <c r="AN24" i="6"/>
  <c r="AY88" i="19"/>
  <c r="AZ88" i="19" s="1"/>
  <c r="AX88" i="19"/>
  <c r="AO89" i="19"/>
  <c r="AP89" i="19" s="1"/>
  <c r="BJ89" i="19" s="1"/>
  <c r="AN89" i="19"/>
  <c r="BD87" i="18"/>
  <c r="BK87" i="18"/>
  <c r="BK87" i="19"/>
  <c r="BD87" i="19"/>
  <c r="BK87" i="3"/>
  <c r="BL87" i="3" s="1"/>
  <c r="BN87" i="3" s="1"/>
  <c r="C63" i="6" s="1"/>
  <c r="L63" i="6" s="1"/>
  <c r="Q63" i="6" s="1"/>
  <c r="AD28" i="6" s="1"/>
  <c r="BD87" i="3"/>
  <c r="BE87" i="3" s="1"/>
  <c r="BG87" i="3" s="1"/>
  <c r="C29" i="6" s="1"/>
  <c r="I17" i="23"/>
  <c r="L27" i="6"/>
  <c r="Q27" i="6" s="1"/>
  <c r="AX88" i="18"/>
  <c r="AY88" i="18"/>
  <c r="AZ88" i="18" s="1"/>
  <c r="AE89" i="3"/>
  <c r="AF89" i="3" s="1"/>
  <c r="BC89" i="3" s="1"/>
  <c r="AD89" i="3"/>
  <c r="AX88" i="3"/>
  <c r="AY88" i="3"/>
  <c r="AZ88" i="3" s="1"/>
  <c r="AJ25" i="6"/>
  <c r="AB25" i="6"/>
  <c r="AV25" i="6"/>
  <c r="BB26" i="6"/>
  <c r="BF26" i="6" s="1"/>
  <c r="AD26" i="6"/>
  <c r="AH26" i="6" s="1"/>
  <c r="AP26" i="6"/>
  <c r="AT26" i="6" s="1"/>
  <c r="U26" i="6"/>
  <c r="X26" i="6"/>
  <c r="AE169" i="7"/>
  <c r="AN169" i="7"/>
  <c r="AP169" i="7"/>
  <c r="AQ169" i="7"/>
  <c r="AB169" i="7"/>
  <c r="AC169" i="7"/>
  <c r="AT168" i="7"/>
  <c r="AC136" i="7"/>
  <c r="AF136" i="7" s="1"/>
  <c r="AN90" i="19" l="1"/>
  <c r="AO90" i="19"/>
  <c r="AP90" i="19" s="1"/>
  <c r="BJ90" i="19" s="1"/>
  <c r="AB26" i="6"/>
  <c r="AV26" i="6"/>
  <c r="AJ26" i="6"/>
  <c r="AX89" i="19"/>
  <c r="AY89" i="19"/>
  <c r="AZ89" i="19" s="1"/>
  <c r="BD88" i="3"/>
  <c r="BE88" i="3" s="1"/>
  <c r="BG88" i="3" s="1"/>
  <c r="C30" i="6" s="1"/>
  <c r="BK88" i="3"/>
  <c r="BL88" i="3" s="1"/>
  <c r="BN88" i="3" s="1"/>
  <c r="C64" i="6" s="1"/>
  <c r="L64" i="6" s="1"/>
  <c r="Q64" i="6" s="1"/>
  <c r="AD29" i="6" s="1"/>
  <c r="AY89" i="3"/>
  <c r="AZ89" i="3" s="1"/>
  <c r="AX89" i="3"/>
  <c r="AD90" i="3"/>
  <c r="AE90" i="3"/>
  <c r="AF90" i="3" s="1"/>
  <c r="BC90" i="3" s="1"/>
  <c r="BD88" i="19"/>
  <c r="BK88" i="19"/>
  <c r="AN25" i="6"/>
  <c r="AZ25" i="6"/>
  <c r="BK88" i="18"/>
  <c r="BD88" i="18"/>
  <c r="BB27" i="6"/>
  <c r="BF27" i="6" s="1"/>
  <c r="U27" i="6"/>
  <c r="X27" i="6"/>
  <c r="AP27" i="6"/>
  <c r="AT27" i="6" s="1"/>
  <c r="AD27" i="6"/>
  <c r="AH27" i="6" s="1"/>
  <c r="L29" i="6"/>
  <c r="Q29" i="6" s="1"/>
  <c r="X28" i="6" s="1"/>
  <c r="AO90" i="3"/>
  <c r="AP90" i="3" s="1"/>
  <c r="BJ90" i="3" s="1"/>
  <c r="AN90" i="3"/>
  <c r="AY89" i="18"/>
  <c r="AZ89" i="18" s="1"/>
  <c r="AX89" i="18"/>
  <c r="AT169" i="7"/>
  <c r="AB170" i="7"/>
  <c r="AB171" i="7"/>
  <c r="AE170" i="7"/>
  <c r="AE171" i="7"/>
  <c r="AC170" i="7"/>
  <c r="AC171" i="7"/>
  <c r="AQ170" i="7"/>
  <c r="AQ171" i="7"/>
  <c r="AN170" i="7"/>
  <c r="AN171" i="7"/>
  <c r="AP170" i="7"/>
  <c r="AP171" i="7"/>
  <c r="AC137" i="7"/>
  <c r="AF137" i="7" s="1"/>
  <c r="AY90" i="3" l="1"/>
  <c r="AZ90" i="3" s="1"/>
  <c r="AX90" i="3"/>
  <c r="AX90" i="19"/>
  <c r="AY90" i="19"/>
  <c r="AZ90" i="19" s="1"/>
  <c r="BD89" i="3"/>
  <c r="BE89" i="3" s="1"/>
  <c r="BG89" i="3" s="1"/>
  <c r="C31" i="6" s="1"/>
  <c r="J17" i="23" s="1"/>
  <c r="BK89" i="3"/>
  <c r="BL89" i="3" s="1"/>
  <c r="BN89" i="3" s="1"/>
  <c r="C65" i="6" s="1"/>
  <c r="L65" i="6" s="1"/>
  <c r="Q65" i="6" s="1"/>
  <c r="AD30" i="6" s="1"/>
  <c r="BD89" i="18"/>
  <c r="BK89" i="18"/>
  <c r="AE91" i="3"/>
  <c r="AF91" i="3" s="1"/>
  <c r="BC91" i="3" s="1"/>
  <c r="AD91" i="3"/>
  <c r="AB27" i="6"/>
  <c r="AV27" i="6"/>
  <c r="AJ27" i="6"/>
  <c r="BD89" i="19"/>
  <c r="BK89" i="19"/>
  <c r="AZ26" i="6"/>
  <c r="AN26" i="6"/>
  <c r="L30" i="6"/>
  <c r="Q30" i="6" s="1"/>
  <c r="X29" i="6" s="1"/>
  <c r="AY90" i="18"/>
  <c r="AZ90" i="18" s="1"/>
  <c r="AX90" i="18"/>
  <c r="AN91" i="3"/>
  <c r="AO91" i="3"/>
  <c r="AP91" i="3" s="1"/>
  <c r="BJ91" i="3" s="1"/>
  <c r="AN91" i="19"/>
  <c r="AO91" i="19"/>
  <c r="AP91" i="19" s="1"/>
  <c r="BJ91" i="19" s="1"/>
  <c r="AT171" i="7"/>
  <c r="AT170" i="7"/>
  <c r="AC138" i="7"/>
  <c r="AF138" i="7" s="1"/>
  <c r="AZ27" i="6" l="1"/>
  <c r="AN27" i="6"/>
  <c r="BK90" i="18"/>
  <c r="BD90" i="18"/>
  <c r="AO92" i="19"/>
  <c r="AP92" i="19" s="1"/>
  <c r="BJ92" i="19" s="1"/>
  <c r="AN92" i="19"/>
  <c r="AD92" i="3"/>
  <c r="AE92" i="3"/>
  <c r="AF92" i="3" s="1"/>
  <c r="BC92" i="3" s="1"/>
  <c r="AY91" i="19"/>
  <c r="AZ91" i="19" s="1"/>
  <c r="AX91" i="19"/>
  <c r="AO92" i="3"/>
  <c r="AP92" i="3" s="1"/>
  <c r="BJ92" i="3" s="1"/>
  <c r="AN92" i="3"/>
  <c r="AY91" i="18"/>
  <c r="AZ91" i="18" s="1"/>
  <c r="AX91" i="18"/>
  <c r="L31" i="6"/>
  <c r="Q31" i="6" s="1"/>
  <c r="X30" i="6" s="1"/>
  <c r="BK90" i="19"/>
  <c r="BD90" i="19"/>
  <c r="AY91" i="3"/>
  <c r="AZ91" i="3" s="1"/>
  <c r="AX91" i="3"/>
  <c r="BD90" i="3"/>
  <c r="BE90" i="3" s="1"/>
  <c r="BG90" i="3" s="1"/>
  <c r="C32" i="6" s="1"/>
  <c r="K17" i="23" s="1"/>
  <c r="BK90" i="3"/>
  <c r="BL90" i="3" s="1"/>
  <c r="BN90" i="3" s="1"/>
  <c r="C66" i="6" s="1"/>
  <c r="L66" i="6" s="1"/>
  <c r="Q66" i="6" s="1"/>
  <c r="AD31" i="6" s="1"/>
  <c r="AC139" i="7"/>
  <c r="AF139" i="7" s="1"/>
  <c r="AN93" i="3" l="1"/>
  <c r="AO93" i="3"/>
  <c r="AP93" i="3" s="1"/>
  <c r="BJ93" i="3" s="1"/>
  <c r="BD91" i="19"/>
  <c r="BK91" i="19"/>
  <c r="AY92" i="3"/>
  <c r="AZ92" i="3" s="1"/>
  <c r="AX92" i="3"/>
  <c r="AX92" i="19"/>
  <c r="AY92" i="19"/>
  <c r="AZ92" i="19" s="1"/>
  <c r="BD91" i="3"/>
  <c r="BE91" i="3" s="1"/>
  <c r="BG91" i="3" s="1"/>
  <c r="C33" i="6" s="1"/>
  <c r="L17" i="23" s="1"/>
  <c r="BK91" i="3"/>
  <c r="BL91" i="3" s="1"/>
  <c r="BN91" i="3" s="1"/>
  <c r="C67" i="6" s="1"/>
  <c r="L67" i="6" s="1"/>
  <c r="Q67" i="6" s="1"/>
  <c r="AD32" i="6" s="1"/>
  <c r="AX92" i="18"/>
  <c r="AY92" i="18"/>
  <c r="AZ92" i="18" s="1"/>
  <c r="L32" i="6"/>
  <c r="Q32" i="6" s="1"/>
  <c r="X31" i="6" s="1"/>
  <c r="AE93" i="3"/>
  <c r="AF93" i="3" s="1"/>
  <c r="BC93" i="3" s="1"/>
  <c r="AD93" i="3"/>
  <c r="AO93" i="19"/>
  <c r="AP93" i="19" s="1"/>
  <c r="BJ93" i="19" s="1"/>
  <c r="AN93" i="19"/>
  <c r="BD91" i="18"/>
  <c r="BK91" i="18"/>
  <c r="AC140" i="7"/>
  <c r="AF140" i="7" s="1"/>
  <c r="BK92" i="19" l="1"/>
  <c r="BD92" i="19"/>
  <c r="AX93" i="18"/>
  <c r="AY93" i="18"/>
  <c r="AZ93" i="18" s="1"/>
  <c r="AE94" i="3"/>
  <c r="AF94" i="3" s="1"/>
  <c r="BC94" i="3" s="1"/>
  <c r="AD94" i="3"/>
  <c r="BD92" i="18"/>
  <c r="BK92" i="18"/>
  <c r="AX93" i="19"/>
  <c r="AY93" i="19"/>
  <c r="AZ93" i="19" s="1"/>
  <c r="AO94" i="19"/>
  <c r="AP94" i="19" s="1"/>
  <c r="BJ94" i="19" s="1"/>
  <c r="AN94" i="19"/>
  <c r="BK92" i="3"/>
  <c r="BL92" i="3" s="1"/>
  <c r="BN92" i="3" s="1"/>
  <c r="C68" i="6" s="1"/>
  <c r="L68" i="6" s="1"/>
  <c r="Q68" i="6" s="1"/>
  <c r="AD33" i="6" s="1"/>
  <c r="BD92" i="3"/>
  <c r="BE92" i="3" s="1"/>
  <c r="BG92" i="3" s="1"/>
  <c r="C34" i="6" s="1"/>
  <c r="M17" i="23" s="1"/>
  <c r="L33" i="6"/>
  <c r="Q33" i="6" s="1"/>
  <c r="X32" i="6" s="1"/>
  <c r="AX93" i="3"/>
  <c r="AY93" i="3"/>
  <c r="AZ93" i="3" s="1"/>
  <c r="AN94" i="3"/>
  <c r="AO94" i="3"/>
  <c r="AP94" i="3" s="1"/>
  <c r="BJ94" i="3" s="1"/>
  <c r="AC141" i="7"/>
  <c r="AF141" i="7" s="1"/>
  <c r="BK93" i="3" l="1"/>
  <c r="BL93" i="3" s="1"/>
  <c r="BN93" i="3" s="1"/>
  <c r="C69" i="6" s="1"/>
  <c r="L69" i="6" s="1"/>
  <c r="Q69" i="6" s="1"/>
  <c r="AD34" i="6" s="1"/>
  <c r="BD93" i="3"/>
  <c r="BE93" i="3" s="1"/>
  <c r="BG93" i="3" s="1"/>
  <c r="C35" i="6" s="1"/>
  <c r="N17" i="23" s="1"/>
  <c r="AN95" i="19"/>
  <c r="AO95" i="19"/>
  <c r="AP95" i="19" s="1"/>
  <c r="BJ95" i="19" s="1"/>
  <c r="BD93" i="18"/>
  <c r="BK93" i="18"/>
  <c r="BK93" i="19"/>
  <c r="BD93" i="19"/>
  <c r="AX94" i="19"/>
  <c r="AY94" i="19"/>
  <c r="AZ94" i="19" s="1"/>
  <c r="AN95" i="3"/>
  <c r="AO95" i="3"/>
  <c r="AP95" i="3" s="1"/>
  <c r="BJ95" i="3" s="1"/>
  <c r="AE95" i="3"/>
  <c r="AF95" i="3" s="1"/>
  <c r="BC95" i="3" s="1"/>
  <c r="AD95" i="3"/>
  <c r="AY94" i="3"/>
  <c r="AZ94" i="3" s="1"/>
  <c r="AX94" i="3"/>
  <c r="AX94" i="18"/>
  <c r="AY94" i="18"/>
  <c r="AZ94" i="18" s="1"/>
  <c r="L34" i="6"/>
  <c r="Q34" i="6" s="1"/>
  <c r="X33" i="6" s="1"/>
  <c r="AC142" i="7"/>
  <c r="AF142" i="7" s="1"/>
  <c r="AO96" i="3" l="1"/>
  <c r="AP96" i="3" s="1"/>
  <c r="BJ96" i="3" s="1"/>
  <c r="AN96" i="3"/>
  <c r="BD94" i="3"/>
  <c r="BE94" i="3" s="1"/>
  <c r="BG94" i="3" s="1"/>
  <c r="C36" i="6" s="1"/>
  <c r="O17" i="23" s="1"/>
  <c r="BK94" i="3"/>
  <c r="BL94" i="3" s="1"/>
  <c r="BN94" i="3" s="1"/>
  <c r="C70" i="6" s="1"/>
  <c r="L70" i="6" s="1"/>
  <c r="Q70" i="6" s="1"/>
  <c r="AD35" i="6" s="1"/>
  <c r="AO96" i="19"/>
  <c r="AP96" i="19" s="1"/>
  <c r="BJ96" i="19" s="1"/>
  <c r="AN96" i="19"/>
  <c r="BK94" i="19"/>
  <c r="BD94" i="19"/>
  <c r="AX95" i="19"/>
  <c r="AY95" i="19"/>
  <c r="AZ95" i="19" s="1"/>
  <c r="BD94" i="18"/>
  <c r="BK94" i="18"/>
  <c r="AX95" i="3"/>
  <c r="AY95" i="3"/>
  <c r="AZ95" i="3" s="1"/>
  <c r="AE96" i="3"/>
  <c r="AF96" i="3" s="1"/>
  <c r="BC96" i="3" s="1"/>
  <c r="AD96" i="3"/>
  <c r="L35" i="6"/>
  <c r="Q35" i="6" s="1"/>
  <c r="X34" i="6" s="1"/>
  <c r="AX95" i="18"/>
  <c r="AY95" i="18"/>
  <c r="AZ95" i="18" s="1"/>
  <c r="AC143" i="7"/>
  <c r="AF143" i="7" s="1"/>
  <c r="BD95" i="18" l="1"/>
  <c r="BK95" i="18"/>
  <c r="AY96" i="19"/>
  <c r="AZ96" i="19" s="1"/>
  <c r="AX96" i="19"/>
  <c r="AE97" i="3"/>
  <c r="AF97" i="3" s="1"/>
  <c r="BC97" i="3" s="1"/>
  <c r="AD97" i="3"/>
  <c r="AX96" i="18"/>
  <c r="AY96" i="18"/>
  <c r="AZ96" i="18" s="1"/>
  <c r="AO97" i="19"/>
  <c r="AP97" i="19" s="1"/>
  <c r="BJ97" i="19" s="1"/>
  <c r="AN97" i="19"/>
  <c r="L36" i="6"/>
  <c r="Q36" i="6" s="1"/>
  <c r="X35" i="6" s="1"/>
  <c r="BK95" i="19"/>
  <c r="BD95" i="19"/>
  <c r="BD95" i="3"/>
  <c r="BE95" i="3" s="1"/>
  <c r="BG95" i="3" s="1"/>
  <c r="C37" i="6" s="1"/>
  <c r="P17" i="23" s="1"/>
  <c r="BK95" i="3"/>
  <c r="BL95" i="3" s="1"/>
  <c r="BN95" i="3" s="1"/>
  <c r="C71" i="6" s="1"/>
  <c r="L71" i="6" s="1"/>
  <c r="Q71" i="6" s="1"/>
  <c r="AD36" i="6" s="1"/>
  <c r="AN97" i="3"/>
  <c r="AO97" i="3"/>
  <c r="AP97" i="3" s="1"/>
  <c r="BJ97" i="3" s="1"/>
  <c r="AY96" i="3"/>
  <c r="AZ96" i="3" s="1"/>
  <c r="AX96" i="3"/>
  <c r="AC144" i="7"/>
  <c r="AF144" i="7" s="1"/>
  <c r="AO98" i="3" l="1"/>
  <c r="AP98" i="3" s="1"/>
  <c r="BJ98" i="3" s="1"/>
  <c r="AN98" i="3"/>
  <c r="AY97" i="3"/>
  <c r="AZ97" i="3" s="1"/>
  <c r="AX97" i="3"/>
  <c r="AX97" i="18"/>
  <c r="AY97" i="18"/>
  <c r="AZ97" i="18" s="1"/>
  <c r="L37" i="6"/>
  <c r="Q37" i="6" s="1"/>
  <c r="X36" i="6" s="1"/>
  <c r="AO98" i="19"/>
  <c r="AP98" i="19" s="1"/>
  <c r="BJ98" i="19" s="1"/>
  <c r="AN98" i="19"/>
  <c r="BD96" i="3"/>
  <c r="BE96" i="3" s="1"/>
  <c r="BG96" i="3" s="1"/>
  <c r="C38" i="6" s="1"/>
  <c r="Q17" i="23" s="1"/>
  <c r="BK96" i="3"/>
  <c r="BL96" i="3" s="1"/>
  <c r="BN96" i="3" s="1"/>
  <c r="C72" i="6" s="1"/>
  <c r="L72" i="6" s="1"/>
  <c r="Q72" i="6" s="1"/>
  <c r="AD37" i="6" s="1"/>
  <c r="AY97" i="19"/>
  <c r="AZ97" i="19" s="1"/>
  <c r="AX97" i="19"/>
  <c r="BK96" i="18"/>
  <c r="BD96" i="18"/>
  <c r="BD96" i="19"/>
  <c r="BK96" i="19"/>
  <c r="AC145" i="7"/>
  <c r="AF145" i="7" s="1"/>
  <c r="L38" i="6" l="1"/>
  <c r="Q38" i="6" s="1"/>
  <c r="X37" i="6" s="1"/>
  <c r="AN99" i="19"/>
  <c r="AO99" i="19"/>
  <c r="AP99" i="19" s="1"/>
  <c r="BJ99" i="19" s="1"/>
  <c r="BK97" i="3"/>
  <c r="BL97" i="3" s="1"/>
  <c r="BN97" i="3" s="1"/>
  <c r="C73" i="6" s="1"/>
  <c r="L73" i="6" s="1"/>
  <c r="Q73" i="6" s="1"/>
  <c r="AD38" i="6" s="1"/>
  <c r="BD97" i="3"/>
  <c r="BE97" i="3" s="1"/>
  <c r="BG97" i="3" s="1"/>
  <c r="C39" i="6" s="1"/>
  <c r="R17" i="23" s="1"/>
  <c r="AX98" i="18"/>
  <c r="AY98" i="18"/>
  <c r="AZ98" i="18" s="1"/>
  <c r="AY98" i="19"/>
  <c r="AZ98" i="19" s="1"/>
  <c r="AX98" i="19"/>
  <c r="AO99" i="3"/>
  <c r="AP99" i="3" s="1"/>
  <c r="BJ99" i="3" s="1"/>
  <c r="AN99" i="3"/>
  <c r="BD97" i="18"/>
  <c r="BK97" i="18"/>
  <c r="AY98" i="3"/>
  <c r="AZ98" i="3" s="1"/>
  <c r="AX98" i="3"/>
  <c r="BK97" i="19"/>
  <c r="BD97" i="19"/>
  <c r="AC146" i="7"/>
  <c r="AF146" i="7" s="1"/>
  <c r="AY99" i="19" l="1"/>
  <c r="AZ99" i="19" s="1"/>
  <c r="AX99" i="19"/>
  <c r="L39" i="6"/>
  <c r="Q39" i="6" s="1"/>
  <c r="X38" i="6" s="1"/>
  <c r="AO100" i="3"/>
  <c r="AP100" i="3" s="1"/>
  <c r="BJ100" i="3" s="1"/>
  <c r="AN100" i="3"/>
  <c r="BK98" i="18"/>
  <c r="BD98" i="18"/>
  <c r="AX99" i="3"/>
  <c r="AY99" i="3"/>
  <c r="AZ99" i="3" s="1"/>
  <c r="BK98" i="19"/>
  <c r="BD98" i="19"/>
  <c r="AY99" i="18"/>
  <c r="AZ99" i="18" s="1"/>
  <c r="AX99" i="18"/>
  <c r="AO100" i="19"/>
  <c r="AP100" i="19" s="1"/>
  <c r="BJ100" i="19" s="1"/>
  <c r="AN100" i="19"/>
  <c r="BD98" i="3"/>
  <c r="BK98" i="3"/>
  <c r="BL98" i="3" s="1"/>
  <c r="BN98" i="3" s="1"/>
  <c r="C74" i="6" s="1"/>
  <c r="L74" i="6" s="1"/>
  <c r="Q74" i="6" s="1"/>
  <c r="AD39" i="6" s="1"/>
  <c r="AC147" i="7"/>
  <c r="AF147" i="7" s="1"/>
  <c r="BD99" i="3" l="1"/>
  <c r="BK99" i="3"/>
  <c r="BL99" i="3" s="1"/>
  <c r="BN99" i="3" s="1"/>
  <c r="C75" i="6" s="1"/>
  <c r="L75" i="6" s="1"/>
  <c r="Q75" i="6" s="1"/>
  <c r="AD40" i="6" s="1"/>
  <c r="AN101" i="19"/>
  <c r="AO101" i="19"/>
  <c r="AP101" i="19" s="1"/>
  <c r="BJ101" i="19" s="1"/>
  <c r="AX100" i="3"/>
  <c r="AY100" i="3"/>
  <c r="AZ100" i="3" s="1"/>
  <c r="AN101" i="3"/>
  <c r="AO101" i="3"/>
  <c r="AP101" i="3" s="1"/>
  <c r="BJ101" i="3" s="1"/>
  <c r="AY100" i="18"/>
  <c r="AZ100" i="18" s="1"/>
  <c r="AX100" i="18"/>
  <c r="AY100" i="19"/>
  <c r="AZ100" i="19" s="1"/>
  <c r="AX100" i="19"/>
  <c r="BD99" i="18"/>
  <c r="BK99" i="18"/>
  <c r="BD99" i="19"/>
  <c r="BK99" i="19"/>
  <c r="AC148" i="7"/>
  <c r="AF148" i="7" s="1"/>
  <c r="BK100" i="3" l="1"/>
  <c r="BL100" i="3" s="1"/>
  <c r="BN100" i="3" s="1"/>
  <c r="C76" i="6" s="1"/>
  <c r="L76" i="6" s="1"/>
  <c r="Q76" i="6" s="1"/>
  <c r="AD41" i="6" s="1"/>
  <c r="BD100" i="3"/>
  <c r="BD100" i="19"/>
  <c r="BK100" i="19"/>
  <c r="AY101" i="18"/>
  <c r="AZ101" i="18" s="1"/>
  <c r="AX101" i="18"/>
  <c r="AO102" i="3"/>
  <c r="AP102" i="3" s="1"/>
  <c r="BJ102" i="3" s="1"/>
  <c r="AN102" i="3"/>
  <c r="AX101" i="3"/>
  <c r="AY101" i="3"/>
  <c r="AZ101" i="3" s="1"/>
  <c r="AY101" i="19"/>
  <c r="AZ101" i="19" s="1"/>
  <c r="AX101" i="19"/>
  <c r="BD100" i="18"/>
  <c r="BK100" i="18"/>
  <c r="AO102" i="19"/>
  <c r="AP102" i="19" s="1"/>
  <c r="BJ102" i="19" s="1"/>
  <c r="AN102" i="19"/>
  <c r="AC149" i="7"/>
  <c r="AF149" i="7" s="1"/>
  <c r="AN103" i="19" l="1"/>
  <c r="AO103" i="19"/>
  <c r="AP103" i="19" s="1"/>
  <c r="BJ103" i="19" s="1"/>
  <c r="BK101" i="19"/>
  <c r="BD101" i="19"/>
  <c r="AY102" i="3"/>
  <c r="AZ102" i="3" s="1"/>
  <c r="AX102" i="3"/>
  <c r="BK101" i="18"/>
  <c r="BD101" i="18"/>
  <c r="BD101" i="3"/>
  <c r="BK101" i="3"/>
  <c r="BL101" i="3" s="1"/>
  <c r="BN101" i="3" s="1"/>
  <c r="C77" i="6" s="1"/>
  <c r="L77" i="6" s="1"/>
  <c r="Q77" i="6" s="1"/>
  <c r="AD42" i="6" s="1"/>
  <c r="AO103" i="3"/>
  <c r="AP103" i="3" s="1"/>
  <c r="BJ103" i="3" s="1"/>
  <c r="AN103" i="3"/>
  <c r="AY102" i="18"/>
  <c r="AZ102" i="18" s="1"/>
  <c r="AX102" i="18"/>
  <c r="AY102" i="19"/>
  <c r="AZ102" i="19" s="1"/>
  <c r="AX102" i="19"/>
  <c r="AC150" i="7"/>
  <c r="AF150" i="7" s="1"/>
  <c r="AN104" i="3" l="1"/>
  <c r="AO104" i="3"/>
  <c r="AP104" i="3" s="1"/>
  <c r="BJ104" i="3" s="1"/>
  <c r="BK102" i="19"/>
  <c r="BD102" i="19"/>
  <c r="AY103" i="19"/>
  <c r="AZ103" i="19" s="1"/>
  <c r="AX103" i="19"/>
  <c r="AX103" i="3"/>
  <c r="AY103" i="3"/>
  <c r="AZ103" i="3" s="1"/>
  <c r="BK102" i="3"/>
  <c r="BL102" i="3" s="1"/>
  <c r="BN102" i="3" s="1"/>
  <c r="C78" i="6" s="1"/>
  <c r="L78" i="6" s="1"/>
  <c r="Q78" i="6" s="1"/>
  <c r="AD43" i="6" s="1"/>
  <c r="BD102" i="3"/>
  <c r="AY103" i="18"/>
  <c r="AZ103" i="18" s="1"/>
  <c r="AX103" i="18"/>
  <c r="BK102" i="18"/>
  <c r="BD102" i="18"/>
  <c r="AO104" i="19"/>
  <c r="AP104" i="19" s="1"/>
  <c r="BJ104" i="19" s="1"/>
  <c r="AN104" i="19"/>
  <c r="AC151" i="7"/>
  <c r="AF151" i="7" s="1"/>
  <c r="AX104" i="3" l="1"/>
  <c r="AY104" i="3"/>
  <c r="AZ104" i="3" s="1"/>
  <c r="AX104" i="18"/>
  <c r="AY104" i="18"/>
  <c r="AZ104" i="18" s="1"/>
  <c r="BD103" i="18"/>
  <c r="BK103" i="18"/>
  <c r="BK103" i="3"/>
  <c r="BL103" i="3" s="1"/>
  <c r="BN103" i="3" s="1"/>
  <c r="C79" i="6" s="1"/>
  <c r="L79" i="6" s="1"/>
  <c r="Q79" i="6" s="1"/>
  <c r="AD44" i="6" s="1"/>
  <c r="BD103" i="3"/>
  <c r="AY104" i="19"/>
  <c r="AZ104" i="19" s="1"/>
  <c r="AX104" i="19"/>
  <c r="BD103" i="19"/>
  <c r="BK103" i="19"/>
  <c r="AN105" i="19"/>
  <c r="AO105" i="19"/>
  <c r="AP105" i="19" s="1"/>
  <c r="BJ105" i="19" s="1"/>
  <c r="AN105" i="3"/>
  <c r="AO105" i="3"/>
  <c r="AP105" i="3" s="1"/>
  <c r="BJ105" i="3" s="1"/>
  <c r="AC152" i="7"/>
  <c r="AF152" i="7" s="1"/>
  <c r="AX105" i="19" l="1"/>
  <c r="AY105" i="19"/>
  <c r="AZ105" i="19" s="1"/>
  <c r="AX105" i="18"/>
  <c r="AY105" i="18"/>
  <c r="AZ105" i="18" s="1"/>
  <c r="BD104" i="19"/>
  <c r="BK104" i="19"/>
  <c r="AO106" i="3"/>
  <c r="AP106" i="3" s="1"/>
  <c r="BJ106" i="3" s="1"/>
  <c r="AN106" i="3"/>
  <c r="BK104" i="3"/>
  <c r="BL104" i="3" s="1"/>
  <c r="BN104" i="3" s="1"/>
  <c r="C80" i="6" s="1"/>
  <c r="L80" i="6" s="1"/>
  <c r="Q80" i="6" s="1"/>
  <c r="AD45" i="6" s="1"/>
  <c r="BD104" i="3"/>
  <c r="BD104" i="18"/>
  <c r="BK104" i="18"/>
  <c r="AO106" i="19"/>
  <c r="AP106" i="19" s="1"/>
  <c r="BJ106" i="19" s="1"/>
  <c r="AN106" i="19"/>
  <c r="AY105" i="3"/>
  <c r="AZ105" i="3" s="1"/>
  <c r="AX105" i="3"/>
  <c r="AC153" i="7"/>
  <c r="AF153" i="7" s="1"/>
  <c r="AN107" i="3" l="1"/>
  <c r="AO107" i="3"/>
  <c r="AP107" i="3" s="1"/>
  <c r="BJ107" i="3" s="1"/>
  <c r="AY106" i="18"/>
  <c r="AZ106" i="18" s="1"/>
  <c r="AX106" i="18"/>
  <c r="BD105" i="18"/>
  <c r="BK105" i="18"/>
  <c r="BD105" i="19"/>
  <c r="BK105" i="19"/>
  <c r="AY106" i="3"/>
  <c r="AZ106" i="3" s="1"/>
  <c r="AX106" i="3"/>
  <c r="BK105" i="3"/>
  <c r="BL105" i="3" s="1"/>
  <c r="BN105" i="3" s="1"/>
  <c r="C81" i="6" s="1"/>
  <c r="L81" i="6" s="1"/>
  <c r="Q81" i="6" s="1"/>
  <c r="AD46" i="6" s="1"/>
  <c r="BD105" i="3"/>
  <c r="AO107" i="19"/>
  <c r="AP107" i="19" s="1"/>
  <c r="BJ107" i="19" s="1"/>
  <c r="AN107" i="19"/>
  <c r="AX106" i="19"/>
  <c r="AY106" i="19"/>
  <c r="AZ106" i="19" s="1"/>
  <c r="AC154" i="7"/>
  <c r="AF154" i="7" s="1"/>
  <c r="BD106" i="18" l="1"/>
  <c r="BK106" i="18"/>
  <c r="BK106" i="3"/>
  <c r="BL106" i="3" s="1"/>
  <c r="BN106" i="3" s="1"/>
  <c r="C82" i="6" s="1"/>
  <c r="L82" i="6" s="1"/>
  <c r="Q82" i="6" s="1"/>
  <c r="AD47" i="6" s="1"/>
  <c r="BD106" i="3"/>
  <c r="BK106" i="19"/>
  <c r="BD106" i="19"/>
  <c r="AY107" i="3"/>
  <c r="AZ107" i="3" s="1"/>
  <c r="AX107" i="3"/>
  <c r="AX107" i="18"/>
  <c r="AY107" i="18"/>
  <c r="AZ107" i="18" s="1"/>
  <c r="AY107" i="19"/>
  <c r="AZ107" i="19" s="1"/>
  <c r="AX107" i="19"/>
  <c r="AO108" i="19"/>
  <c r="AP108" i="19" s="1"/>
  <c r="BJ108" i="19" s="1"/>
  <c r="AN108" i="19"/>
  <c r="AN108" i="3"/>
  <c r="AO108" i="3"/>
  <c r="AP108" i="3" s="1"/>
  <c r="BJ108" i="3" s="1"/>
  <c r="AC155" i="7"/>
  <c r="AF155" i="7" s="1"/>
  <c r="AY108" i="3" l="1"/>
  <c r="AZ108" i="3" s="1"/>
  <c r="AX108" i="3"/>
  <c r="BK107" i="19"/>
  <c r="BD107" i="19"/>
  <c r="AY108" i="18"/>
  <c r="AZ108" i="18" s="1"/>
  <c r="AX108" i="18"/>
  <c r="AN109" i="19"/>
  <c r="AO109" i="19"/>
  <c r="AP109" i="19" s="1"/>
  <c r="BJ109" i="19" s="1"/>
  <c r="AY108" i="19"/>
  <c r="AZ108" i="19" s="1"/>
  <c r="AX108" i="19"/>
  <c r="BK107" i="18"/>
  <c r="BD107" i="18"/>
  <c r="BK107" i="3"/>
  <c r="BL107" i="3" s="1"/>
  <c r="BN107" i="3" s="1"/>
  <c r="C83" i="6" s="1"/>
  <c r="L83" i="6" s="1"/>
  <c r="Q83" i="6" s="1"/>
  <c r="AD48" i="6" s="1"/>
  <c r="BD107" i="3"/>
  <c r="AN109" i="3"/>
  <c r="AO109" i="3"/>
  <c r="AP109" i="3" s="1"/>
  <c r="BJ109" i="3" s="1"/>
  <c r="AC157" i="7"/>
  <c r="AF157" i="7" s="1"/>
  <c r="AC156" i="7"/>
  <c r="AF156" i="7" s="1"/>
  <c r="AR126" i="7"/>
  <c r="AT126" i="7" s="1"/>
  <c r="AV126" i="7" s="1"/>
  <c r="J63" i="6" s="1"/>
  <c r="P63" i="6" s="1"/>
  <c r="T63" i="6" s="1"/>
  <c r="AY109" i="19" l="1"/>
  <c r="AZ109" i="19" s="1"/>
  <c r="AX109" i="19"/>
  <c r="AO110" i="19"/>
  <c r="AP110" i="19" s="1"/>
  <c r="BJ110" i="19" s="1"/>
  <c r="AN110" i="19"/>
  <c r="BK108" i="19"/>
  <c r="BD108" i="19"/>
  <c r="AX109" i="18"/>
  <c r="AY109" i="18"/>
  <c r="AZ109" i="18" s="1"/>
  <c r="BD108" i="18"/>
  <c r="BK108" i="18"/>
  <c r="AO110" i="3"/>
  <c r="AP110" i="3" s="1"/>
  <c r="BJ110" i="3" s="1"/>
  <c r="AN110" i="3"/>
  <c r="AX109" i="3"/>
  <c r="AY109" i="3"/>
  <c r="AZ109" i="3" s="1"/>
  <c r="BK108" i="3"/>
  <c r="BL108" i="3" s="1"/>
  <c r="BN108" i="3" s="1"/>
  <c r="C84" i="6" s="1"/>
  <c r="L84" i="6" s="1"/>
  <c r="Q84" i="6" s="1"/>
  <c r="AD49" i="6" s="1"/>
  <c r="BD108" i="3"/>
  <c r="AG28" i="6"/>
  <c r="AH28" i="6" s="1"/>
  <c r="U63" i="6"/>
  <c r="J29" i="6"/>
  <c r="I20" i="23" s="1"/>
  <c r="AR128" i="7"/>
  <c r="AT128" i="7" s="1"/>
  <c r="AV128" i="7" s="1"/>
  <c r="J65" i="6" s="1"/>
  <c r="P65" i="6" s="1"/>
  <c r="T65" i="6" s="1"/>
  <c r="AR127" i="7"/>
  <c r="AT127" i="7" s="1"/>
  <c r="AV127" i="7" s="1"/>
  <c r="J64" i="6" s="1"/>
  <c r="P64" i="6" s="1"/>
  <c r="T64" i="6" s="1"/>
  <c r="AO111" i="19" l="1"/>
  <c r="AP111" i="19" s="1"/>
  <c r="BJ111" i="19" s="1"/>
  <c r="AN111" i="19"/>
  <c r="BK109" i="3"/>
  <c r="BL109" i="3" s="1"/>
  <c r="BN109" i="3" s="1"/>
  <c r="C85" i="6" s="1"/>
  <c r="L85" i="6" s="1"/>
  <c r="Q85" i="6" s="1"/>
  <c r="AD50" i="6" s="1"/>
  <c r="BD109" i="3"/>
  <c r="AY110" i="19"/>
  <c r="AZ110" i="19" s="1"/>
  <c r="AX110" i="19"/>
  <c r="AO111" i="3"/>
  <c r="AP111" i="3" s="1"/>
  <c r="BJ111" i="3" s="1"/>
  <c r="AN111" i="3"/>
  <c r="BK109" i="18"/>
  <c r="BD109" i="18"/>
  <c r="AY110" i="18"/>
  <c r="AZ110" i="18" s="1"/>
  <c r="AX110" i="18"/>
  <c r="AX110" i="3"/>
  <c r="AY110" i="3"/>
  <c r="AZ110" i="3" s="1"/>
  <c r="BK109" i="19"/>
  <c r="BD109" i="19"/>
  <c r="P29" i="6"/>
  <c r="T29" i="6" s="1"/>
  <c r="J20" i="23"/>
  <c r="AG30" i="6"/>
  <c r="AH30" i="6" s="1"/>
  <c r="U65" i="6"/>
  <c r="AG29" i="6"/>
  <c r="AH29" i="6" s="1"/>
  <c r="U64" i="6"/>
  <c r="U29" i="6"/>
  <c r="AA28" i="6"/>
  <c r="AB28" i="6" s="1"/>
  <c r="J31" i="6"/>
  <c r="J30" i="6"/>
  <c r="AR129" i="7"/>
  <c r="AT129" i="7" s="1"/>
  <c r="AV129" i="7" s="1"/>
  <c r="J66" i="6" s="1"/>
  <c r="P66" i="6" s="1"/>
  <c r="T66" i="6" s="1"/>
  <c r="AO112" i="3" l="1"/>
  <c r="AP112" i="3" s="1"/>
  <c r="BJ112" i="3" s="1"/>
  <c r="AN112" i="3"/>
  <c r="AX111" i="18"/>
  <c r="AY111" i="18"/>
  <c r="AZ111" i="18" s="1"/>
  <c r="BD110" i="18"/>
  <c r="BK110" i="18"/>
  <c r="AY111" i="19"/>
  <c r="AZ111" i="19" s="1"/>
  <c r="AX111" i="19"/>
  <c r="BK110" i="19"/>
  <c r="BD110" i="19"/>
  <c r="BK110" i="3"/>
  <c r="BL110" i="3" s="1"/>
  <c r="BN110" i="3" s="1"/>
  <c r="C86" i="6" s="1"/>
  <c r="L86" i="6" s="1"/>
  <c r="Q86" i="6" s="1"/>
  <c r="AD51" i="6" s="1"/>
  <c r="BD110" i="3"/>
  <c r="AN112" i="19"/>
  <c r="AO112" i="19"/>
  <c r="AP112" i="19" s="1"/>
  <c r="BJ112" i="19" s="1"/>
  <c r="AY111" i="3"/>
  <c r="AZ111" i="3" s="1"/>
  <c r="AX111" i="3"/>
  <c r="P31" i="6"/>
  <c r="T31" i="6" s="1"/>
  <c r="U31" i="6" s="1"/>
  <c r="P30" i="6"/>
  <c r="T30" i="6" s="1"/>
  <c r="K20" i="23"/>
  <c r="AG31" i="6"/>
  <c r="AH31" i="6" s="1"/>
  <c r="U66" i="6"/>
  <c r="U30" i="6"/>
  <c r="AA29" i="6"/>
  <c r="AB29" i="6" s="1"/>
  <c r="J32" i="6"/>
  <c r="AR130" i="7"/>
  <c r="AT130" i="7" s="1"/>
  <c r="AV130" i="7" s="1"/>
  <c r="J67" i="6" s="1"/>
  <c r="P67" i="6" s="1"/>
  <c r="T67" i="6" s="1"/>
  <c r="BD111" i="19" l="1"/>
  <c r="BK111" i="19"/>
  <c r="BD111" i="18"/>
  <c r="BK111" i="18"/>
  <c r="AY112" i="19"/>
  <c r="AZ112" i="19" s="1"/>
  <c r="AX112" i="19"/>
  <c r="BK111" i="3"/>
  <c r="BL111" i="3" s="1"/>
  <c r="BN111" i="3" s="1"/>
  <c r="C87" i="6" s="1"/>
  <c r="L87" i="6" s="1"/>
  <c r="Q87" i="6" s="1"/>
  <c r="AD52" i="6" s="1"/>
  <c r="BD111" i="3"/>
  <c r="AY112" i="18"/>
  <c r="AZ112" i="18" s="1"/>
  <c r="AX112" i="18"/>
  <c r="AX112" i="3"/>
  <c r="AY112" i="3"/>
  <c r="AZ112" i="3" s="1"/>
  <c r="AA30" i="6"/>
  <c r="AB30" i="6" s="1"/>
  <c r="AO113" i="3"/>
  <c r="AP113" i="3" s="1"/>
  <c r="BJ113" i="3" s="1"/>
  <c r="AN113" i="3"/>
  <c r="AO113" i="19"/>
  <c r="AP113" i="19" s="1"/>
  <c r="BJ113" i="19" s="1"/>
  <c r="AN113" i="19"/>
  <c r="P32" i="6"/>
  <c r="T32" i="6" s="1"/>
  <c r="U32" i="6" s="1"/>
  <c r="AG32" i="6"/>
  <c r="AH32" i="6" s="1"/>
  <c r="U67" i="6"/>
  <c r="J33" i="6"/>
  <c r="L20" i="23" s="1"/>
  <c r="AR131" i="7"/>
  <c r="AT131" i="7" s="1"/>
  <c r="AV131" i="7" s="1"/>
  <c r="J68" i="6" s="1"/>
  <c r="P68" i="6" s="1"/>
  <c r="T68" i="6" s="1"/>
  <c r="AA31" i="6" l="1"/>
  <c r="AB31" i="6" s="1"/>
  <c r="BK112" i="3"/>
  <c r="BL112" i="3" s="1"/>
  <c r="BN112" i="3" s="1"/>
  <c r="C88" i="6" s="1"/>
  <c r="L88" i="6" s="1"/>
  <c r="Q88" i="6" s="1"/>
  <c r="AD53" i="6" s="1"/>
  <c r="BD112" i="3"/>
  <c r="AX113" i="3"/>
  <c r="AY113" i="3"/>
  <c r="AZ113" i="3" s="1"/>
  <c r="BK112" i="18"/>
  <c r="BD112" i="18"/>
  <c r="BD112" i="19"/>
  <c r="BK112" i="19"/>
  <c r="AN114" i="3"/>
  <c r="AO114" i="3"/>
  <c r="AP114" i="3" s="1"/>
  <c r="BJ114" i="3" s="1"/>
  <c r="AY113" i="19"/>
  <c r="AZ113" i="19" s="1"/>
  <c r="AX113" i="19"/>
  <c r="AN114" i="19"/>
  <c r="AO114" i="19"/>
  <c r="AP114" i="19" s="1"/>
  <c r="BJ114" i="19" s="1"/>
  <c r="AY113" i="18"/>
  <c r="AZ113" i="18" s="1"/>
  <c r="AX113" i="18"/>
  <c r="P33" i="6"/>
  <c r="T33" i="6" s="1"/>
  <c r="U33" i="6" s="1"/>
  <c r="AG33" i="6"/>
  <c r="AH33" i="6" s="1"/>
  <c r="U68" i="6"/>
  <c r="J34" i="6"/>
  <c r="M20" i="23" s="1"/>
  <c r="AR132" i="7"/>
  <c r="AT132" i="7" s="1"/>
  <c r="AV132" i="7" s="1"/>
  <c r="J69" i="6" s="1"/>
  <c r="P69" i="6" s="1"/>
  <c r="T69" i="6" s="1"/>
  <c r="AA32" i="6" l="1"/>
  <c r="AB32" i="6" s="1"/>
  <c r="AY114" i="19"/>
  <c r="AZ114" i="19" s="1"/>
  <c r="AX114" i="19"/>
  <c r="AO115" i="3"/>
  <c r="AP115" i="3" s="1"/>
  <c r="BJ115" i="3" s="1"/>
  <c r="AN115" i="3"/>
  <c r="BD113" i="18"/>
  <c r="BK113" i="18"/>
  <c r="AY114" i="3"/>
  <c r="AZ114" i="3" s="1"/>
  <c r="AX114" i="3"/>
  <c r="BK113" i="19"/>
  <c r="BD113" i="19"/>
  <c r="AX114" i="18"/>
  <c r="AY114" i="18"/>
  <c r="AZ114" i="18" s="1"/>
  <c r="BK113" i="3"/>
  <c r="BL113" i="3" s="1"/>
  <c r="BN113" i="3" s="1"/>
  <c r="C89" i="6" s="1"/>
  <c r="L89" i="6" s="1"/>
  <c r="Q89" i="6" s="1"/>
  <c r="AD54" i="6" s="1"/>
  <c r="BD113" i="3"/>
  <c r="AN115" i="19"/>
  <c r="AO115" i="19"/>
  <c r="AP115" i="19" s="1"/>
  <c r="BJ115" i="19" s="1"/>
  <c r="P34" i="6"/>
  <c r="T34" i="6" s="1"/>
  <c r="U34" i="6" s="1"/>
  <c r="AG34" i="6"/>
  <c r="AH34" i="6" s="1"/>
  <c r="U69" i="6"/>
  <c r="J35" i="6"/>
  <c r="N20" i="23" s="1"/>
  <c r="AR133" i="7"/>
  <c r="AT133" i="7" s="1"/>
  <c r="AV133" i="7" s="1"/>
  <c r="J70" i="6" s="1"/>
  <c r="P70" i="6" s="1"/>
  <c r="T70" i="6" s="1"/>
  <c r="AA33" i="6" l="1"/>
  <c r="AB33" i="6" s="1"/>
  <c r="AY115" i="3"/>
  <c r="AZ115" i="3" s="1"/>
  <c r="AX115" i="3"/>
  <c r="BK114" i="18"/>
  <c r="BD114" i="18"/>
  <c r="AN116" i="3"/>
  <c r="AO116" i="3"/>
  <c r="AP116" i="3" s="1"/>
  <c r="BJ116" i="3" s="1"/>
  <c r="AX115" i="18"/>
  <c r="AY115" i="18"/>
  <c r="AZ115" i="18" s="1"/>
  <c r="AO116" i="19"/>
  <c r="AP116" i="19" s="1"/>
  <c r="BJ116" i="19" s="1"/>
  <c r="AN116" i="19"/>
  <c r="AX115" i="19"/>
  <c r="AY115" i="19"/>
  <c r="AZ115" i="19" s="1"/>
  <c r="BK114" i="3"/>
  <c r="BL114" i="3" s="1"/>
  <c r="BN114" i="3" s="1"/>
  <c r="C90" i="6" s="1"/>
  <c r="L90" i="6" s="1"/>
  <c r="Q90" i="6" s="1"/>
  <c r="AD55" i="6" s="1"/>
  <c r="BD114" i="3"/>
  <c r="BK114" i="19"/>
  <c r="BD114" i="19"/>
  <c r="P35" i="6"/>
  <c r="T35" i="6" s="1"/>
  <c r="U35" i="6" s="1"/>
  <c r="AG35" i="6"/>
  <c r="AH35" i="6" s="1"/>
  <c r="U70" i="6"/>
  <c r="J36" i="6"/>
  <c r="O20" i="23" s="1"/>
  <c r="AR134" i="7"/>
  <c r="AT134" i="7" s="1"/>
  <c r="AV134" i="7" s="1"/>
  <c r="J71" i="6" s="1"/>
  <c r="P71" i="6" s="1"/>
  <c r="T71" i="6" s="1"/>
  <c r="AA34" i="6" l="1"/>
  <c r="AB34" i="6" s="1"/>
  <c r="AO117" i="19"/>
  <c r="AP117" i="19" s="1"/>
  <c r="BJ117" i="19" s="1"/>
  <c r="AN117" i="19"/>
  <c r="BK115" i="19"/>
  <c r="BD115" i="19"/>
  <c r="AX116" i="19"/>
  <c r="AY116" i="19"/>
  <c r="AZ116" i="19" s="1"/>
  <c r="BD115" i="18"/>
  <c r="BK115" i="18"/>
  <c r="AX116" i="18"/>
  <c r="AY116" i="18"/>
  <c r="AZ116" i="18" s="1"/>
  <c r="AN117" i="3"/>
  <c r="AO117" i="3"/>
  <c r="AP117" i="3" s="1"/>
  <c r="BJ117" i="3" s="1"/>
  <c r="AX116" i="3"/>
  <c r="AY116" i="3"/>
  <c r="AZ116" i="3" s="1"/>
  <c r="BK115" i="3"/>
  <c r="BL115" i="3" s="1"/>
  <c r="BN115" i="3" s="1"/>
  <c r="C91" i="6" s="1"/>
  <c r="L91" i="6" s="1"/>
  <c r="Q91" i="6" s="1"/>
  <c r="AD56" i="6" s="1"/>
  <c r="BD115" i="3"/>
  <c r="P36" i="6"/>
  <c r="T36" i="6" s="1"/>
  <c r="U36" i="6" s="1"/>
  <c r="AG36" i="6"/>
  <c r="AH36" i="6" s="1"/>
  <c r="U71" i="6"/>
  <c r="J37" i="6"/>
  <c r="P20" i="23" s="1"/>
  <c r="AR135" i="7"/>
  <c r="AT135" i="7" s="1"/>
  <c r="AV135" i="7" s="1"/>
  <c r="J72" i="6" s="1"/>
  <c r="P72" i="6" s="1"/>
  <c r="T72" i="6" s="1"/>
  <c r="AA35" i="6" l="1"/>
  <c r="AB35" i="6" s="1"/>
  <c r="AO118" i="3"/>
  <c r="AP118" i="3" s="1"/>
  <c r="BJ118" i="3" s="1"/>
  <c r="AN118" i="3"/>
  <c r="AX117" i="18"/>
  <c r="AY117" i="18"/>
  <c r="AZ117" i="18" s="1"/>
  <c r="BD116" i="18"/>
  <c r="BK116" i="18"/>
  <c r="BK116" i="19"/>
  <c r="BD116" i="19"/>
  <c r="AY117" i="19"/>
  <c r="AZ117" i="19" s="1"/>
  <c r="AX117" i="19"/>
  <c r="BK116" i="3"/>
  <c r="BL116" i="3" s="1"/>
  <c r="BN116" i="3" s="1"/>
  <c r="C92" i="6" s="1"/>
  <c r="L92" i="6" s="1"/>
  <c r="Q92" i="6" s="1"/>
  <c r="AD57" i="6" s="1"/>
  <c r="BD116" i="3"/>
  <c r="AN118" i="19"/>
  <c r="AO118" i="19"/>
  <c r="AP118" i="19" s="1"/>
  <c r="BJ118" i="19" s="1"/>
  <c r="AY117" i="3"/>
  <c r="AZ117" i="3" s="1"/>
  <c r="AX117" i="3"/>
  <c r="P37" i="6"/>
  <c r="T37" i="6" s="1"/>
  <c r="U37" i="6" s="1"/>
  <c r="AG37" i="6"/>
  <c r="AH37" i="6" s="1"/>
  <c r="U72" i="6"/>
  <c r="J38" i="6"/>
  <c r="Q20" i="23" s="1"/>
  <c r="AR136" i="7"/>
  <c r="AT136" i="7" s="1"/>
  <c r="AV136" i="7" s="1"/>
  <c r="J73" i="6" s="1"/>
  <c r="P73" i="6" s="1"/>
  <c r="T73" i="6" s="1"/>
  <c r="AA36" i="6" l="1"/>
  <c r="AB36" i="6" s="1"/>
  <c r="BK117" i="19"/>
  <c r="BD117" i="19"/>
  <c r="AY118" i="3"/>
  <c r="AZ118" i="3" s="1"/>
  <c r="AX118" i="3"/>
  <c r="AY118" i="18"/>
  <c r="AZ118" i="18" s="1"/>
  <c r="AX118" i="18"/>
  <c r="AO119" i="3"/>
  <c r="AP119" i="3" s="1"/>
  <c r="BJ119" i="3" s="1"/>
  <c r="AN119" i="3"/>
  <c r="AY118" i="19"/>
  <c r="AZ118" i="19" s="1"/>
  <c r="AX118" i="19"/>
  <c r="BD117" i="18"/>
  <c r="BK117" i="18"/>
  <c r="BK117" i="3"/>
  <c r="BL117" i="3" s="1"/>
  <c r="BN117" i="3" s="1"/>
  <c r="C93" i="6" s="1"/>
  <c r="L93" i="6" s="1"/>
  <c r="Q93" i="6" s="1"/>
  <c r="AD58" i="6" s="1"/>
  <c r="BD117" i="3"/>
  <c r="AN119" i="19"/>
  <c r="AO119" i="19"/>
  <c r="AP119" i="19" s="1"/>
  <c r="BJ119" i="19" s="1"/>
  <c r="P38" i="6"/>
  <c r="T38" i="6" s="1"/>
  <c r="U38" i="6" s="1"/>
  <c r="AG38" i="6"/>
  <c r="AH38" i="6" s="1"/>
  <c r="U73" i="6"/>
  <c r="J39" i="6"/>
  <c r="R20" i="23" s="1"/>
  <c r="AR137" i="7"/>
  <c r="AT137" i="7" s="1"/>
  <c r="AV137" i="7" s="1"/>
  <c r="J74" i="6" s="1"/>
  <c r="P74" i="6" s="1"/>
  <c r="T74" i="6" s="1"/>
  <c r="AA37" i="6" l="1"/>
  <c r="AB37" i="6" s="1"/>
  <c r="AY119" i="19"/>
  <c r="AZ119" i="19" s="1"/>
  <c r="AX119" i="19"/>
  <c r="BK118" i="19"/>
  <c r="BD118" i="19"/>
  <c r="AX119" i="18"/>
  <c r="AY119" i="18"/>
  <c r="AZ119" i="18" s="1"/>
  <c r="BK118" i="3"/>
  <c r="BL118" i="3" s="1"/>
  <c r="BN118" i="3" s="1"/>
  <c r="C94" i="6" s="1"/>
  <c r="L94" i="6" s="1"/>
  <c r="Q94" i="6" s="1"/>
  <c r="AD59" i="6" s="1"/>
  <c r="BD118" i="3"/>
  <c r="AY119" i="3"/>
  <c r="AZ119" i="3" s="1"/>
  <c r="AX119" i="3"/>
  <c r="BD118" i="18"/>
  <c r="BK118" i="18"/>
  <c r="P39" i="6"/>
  <c r="T39" i="6" s="1"/>
  <c r="U39" i="6" s="1"/>
  <c r="AG39" i="6"/>
  <c r="AH39" i="6" s="1"/>
  <c r="U74" i="6"/>
  <c r="J40" i="6"/>
  <c r="S20" i="23" s="1"/>
  <c r="AR138" i="7"/>
  <c r="AT138" i="7" s="1"/>
  <c r="AV138" i="7" s="1"/>
  <c r="J75" i="6" s="1"/>
  <c r="P75" i="6" s="1"/>
  <c r="T75" i="6" s="1"/>
  <c r="AA38" i="6" l="1"/>
  <c r="AB38" i="6" s="1"/>
  <c r="BK119" i="3"/>
  <c r="BL119" i="3" s="1"/>
  <c r="BN119" i="3" s="1"/>
  <c r="C95" i="6" s="1"/>
  <c r="L95" i="6" s="1"/>
  <c r="Q95" i="6" s="1"/>
  <c r="BD119" i="3"/>
  <c r="BD119" i="18"/>
  <c r="BK119" i="18"/>
  <c r="BD119" i="19"/>
  <c r="BK119" i="19"/>
  <c r="P40" i="6"/>
  <c r="T40" i="6" s="1"/>
  <c r="AA39" i="6" s="1"/>
  <c r="AG40" i="6"/>
  <c r="AH40" i="6" s="1"/>
  <c r="U75" i="6"/>
  <c r="J41" i="6"/>
  <c r="T20" i="23" s="1"/>
  <c r="AR139" i="7"/>
  <c r="AT139" i="7" s="1"/>
  <c r="AV139" i="7" s="1"/>
  <c r="J76" i="6" s="1"/>
  <c r="P76" i="6" s="1"/>
  <c r="T76" i="6" s="1"/>
  <c r="AD60" i="6" l="1"/>
  <c r="AH60" i="6" s="1"/>
  <c r="U95" i="6"/>
  <c r="P41" i="6"/>
  <c r="T41" i="6" s="1"/>
  <c r="AA40" i="6" s="1"/>
  <c r="AG41" i="6"/>
  <c r="AH41" i="6" s="1"/>
  <c r="U76" i="6"/>
  <c r="J42" i="6"/>
  <c r="U20" i="23" s="1"/>
  <c r="AR140" i="7"/>
  <c r="AT140" i="7" s="1"/>
  <c r="AV140" i="7" s="1"/>
  <c r="J77" i="6" s="1"/>
  <c r="P77" i="6" s="1"/>
  <c r="T77" i="6" s="1"/>
  <c r="P42" i="6" l="1"/>
  <c r="T42" i="6" s="1"/>
  <c r="AA41" i="6" s="1"/>
  <c r="AG42" i="6"/>
  <c r="AH42" i="6" s="1"/>
  <c r="U77" i="6"/>
  <c r="J43" i="6"/>
  <c r="V20" i="23" s="1"/>
  <c r="AR141" i="7"/>
  <c r="AT141" i="7" s="1"/>
  <c r="AV141" i="7" s="1"/>
  <c r="J78" i="6" s="1"/>
  <c r="P78" i="6" s="1"/>
  <c r="T78" i="6" s="1"/>
  <c r="P43" i="6" l="1"/>
  <c r="T43" i="6" s="1"/>
  <c r="AA42" i="6" s="1"/>
  <c r="AG43" i="6"/>
  <c r="AH43" i="6" s="1"/>
  <c r="U78" i="6"/>
  <c r="J44" i="6"/>
  <c r="W20" i="23" s="1"/>
  <c r="AR142" i="7"/>
  <c r="AT142" i="7" s="1"/>
  <c r="AV142" i="7" s="1"/>
  <c r="J79" i="6" s="1"/>
  <c r="P79" i="6" s="1"/>
  <c r="T79" i="6" s="1"/>
  <c r="P44" i="6" l="1"/>
  <c r="T44" i="6" s="1"/>
  <c r="AA43" i="6" s="1"/>
  <c r="AG44" i="6"/>
  <c r="AH44" i="6" s="1"/>
  <c r="U79" i="6"/>
  <c r="J45" i="6"/>
  <c r="X20" i="23" s="1"/>
  <c r="AR143" i="7"/>
  <c r="AT143" i="7" s="1"/>
  <c r="AV143" i="7" s="1"/>
  <c r="J80" i="6" s="1"/>
  <c r="P80" i="6" s="1"/>
  <c r="T80" i="6" s="1"/>
  <c r="P45" i="6" l="1"/>
  <c r="T45" i="6" s="1"/>
  <c r="AA44" i="6" s="1"/>
  <c r="AG45" i="6"/>
  <c r="AH45" i="6" s="1"/>
  <c r="U80" i="6"/>
  <c r="J46" i="6"/>
  <c r="Y20" i="23" s="1"/>
  <c r="AR144" i="7"/>
  <c r="AT144" i="7" s="1"/>
  <c r="AV144" i="7" s="1"/>
  <c r="J81" i="6" s="1"/>
  <c r="P81" i="6" s="1"/>
  <c r="T81" i="6" s="1"/>
  <c r="P46" i="6" l="1"/>
  <c r="T46" i="6" s="1"/>
  <c r="AA45" i="6" s="1"/>
  <c r="AG46" i="6"/>
  <c r="AH46" i="6" s="1"/>
  <c r="U81" i="6"/>
  <c r="J47" i="6"/>
  <c r="Z20" i="23" s="1"/>
  <c r="AR145" i="7"/>
  <c r="AT145" i="7" s="1"/>
  <c r="AV145" i="7" s="1"/>
  <c r="J82" i="6" s="1"/>
  <c r="P82" i="6" s="1"/>
  <c r="T82" i="6" s="1"/>
  <c r="P47" i="6" l="1"/>
  <c r="T47" i="6" s="1"/>
  <c r="AA46" i="6" s="1"/>
  <c r="AG47" i="6"/>
  <c r="AH47" i="6" s="1"/>
  <c r="U82" i="6"/>
  <c r="J48" i="6"/>
  <c r="AA20" i="23" s="1"/>
  <c r="AR146" i="7"/>
  <c r="AT146" i="7" s="1"/>
  <c r="AV146" i="7" s="1"/>
  <c r="J83" i="6" s="1"/>
  <c r="P83" i="6" s="1"/>
  <c r="T83" i="6" s="1"/>
  <c r="P48" i="6" l="1"/>
  <c r="T48" i="6" s="1"/>
  <c r="AG48" i="6"/>
  <c r="AH48" i="6" s="1"/>
  <c r="U83" i="6"/>
  <c r="AA47" i="6"/>
  <c r="J49" i="6"/>
  <c r="AB20" i="23" s="1"/>
  <c r="AR147" i="7"/>
  <c r="AT147" i="7" s="1"/>
  <c r="AV147" i="7" s="1"/>
  <c r="J84" i="6" s="1"/>
  <c r="P84" i="6" s="1"/>
  <c r="T84" i="6" s="1"/>
  <c r="P49" i="6" l="1"/>
  <c r="T49" i="6" s="1"/>
  <c r="AA48" i="6" s="1"/>
  <c r="AG49" i="6"/>
  <c r="AH49" i="6" s="1"/>
  <c r="U84" i="6"/>
  <c r="J50" i="6"/>
  <c r="AC20" i="23" s="1"/>
  <c r="AR148" i="7"/>
  <c r="AT148" i="7" s="1"/>
  <c r="AV148" i="7" s="1"/>
  <c r="J85" i="6" s="1"/>
  <c r="P85" i="6" s="1"/>
  <c r="T85" i="6" s="1"/>
  <c r="P50" i="6" l="1"/>
  <c r="T50" i="6" s="1"/>
  <c r="AG50" i="6"/>
  <c r="AH50" i="6" s="1"/>
  <c r="U85" i="6"/>
  <c r="AA49" i="6"/>
  <c r="J51" i="6"/>
  <c r="AD20" i="23" s="1"/>
  <c r="AR149" i="7"/>
  <c r="AT149" i="7" s="1"/>
  <c r="AV149" i="7" s="1"/>
  <c r="J86" i="6" s="1"/>
  <c r="P86" i="6" s="1"/>
  <c r="T86" i="6" s="1"/>
  <c r="P51" i="6" l="1"/>
  <c r="T51" i="6" s="1"/>
  <c r="AA50" i="6" s="1"/>
  <c r="AG51" i="6"/>
  <c r="AH51" i="6" s="1"/>
  <c r="U86" i="6"/>
  <c r="J52" i="6"/>
  <c r="AE20" i="23" s="1"/>
  <c r="AR150" i="7"/>
  <c r="AT150" i="7" s="1"/>
  <c r="AV150" i="7" s="1"/>
  <c r="J87" i="6" s="1"/>
  <c r="P87" i="6" s="1"/>
  <c r="T87" i="6" s="1"/>
  <c r="P52" i="6" l="1"/>
  <c r="T52" i="6" s="1"/>
  <c r="AG52" i="6"/>
  <c r="AH52" i="6" s="1"/>
  <c r="U87" i="6"/>
  <c r="AA51" i="6"/>
  <c r="J53" i="6"/>
  <c r="AF20" i="23" s="1"/>
  <c r="AR151" i="7"/>
  <c r="AT151" i="7" s="1"/>
  <c r="AV151" i="7" s="1"/>
  <c r="J88" i="6" s="1"/>
  <c r="P88" i="6" s="1"/>
  <c r="T88" i="6" s="1"/>
  <c r="P53" i="6" l="1"/>
  <c r="T53" i="6" s="1"/>
  <c r="AA52" i="6" s="1"/>
  <c r="AG53" i="6"/>
  <c r="AH53" i="6" s="1"/>
  <c r="U88" i="6"/>
  <c r="J54" i="6"/>
  <c r="AG20" i="23" s="1"/>
  <c r="AR152" i="7"/>
  <c r="AT152" i="7" s="1"/>
  <c r="AV152" i="7" s="1"/>
  <c r="J89" i="6" s="1"/>
  <c r="P89" i="6" s="1"/>
  <c r="T89" i="6" s="1"/>
  <c r="P54" i="6" l="1"/>
  <c r="T54" i="6" s="1"/>
  <c r="AG54" i="6"/>
  <c r="AH54" i="6" s="1"/>
  <c r="U89" i="6"/>
  <c r="AA53" i="6"/>
  <c r="J55" i="6"/>
  <c r="AH20" i="23" s="1"/>
  <c r="AR153" i="7"/>
  <c r="AT153" i="7" s="1"/>
  <c r="AV153" i="7" s="1"/>
  <c r="J90" i="6" s="1"/>
  <c r="P90" i="6" s="1"/>
  <c r="T90" i="6" s="1"/>
  <c r="P55" i="6" l="1"/>
  <c r="T55" i="6" s="1"/>
  <c r="AG55" i="6"/>
  <c r="AH55" i="6" s="1"/>
  <c r="U90" i="6"/>
  <c r="AA54"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A56" i="6" s="1"/>
  <c r="AG57" i="6"/>
  <c r="AH57" i="6" s="1"/>
  <c r="U92" i="6"/>
  <c r="J58" i="6"/>
  <c r="AK20" i="23" s="1"/>
  <c r="AR156" i="7"/>
  <c r="AT156" i="7" s="1"/>
  <c r="AV156" i="7" s="1"/>
  <c r="J93" i="6" s="1"/>
  <c r="P93" i="6" s="1"/>
  <c r="T93" i="6" s="1"/>
  <c r="AR157" i="7"/>
  <c r="AT157" i="7" s="1"/>
  <c r="AV157" i="7" s="1"/>
  <c r="J94" i="6" s="1"/>
  <c r="P94" i="6" s="1"/>
  <c r="T94" i="6" s="1"/>
  <c r="P58" i="6" l="1"/>
  <c r="T58" i="6" s="1"/>
  <c r="AA57" i="6" s="1"/>
  <c r="AM20" i="23"/>
  <c r="AG59" i="6"/>
  <c r="AH59" i="6" s="1"/>
  <c r="U94" i="6"/>
  <c r="AG58" i="6"/>
  <c r="AH58" i="6" s="1"/>
  <c r="U93"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J163" i="6"/>
  <c r="P163" i="6" s="1"/>
  <c r="T163" i="6" s="1"/>
  <c r="AS60" i="6" s="1"/>
  <c r="AM60" i="6"/>
  <c r="R260" i="1"/>
  <c r="O88" i="19" s="1"/>
  <c r="Q88" i="19" s="1"/>
  <c r="R259" i="1"/>
  <c r="O87" i="19" s="1"/>
  <c r="Q87" i="19" s="1"/>
  <c r="S87" i="19" l="1"/>
  <c r="U87" i="19" s="1"/>
  <c r="V87" i="19" s="1"/>
  <c r="R87" i="19"/>
  <c r="T87" i="19" s="1"/>
  <c r="R88" i="19"/>
  <c r="S88" i="19"/>
  <c r="H260" i="1"/>
  <c r="BI87" i="19" l="1"/>
  <c r="BL87" i="19" s="1"/>
  <c r="BN87" i="19" s="1"/>
  <c r="C199" i="6" s="1"/>
  <c r="L199" i="6" s="1"/>
  <c r="Q199" i="6" s="1"/>
  <c r="BB87" i="19"/>
  <c r="U88" i="19"/>
  <c r="V88" i="19" s="1"/>
  <c r="T88" i="19"/>
  <c r="H261" i="1"/>
  <c r="R261" i="1"/>
  <c r="O89" i="19" s="1"/>
  <c r="Q89" i="19" s="1"/>
  <c r="BI88" i="19" l="1"/>
  <c r="BL88" i="19" s="1"/>
  <c r="BN88" i="19" s="1"/>
  <c r="C200" i="6" s="1"/>
  <c r="L200" i="6" s="1"/>
  <c r="Q200" i="6" s="1"/>
  <c r="BB88" i="19"/>
  <c r="BB28" i="6"/>
  <c r="S89" i="19"/>
  <c r="U89" i="19" s="1"/>
  <c r="V89" i="19" s="1"/>
  <c r="R89" i="19"/>
  <c r="T89" i="19" s="1"/>
  <c r="H262" i="1"/>
  <c r="R262" i="1"/>
  <c r="O90" i="19" s="1"/>
  <c r="Q90" i="19" s="1"/>
  <c r="BI89" i="19" l="1"/>
  <c r="BL89" i="19" s="1"/>
  <c r="BN89" i="19" s="1"/>
  <c r="C201" i="6" s="1"/>
  <c r="L201" i="6" s="1"/>
  <c r="Q201" i="6" s="1"/>
  <c r="BB89" i="19"/>
  <c r="BB29" i="6"/>
  <c r="S90" i="19"/>
  <c r="U90" i="19" s="1"/>
  <c r="V90" i="19" s="1"/>
  <c r="R90" i="19"/>
  <c r="T90" i="19" s="1"/>
  <c r="R263" i="1"/>
  <c r="O91" i="19" s="1"/>
  <c r="Q91" i="19" s="1"/>
  <c r="H263" i="1"/>
  <c r="BI90" i="19" l="1"/>
  <c r="BL90" i="19" s="1"/>
  <c r="BN90" i="19" s="1"/>
  <c r="C202" i="6" s="1"/>
  <c r="L202" i="6" s="1"/>
  <c r="Q202" i="6" s="1"/>
  <c r="BB90" i="19"/>
  <c r="BB30" i="6"/>
  <c r="S91" i="19"/>
  <c r="U91" i="19" s="1"/>
  <c r="V91" i="19" s="1"/>
  <c r="R91" i="19"/>
  <c r="T91" i="19" s="1"/>
  <c r="R264" i="1"/>
  <c r="O92" i="19" s="1"/>
  <c r="Q92" i="19" s="1"/>
  <c r="H264" i="1"/>
  <c r="BI91" i="19" l="1"/>
  <c r="BL91" i="19" s="1"/>
  <c r="BN91" i="19" s="1"/>
  <c r="C203" i="6" s="1"/>
  <c r="L203" i="6" s="1"/>
  <c r="Q203" i="6" s="1"/>
  <c r="BB91" i="19"/>
  <c r="BB31" i="6"/>
  <c r="R92" i="19"/>
  <c r="T92" i="19" s="1"/>
  <c r="S92" i="19"/>
  <c r="U92" i="19" s="1"/>
  <c r="V92" i="19" s="1"/>
  <c r="H265" i="1"/>
  <c r="R265" i="1"/>
  <c r="O93" i="19" s="1"/>
  <c r="Q93" i="19" s="1"/>
  <c r="BI92" i="19" l="1"/>
  <c r="BL92" i="19" s="1"/>
  <c r="BN92" i="19" s="1"/>
  <c r="C204" i="6" s="1"/>
  <c r="L204" i="6" s="1"/>
  <c r="Q204" i="6" s="1"/>
  <c r="BB92" i="19"/>
  <c r="BB32" i="6"/>
  <c r="S93" i="19"/>
  <c r="U93" i="19" s="1"/>
  <c r="V93" i="19" s="1"/>
  <c r="R93" i="19"/>
  <c r="T93" i="19" s="1"/>
  <c r="H266" i="1"/>
  <c r="R266" i="1"/>
  <c r="O94" i="19" s="1"/>
  <c r="Q94" i="19" s="1"/>
  <c r="BB93" i="19" l="1"/>
  <c r="BI93" i="19"/>
  <c r="BL93" i="19" s="1"/>
  <c r="BN93" i="19" s="1"/>
  <c r="C205" i="6" s="1"/>
  <c r="L205" i="6" s="1"/>
  <c r="Q205" i="6" s="1"/>
  <c r="BB33" i="6"/>
  <c r="S94" i="19"/>
  <c r="U94" i="19" s="1"/>
  <c r="V94" i="19" s="1"/>
  <c r="R94" i="19"/>
  <c r="T94" i="19" s="1"/>
  <c r="R267" i="1"/>
  <c r="O95" i="19" s="1"/>
  <c r="Q95" i="19" s="1"/>
  <c r="H267" i="1"/>
  <c r="BB34" i="6" l="1"/>
  <c r="BI94" i="19"/>
  <c r="BL94" i="19" s="1"/>
  <c r="BN94" i="19" s="1"/>
  <c r="C206" i="6" s="1"/>
  <c r="L206" i="6" s="1"/>
  <c r="Q206" i="6" s="1"/>
  <c r="BB94" i="19"/>
  <c r="R95" i="19"/>
  <c r="T95" i="19" s="1"/>
  <c r="S95" i="19"/>
  <c r="U95" i="19" s="1"/>
  <c r="V95" i="19" s="1"/>
  <c r="R268" i="1"/>
  <c r="O96" i="19" s="1"/>
  <c r="Q96" i="19" s="1"/>
  <c r="H268" i="1"/>
  <c r="BB35" i="6" l="1"/>
  <c r="BI95" i="19"/>
  <c r="BL95" i="19" s="1"/>
  <c r="BN95" i="19" s="1"/>
  <c r="C207" i="6" s="1"/>
  <c r="L207" i="6" s="1"/>
  <c r="Q207" i="6" s="1"/>
  <c r="BB95" i="19"/>
  <c r="R96" i="19"/>
  <c r="T96" i="19" s="1"/>
  <c r="S96" i="19"/>
  <c r="U96" i="19" s="1"/>
  <c r="V96" i="19" s="1"/>
  <c r="H269" i="1"/>
  <c r="R269" i="1"/>
  <c r="O97" i="19" s="1"/>
  <c r="Q97" i="19" s="1"/>
  <c r="BB36" i="6" l="1"/>
  <c r="BI96" i="19"/>
  <c r="BL96" i="19" s="1"/>
  <c r="BN96" i="19" s="1"/>
  <c r="C208" i="6" s="1"/>
  <c r="L208" i="6" s="1"/>
  <c r="Q208" i="6" s="1"/>
  <c r="BB96" i="19"/>
  <c r="R97" i="19"/>
  <c r="T97" i="19" s="1"/>
  <c r="S97" i="19"/>
  <c r="U97" i="19" s="1"/>
  <c r="V97" i="19" s="1"/>
  <c r="H270" i="1"/>
  <c r="R270" i="1"/>
  <c r="O98" i="19" s="1"/>
  <c r="Q98" i="19" s="1"/>
  <c r="BB37" i="6" l="1"/>
  <c r="BI97" i="19"/>
  <c r="BL97" i="19" s="1"/>
  <c r="BN97" i="19" s="1"/>
  <c r="C209" i="6" s="1"/>
  <c r="L209" i="6" s="1"/>
  <c r="Q209" i="6" s="1"/>
  <c r="BB97" i="19"/>
  <c r="S98" i="19"/>
  <c r="U98" i="19" s="1"/>
  <c r="V98" i="19" s="1"/>
  <c r="R98" i="19"/>
  <c r="T98" i="19" s="1"/>
  <c r="BB38" i="6" l="1"/>
  <c r="BI98" i="19"/>
  <c r="BL98" i="19" s="1"/>
  <c r="BN98" i="19" s="1"/>
  <c r="C210" i="6" s="1"/>
  <c r="L210" i="6" s="1"/>
  <c r="Q210" i="6" s="1"/>
  <c r="BB98" i="19"/>
  <c r="U99" i="19"/>
  <c r="V99" i="19" s="1"/>
  <c r="T99" i="19"/>
  <c r="BB39" i="6" l="1"/>
  <c r="BI99" i="19"/>
  <c r="BL99" i="19" s="1"/>
  <c r="BN99" i="19" s="1"/>
  <c r="C211" i="6" s="1"/>
  <c r="L211" i="6" s="1"/>
  <c r="Q211" i="6" s="1"/>
  <c r="BB99" i="19"/>
  <c r="U100" i="19"/>
  <c r="V100" i="19" s="1"/>
  <c r="T100" i="19"/>
  <c r="BB40" i="6" l="1"/>
  <c r="BI100" i="19"/>
  <c r="BL100" i="19" s="1"/>
  <c r="BN100" i="19" s="1"/>
  <c r="C212" i="6" s="1"/>
  <c r="L212" i="6" s="1"/>
  <c r="Q212" i="6" s="1"/>
  <c r="BB100" i="19"/>
  <c r="U101" i="19"/>
  <c r="V101" i="19" s="1"/>
  <c r="T101" i="19"/>
  <c r="BB41" i="6" l="1"/>
  <c r="BB101" i="19"/>
  <c r="BI101" i="19"/>
  <c r="BL101" i="19" s="1"/>
  <c r="BN101" i="19" s="1"/>
  <c r="C213" i="6" s="1"/>
  <c r="L213" i="6" s="1"/>
  <c r="Q213" i="6" s="1"/>
  <c r="T102" i="19"/>
  <c r="U102" i="19"/>
  <c r="V102" i="19" s="1"/>
  <c r="BB42" i="6" l="1"/>
  <c r="BI102" i="19"/>
  <c r="BL102" i="19" s="1"/>
  <c r="BN102" i="19" s="1"/>
  <c r="C214" i="6" s="1"/>
  <c r="L214" i="6" s="1"/>
  <c r="Q214" i="6" s="1"/>
  <c r="BB102" i="19"/>
  <c r="U103" i="19"/>
  <c r="V103" i="19" s="1"/>
  <c r="T103" i="19"/>
  <c r="BB43" i="6" l="1"/>
  <c r="BI103" i="19"/>
  <c r="BL103" i="19" s="1"/>
  <c r="BN103" i="19" s="1"/>
  <c r="C215" i="6" s="1"/>
  <c r="L215" i="6" s="1"/>
  <c r="Q215" i="6" s="1"/>
  <c r="BB103" i="19"/>
  <c r="T104" i="19"/>
  <c r="U104" i="19"/>
  <c r="V104" i="19" s="1"/>
  <c r="BB44" i="6" l="1"/>
  <c r="BI104" i="19"/>
  <c r="BL104" i="19" s="1"/>
  <c r="BN104" i="19" s="1"/>
  <c r="C216" i="6" s="1"/>
  <c r="L216" i="6" s="1"/>
  <c r="Q216" i="6" s="1"/>
  <c r="BB104" i="19"/>
  <c r="U105" i="19"/>
  <c r="V105" i="19" s="1"/>
  <c r="T105" i="19"/>
  <c r="BB45" i="6" l="1"/>
  <c r="BI105" i="19"/>
  <c r="BL105" i="19" s="1"/>
  <c r="BN105" i="19" s="1"/>
  <c r="C217" i="6" s="1"/>
  <c r="L217" i="6" s="1"/>
  <c r="Q217" i="6" s="1"/>
  <c r="BB105" i="19"/>
  <c r="U106" i="19"/>
  <c r="V106" i="19" s="1"/>
  <c r="T106" i="19"/>
  <c r="BB46" i="6" l="1"/>
  <c r="BB106" i="19"/>
  <c r="BI106" i="19"/>
  <c r="BL106" i="19" s="1"/>
  <c r="BN106" i="19" s="1"/>
  <c r="C218" i="6" s="1"/>
  <c r="L218" i="6" s="1"/>
  <c r="Q218" i="6" s="1"/>
  <c r="U107" i="19"/>
  <c r="V107" i="19" s="1"/>
  <c r="T107" i="19"/>
  <c r="BB47" i="6" l="1"/>
  <c r="BB107" i="19"/>
  <c r="BI107" i="19"/>
  <c r="BL107" i="19" s="1"/>
  <c r="BN107" i="19" s="1"/>
  <c r="C219" i="6" s="1"/>
  <c r="L219" i="6" s="1"/>
  <c r="Q219" i="6" s="1"/>
  <c r="U108" i="19"/>
  <c r="V108" i="19" s="1"/>
  <c r="T108" i="19"/>
  <c r="BB108" i="19" l="1"/>
  <c r="BI108" i="19"/>
  <c r="BL108" i="19" s="1"/>
  <c r="BN108" i="19" s="1"/>
  <c r="C220" i="6" s="1"/>
  <c r="L220" i="6" s="1"/>
  <c r="Q220" i="6" s="1"/>
  <c r="BB48" i="6"/>
  <c r="T109" i="19"/>
  <c r="U109" i="19"/>
  <c r="V109" i="19" s="1"/>
  <c r="BB49" i="6" l="1"/>
  <c r="BI109" i="19"/>
  <c r="BL109" i="19" s="1"/>
  <c r="BN109" i="19" s="1"/>
  <c r="C221" i="6" s="1"/>
  <c r="L221" i="6" s="1"/>
  <c r="Q221" i="6" s="1"/>
  <c r="BB109" i="19"/>
  <c r="U110" i="19"/>
  <c r="V110" i="19" s="1"/>
  <c r="T110" i="19"/>
  <c r="BB50" i="6" l="1"/>
  <c r="BB110" i="19"/>
  <c r="BI110" i="19"/>
  <c r="BL110" i="19" s="1"/>
  <c r="BN110" i="19" s="1"/>
  <c r="C222" i="6" s="1"/>
  <c r="L222" i="6" s="1"/>
  <c r="Q222" i="6" s="1"/>
  <c r="U111" i="19"/>
  <c r="V111" i="19" s="1"/>
  <c r="T111" i="19"/>
  <c r="BB51" i="6" l="1"/>
  <c r="BI111" i="19"/>
  <c r="BL111" i="19" s="1"/>
  <c r="BN111" i="19" s="1"/>
  <c r="C223" i="6" s="1"/>
  <c r="L223" i="6" s="1"/>
  <c r="Q223" i="6" s="1"/>
  <c r="BB111" i="19"/>
  <c r="T112" i="19"/>
  <c r="U112" i="19"/>
  <c r="V112" i="19" s="1"/>
  <c r="BB52" i="6" l="1"/>
  <c r="BB112" i="19"/>
  <c r="BI112" i="19"/>
  <c r="BL112" i="19" s="1"/>
  <c r="BN112" i="19" s="1"/>
  <c r="C224" i="6" s="1"/>
  <c r="L224" i="6" s="1"/>
  <c r="Q224" i="6" s="1"/>
  <c r="T113" i="19"/>
  <c r="U113" i="19"/>
  <c r="V113" i="19" s="1"/>
  <c r="BI113" i="19" l="1"/>
  <c r="BL113" i="19" s="1"/>
  <c r="BN113" i="19" s="1"/>
  <c r="C225" i="6" s="1"/>
  <c r="L225" i="6" s="1"/>
  <c r="Q225" i="6" s="1"/>
  <c r="BB113" i="19"/>
  <c r="BB53" i="6"/>
  <c r="U114" i="19"/>
  <c r="V114" i="19" s="1"/>
  <c r="T114" i="19"/>
  <c r="BB114" i="19" l="1"/>
  <c r="BI114" i="19"/>
  <c r="BL114" i="19" s="1"/>
  <c r="BN114" i="19" s="1"/>
  <c r="C226" i="6" s="1"/>
  <c r="L226" i="6" s="1"/>
  <c r="Q226" i="6" s="1"/>
  <c r="BB54" i="6"/>
  <c r="T115" i="19"/>
  <c r="U115" i="19"/>
  <c r="V115" i="19" s="1"/>
  <c r="BB115" i="19" l="1"/>
  <c r="BI115" i="19"/>
  <c r="BL115" i="19" s="1"/>
  <c r="BN115" i="19" s="1"/>
  <c r="C227" i="6" s="1"/>
  <c r="L227" i="6" s="1"/>
  <c r="Q227" i="6" s="1"/>
  <c r="BB55" i="6"/>
  <c r="U116" i="19"/>
  <c r="V116" i="19" s="1"/>
  <c r="T116" i="19"/>
  <c r="BB56" i="6" l="1"/>
  <c r="BB116" i="19"/>
  <c r="BI116" i="19"/>
  <c r="BL116" i="19" s="1"/>
  <c r="BN116" i="19" s="1"/>
  <c r="C228" i="6" s="1"/>
  <c r="L228" i="6" s="1"/>
  <c r="Q228" i="6" s="1"/>
  <c r="T117" i="19"/>
  <c r="U117" i="19"/>
  <c r="V117" i="19" s="1"/>
  <c r="BI117" i="19" l="1"/>
  <c r="BL117" i="19" s="1"/>
  <c r="BN117" i="19" s="1"/>
  <c r="C229" i="6" s="1"/>
  <c r="L229" i="6" s="1"/>
  <c r="Q229" i="6" s="1"/>
  <c r="BB117" i="19"/>
  <c r="BB57" i="6"/>
  <c r="U118" i="19"/>
  <c r="V118" i="19" s="1"/>
  <c r="T118" i="19"/>
  <c r="BB118" i="19" l="1"/>
  <c r="BI118" i="19"/>
  <c r="BL118" i="19" s="1"/>
  <c r="BN118" i="19" s="1"/>
  <c r="C230" i="6" s="1"/>
  <c r="L230" i="6" s="1"/>
  <c r="Q230" i="6" s="1"/>
  <c r="BB58" i="6"/>
  <c r="U119" i="19"/>
  <c r="V119" i="19" s="1"/>
  <c r="T119" i="19"/>
  <c r="BB59" i="6" l="1"/>
  <c r="BI119" i="19"/>
  <c r="BL119" i="19" s="1"/>
  <c r="BN119" i="19" s="1"/>
  <c r="C231" i="6" s="1"/>
  <c r="L231" i="6" s="1"/>
  <c r="Q231" i="6" s="1"/>
  <c r="BB119" i="19"/>
  <c r="K161" i="16"/>
  <c r="K162" i="16"/>
  <c r="AK162" i="16" s="1"/>
  <c r="K166" i="16"/>
  <c r="AK166" i="16" s="1"/>
  <c r="K154" i="16"/>
  <c r="AK154" i="16" s="1"/>
  <c r="K168" i="16"/>
  <c r="K152" i="16"/>
  <c r="AK152" i="16" s="1"/>
  <c r="K160" i="16"/>
  <c r="K151" i="16"/>
  <c r="AK151" i="16" s="1"/>
  <c r="K155" i="16"/>
  <c r="K157" i="16"/>
  <c r="AK157" i="16" s="1"/>
  <c r="K164" i="16"/>
  <c r="K156" i="16"/>
  <c r="K150" i="16"/>
  <c r="K163" i="16"/>
  <c r="K158" i="16"/>
  <c r="K167" i="16"/>
  <c r="K153" i="16"/>
  <c r="K169" i="16"/>
  <c r="K149" i="16"/>
  <c r="K165" i="16"/>
  <c r="K159" i="16"/>
  <c r="K178" i="16"/>
  <c r="AK178" i="16" s="1"/>
  <c r="K177" i="16"/>
  <c r="P150" i="16" l="1"/>
  <c r="Q150" i="16" s="1"/>
  <c r="R150" i="16" s="1"/>
  <c r="S150" i="16" s="1"/>
  <c r="AK150" i="16"/>
  <c r="P155" i="16"/>
  <c r="Q155" i="16" s="1"/>
  <c r="R155" i="16" s="1"/>
  <c r="S155" i="16" s="1"/>
  <c r="AK155" i="16"/>
  <c r="P159" i="16"/>
  <c r="Q159" i="16" s="1"/>
  <c r="AK159" i="16"/>
  <c r="M168" i="16"/>
  <c r="AK168" i="16"/>
  <c r="M165" i="16"/>
  <c r="AK165" i="16"/>
  <c r="M177" i="16"/>
  <c r="AK177" i="16"/>
  <c r="M149" i="16"/>
  <c r="AK149" i="16"/>
  <c r="P158" i="16"/>
  <c r="Q158" i="16" s="1"/>
  <c r="R158" i="16" s="1"/>
  <c r="S158" i="16" s="1"/>
  <c r="AK158" i="16"/>
  <c r="P164" i="16"/>
  <c r="Q164" i="16" s="1"/>
  <c r="R164" i="16" s="1"/>
  <c r="S164" i="16" s="1"/>
  <c r="AK164" i="16"/>
  <c r="P160" i="16"/>
  <c r="Q160" i="16" s="1"/>
  <c r="R160" i="16" s="1"/>
  <c r="S160" i="16" s="1"/>
  <c r="AK160" i="16"/>
  <c r="P153" i="16"/>
  <c r="Q153" i="16" s="1"/>
  <c r="R153" i="16" s="1"/>
  <c r="S153" i="16" s="1"/>
  <c r="AK153" i="16"/>
  <c r="M161" i="16"/>
  <c r="AK161" i="16"/>
  <c r="M167" i="16"/>
  <c r="AK167" i="16"/>
  <c r="P156" i="16"/>
  <c r="Q156" i="16" s="1"/>
  <c r="R156" i="16" s="1"/>
  <c r="S156" i="16" s="1"/>
  <c r="AK156" i="16"/>
  <c r="P169" i="16"/>
  <c r="Q169" i="16" s="1"/>
  <c r="R169" i="16" s="1"/>
  <c r="S169" i="16" s="1"/>
  <c r="AK169" i="16"/>
  <c r="P163" i="16"/>
  <c r="Q163" i="16" s="1"/>
  <c r="R163" i="16" s="1"/>
  <c r="S163" i="16" s="1"/>
  <c r="AK163" i="16"/>
  <c r="R159" i="16"/>
  <c r="S159" i="16" s="1"/>
  <c r="V150" i="16"/>
  <c r="U150" i="16"/>
  <c r="T150" i="16"/>
  <c r="BB60" i="6"/>
  <c r="M155" i="16"/>
  <c r="P161" i="16"/>
  <c r="Q161" i="16" s="1"/>
  <c r="P149" i="16"/>
  <c r="Q149" i="16" s="1"/>
  <c r="R149" i="16" s="1"/>
  <c r="S149" i="16" s="1"/>
  <c r="P178" i="16"/>
  <c r="Q178" i="16" s="1"/>
  <c r="M178" i="16"/>
  <c r="M166" i="16"/>
  <c r="P166" i="16"/>
  <c r="Q166" i="16" s="1"/>
  <c r="P177" i="16"/>
  <c r="Q177" i="16" s="1"/>
  <c r="M159" i="16"/>
  <c r="M153" i="16"/>
  <c r="M158" i="16"/>
  <c r="M150" i="16"/>
  <c r="M164" i="16"/>
  <c r="P152" i="16"/>
  <c r="Q152" i="16" s="1"/>
  <c r="M152" i="16"/>
  <c r="P162" i="16"/>
  <c r="Q162" i="16" s="1"/>
  <c r="M162" i="16"/>
  <c r="P167" i="16"/>
  <c r="Q167" i="16" s="1"/>
  <c r="K137" i="16"/>
  <c r="AK137" i="16" s="1"/>
  <c r="P151" i="16"/>
  <c r="Q151" i="16" s="1"/>
  <c r="M151" i="16"/>
  <c r="P165" i="16"/>
  <c r="Q165" i="16" s="1"/>
  <c r="M169" i="16"/>
  <c r="M163" i="16"/>
  <c r="M156" i="16"/>
  <c r="P157" i="16"/>
  <c r="Q157" i="16" s="1"/>
  <c r="M157" i="16"/>
  <c r="M160" i="16"/>
  <c r="P154" i="16"/>
  <c r="Q154" i="16" s="1"/>
  <c r="M154" i="16"/>
  <c r="P168" i="16"/>
  <c r="Q168" i="16" s="1"/>
  <c r="CC110" i="16" l="1"/>
  <c r="AL150" i="16"/>
  <c r="AM150" i="16"/>
  <c r="X100" i="18" s="1"/>
  <c r="AO41" i="6"/>
  <c r="BA41" i="6"/>
  <c r="R154" i="16"/>
  <c r="S154" i="16" s="1"/>
  <c r="R151" i="16"/>
  <c r="S151" i="16" s="1"/>
  <c r="R162" i="16"/>
  <c r="S162" i="16" s="1"/>
  <c r="R165" i="16"/>
  <c r="S165" i="16" s="1"/>
  <c r="R168" i="16"/>
  <c r="S168" i="16" s="1"/>
  <c r="R166" i="16"/>
  <c r="S166" i="16" s="1"/>
  <c r="V153" i="16"/>
  <c r="U153" i="16"/>
  <c r="T153" i="16"/>
  <c r="V169" i="16"/>
  <c r="U169" i="16"/>
  <c r="T169" i="16"/>
  <c r="V164" i="16"/>
  <c r="U164" i="16"/>
  <c r="T164" i="16"/>
  <c r="V156" i="16"/>
  <c r="U156" i="16"/>
  <c r="T156" i="16"/>
  <c r="R157" i="16"/>
  <c r="S157" i="16" s="1"/>
  <c r="R167" i="16"/>
  <c r="S167" i="16" s="1"/>
  <c r="R152" i="16"/>
  <c r="S152" i="16" s="1"/>
  <c r="R161" i="16"/>
  <c r="S161" i="16" s="1"/>
  <c r="U155" i="16"/>
  <c r="T155" i="16"/>
  <c r="V155" i="16"/>
  <c r="U163" i="16"/>
  <c r="T163" i="16"/>
  <c r="V163" i="16"/>
  <c r="V160" i="16"/>
  <c r="U160" i="16"/>
  <c r="T160" i="16"/>
  <c r="U158" i="16"/>
  <c r="T158" i="16"/>
  <c r="V158" i="16"/>
  <c r="U159" i="16"/>
  <c r="T159" i="16"/>
  <c r="V159" i="16"/>
  <c r="R177" i="16"/>
  <c r="S177" i="16" s="1"/>
  <c r="R178" i="16"/>
  <c r="S178" i="16" s="1"/>
  <c r="Y150" i="16"/>
  <c r="AB150" i="16"/>
  <c r="W150" i="16"/>
  <c r="AA150" i="16"/>
  <c r="Z150" i="16"/>
  <c r="X150" i="16"/>
  <c r="U149" i="16"/>
  <c r="T149" i="16"/>
  <c r="V149" i="16"/>
  <c r="K138" i="16"/>
  <c r="AK138" i="16" s="1"/>
  <c r="K179" i="16"/>
  <c r="AK179" i="16" s="1"/>
  <c r="M137" i="16"/>
  <c r="P137" i="16"/>
  <c r="Q137" i="16" s="1"/>
  <c r="AN150" i="16" l="1"/>
  <c r="AO150" i="16" s="1"/>
  <c r="CC129" i="16"/>
  <c r="AL169" i="16"/>
  <c r="AM169" i="16"/>
  <c r="X119" i="18" s="1"/>
  <c r="CC109" i="16"/>
  <c r="AL149" i="16"/>
  <c r="AM149" i="16"/>
  <c r="BV110" i="16"/>
  <c r="CC120" i="16"/>
  <c r="AL160" i="16"/>
  <c r="AM160" i="16"/>
  <c r="CC123" i="16"/>
  <c r="AL163" i="16"/>
  <c r="AM163" i="16"/>
  <c r="CC124" i="16"/>
  <c r="AL164" i="16"/>
  <c r="AM164" i="16"/>
  <c r="CC119" i="16"/>
  <c r="AL159" i="16"/>
  <c r="AM159" i="16"/>
  <c r="CC116" i="16"/>
  <c r="AL156" i="16"/>
  <c r="AM156" i="16"/>
  <c r="CC115" i="16"/>
  <c r="AL155" i="16"/>
  <c r="AM155" i="16"/>
  <c r="CC118" i="16"/>
  <c r="AL158" i="16"/>
  <c r="AM158" i="16"/>
  <c r="X108" i="18" s="1"/>
  <c r="CC113" i="16"/>
  <c r="AL153" i="16"/>
  <c r="AM153" i="16"/>
  <c r="AO44" i="6"/>
  <c r="BA44" i="6"/>
  <c r="BA49" i="6"/>
  <c r="AO49" i="6"/>
  <c r="BA51" i="6"/>
  <c r="AO51" i="6"/>
  <c r="BA47" i="6"/>
  <c r="AO47" i="6"/>
  <c r="AO54" i="6"/>
  <c r="BA54" i="6"/>
  <c r="AO55" i="6"/>
  <c r="BA55" i="6"/>
  <c r="BA50" i="6"/>
  <c r="AO50" i="6"/>
  <c r="AO46" i="6"/>
  <c r="BA46" i="6"/>
  <c r="BA60" i="6"/>
  <c r="AO60" i="6"/>
  <c r="AO40" i="6"/>
  <c r="BA40" i="6"/>
  <c r="Y160" i="16"/>
  <c r="W160" i="16"/>
  <c r="AB160" i="16"/>
  <c r="Z160" i="16"/>
  <c r="AA160" i="16"/>
  <c r="X160" i="16"/>
  <c r="Y163" i="16"/>
  <c r="W163" i="16"/>
  <c r="AB163" i="16"/>
  <c r="Z163" i="16"/>
  <c r="AA163" i="16"/>
  <c r="X163" i="16"/>
  <c r="Y164" i="16"/>
  <c r="AB164" i="16"/>
  <c r="W164" i="16"/>
  <c r="Z164" i="16"/>
  <c r="AA164" i="16"/>
  <c r="X164" i="16"/>
  <c r="V161" i="16"/>
  <c r="U161" i="16"/>
  <c r="T161" i="16"/>
  <c r="U167" i="16"/>
  <c r="T167" i="16"/>
  <c r="V167" i="16"/>
  <c r="Y156" i="16"/>
  <c r="AB156" i="16"/>
  <c r="W156" i="16"/>
  <c r="Z156" i="16"/>
  <c r="AA156" i="16"/>
  <c r="X156" i="16"/>
  <c r="U166" i="16"/>
  <c r="T166" i="16"/>
  <c r="V166" i="16"/>
  <c r="V165" i="16"/>
  <c r="T165" i="16"/>
  <c r="U165" i="16"/>
  <c r="U151" i="16"/>
  <c r="T151" i="16"/>
  <c r="V151" i="16"/>
  <c r="Y158" i="16"/>
  <c r="W158" i="16"/>
  <c r="AB158" i="16"/>
  <c r="AA158" i="16"/>
  <c r="Z158" i="16"/>
  <c r="X158" i="16"/>
  <c r="Y153" i="16"/>
  <c r="AB153" i="16"/>
  <c r="W153" i="16"/>
  <c r="AA153" i="16"/>
  <c r="Z153" i="16"/>
  <c r="X153" i="16"/>
  <c r="Y159" i="16"/>
  <c r="Z159" i="16"/>
  <c r="AB159" i="16"/>
  <c r="W159" i="16"/>
  <c r="AA159" i="16"/>
  <c r="X159" i="16"/>
  <c r="Y155" i="16"/>
  <c r="AB155" i="16"/>
  <c r="W155" i="16"/>
  <c r="Z155" i="16"/>
  <c r="AA155" i="16"/>
  <c r="X155" i="16"/>
  <c r="V152" i="16"/>
  <c r="U152" i="16"/>
  <c r="T152" i="16"/>
  <c r="V157" i="16"/>
  <c r="U157" i="16"/>
  <c r="T157" i="16"/>
  <c r="Y169" i="16"/>
  <c r="AB169" i="16"/>
  <c r="Z169" i="16"/>
  <c r="W169" i="16"/>
  <c r="AA169" i="16"/>
  <c r="X169" i="16"/>
  <c r="V168" i="16"/>
  <c r="U168" i="16"/>
  <c r="T168" i="16"/>
  <c r="U162" i="16"/>
  <c r="T162" i="16"/>
  <c r="V162" i="16"/>
  <c r="U154" i="16"/>
  <c r="T154" i="16"/>
  <c r="V154" i="16"/>
  <c r="Y149" i="16"/>
  <c r="AB149" i="16"/>
  <c r="Z149" i="16"/>
  <c r="X149" i="16"/>
  <c r="W149" i="16"/>
  <c r="AA149" i="16"/>
  <c r="V178" i="16"/>
  <c r="U178" i="16"/>
  <c r="T178" i="16"/>
  <c r="R137" i="16"/>
  <c r="S137" i="16" s="1"/>
  <c r="AC150" i="16"/>
  <c r="D110" i="6"/>
  <c r="M110" i="6" s="1"/>
  <c r="E110" i="6"/>
  <c r="F110" i="6"/>
  <c r="V177" i="16"/>
  <c r="U177" i="16"/>
  <c r="T177" i="16"/>
  <c r="P138" i="16"/>
  <c r="Q138" i="16" s="1"/>
  <c r="M138" i="16"/>
  <c r="K180" i="16"/>
  <c r="AK180" i="16" s="1"/>
  <c r="M179" i="16"/>
  <c r="P179" i="16"/>
  <c r="Q179" i="16" s="1"/>
  <c r="K139" i="16"/>
  <c r="AK139" i="16" s="1"/>
  <c r="BV113" i="16" l="1"/>
  <c r="CC121" i="16"/>
  <c r="AL161" i="16"/>
  <c r="AM161" i="16"/>
  <c r="BV123" i="16"/>
  <c r="AN153" i="16"/>
  <c r="AO153" i="16" s="1"/>
  <c r="X103" i="18"/>
  <c r="CC114" i="16"/>
  <c r="AL154" i="16"/>
  <c r="AM154" i="16"/>
  <c r="X104" i="18" s="1"/>
  <c r="CE97" i="16"/>
  <c r="AL177" i="16"/>
  <c r="AM177" i="16"/>
  <c r="AH87" i="18" s="1"/>
  <c r="CE98" i="16"/>
  <c r="AL178" i="16"/>
  <c r="AM178" i="16"/>
  <c r="AH88" i="18" s="1"/>
  <c r="CC117" i="16"/>
  <c r="AL157" i="16"/>
  <c r="AM157" i="16"/>
  <c r="BV115" i="16"/>
  <c r="CC125" i="16"/>
  <c r="AL165" i="16"/>
  <c r="AM165" i="16"/>
  <c r="AI150" i="16"/>
  <c r="CC122" i="16"/>
  <c r="AL162" i="16"/>
  <c r="AM162" i="16"/>
  <c r="X112" i="18" s="1"/>
  <c r="BV119" i="16"/>
  <c r="CC126" i="16"/>
  <c r="AL166" i="16"/>
  <c r="AM166" i="16"/>
  <c r="X116" i="18" s="1"/>
  <c r="BV116" i="16"/>
  <c r="BV124" i="16"/>
  <c r="AN158" i="16"/>
  <c r="AO158" i="16" s="1"/>
  <c r="AN155" i="16"/>
  <c r="AO155" i="16" s="1"/>
  <c r="X105" i="18"/>
  <c r="AN156" i="16"/>
  <c r="AO156" i="16" s="1"/>
  <c r="X106" i="18"/>
  <c r="AN159" i="16"/>
  <c r="AO159" i="16" s="1"/>
  <c r="X109" i="18"/>
  <c r="AN164" i="16"/>
  <c r="AO164" i="16" s="1"/>
  <c r="X114" i="18"/>
  <c r="AN163" i="16"/>
  <c r="AO163" i="16" s="1"/>
  <c r="X113" i="18"/>
  <c r="AN160" i="16"/>
  <c r="AO160" i="16" s="1"/>
  <c r="X110" i="18"/>
  <c r="AN169" i="16"/>
  <c r="AO169" i="16" s="1"/>
  <c r="CC127" i="16"/>
  <c r="AL167" i="16"/>
  <c r="AM167" i="16"/>
  <c r="BV120" i="16"/>
  <c r="BV109" i="16"/>
  <c r="CC128" i="16"/>
  <c r="AL168" i="16"/>
  <c r="AM168" i="16"/>
  <c r="X118" i="18" s="1"/>
  <c r="BV129" i="16"/>
  <c r="CC112" i="16"/>
  <c r="AL152" i="16"/>
  <c r="AM152" i="16"/>
  <c r="BV118" i="16"/>
  <c r="CC111" i="16"/>
  <c r="AL151" i="16"/>
  <c r="AM151" i="16"/>
  <c r="AN149" i="16"/>
  <c r="AO149" i="16" s="1"/>
  <c r="X99" i="18"/>
  <c r="AC153" i="16"/>
  <c r="AD153" i="16" s="1"/>
  <c r="BA42" i="6"/>
  <c r="AO42" i="6"/>
  <c r="AO45" i="6"/>
  <c r="BA45" i="6"/>
  <c r="AO56" i="6"/>
  <c r="BA56" i="6"/>
  <c r="AO58" i="6"/>
  <c r="BA58" i="6"/>
  <c r="BA48" i="6"/>
  <c r="AO48" i="6"/>
  <c r="BA52" i="6"/>
  <c r="AO52" i="6"/>
  <c r="AC159" i="16"/>
  <c r="AG159" i="16" s="1"/>
  <c r="AO57" i="6"/>
  <c r="BA57" i="6"/>
  <c r="BA53" i="6"/>
  <c r="AO53" i="6"/>
  <c r="BA59" i="6"/>
  <c r="AO59" i="6"/>
  <c r="AO43" i="6"/>
  <c r="BA43" i="6"/>
  <c r="BG29" i="6"/>
  <c r="AU29" i="6"/>
  <c r="AC149" i="16"/>
  <c r="BG28" i="6"/>
  <c r="AU28" i="6"/>
  <c r="AE150" i="16"/>
  <c r="AA100" i="18" s="1"/>
  <c r="AG150" i="16"/>
  <c r="AH150" i="16"/>
  <c r="AC160" i="16"/>
  <c r="AF150" i="16"/>
  <c r="F129" i="6"/>
  <c r="E129" i="6"/>
  <c r="D129" i="6"/>
  <c r="M129" i="6" s="1"/>
  <c r="Y157" i="16"/>
  <c r="W157" i="16"/>
  <c r="AB157" i="16"/>
  <c r="Z157" i="16"/>
  <c r="AA157" i="16"/>
  <c r="X157" i="16"/>
  <c r="AD159" i="16"/>
  <c r="D118" i="6"/>
  <c r="M118" i="6" s="1"/>
  <c r="F118" i="6"/>
  <c r="E118" i="6"/>
  <c r="Y165" i="16"/>
  <c r="W165" i="16"/>
  <c r="AB165" i="16"/>
  <c r="Z165" i="16"/>
  <c r="AA165" i="16"/>
  <c r="X165" i="16"/>
  <c r="D116" i="6"/>
  <c r="M116" i="6" s="1"/>
  <c r="E116" i="6"/>
  <c r="F116" i="6"/>
  <c r="Y161" i="16"/>
  <c r="W161" i="16"/>
  <c r="AB161" i="16"/>
  <c r="Z161" i="16"/>
  <c r="AA161" i="16"/>
  <c r="X161" i="16"/>
  <c r="D120" i="6"/>
  <c r="M120" i="6" s="1"/>
  <c r="E120" i="6"/>
  <c r="F120" i="6"/>
  <c r="Y162" i="16"/>
  <c r="W162" i="16"/>
  <c r="AB162" i="16"/>
  <c r="Z162" i="16"/>
  <c r="AA162" i="16"/>
  <c r="X162" i="16"/>
  <c r="AC169" i="16"/>
  <c r="Y166" i="16"/>
  <c r="AB166" i="16"/>
  <c r="W166" i="16"/>
  <c r="AA166" i="16"/>
  <c r="Z166" i="16"/>
  <c r="X166" i="16"/>
  <c r="AC163" i="16"/>
  <c r="Y154" i="16"/>
  <c r="AB154" i="16"/>
  <c r="W154" i="16"/>
  <c r="Z154" i="16"/>
  <c r="AA154" i="16"/>
  <c r="X154" i="16"/>
  <c r="AC155" i="16"/>
  <c r="F113" i="6"/>
  <c r="D113" i="6"/>
  <c r="M113" i="6" s="1"/>
  <c r="E113" i="6"/>
  <c r="AC156" i="16"/>
  <c r="Y167" i="16"/>
  <c r="AB167" i="16"/>
  <c r="W167" i="16"/>
  <c r="Z167" i="16"/>
  <c r="AA167" i="16"/>
  <c r="X167" i="16"/>
  <c r="AC164" i="16"/>
  <c r="F123" i="6"/>
  <c r="E123" i="6"/>
  <c r="D123" i="6"/>
  <c r="M123" i="6" s="1"/>
  <c r="Y168" i="16"/>
  <c r="W168" i="16"/>
  <c r="AB168" i="16"/>
  <c r="Z168" i="16"/>
  <c r="AA168" i="16"/>
  <c r="X168" i="16"/>
  <c r="Y152" i="16"/>
  <c r="AB152" i="16"/>
  <c r="W152" i="16"/>
  <c r="Z152" i="16"/>
  <c r="AA152" i="16"/>
  <c r="X152" i="16"/>
  <c r="F115" i="6"/>
  <c r="E115" i="6"/>
  <c r="D115" i="6"/>
  <c r="M115" i="6" s="1"/>
  <c r="F119" i="6"/>
  <c r="E119" i="6"/>
  <c r="D119" i="6"/>
  <c r="M119" i="6" s="1"/>
  <c r="AC158" i="16"/>
  <c r="Y151" i="16"/>
  <c r="AB151" i="16"/>
  <c r="W151" i="16"/>
  <c r="Z151" i="16"/>
  <c r="AA151" i="16"/>
  <c r="X151" i="16"/>
  <c r="R179" i="16"/>
  <c r="S179" i="16" s="1"/>
  <c r="AD150" i="16"/>
  <c r="Y178" i="16"/>
  <c r="AB178" i="16"/>
  <c r="W178" i="16"/>
  <c r="AA178" i="16"/>
  <c r="Z178" i="16"/>
  <c r="X178" i="16"/>
  <c r="F109" i="6"/>
  <c r="D109" i="6"/>
  <c r="M109" i="6" s="1"/>
  <c r="E109" i="6"/>
  <c r="R138" i="16"/>
  <c r="S138" i="16" s="1"/>
  <c r="N110" i="6"/>
  <c r="R110" i="6" s="1"/>
  <c r="AK41" i="6" s="1"/>
  <c r="U137" i="16"/>
  <c r="T137" i="16"/>
  <c r="V137" i="16"/>
  <c r="AB177" i="16"/>
  <c r="Z177" i="16"/>
  <c r="AA177" i="16"/>
  <c r="Y177" i="16"/>
  <c r="W177" i="16"/>
  <c r="X177" i="16"/>
  <c r="K140" i="16"/>
  <c r="AK140" i="16" s="1"/>
  <c r="K181" i="16"/>
  <c r="AK181" i="16" s="1"/>
  <c r="P139" i="16"/>
  <c r="Q139" i="16" s="1"/>
  <c r="M139" i="16"/>
  <c r="M180" i="16"/>
  <c r="P180" i="16"/>
  <c r="Q180" i="16" s="1"/>
  <c r="AN168" i="16" l="1"/>
  <c r="AN178" i="16"/>
  <c r="AN162" i="16"/>
  <c r="AN154" i="16"/>
  <c r="AO154" i="16" s="1"/>
  <c r="AN177" i="16"/>
  <c r="BV114" i="16"/>
  <c r="BV112" i="16"/>
  <c r="AG164" i="16"/>
  <c r="BV121" i="16"/>
  <c r="AE153" i="16"/>
  <c r="AG153" i="16"/>
  <c r="AH153" i="16"/>
  <c r="AN152" i="16"/>
  <c r="AO152" i="16" s="1"/>
  <c r="X102" i="18"/>
  <c r="AN165" i="16"/>
  <c r="AO165" i="16" s="1"/>
  <c r="X115" i="18"/>
  <c r="BV111" i="16"/>
  <c r="BV128" i="16"/>
  <c r="AF156" i="16"/>
  <c r="BV122" i="16"/>
  <c r="AO168" i="16"/>
  <c r="BV127" i="16"/>
  <c r="CC97" i="16"/>
  <c r="AL137" i="16"/>
  <c r="AM137" i="16"/>
  <c r="BV125" i="16"/>
  <c r="AN166" i="16"/>
  <c r="AO166" i="16" s="1"/>
  <c r="AF155" i="16"/>
  <c r="BV117" i="16"/>
  <c r="AH149" i="16"/>
  <c r="AF153" i="16"/>
  <c r="BW113" i="16"/>
  <c r="BY97" i="16"/>
  <c r="BY98" i="16"/>
  <c r="BV126" i="16"/>
  <c r="AH159" i="16"/>
  <c r="AN151" i="16"/>
  <c r="AO151" i="16" s="1"/>
  <c r="X101" i="18"/>
  <c r="AN167" i="16"/>
  <c r="AO167" i="16" s="1"/>
  <c r="X117" i="18"/>
  <c r="BW110" i="16"/>
  <c r="AN157" i="16"/>
  <c r="AO157" i="16" s="1"/>
  <c r="X107" i="18"/>
  <c r="AN161" i="16"/>
  <c r="AO161" i="16" s="1"/>
  <c r="X111" i="18"/>
  <c r="AG160" i="16"/>
  <c r="AO162" i="16"/>
  <c r="AO178" i="16"/>
  <c r="AO177" i="16"/>
  <c r="AA103" i="18"/>
  <c r="AB103" i="18" s="1"/>
  <c r="AI153" i="16"/>
  <c r="AE159" i="16"/>
  <c r="AA109" i="18" s="1"/>
  <c r="AC109" i="18" s="1"/>
  <c r="AF159" i="16"/>
  <c r="AI159" i="16"/>
  <c r="AD160" i="16"/>
  <c r="AI149" i="16"/>
  <c r="AE149" i="16"/>
  <c r="AG149" i="16"/>
  <c r="AI160" i="16"/>
  <c r="AF149" i="16"/>
  <c r="AD149" i="16"/>
  <c r="BA28" i="6"/>
  <c r="AO28" i="6"/>
  <c r="N116" i="6"/>
  <c r="N113" i="6"/>
  <c r="R113" i="6" s="1"/>
  <c r="AK44" i="6" s="1"/>
  <c r="N129" i="6"/>
  <c r="R129" i="6" s="1"/>
  <c r="AK60" i="6" s="1"/>
  <c r="AC177" i="16"/>
  <c r="N119" i="6"/>
  <c r="R119" i="6" s="1"/>
  <c r="AK50" i="6" s="1"/>
  <c r="N118" i="6"/>
  <c r="R118" i="6" s="1"/>
  <c r="AK49" i="6" s="1"/>
  <c r="AJ150" i="16"/>
  <c r="AC162" i="16"/>
  <c r="AC161" i="16"/>
  <c r="AC165" i="16"/>
  <c r="AH160" i="16"/>
  <c r="AF160" i="16"/>
  <c r="AE160" i="16"/>
  <c r="BW120" i="16" s="1"/>
  <c r="AC151" i="16"/>
  <c r="AC152" i="16"/>
  <c r="N123" i="6"/>
  <c r="R123" i="6" s="1"/>
  <c r="AK54" i="6" s="1"/>
  <c r="AC167" i="16"/>
  <c r="AC154" i="16"/>
  <c r="AD163" i="16"/>
  <c r="AE163" i="16"/>
  <c r="BW123" i="16" s="1"/>
  <c r="AH163" i="16"/>
  <c r="AF163" i="16"/>
  <c r="AI163" i="16"/>
  <c r="AG163" i="16"/>
  <c r="D122" i="6"/>
  <c r="M122" i="6" s="1"/>
  <c r="E122" i="6"/>
  <c r="F122" i="6"/>
  <c r="AC157" i="16"/>
  <c r="N109" i="6"/>
  <c r="R109" i="6" s="1"/>
  <c r="AK40" i="6" s="1"/>
  <c r="AD158" i="16"/>
  <c r="AG158" i="16"/>
  <c r="AE158" i="16"/>
  <c r="BW118" i="16" s="1"/>
  <c r="AH158" i="16"/>
  <c r="AF158" i="16"/>
  <c r="F127" i="6"/>
  <c r="E127" i="6"/>
  <c r="D127" i="6"/>
  <c r="M127" i="6" s="1"/>
  <c r="AD156" i="16"/>
  <c r="AE156" i="16"/>
  <c r="BW116" i="16" s="1"/>
  <c r="AI156" i="16"/>
  <c r="AG156" i="16"/>
  <c r="AH156" i="16"/>
  <c r="AC166" i="16"/>
  <c r="AD169" i="16"/>
  <c r="AH169" i="16"/>
  <c r="AF169" i="16"/>
  <c r="AI169" i="16"/>
  <c r="AG169" i="16"/>
  <c r="AE169" i="16"/>
  <c r="BW129" i="16" s="1"/>
  <c r="D124" i="6"/>
  <c r="M124" i="6" s="1"/>
  <c r="F124" i="6"/>
  <c r="E124" i="6"/>
  <c r="F125" i="6"/>
  <c r="E125" i="6"/>
  <c r="D125" i="6"/>
  <c r="M125" i="6" s="1"/>
  <c r="F117" i="6"/>
  <c r="E117" i="6"/>
  <c r="D117" i="6"/>
  <c r="M117" i="6" s="1"/>
  <c r="N115" i="6"/>
  <c r="R115" i="6" s="1"/>
  <c r="AK46" i="6" s="1"/>
  <c r="D112" i="6"/>
  <c r="M112" i="6" s="1"/>
  <c r="F112" i="6"/>
  <c r="E112" i="6"/>
  <c r="AC168" i="16"/>
  <c r="AD164" i="16"/>
  <c r="AE164" i="16"/>
  <c r="BW124" i="16" s="1"/>
  <c r="AI164" i="16"/>
  <c r="AH164" i="16"/>
  <c r="AF164" i="16"/>
  <c r="AI158" i="16"/>
  <c r="D114" i="6"/>
  <c r="M114" i="6" s="1"/>
  <c r="E114" i="6"/>
  <c r="F114" i="6"/>
  <c r="D126" i="6"/>
  <c r="M126" i="6" s="1"/>
  <c r="E126" i="6"/>
  <c r="F126" i="6"/>
  <c r="N120" i="6"/>
  <c r="R120" i="6" s="1"/>
  <c r="AK51" i="6" s="1"/>
  <c r="R116" i="6"/>
  <c r="AK47" i="6" s="1"/>
  <c r="AD155" i="16"/>
  <c r="AH155" i="16"/>
  <c r="AE155" i="16"/>
  <c r="BW115" i="16" s="1"/>
  <c r="AI155" i="16"/>
  <c r="AG155" i="16"/>
  <c r="D131" i="6"/>
  <c r="M131" i="6" s="1"/>
  <c r="E131" i="6"/>
  <c r="F131" i="6"/>
  <c r="V138" i="16"/>
  <c r="U138" i="16"/>
  <c r="T138" i="16"/>
  <c r="R139" i="16"/>
  <c r="S139" i="16" s="1"/>
  <c r="Y137" i="16"/>
  <c r="AB137" i="16"/>
  <c r="Z137" i="16"/>
  <c r="W137" i="16"/>
  <c r="AA137" i="16"/>
  <c r="X137" i="16"/>
  <c r="R180" i="16"/>
  <c r="S180" i="16" s="1"/>
  <c r="AC178" i="16"/>
  <c r="D132" i="6"/>
  <c r="M132" i="6" s="1"/>
  <c r="F132" i="6"/>
  <c r="E132" i="6"/>
  <c r="V179" i="16"/>
  <c r="U179" i="16"/>
  <c r="T179" i="16"/>
  <c r="K182" i="16"/>
  <c r="AK182" i="16" s="1"/>
  <c r="P181" i="16"/>
  <c r="Q181" i="16" s="1"/>
  <c r="M181" i="16"/>
  <c r="AC103" i="18"/>
  <c r="AC100" i="18"/>
  <c r="AB100" i="18"/>
  <c r="K141" i="16"/>
  <c r="AK141" i="16" s="1"/>
  <c r="M140" i="16"/>
  <c r="P140" i="16"/>
  <c r="Q140" i="16" s="1"/>
  <c r="AJ153" i="16" l="1"/>
  <c r="AH157" i="16"/>
  <c r="CC98" i="16"/>
  <c r="AL138" i="16"/>
  <c r="AM138" i="16"/>
  <c r="X88" i="18" s="1"/>
  <c r="AI166" i="16"/>
  <c r="AI152" i="16"/>
  <c r="BW119" i="16"/>
  <c r="AG151" i="16"/>
  <c r="AG165" i="16"/>
  <c r="BW109" i="16"/>
  <c r="AH162" i="16"/>
  <c r="AF177" i="16"/>
  <c r="CE99" i="16"/>
  <c r="AL179" i="16"/>
  <c r="AM179" i="16"/>
  <c r="AH89" i="18" s="1"/>
  <c r="BV97" i="16"/>
  <c r="AI167" i="16"/>
  <c r="AH161" i="16"/>
  <c r="AN137" i="16"/>
  <c r="AO137" i="16" s="1"/>
  <c r="X87" i="18"/>
  <c r="AE161" i="16"/>
  <c r="BW121" i="16" s="1"/>
  <c r="AA99" i="18"/>
  <c r="AC99" i="18" s="1"/>
  <c r="AJ149" i="16"/>
  <c r="AB109" i="18"/>
  <c r="AJ159" i="16"/>
  <c r="AI161" i="16"/>
  <c r="AF161" i="16"/>
  <c r="BA29" i="6"/>
  <c r="AO29" i="6"/>
  <c r="AH177" i="16"/>
  <c r="AD177" i="16"/>
  <c r="AG177" i="16"/>
  <c r="BG30" i="6"/>
  <c r="AU30" i="6"/>
  <c r="AE177" i="16"/>
  <c r="AK87" i="18" s="1"/>
  <c r="AL87" i="18" s="1"/>
  <c r="AN87" i="18" s="1"/>
  <c r="AI177" i="16"/>
  <c r="AF152" i="16"/>
  <c r="AD161" i="16"/>
  <c r="N127" i="6"/>
  <c r="R127" i="6" s="1"/>
  <c r="AK58" i="6" s="1"/>
  <c r="AG161" i="16"/>
  <c r="AD165" i="16"/>
  <c r="N117" i="6"/>
  <c r="R117" i="6" s="1"/>
  <c r="AK48" i="6" s="1"/>
  <c r="AF165" i="16"/>
  <c r="AA110" i="18"/>
  <c r="AJ160" i="16"/>
  <c r="AG162" i="16"/>
  <c r="AD162" i="16"/>
  <c r="N122" i="6"/>
  <c r="R122" i="6" s="1"/>
  <c r="AK53" i="6" s="1"/>
  <c r="AE165" i="16"/>
  <c r="BW125" i="16" s="1"/>
  <c r="AH165" i="16"/>
  <c r="AF162" i="16"/>
  <c r="AI162" i="16"/>
  <c r="AE162" i="16"/>
  <c r="BW122" i="16" s="1"/>
  <c r="N125" i="6"/>
  <c r="R125" i="6" s="1"/>
  <c r="AK56" i="6" s="1"/>
  <c r="N124" i="6"/>
  <c r="R124" i="6" s="1"/>
  <c r="AK55" i="6" s="1"/>
  <c r="AI165" i="16"/>
  <c r="N126" i="6"/>
  <c r="R126" i="6" s="1"/>
  <c r="AK57" i="6" s="1"/>
  <c r="AD168" i="16"/>
  <c r="AI168" i="16"/>
  <c r="AF168" i="16"/>
  <c r="AH168" i="16"/>
  <c r="AE168" i="16"/>
  <c r="BW128" i="16" s="1"/>
  <c r="F121" i="6"/>
  <c r="E121" i="6"/>
  <c r="D121" i="6"/>
  <c r="M121" i="6" s="1"/>
  <c r="AA113" i="18"/>
  <c r="AJ163" i="16"/>
  <c r="D128" i="6"/>
  <c r="M128" i="6" s="1"/>
  <c r="E128" i="6"/>
  <c r="F128" i="6"/>
  <c r="N132" i="6"/>
  <c r="R132" i="6" s="1"/>
  <c r="AQ29" i="6" s="1"/>
  <c r="AA114" i="18"/>
  <c r="AJ164" i="16"/>
  <c r="N112" i="6"/>
  <c r="R112" i="6" s="1"/>
  <c r="AK43" i="6" s="1"/>
  <c r="AJ158" i="16"/>
  <c r="AA108" i="18"/>
  <c r="AD157" i="16"/>
  <c r="AG157" i="16"/>
  <c r="AI157" i="16"/>
  <c r="AF157" i="16"/>
  <c r="AE157" i="16"/>
  <c r="BW117" i="16" s="1"/>
  <c r="AD167" i="16"/>
  <c r="AF167" i="16"/>
  <c r="AE167" i="16"/>
  <c r="BW127" i="16" s="1"/>
  <c r="AG167" i="16"/>
  <c r="AH167" i="16"/>
  <c r="AJ155" i="16"/>
  <c r="AA105" i="18"/>
  <c r="F111" i="6"/>
  <c r="D111" i="6"/>
  <c r="M111" i="6" s="1"/>
  <c r="E111" i="6"/>
  <c r="AD152" i="16"/>
  <c r="AG152" i="16"/>
  <c r="AH152" i="16"/>
  <c r="AE152" i="16"/>
  <c r="BW112" i="16" s="1"/>
  <c r="N114" i="6"/>
  <c r="R114" i="6" s="1"/>
  <c r="AK45" i="6" s="1"/>
  <c r="AJ169" i="16"/>
  <c r="AA119" i="18"/>
  <c r="AD166" i="16"/>
  <c r="AE166" i="16"/>
  <c r="BW126" i="16" s="1"/>
  <c r="AG166" i="16"/>
  <c r="AF166" i="16"/>
  <c r="AH166" i="16"/>
  <c r="AA106" i="18"/>
  <c r="AJ156" i="16"/>
  <c r="AD154" i="16"/>
  <c r="AG154" i="16"/>
  <c r="AI154" i="16"/>
  <c r="AH154" i="16"/>
  <c r="AE154" i="16"/>
  <c r="BW114" i="16" s="1"/>
  <c r="AF154" i="16"/>
  <c r="AG168" i="16"/>
  <c r="AD151" i="16"/>
  <c r="AH151" i="16"/>
  <c r="AE151" i="16"/>
  <c r="BW111" i="16" s="1"/>
  <c r="AI151" i="16"/>
  <c r="AF151" i="16"/>
  <c r="N131" i="6"/>
  <c r="R131" i="6" s="1"/>
  <c r="AQ28" i="6" s="1"/>
  <c r="AB179" i="16"/>
  <c r="W179" i="16"/>
  <c r="AA179" i="16"/>
  <c r="Y179" i="16"/>
  <c r="Z179" i="16"/>
  <c r="X179" i="16"/>
  <c r="AC137" i="16"/>
  <c r="V139" i="16"/>
  <c r="U139" i="16"/>
  <c r="T139" i="16"/>
  <c r="R140" i="16"/>
  <c r="S140" i="16" s="1"/>
  <c r="R181" i="16"/>
  <c r="S181" i="16" s="1"/>
  <c r="Y138" i="16"/>
  <c r="AB138" i="16"/>
  <c r="W138" i="16"/>
  <c r="AA138" i="16"/>
  <c r="Z138" i="16"/>
  <c r="X138" i="16"/>
  <c r="AF178" i="16"/>
  <c r="AE178" i="16"/>
  <c r="AH178" i="16"/>
  <c r="AD178" i="16"/>
  <c r="AG178" i="16"/>
  <c r="AI178" i="16"/>
  <c r="T180" i="16"/>
  <c r="V180" i="16"/>
  <c r="U180" i="16"/>
  <c r="E97" i="6"/>
  <c r="F97" i="6"/>
  <c r="D97" i="6"/>
  <c r="M97" i="6" s="1"/>
  <c r="P182" i="16"/>
  <c r="Q182" i="16" s="1"/>
  <c r="M182" i="16"/>
  <c r="M141" i="16"/>
  <c r="P141" i="16"/>
  <c r="Q141" i="16" s="1"/>
  <c r="K142" i="16"/>
  <c r="AK142" i="16" s="1"/>
  <c r="K183" i="16"/>
  <c r="AK183" i="16" s="1"/>
  <c r="BZ97" i="16" l="1"/>
  <c r="CE100" i="16"/>
  <c r="AL180" i="16"/>
  <c r="AM180" i="16"/>
  <c r="AH90" i="18" s="1"/>
  <c r="BV98" i="16"/>
  <c r="BY99" i="16"/>
  <c r="AN179" i="16"/>
  <c r="AO179" i="16" s="1"/>
  <c r="BZ98" i="16"/>
  <c r="CC99" i="16"/>
  <c r="AL139" i="16"/>
  <c r="AM139" i="16"/>
  <c r="AN138" i="16"/>
  <c r="AO138" i="16" s="1"/>
  <c r="AB99" i="18"/>
  <c r="AA111" i="18"/>
  <c r="AB111" i="18" s="1"/>
  <c r="AJ161" i="16"/>
  <c r="AM87" i="18"/>
  <c r="AO87" i="18" s="1"/>
  <c r="AP87" i="18" s="1"/>
  <c r="BJ87" i="18" s="1"/>
  <c r="BL87" i="18" s="1"/>
  <c r="BN87" i="18" s="1"/>
  <c r="C131" i="6" s="1"/>
  <c r="L131" i="6" s="1"/>
  <c r="Q131" i="6" s="1"/>
  <c r="AP28" i="6" s="1"/>
  <c r="AT28" i="6" s="1"/>
  <c r="BA30" i="6"/>
  <c r="AO30" i="6"/>
  <c r="AJ177" i="16"/>
  <c r="BG31" i="6"/>
  <c r="AU31" i="6"/>
  <c r="AA115" i="18"/>
  <c r="AJ165" i="16"/>
  <c r="N111" i="6"/>
  <c r="R111" i="6" s="1"/>
  <c r="AK42" i="6" s="1"/>
  <c r="AB110" i="18"/>
  <c r="AC110" i="18"/>
  <c r="AA112" i="18"/>
  <c r="AJ162" i="16"/>
  <c r="N121" i="6"/>
  <c r="R121" i="6" s="1"/>
  <c r="AK52" i="6" s="1"/>
  <c r="N128" i="6"/>
  <c r="R128" i="6" s="1"/>
  <c r="AK59" i="6" s="1"/>
  <c r="AA118" i="18"/>
  <c r="AJ168" i="16"/>
  <c r="AC138" i="16"/>
  <c r="AJ154" i="16"/>
  <c r="AA104" i="18"/>
  <c r="AC106" i="18"/>
  <c r="AB106" i="18"/>
  <c r="AC119" i="18"/>
  <c r="AB119" i="18"/>
  <c r="AJ152" i="16"/>
  <c r="AA102" i="18"/>
  <c r="AC105" i="18"/>
  <c r="AB105" i="18"/>
  <c r="AB108" i="18"/>
  <c r="AC108" i="18"/>
  <c r="AC179" i="16"/>
  <c r="AJ166" i="16"/>
  <c r="AA116" i="18"/>
  <c r="AJ167" i="16"/>
  <c r="AA117" i="18"/>
  <c r="AJ151" i="16"/>
  <c r="AA101" i="18"/>
  <c r="AC111" i="18"/>
  <c r="AJ157" i="16"/>
  <c r="AA107" i="18"/>
  <c r="AC114" i="18"/>
  <c r="AB114" i="18"/>
  <c r="AC113" i="18"/>
  <c r="AB113" i="18"/>
  <c r="R141" i="16"/>
  <c r="S141" i="16" s="1"/>
  <c r="Y180" i="16"/>
  <c r="AB180" i="16"/>
  <c r="W180" i="16"/>
  <c r="AA180" i="16"/>
  <c r="Z180" i="16"/>
  <c r="X180" i="16"/>
  <c r="D98" i="6"/>
  <c r="M98" i="6" s="1"/>
  <c r="F98" i="6"/>
  <c r="E98" i="6"/>
  <c r="U140" i="16"/>
  <c r="T140" i="16"/>
  <c r="V140" i="16"/>
  <c r="AD137" i="16"/>
  <c r="AI137" i="16"/>
  <c r="AF137" i="16"/>
  <c r="AE137" i="16"/>
  <c r="BW97" i="16" s="1"/>
  <c r="AH137" i="16"/>
  <c r="AG137" i="16"/>
  <c r="T181" i="16"/>
  <c r="V181" i="16"/>
  <c r="U181" i="16"/>
  <c r="Y139" i="16"/>
  <c r="AB139" i="16"/>
  <c r="AA139" i="16"/>
  <c r="W139" i="16"/>
  <c r="Z139" i="16"/>
  <c r="X139" i="16"/>
  <c r="R182" i="16"/>
  <c r="S182" i="16" s="1"/>
  <c r="N97" i="6"/>
  <c r="R97" i="6" s="1"/>
  <c r="AK28" i="6" s="1"/>
  <c r="AK88" i="18"/>
  <c r="AJ178" i="16"/>
  <c r="D133" i="6"/>
  <c r="M133" i="6" s="1"/>
  <c r="F133" i="6"/>
  <c r="E133" i="6"/>
  <c r="M142" i="16"/>
  <c r="P142" i="16"/>
  <c r="Q142" i="16" s="1"/>
  <c r="K143" i="16"/>
  <c r="AK143" i="16" s="1"/>
  <c r="M183" i="16"/>
  <c r="P183" i="16"/>
  <c r="Q183" i="16" s="1"/>
  <c r="K184" i="16"/>
  <c r="AK184" i="16" s="1"/>
  <c r="CC100" i="16" l="1"/>
  <c r="AL140" i="16"/>
  <c r="AM140" i="16"/>
  <c r="BV99" i="16"/>
  <c r="AD138" i="16"/>
  <c r="AN139" i="16"/>
  <c r="AO139" i="16" s="1"/>
  <c r="X89" i="18"/>
  <c r="CE101" i="16"/>
  <c r="AL181" i="16"/>
  <c r="AM181" i="16"/>
  <c r="BY100" i="16"/>
  <c r="AN180" i="16"/>
  <c r="AO180" i="16" s="1"/>
  <c r="U131" i="6"/>
  <c r="AO31" i="6"/>
  <c r="BA31" i="6"/>
  <c r="BG32" i="6"/>
  <c r="AU32" i="6"/>
  <c r="AB112" i="18"/>
  <c r="AC112" i="18"/>
  <c r="AC115" i="18"/>
  <c r="AB115" i="18"/>
  <c r="AE179" i="16"/>
  <c r="BZ99" i="16" s="1"/>
  <c r="AI179" i="16"/>
  <c r="AG179" i="16"/>
  <c r="AD179" i="16"/>
  <c r="AH179" i="16"/>
  <c r="AF179" i="16"/>
  <c r="AC116" i="18"/>
  <c r="AB116" i="18"/>
  <c r="AC118" i="18"/>
  <c r="AB118" i="18"/>
  <c r="AB107" i="18"/>
  <c r="AC107" i="18"/>
  <c r="AC117" i="18"/>
  <c r="AB117" i="18"/>
  <c r="AG138" i="16"/>
  <c r="AI138" i="16"/>
  <c r="AH138" i="16"/>
  <c r="AF138" i="16"/>
  <c r="AE138" i="16"/>
  <c r="BW98" i="16" s="1"/>
  <c r="AC101" i="18"/>
  <c r="AB101" i="18"/>
  <c r="AC102" i="18"/>
  <c r="AB102" i="18"/>
  <c r="AC104" i="18"/>
  <c r="AB104" i="18"/>
  <c r="N133" i="6"/>
  <c r="R133" i="6" s="1"/>
  <c r="AQ30" i="6" s="1"/>
  <c r="D99" i="6"/>
  <c r="M99" i="6" s="1"/>
  <c r="E99" i="6"/>
  <c r="F99" i="6"/>
  <c r="U182" i="16"/>
  <c r="T182" i="16"/>
  <c r="V182" i="16"/>
  <c r="AB181" i="16"/>
  <c r="AA181" i="16"/>
  <c r="Z181" i="16"/>
  <c r="W181" i="16"/>
  <c r="Y181" i="16"/>
  <c r="X181" i="16"/>
  <c r="AL88" i="18"/>
  <c r="AN88" i="18" s="1"/>
  <c r="AM88" i="18"/>
  <c r="AO88" i="18" s="1"/>
  <c r="AP88" i="18" s="1"/>
  <c r="BJ88" i="18" s="1"/>
  <c r="BL88" i="18" s="1"/>
  <c r="BN88" i="18" s="1"/>
  <c r="C132" i="6" s="1"/>
  <c r="L132" i="6" s="1"/>
  <c r="Q132" i="6" s="1"/>
  <c r="AC139" i="16"/>
  <c r="Y140" i="16"/>
  <c r="Z140" i="16"/>
  <c r="AB140" i="16"/>
  <c r="W140" i="16"/>
  <c r="AA140" i="16"/>
  <c r="X140" i="16"/>
  <c r="AC180" i="16"/>
  <c r="U141" i="16"/>
  <c r="T141" i="16"/>
  <c r="V141" i="16"/>
  <c r="R183" i="16"/>
  <c r="S183" i="16" s="1"/>
  <c r="R142" i="16"/>
  <c r="S142" i="16" s="1"/>
  <c r="AA87" i="18"/>
  <c r="AJ137" i="16"/>
  <c r="N98" i="6"/>
  <c r="R98" i="6" s="1"/>
  <c r="AK29" i="6" s="1"/>
  <c r="D134" i="6"/>
  <c r="M134" i="6" s="1"/>
  <c r="F134" i="6"/>
  <c r="E134" i="6"/>
  <c r="K185" i="16"/>
  <c r="AK185" i="16" s="1"/>
  <c r="P143" i="16"/>
  <c r="Q143" i="16" s="1"/>
  <c r="M143" i="16"/>
  <c r="M184" i="16"/>
  <c r="P184" i="16"/>
  <c r="Q184" i="16" s="1"/>
  <c r="K144" i="16"/>
  <c r="AK144" i="16" s="1"/>
  <c r="BY101" i="16" l="1"/>
  <c r="CE102" i="16"/>
  <c r="AL182" i="16"/>
  <c r="AM182" i="16"/>
  <c r="AH92" i="18" s="1"/>
  <c r="AN181" i="16"/>
  <c r="AO181" i="16" s="1"/>
  <c r="AH91" i="18"/>
  <c r="AN140" i="16"/>
  <c r="AO140" i="16" s="1"/>
  <c r="X90" i="18"/>
  <c r="CC101" i="16"/>
  <c r="AL141" i="16"/>
  <c r="AM141" i="16"/>
  <c r="BV100" i="16"/>
  <c r="AO32" i="6"/>
  <c r="BA32" i="6"/>
  <c r="AU33" i="6"/>
  <c r="BG33" i="6"/>
  <c r="AJ138" i="16"/>
  <c r="AA88" i="18"/>
  <c r="AK89" i="18"/>
  <c r="AJ179" i="16"/>
  <c r="N99" i="6"/>
  <c r="R99" i="6" s="1"/>
  <c r="AK30" i="6" s="1"/>
  <c r="AC87" i="18"/>
  <c r="AE87" i="18" s="1"/>
  <c r="AF87" i="18" s="1"/>
  <c r="BC87" i="18" s="1"/>
  <c r="BE87" i="18" s="1"/>
  <c r="BG87" i="18" s="1"/>
  <c r="C97" i="6" s="1"/>
  <c r="L97" i="6" s="1"/>
  <c r="Q97" i="6" s="1"/>
  <c r="AJ28" i="6" s="1"/>
  <c r="AB87" i="18"/>
  <c r="AD87" i="18" s="1"/>
  <c r="Y141" i="16"/>
  <c r="AB141" i="16"/>
  <c r="Z141" i="16"/>
  <c r="W141" i="16"/>
  <c r="AA141" i="16"/>
  <c r="X141" i="16"/>
  <c r="AD139" i="16"/>
  <c r="AI139" i="16"/>
  <c r="AH139" i="16"/>
  <c r="AF139" i="16"/>
  <c r="AE139" i="16"/>
  <c r="BW99" i="16" s="1"/>
  <c r="AG139" i="16"/>
  <c r="F135" i="6"/>
  <c r="D135" i="6"/>
  <c r="M135" i="6" s="1"/>
  <c r="E135" i="6"/>
  <c r="N135" i="6" s="1"/>
  <c r="R143" i="16"/>
  <c r="S143" i="16" s="1"/>
  <c r="U183" i="16"/>
  <c r="T183" i="16"/>
  <c r="V183" i="16"/>
  <c r="AF180" i="16"/>
  <c r="AG180" i="16"/>
  <c r="AE180" i="16"/>
  <c r="BZ100" i="16" s="1"/>
  <c r="AI180" i="16"/>
  <c r="AH180" i="16"/>
  <c r="AD180" i="16"/>
  <c r="AP29" i="6"/>
  <c r="AT29" i="6" s="1"/>
  <c r="U132" i="6"/>
  <c r="AC181" i="16"/>
  <c r="Y182" i="16"/>
  <c r="AB182" i="16"/>
  <c r="W182" i="16"/>
  <c r="AA182" i="16"/>
  <c r="Z182" i="16"/>
  <c r="X182" i="16"/>
  <c r="R184" i="16"/>
  <c r="S184" i="16" s="1"/>
  <c r="AC140" i="16"/>
  <c r="D100" i="6"/>
  <c r="M100" i="6" s="1"/>
  <c r="F100" i="6"/>
  <c r="E100" i="6"/>
  <c r="N134" i="6"/>
  <c r="R134" i="6" s="1"/>
  <c r="AQ31" i="6" s="1"/>
  <c r="V142" i="16"/>
  <c r="U142" i="16"/>
  <c r="T142" i="16"/>
  <c r="P185" i="16"/>
  <c r="Q185" i="16" s="1"/>
  <c r="M185" i="16"/>
  <c r="M144" i="16"/>
  <c r="P144" i="16"/>
  <c r="Q144" i="16" s="1"/>
  <c r="K145" i="16"/>
  <c r="AK145" i="16" s="1"/>
  <c r="K186" i="16"/>
  <c r="AK186" i="16" s="1"/>
  <c r="AN141" i="16" l="1"/>
  <c r="AO141" i="16" s="1"/>
  <c r="X91" i="18"/>
  <c r="BY102" i="16"/>
  <c r="BV101" i="16"/>
  <c r="CC102" i="16"/>
  <c r="AL142" i="16"/>
  <c r="AM142" i="16"/>
  <c r="X92" i="18" s="1"/>
  <c r="AE181" i="16"/>
  <c r="AK91" i="18" s="1"/>
  <c r="AM91" i="18" s="1"/>
  <c r="CE103" i="16"/>
  <c r="AL183" i="16"/>
  <c r="AM183" i="16"/>
  <c r="AH93" i="18" s="1"/>
  <c r="AN182" i="16"/>
  <c r="AO182" i="16" s="1"/>
  <c r="AG181" i="16"/>
  <c r="AD181" i="16"/>
  <c r="AU34" i="6"/>
  <c r="BG34" i="6"/>
  <c r="BA33" i="6"/>
  <c r="AO33" i="6"/>
  <c r="U97" i="6"/>
  <c r="AN28" i="6" s="1"/>
  <c r="AC88" i="18"/>
  <c r="AE88" i="18" s="1"/>
  <c r="AF88" i="18" s="1"/>
  <c r="BC88" i="18" s="1"/>
  <c r="BE88" i="18" s="1"/>
  <c r="BG88" i="18" s="1"/>
  <c r="C98" i="6" s="1"/>
  <c r="L98" i="6" s="1"/>
  <c r="Q98" i="6" s="1"/>
  <c r="U98" i="6" s="1"/>
  <c r="AN29" i="6" s="1"/>
  <c r="AB88" i="18"/>
  <c r="AD88" i="18" s="1"/>
  <c r="AL89" i="18"/>
  <c r="AN89" i="18" s="1"/>
  <c r="AM89" i="18"/>
  <c r="AO89" i="18" s="1"/>
  <c r="AP89" i="18" s="1"/>
  <c r="BJ89" i="18" s="1"/>
  <c r="BL89" i="18" s="1"/>
  <c r="BN89" i="18" s="1"/>
  <c r="C133" i="6" s="1"/>
  <c r="L133" i="6" s="1"/>
  <c r="Q133" i="6" s="1"/>
  <c r="U133" i="6" s="1"/>
  <c r="R144" i="16"/>
  <c r="S144" i="16" s="1"/>
  <c r="N100" i="6"/>
  <c r="R100" i="6" s="1"/>
  <c r="AK31" i="6" s="1"/>
  <c r="AC182" i="16"/>
  <c r="AK90" i="18"/>
  <c r="AJ180" i="16"/>
  <c r="V143" i="16"/>
  <c r="U143" i="16"/>
  <c r="T143" i="16"/>
  <c r="AC141" i="16"/>
  <c r="D136" i="6"/>
  <c r="M136" i="6" s="1"/>
  <c r="F136" i="6"/>
  <c r="E136" i="6"/>
  <c r="R135" i="6"/>
  <c r="AQ32" i="6" s="1"/>
  <c r="AJ139" i="16"/>
  <c r="AA89" i="18"/>
  <c r="V184" i="16"/>
  <c r="U184" i="16"/>
  <c r="T184" i="16"/>
  <c r="AF181" i="16"/>
  <c r="AH181" i="16"/>
  <c r="AI181" i="16"/>
  <c r="AB183" i="16"/>
  <c r="W183" i="16"/>
  <c r="AA183" i="16"/>
  <c r="Y183" i="16"/>
  <c r="Z183" i="16"/>
  <c r="X183" i="16"/>
  <c r="F101" i="6"/>
  <c r="D101" i="6"/>
  <c r="M101" i="6" s="1"/>
  <c r="E101" i="6"/>
  <c r="R185" i="16"/>
  <c r="S185" i="16" s="1"/>
  <c r="Y142" i="16"/>
  <c r="AB142" i="16"/>
  <c r="W142" i="16"/>
  <c r="AA142" i="16"/>
  <c r="Z142" i="16"/>
  <c r="X142" i="16"/>
  <c r="AD140" i="16"/>
  <c r="AF140" i="16"/>
  <c r="AE140" i="16"/>
  <c r="BW100" i="16" s="1"/>
  <c r="AG140" i="16"/>
  <c r="AI140" i="16"/>
  <c r="AH140" i="16"/>
  <c r="M186" i="16"/>
  <c r="P186" i="16"/>
  <c r="Q186" i="16" s="1"/>
  <c r="K188" i="16"/>
  <c r="AK188" i="16" s="1"/>
  <c r="K187" i="16"/>
  <c r="AK187" i="16" s="1"/>
  <c r="K146" i="16"/>
  <c r="AK146" i="16" s="1"/>
  <c r="M145" i="16"/>
  <c r="P145" i="16"/>
  <c r="Q145" i="16" s="1"/>
  <c r="AL91" i="18" l="1"/>
  <c r="BZ101" i="16"/>
  <c r="BY103" i="16"/>
  <c r="CE104" i="16"/>
  <c r="AL184" i="16"/>
  <c r="AM184" i="16"/>
  <c r="AH94" i="18" s="1"/>
  <c r="BV102" i="16"/>
  <c r="CC103" i="16"/>
  <c r="AL143" i="16"/>
  <c r="AM143" i="16"/>
  <c r="X93" i="18" s="1"/>
  <c r="AN183" i="16"/>
  <c r="AO183" i="16" s="1"/>
  <c r="AN142" i="16"/>
  <c r="AO142" i="16" s="1"/>
  <c r="AJ29" i="6"/>
  <c r="BA34" i="6"/>
  <c r="AO34" i="6"/>
  <c r="AU35" i="6"/>
  <c r="BG35" i="6"/>
  <c r="AP30" i="6"/>
  <c r="AT30" i="6" s="1"/>
  <c r="AJ181" i="16"/>
  <c r="N101" i="6"/>
  <c r="R101" i="6" s="1"/>
  <c r="AK32" i="6" s="1"/>
  <c r="AC142" i="16"/>
  <c r="AC183" i="16"/>
  <c r="V185" i="16"/>
  <c r="U185" i="16"/>
  <c r="T185" i="16"/>
  <c r="Y143" i="16"/>
  <c r="AB143" i="16"/>
  <c r="AA143" i="16"/>
  <c r="W143" i="16"/>
  <c r="Z143" i="16"/>
  <c r="X143" i="16"/>
  <c r="AH182" i="16"/>
  <c r="AE182" i="16"/>
  <c r="BZ102" i="16" s="1"/>
  <c r="AF182" i="16"/>
  <c r="AI182" i="16"/>
  <c r="AG182" i="16"/>
  <c r="AD182" i="16"/>
  <c r="F137" i="6"/>
  <c r="E137" i="6"/>
  <c r="D137" i="6"/>
  <c r="M137" i="6" s="1"/>
  <c r="D102" i="6"/>
  <c r="M102" i="6" s="1"/>
  <c r="E102" i="6"/>
  <c r="F102" i="6"/>
  <c r="AB89" i="18"/>
  <c r="AD89" i="18" s="1"/>
  <c r="AC89" i="18"/>
  <c r="AE89" i="18" s="1"/>
  <c r="AF89" i="18" s="1"/>
  <c r="BC89" i="18" s="1"/>
  <c r="BE89" i="18" s="1"/>
  <c r="BG89" i="18" s="1"/>
  <c r="C99" i="6" s="1"/>
  <c r="L99" i="6" s="1"/>
  <c r="Q99" i="6" s="1"/>
  <c r="AJ30" i="6" s="1"/>
  <c r="N136" i="6"/>
  <c r="R136" i="6" s="1"/>
  <c r="AQ33" i="6" s="1"/>
  <c r="AD141" i="16"/>
  <c r="AH141" i="16"/>
  <c r="AI141" i="16"/>
  <c r="AG141" i="16"/>
  <c r="AF141" i="16"/>
  <c r="AE141" i="16"/>
  <c r="BW101" i="16" s="1"/>
  <c r="R145" i="16"/>
  <c r="S145" i="16" s="1"/>
  <c r="R186" i="16"/>
  <c r="S186" i="16" s="1"/>
  <c r="AJ140" i="16"/>
  <c r="AA90" i="18"/>
  <c r="Y184" i="16"/>
  <c r="AA184" i="16"/>
  <c r="AB184" i="16"/>
  <c r="W184" i="16"/>
  <c r="Z184" i="16"/>
  <c r="X184" i="16"/>
  <c r="AL90" i="18"/>
  <c r="AN90" i="18" s="1"/>
  <c r="AO91" i="18" s="1"/>
  <c r="AP91" i="18" s="1"/>
  <c r="BJ91" i="18" s="1"/>
  <c r="BL91" i="18" s="1"/>
  <c r="BN91" i="18" s="1"/>
  <c r="C135" i="6" s="1"/>
  <c r="L135" i="6" s="1"/>
  <c r="Q135" i="6" s="1"/>
  <c r="AM90" i="18"/>
  <c r="AO90" i="18" s="1"/>
  <c r="AP90" i="18" s="1"/>
  <c r="BJ90" i="18" s="1"/>
  <c r="BL90" i="18" s="1"/>
  <c r="BN90" i="18" s="1"/>
  <c r="C134" i="6" s="1"/>
  <c r="L134" i="6" s="1"/>
  <c r="Q134" i="6" s="1"/>
  <c r="U144" i="16"/>
  <c r="T144" i="16"/>
  <c r="V144" i="16"/>
  <c r="K148" i="16"/>
  <c r="AK148" i="16" s="1"/>
  <c r="K147" i="16"/>
  <c r="AK147" i="16" s="1"/>
  <c r="M187" i="16"/>
  <c r="P187" i="16"/>
  <c r="Q187" i="16" s="1"/>
  <c r="P188" i="16"/>
  <c r="Q188" i="16" s="1"/>
  <c r="M188" i="16"/>
  <c r="P146" i="16"/>
  <c r="Q146" i="16" s="1"/>
  <c r="M146" i="16"/>
  <c r="AN184" i="16" l="1"/>
  <c r="AO184" i="16" s="1"/>
  <c r="BY104" i="16"/>
  <c r="CE105" i="16"/>
  <c r="AL185" i="16"/>
  <c r="AM185" i="16"/>
  <c r="AN143" i="16"/>
  <c r="AO143" i="16" s="1"/>
  <c r="CC104" i="16"/>
  <c r="AL144" i="16"/>
  <c r="AM144" i="16"/>
  <c r="X94" i="18" s="1"/>
  <c r="BV103" i="16"/>
  <c r="AD142" i="16"/>
  <c r="U99" i="6"/>
  <c r="AN30" i="6" s="1"/>
  <c r="AU36" i="6"/>
  <c r="BG36" i="6"/>
  <c r="BA35" i="6"/>
  <c r="AO35" i="6"/>
  <c r="N102" i="6"/>
  <c r="R102" i="6" s="1"/>
  <c r="AK33" i="6" s="1"/>
  <c r="N137" i="6"/>
  <c r="R137" i="6" s="1"/>
  <c r="AQ34" i="6" s="1"/>
  <c r="AH183" i="16"/>
  <c r="AF183" i="16"/>
  <c r="AD183" i="16"/>
  <c r="AE183" i="16"/>
  <c r="BZ103" i="16" s="1"/>
  <c r="AG183" i="16"/>
  <c r="AC143" i="16"/>
  <c r="AG142" i="16"/>
  <c r="AI142" i="16"/>
  <c r="AE142" i="16"/>
  <c r="BW102" i="16" s="1"/>
  <c r="AH142" i="16"/>
  <c r="AF142" i="16"/>
  <c r="AI183" i="16"/>
  <c r="U135" i="6"/>
  <c r="AP32" i="6"/>
  <c r="AT32" i="6" s="1"/>
  <c r="AC184" i="16"/>
  <c r="U145" i="16"/>
  <c r="T145" i="16"/>
  <c r="V145" i="16"/>
  <c r="R146" i="16"/>
  <c r="S146" i="16" s="1"/>
  <c r="Y144" i="16"/>
  <c r="AB144" i="16"/>
  <c r="W144" i="16"/>
  <c r="AA144" i="16"/>
  <c r="Z144" i="16"/>
  <c r="X144" i="16"/>
  <c r="D138" i="6"/>
  <c r="M138" i="6" s="1"/>
  <c r="E138" i="6"/>
  <c r="F138" i="6"/>
  <c r="AJ141" i="16"/>
  <c r="AA91" i="18"/>
  <c r="U134" i="6"/>
  <c r="AP31" i="6"/>
  <c r="AT31" i="6" s="1"/>
  <c r="AB90" i="18"/>
  <c r="AD90" i="18" s="1"/>
  <c r="AC90" i="18"/>
  <c r="AE90" i="18" s="1"/>
  <c r="AF90" i="18" s="1"/>
  <c r="BC90" i="18" s="1"/>
  <c r="BE90" i="18" s="1"/>
  <c r="BG90" i="18" s="1"/>
  <c r="C100" i="6" s="1"/>
  <c r="L100" i="6" s="1"/>
  <c r="Q100" i="6" s="1"/>
  <c r="AJ31" i="6" s="1"/>
  <c r="V186" i="16"/>
  <c r="U186" i="16"/>
  <c r="T186" i="16"/>
  <c r="AN91" i="18"/>
  <c r="Y185" i="16"/>
  <c r="AA185" i="16"/>
  <c r="AB185" i="16"/>
  <c r="W185" i="16"/>
  <c r="Z185" i="16"/>
  <c r="X185" i="16"/>
  <c r="R188" i="16"/>
  <c r="S188" i="16" s="1"/>
  <c r="R187" i="16"/>
  <c r="S187" i="16" s="1"/>
  <c r="AK92" i="18"/>
  <c r="AJ182" i="16"/>
  <c r="F103" i="6"/>
  <c r="E103" i="6"/>
  <c r="D103" i="6"/>
  <c r="M103" i="6" s="1"/>
  <c r="P147" i="16"/>
  <c r="Q147" i="16" s="1"/>
  <c r="M147" i="16"/>
  <c r="M148" i="16"/>
  <c r="P148" i="16"/>
  <c r="Q148" i="16" s="1"/>
  <c r="CE106" i="16" l="1"/>
  <c r="AL186" i="16"/>
  <c r="AM186" i="16"/>
  <c r="AH96" i="18" s="1"/>
  <c r="CC105" i="16"/>
  <c r="AL145" i="16"/>
  <c r="AM145" i="16"/>
  <c r="BY105" i="16"/>
  <c r="AG184" i="16"/>
  <c r="AN144" i="16"/>
  <c r="AO144" i="16" s="1"/>
  <c r="AN185" i="16"/>
  <c r="AO185" i="16" s="1"/>
  <c r="AH95" i="18"/>
  <c r="AD143" i="16"/>
  <c r="BV104" i="16"/>
  <c r="AC144" i="16"/>
  <c r="AU37" i="6"/>
  <c r="BG37" i="6"/>
  <c r="BA36" i="6"/>
  <c r="AO36" i="6"/>
  <c r="U100" i="6"/>
  <c r="AN31" i="6" s="1"/>
  <c r="AC185" i="16"/>
  <c r="AF143" i="16"/>
  <c r="AE143" i="16"/>
  <c r="BW103" i="16" s="1"/>
  <c r="AH143" i="16"/>
  <c r="AG143" i="16"/>
  <c r="AI143" i="16"/>
  <c r="AJ142" i="16"/>
  <c r="AA92" i="18"/>
  <c r="AK93" i="18"/>
  <c r="AJ183" i="16"/>
  <c r="N103" i="6"/>
  <c r="R103" i="6" s="1"/>
  <c r="AK34" i="6" s="1"/>
  <c r="V146" i="16"/>
  <c r="U146" i="16"/>
  <c r="T146" i="16"/>
  <c r="AH184" i="16"/>
  <c r="AI184" i="16"/>
  <c r="AE184" i="16"/>
  <c r="BZ104" i="16" s="1"/>
  <c r="AF184" i="16"/>
  <c r="AD184" i="16"/>
  <c r="V187" i="16"/>
  <c r="U187" i="16"/>
  <c r="T187" i="16"/>
  <c r="R148" i="16"/>
  <c r="S148" i="16" s="1"/>
  <c r="R147" i="16"/>
  <c r="S147" i="16" s="1"/>
  <c r="F139" i="6"/>
  <c r="D139" i="6"/>
  <c r="M139" i="6" s="1"/>
  <c r="E139" i="6"/>
  <c r="D104" i="6"/>
  <c r="M104" i="6" s="1"/>
  <c r="F104" i="6"/>
  <c r="E104" i="6"/>
  <c r="AL92" i="18"/>
  <c r="AN92" i="18" s="1"/>
  <c r="AM92" i="18"/>
  <c r="AO92" i="18" s="1"/>
  <c r="AP92" i="18" s="1"/>
  <c r="BJ92" i="18" s="1"/>
  <c r="BL92" i="18" s="1"/>
  <c r="BN92" i="18" s="1"/>
  <c r="C136" i="6" s="1"/>
  <c r="L136" i="6" s="1"/>
  <c r="Q136" i="6" s="1"/>
  <c r="V188" i="16"/>
  <c r="U188" i="16"/>
  <c r="T188" i="16"/>
  <c r="Y186" i="16"/>
  <c r="AA186" i="16"/>
  <c r="Z186" i="16"/>
  <c r="AB186" i="16"/>
  <c r="W186" i="16"/>
  <c r="X186" i="16"/>
  <c r="AC91" i="18"/>
  <c r="AE91" i="18" s="1"/>
  <c r="AF91" i="18" s="1"/>
  <c r="BC91" i="18" s="1"/>
  <c r="BE91" i="18" s="1"/>
  <c r="BG91" i="18" s="1"/>
  <c r="C101" i="6" s="1"/>
  <c r="L101" i="6" s="1"/>
  <c r="Q101" i="6" s="1"/>
  <c r="U101" i="6" s="1"/>
  <c r="AN32" i="6" s="1"/>
  <c r="AB91" i="18"/>
  <c r="AD91" i="18" s="1"/>
  <c r="N138" i="6"/>
  <c r="R138" i="6" s="1"/>
  <c r="AQ35" i="6" s="1"/>
  <c r="Y145" i="16"/>
  <c r="AB145" i="16"/>
  <c r="W145" i="16"/>
  <c r="AA145" i="16"/>
  <c r="Z145" i="16"/>
  <c r="X145" i="16"/>
  <c r="AF144" i="16" l="1"/>
  <c r="BY106" i="16"/>
  <c r="CE107" i="16"/>
  <c r="AL187" i="16"/>
  <c r="AM187" i="16"/>
  <c r="AH97" i="18" s="1"/>
  <c r="AN186" i="16"/>
  <c r="AO186" i="16" s="1"/>
  <c r="AN145" i="16"/>
  <c r="AO145" i="16" s="1"/>
  <c r="X95" i="18"/>
  <c r="BV105" i="16"/>
  <c r="AH144" i="16"/>
  <c r="AE144" i="16"/>
  <c r="CC106" i="16"/>
  <c r="AL146" i="16"/>
  <c r="AM146" i="16"/>
  <c r="X96" i="18" s="1"/>
  <c r="CE108" i="16"/>
  <c r="AL188" i="16"/>
  <c r="AM188" i="16"/>
  <c r="AH98" i="18" s="1"/>
  <c r="AD144" i="16"/>
  <c r="AI185" i="16"/>
  <c r="AI144" i="16"/>
  <c r="AG144" i="16"/>
  <c r="AF185" i="16"/>
  <c r="AD185" i="16"/>
  <c r="AA94" i="18"/>
  <c r="AB94" i="18" s="1"/>
  <c r="AO37" i="6"/>
  <c r="BA37" i="6"/>
  <c r="BG38" i="6"/>
  <c r="AU38" i="6"/>
  <c r="AU39" i="6"/>
  <c r="BG39" i="6"/>
  <c r="AH185" i="16"/>
  <c r="AE185" i="16"/>
  <c r="BZ105" i="16" s="1"/>
  <c r="AG185" i="16"/>
  <c r="AL93" i="18"/>
  <c r="AN93" i="18" s="1"/>
  <c r="AM93" i="18"/>
  <c r="AO93" i="18" s="1"/>
  <c r="AP93" i="18" s="1"/>
  <c r="BJ93" i="18" s="1"/>
  <c r="BL93" i="18" s="1"/>
  <c r="BN93" i="18" s="1"/>
  <c r="C137" i="6" s="1"/>
  <c r="L137" i="6" s="1"/>
  <c r="Q137" i="6" s="1"/>
  <c r="AA93" i="18"/>
  <c r="AJ143" i="16"/>
  <c r="AJ32" i="6"/>
  <c r="AC186" i="16"/>
  <c r="N139" i="6"/>
  <c r="R139" i="6" s="1"/>
  <c r="AQ36" i="6" s="1"/>
  <c r="AB92" i="18"/>
  <c r="AD92" i="18" s="1"/>
  <c r="AC92" i="18"/>
  <c r="AE92" i="18" s="1"/>
  <c r="AF92" i="18" s="1"/>
  <c r="BC92" i="18" s="1"/>
  <c r="BE92" i="18" s="1"/>
  <c r="BG92" i="18" s="1"/>
  <c r="C102" i="6" s="1"/>
  <c r="L102" i="6" s="1"/>
  <c r="Q102" i="6" s="1"/>
  <c r="AJ33" i="6" s="1"/>
  <c r="AC145" i="16"/>
  <c r="U148" i="16"/>
  <c r="T148" i="16"/>
  <c r="V148" i="16"/>
  <c r="D140" i="6"/>
  <c r="M140" i="6" s="1"/>
  <c r="F140" i="6"/>
  <c r="E140" i="6"/>
  <c r="Y188" i="16"/>
  <c r="AA188" i="16"/>
  <c r="Z188" i="16"/>
  <c r="AB188" i="16"/>
  <c r="W188" i="16"/>
  <c r="X188" i="16"/>
  <c r="Y187" i="16"/>
  <c r="Z187" i="16"/>
  <c r="AB187" i="16"/>
  <c r="W187" i="16"/>
  <c r="AA187" i="16"/>
  <c r="X187" i="16"/>
  <c r="AK94" i="18"/>
  <c r="AJ184" i="16"/>
  <c r="F105" i="6"/>
  <c r="D105" i="6"/>
  <c r="M105" i="6" s="1"/>
  <c r="E105" i="6"/>
  <c r="V147" i="16"/>
  <c r="U147" i="16"/>
  <c r="T147" i="16"/>
  <c r="Y146" i="16"/>
  <c r="AB146" i="16"/>
  <c r="W146" i="16"/>
  <c r="AA146" i="16"/>
  <c r="Z146" i="16"/>
  <c r="X146" i="16"/>
  <c r="U136" i="6"/>
  <c r="AP33" i="6"/>
  <c r="AT33" i="6" s="1"/>
  <c r="N104" i="6"/>
  <c r="R104" i="6" s="1"/>
  <c r="AK35" i="6" s="1"/>
  <c r="N105" i="6" l="1"/>
  <c r="AN188" i="16"/>
  <c r="AO188" i="16" s="1"/>
  <c r="AN146" i="16"/>
  <c r="AO146" i="16" s="1"/>
  <c r="AN187" i="16"/>
  <c r="AO187" i="16" s="1"/>
  <c r="BV106" i="16"/>
  <c r="CC107" i="16"/>
  <c r="AL147" i="16"/>
  <c r="AM147" i="16"/>
  <c r="X97" i="18" s="1"/>
  <c r="CC108" i="16"/>
  <c r="AL148" i="16"/>
  <c r="AM148" i="16"/>
  <c r="BW104" i="16"/>
  <c r="BY108" i="16"/>
  <c r="BY107" i="16"/>
  <c r="AD145" i="16"/>
  <c r="AJ144" i="16"/>
  <c r="AC94" i="18"/>
  <c r="AO39" i="6"/>
  <c r="BA39" i="6"/>
  <c r="AO38" i="6"/>
  <c r="BA38" i="6"/>
  <c r="U102" i="6"/>
  <c r="AN33" i="6" s="1"/>
  <c r="AC188" i="16"/>
  <c r="N140" i="6"/>
  <c r="R140" i="6" s="1"/>
  <c r="AQ37" i="6" s="1"/>
  <c r="AK95" i="18"/>
  <c r="AJ185" i="16"/>
  <c r="AC93" i="18"/>
  <c r="AE93" i="18" s="1"/>
  <c r="AF93" i="18" s="1"/>
  <c r="BC93" i="18" s="1"/>
  <c r="BE93" i="18" s="1"/>
  <c r="BG93" i="18" s="1"/>
  <c r="C103" i="6" s="1"/>
  <c r="L103" i="6" s="1"/>
  <c r="Q103" i="6" s="1"/>
  <c r="U103" i="6" s="1"/>
  <c r="AN34" i="6" s="1"/>
  <c r="AB93" i="18"/>
  <c r="AD93" i="18" s="1"/>
  <c r="AG145" i="16"/>
  <c r="AE145" i="16"/>
  <c r="BW105" i="16" s="1"/>
  <c r="AI145" i="16"/>
  <c r="AF145" i="16"/>
  <c r="AH186" i="16"/>
  <c r="AD186" i="16"/>
  <c r="AF186" i="16"/>
  <c r="AE186" i="16"/>
  <c r="BZ106" i="16" s="1"/>
  <c r="AG186" i="16"/>
  <c r="AI186" i="16"/>
  <c r="AH145" i="16"/>
  <c r="AM94" i="18"/>
  <c r="AO94" i="18" s="1"/>
  <c r="AP94" i="18" s="1"/>
  <c r="BJ94" i="18" s="1"/>
  <c r="BL94" i="18" s="1"/>
  <c r="BN94" i="18" s="1"/>
  <c r="C138" i="6" s="1"/>
  <c r="L138" i="6" s="1"/>
  <c r="Q138" i="6" s="1"/>
  <c r="AL94" i="18"/>
  <c r="AN94" i="18" s="1"/>
  <c r="U137" i="6"/>
  <c r="AP34" i="6"/>
  <c r="AT34" i="6" s="1"/>
  <c r="Y147" i="16"/>
  <c r="AB147" i="16"/>
  <c r="Z147" i="16"/>
  <c r="AA147" i="16"/>
  <c r="W147" i="16"/>
  <c r="X147" i="16"/>
  <c r="R105" i="6"/>
  <c r="AK36" i="6" s="1"/>
  <c r="AC187" i="16"/>
  <c r="F141" i="6"/>
  <c r="E141" i="6"/>
  <c r="D141" i="6"/>
  <c r="M141" i="6" s="1"/>
  <c r="AC146" i="16"/>
  <c r="D106" i="6"/>
  <c r="M106" i="6" s="1"/>
  <c r="F106" i="6"/>
  <c r="E106" i="6"/>
  <c r="D142" i="6"/>
  <c r="M142" i="6" s="1"/>
  <c r="E142" i="6"/>
  <c r="F142" i="6"/>
  <c r="Y148" i="16"/>
  <c r="Z148" i="16"/>
  <c r="AB148" i="16"/>
  <c r="W148" i="16"/>
  <c r="AA148" i="16"/>
  <c r="X148" i="16"/>
  <c r="AG188" i="16" l="1"/>
  <c r="BV107" i="16"/>
  <c r="AN148" i="16"/>
  <c r="AO148" i="16" s="1"/>
  <c r="X98" i="18"/>
  <c r="BV108" i="16"/>
  <c r="AN147" i="16"/>
  <c r="AO147" i="16" s="1"/>
  <c r="AE94" i="18"/>
  <c r="AF94" i="18" s="1"/>
  <c r="BC94" i="18" s="1"/>
  <c r="BE94" i="18" s="1"/>
  <c r="BG94" i="18" s="1"/>
  <c r="C104" i="6" s="1"/>
  <c r="L104" i="6" s="1"/>
  <c r="Q104" i="6" s="1"/>
  <c r="AJ35" i="6" s="1"/>
  <c r="AJ34" i="6"/>
  <c r="N106" i="6"/>
  <c r="R106" i="6" s="1"/>
  <c r="AK37" i="6" s="1"/>
  <c r="N142" i="6"/>
  <c r="R142" i="6" s="1"/>
  <c r="AQ39" i="6" s="1"/>
  <c r="AH188" i="16"/>
  <c r="AD188" i="16"/>
  <c r="AI188" i="16"/>
  <c r="AF188" i="16"/>
  <c r="AE188" i="16"/>
  <c r="BZ108" i="16" s="1"/>
  <c r="AL95" i="18"/>
  <c r="AN95" i="18" s="1"/>
  <c r="AM95" i="18"/>
  <c r="AO95" i="18" s="1"/>
  <c r="AP95" i="18" s="1"/>
  <c r="BJ95" i="18" s="1"/>
  <c r="BL95" i="18" s="1"/>
  <c r="BN95" i="18" s="1"/>
  <c r="C139" i="6" s="1"/>
  <c r="L139" i="6" s="1"/>
  <c r="Q139" i="6" s="1"/>
  <c r="AC148" i="16"/>
  <c r="AK96" i="18"/>
  <c r="AJ186" i="16"/>
  <c r="N141" i="6"/>
  <c r="R141" i="6" s="1"/>
  <c r="AQ38" i="6" s="1"/>
  <c r="AJ145" i="16"/>
  <c r="AA95" i="18"/>
  <c r="AD94" i="18"/>
  <c r="F107" i="6"/>
  <c r="E107" i="6"/>
  <c r="D107" i="6"/>
  <c r="M107" i="6" s="1"/>
  <c r="D108" i="6"/>
  <c r="M108" i="6" s="1"/>
  <c r="E108" i="6"/>
  <c r="F108" i="6"/>
  <c r="AD146" i="16"/>
  <c r="AG146" i="16"/>
  <c r="AH146" i="16"/>
  <c r="AF146" i="16"/>
  <c r="AE146" i="16"/>
  <c r="BW106" i="16" s="1"/>
  <c r="AI146" i="16"/>
  <c r="AH187" i="16"/>
  <c r="AE187" i="16"/>
  <c r="BZ107" i="16" s="1"/>
  <c r="AF187" i="16"/>
  <c r="AG187" i="16"/>
  <c r="AI187" i="16"/>
  <c r="AD187" i="16"/>
  <c r="AC147" i="16"/>
  <c r="U138" i="6"/>
  <c r="AP35" i="6"/>
  <c r="AT35" i="6" s="1"/>
  <c r="AD148" i="16" l="1"/>
  <c r="U104" i="6"/>
  <c r="AN35" i="6" s="1"/>
  <c r="AH148" i="16"/>
  <c r="AK98" i="18"/>
  <c r="AJ188" i="16"/>
  <c r="N108" i="6"/>
  <c r="R108" i="6" s="1"/>
  <c r="AK39" i="6" s="1"/>
  <c r="AC95" i="18"/>
  <c r="AE95" i="18" s="1"/>
  <c r="AF95" i="18" s="1"/>
  <c r="BC95" i="18" s="1"/>
  <c r="BE95" i="18" s="1"/>
  <c r="BG95" i="18" s="1"/>
  <c r="C105" i="6" s="1"/>
  <c r="L105" i="6" s="1"/>
  <c r="Q105" i="6" s="1"/>
  <c r="AJ36" i="6" s="1"/>
  <c r="AB95" i="18"/>
  <c r="AD95" i="18" s="1"/>
  <c r="AM96" i="18"/>
  <c r="AO96" i="18" s="1"/>
  <c r="AP96" i="18" s="1"/>
  <c r="BJ96" i="18" s="1"/>
  <c r="BL96" i="18" s="1"/>
  <c r="BN96" i="18" s="1"/>
  <c r="C140" i="6" s="1"/>
  <c r="L140" i="6" s="1"/>
  <c r="Q140" i="6" s="1"/>
  <c r="AL96" i="18"/>
  <c r="AN96" i="18" s="1"/>
  <c r="N107" i="6"/>
  <c r="R107" i="6" s="1"/>
  <c r="AK38" i="6" s="1"/>
  <c r="AF148" i="16"/>
  <c r="AG148" i="16"/>
  <c r="AI148" i="16"/>
  <c r="AE148" i="16"/>
  <c r="BW108" i="16" s="1"/>
  <c r="AD147" i="16"/>
  <c r="AI147" i="16"/>
  <c r="AH147" i="16"/>
  <c r="AF147" i="16"/>
  <c r="AE147" i="16"/>
  <c r="BW107" i="16" s="1"/>
  <c r="AG147" i="16"/>
  <c r="AP36" i="6"/>
  <c r="AT36" i="6" s="1"/>
  <c r="U139" i="6"/>
  <c r="AK97" i="18"/>
  <c r="AJ187" i="16"/>
  <c r="AA96" i="18"/>
  <c r="AJ146" i="16"/>
  <c r="U105" i="6" l="1"/>
  <c r="AN36" i="6" s="1"/>
  <c r="AM98" i="18"/>
  <c r="AL98" i="18"/>
  <c r="AJ148" i="16"/>
  <c r="AA98" i="18"/>
  <c r="AC96" i="18"/>
  <c r="AE96" i="18" s="1"/>
  <c r="AF96" i="18" s="1"/>
  <c r="BC96" i="18" s="1"/>
  <c r="BE96" i="18" s="1"/>
  <c r="BG96" i="18" s="1"/>
  <c r="C106" i="6" s="1"/>
  <c r="L106" i="6" s="1"/>
  <c r="Q106" i="6" s="1"/>
  <c r="AJ37" i="6" s="1"/>
  <c r="AB96" i="18"/>
  <c r="AD96" i="18" s="1"/>
  <c r="AL97" i="18"/>
  <c r="AN97" i="18" s="1"/>
  <c r="AM97" i="18"/>
  <c r="AO97" i="18" s="1"/>
  <c r="AP97" i="18" s="1"/>
  <c r="BJ97" i="18" s="1"/>
  <c r="BL97" i="18" s="1"/>
  <c r="BN97" i="18" s="1"/>
  <c r="C141" i="6" s="1"/>
  <c r="L141" i="6" s="1"/>
  <c r="Q141" i="6" s="1"/>
  <c r="AJ147" i="16"/>
  <c r="AA97" i="18"/>
  <c r="U140" i="6"/>
  <c r="AP37" i="6"/>
  <c r="AT37" i="6" s="1"/>
  <c r="AC98" i="18" l="1"/>
  <c r="AB98" i="18"/>
  <c r="U106" i="6"/>
  <c r="AN37" i="6" s="1"/>
  <c r="U141" i="6"/>
  <c r="AP38" i="6"/>
  <c r="AT38" i="6" s="1"/>
  <c r="AB97" i="18"/>
  <c r="AD97" i="18" s="1"/>
  <c r="AC97" i="18"/>
  <c r="AE97" i="18" s="1"/>
  <c r="AF97" i="18" s="1"/>
  <c r="BC97" i="18" s="1"/>
  <c r="BE97" i="18" s="1"/>
  <c r="BG97" i="18" s="1"/>
  <c r="C107" i="6" s="1"/>
  <c r="L107" i="6" s="1"/>
  <c r="Q107" i="6" s="1"/>
  <c r="AJ38" i="6" s="1"/>
  <c r="AN98" i="18"/>
  <c r="AO98" i="18"/>
  <c r="AP98" i="18" s="1"/>
  <c r="BJ98" i="18" s="1"/>
  <c r="BL98" i="18" s="1"/>
  <c r="BN98" i="18" s="1"/>
  <c r="C142" i="6" s="1"/>
  <c r="L142" i="6" s="1"/>
  <c r="Q142" i="6" s="1"/>
  <c r="AD98" i="18" l="1"/>
  <c r="AE98" i="18"/>
  <c r="AF98" i="18" s="1"/>
  <c r="BC98" i="18" s="1"/>
  <c r="BE98" i="18" s="1"/>
  <c r="BG98" i="18" s="1"/>
  <c r="C108" i="6" s="1"/>
  <c r="L108" i="6" s="1"/>
  <c r="Q108" i="6" s="1"/>
  <c r="AJ39" i="6" s="1"/>
  <c r="U107" i="6"/>
  <c r="AN38" i="6" s="1"/>
  <c r="U142" i="6"/>
  <c r="AP39" i="6"/>
  <c r="AT39" i="6" s="1"/>
  <c r="AO99" i="18"/>
  <c r="AP99" i="18" s="1"/>
  <c r="BJ99" i="18" s="1"/>
  <c r="BL99" i="18" s="1"/>
  <c r="BN99" i="18" s="1"/>
  <c r="C143" i="6" s="1"/>
  <c r="L143" i="6" s="1"/>
  <c r="Q143" i="6" s="1"/>
  <c r="AN99" i="18"/>
  <c r="U108" i="6" l="1"/>
  <c r="AN39" i="6" s="1"/>
  <c r="AO100" i="18"/>
  <c r="AP100" i="18" s="1"/>
  <c r="BJ100" i="18" s="1"/>
  <c r="BL100" i="18" s="1"/>
  <c r="BN100" i="18" s="1"/>
  <c r="C144" i="6" s="1"/>
  <c r="L144" i="6" s="1"/>
  <c r="Q144" i="6" s="1"/>
  <c r="AN100" i="18"/>
  <c r="U143" i="6"/>
  <c r="AP40" i="6"/>
  <c r="AT40" i="6" s="1"/>
  <c r="AE99" i="18"/>
  <c r="AF99" i="18" s="1"/>
  <c r="BC99" i="18" s="1"/>
  <c r="BE99" i="18" s="1"/>
  <c r="BG99" i="18" s="1"/>
  <c r="C109" i="6" s="1"/>
  <c r="L109" i="6" s="1"/>
  <c r="Q109" i="6" s="1"/>
  <c r="AD99" i="18"/>
  <c r="AD100" i="18" l="1"/>
  <c r="AE100" i="18"/>
  <c r="AF100" i="18" s="1"/>
  <c r="BC100" i="18" s="1"/>
  <c r="BE100" i="18" s="1"/>
  <c r="BG100" i="18" s="1"/>
  <c r="C110" i="6" s="1"/>
  <c r="L110" i="6" s="1"/>
  <c r="Q110" i="6" s="1"/>
  <c r="AN101" i="18"/>
  <c r="AO101" i="18"/>
  <c r="AP101" i="18" s="1"/>
  <c r="BJ101" i="18" s="1"/>
  <c r="BL101" i="18" s="1"/>
  <c r="BN101" i="18" s="1"/>
  <c r="C145" i="6" s="1"/>
  <c r="L145" i="6" s="1"/>
  <c r="Q145" i="6" s="1"/>
  <c r="AP41" i="6"/>
  <c r="AT41" i="6" s="1"/>
  <c r="U144" i="6"/>
  <c r="AJ40" i="6"/>
  <c r="U109" i="6"/>
  <c r="AN40" i="6" s="1"/>
  <c r="U145" i="6" l="1"/>
  <c r="AP42" i="6"/>
  <c r="AT42" i="6" s="1"/>
  <c r="AO102" i="18"/>
  <c r="AP102" i="18" s="1"/>
  <c r="BJ102" i="18" s="1"/>
  <c r="BL102" i="18" s="1"/>
  <c r="BN102" i="18" s="1"/>
  <c r="C146" i="6" s="1"/>
  <c r="L146" i="6" s="1"/>
  <c r="Q146" i="6" s="1"/>
  <c r="AN102" i="18"/>
  <c r="U110" i="6"/>
  <c r="AN41" i="6" s="1"/>
  <c r="AJ41" i="6"/>
  <c r="AD101" i="18"/>
  <c r="AE101" i="18"/>
  <c r="AF101" i="18" s="1"/>
  <c r="BC101" i="18" s="1"/>
  <c r="BE101" i="18" s="1"/>
  <c r="BG101" i="18" s="1"/>
  <c r="C111" i="6" s="1"/>
  <c r="L111" i="6" s="1"/>
  <c r="Q111" i="6" s="1"/>
  <c r="AJ42" i="6" l="1"/>
  <c r="U111" i="6"/>
  <c r="AN42" i="6" s="1"/>
  <c r="AN103" i="18"/>
  <c r="AO103" i="18"/>
  <c r="AP103" i="18" s="1"/>
  <c r="BJ103" i="18" s="1"/>
  <c r="BL103" i="18" s="1"/>
  <c r="BN103" i="18" s="1"/>
  <c r="C147" i="6" s="1"/>
  <c r="L147" i="6" s="1"/>
  <c r="Q147" i="6" s="1"/>
  <c r="AP43" i="6"/>
  <c r="AT43" i="6" s="1"/>
  <c r="U146" i="6"/>
  <c r="AE102" i="18"/>
  <c r="AF102" i="18" s="1"/>
  <c r="BC102" i="18" s="1"/>
  <c r="BE102" i="18" s="1"/>
  <c r="BG102" i="18" s="1"/>
  <c r="C112" i="6" s="1"/>
  <c r="L112" i="6" s="1"/>
  <c r="Q112" i="6" s="1"/>
  <c r="AD102" i="18"/>
  <c r="AP44" i="6" l="1"/>
  <c r="AT44" i="6" s="1"/>
  <c r="U147" i="6"/>
  <c r="U112" i="6"/>
  <c r="AN43" i="6" s="1"/>
  <c r="AJ43" i="6"/>
  <c r="AN104" i="18"/>
  <c r="AO104" i="18"/>
  <c r="AP104" i="18" s="1"/>
  <c r="BJ104" i="18" s="1"/>
  <c r="BL104" i="18" s="1"/>
  <c r="BN104" i="18" s="1"/>
  <c r="C148" i="6" s="1"/>
  <c r="L148" i="6" s="1"/>
  <c r="Q148" i="6" s="1"/>
  <c r="AD103" i="18"/>
  <c r="AE103" i="18"/>
  <c r="AF103" i="18" s="1"/>
  <c r="BC103" i="18" s="1"/>
  <c r="BE103" i="18" s="1"/>
  <c r="BG103" i="18" s="1"/>
  <c r="C113" i="6" s="1"/>
  <c r="L113" i="6" s="1"/>
  <c r="Q113" i="6" s="1"/>
  <c r="AJ44" i="6" l="1"/>
  <c r="U113" i="6"/>
  <c r="AN44" i="6" s="1"/>
  <c r="AE104" i="18"/>
  <c r="AF104" i="18" s="1"/>
  <c r="BC104" i="18" s="1"/>
  <c r="BE104" i="18" s="1"/>
  <c r="BG104" i="18" s="1"/>
  <c r="C114" i="6" s="1"/>
  <c r="L114" i="6" s="1"/>
  <c r="Q114" i="6" s="1"/>
  <c r="AD104" i="18"/>
  <c r="U148" i="6"/>
  <c r="AP45" i="6"/>
  <c r="AT45" i="6" s="1"/>
  <c r="AO105" i="18"/>
  <c r="AP105" i="18" s="1"/>
  <c r="BJ105" i="18" s="1"/>
  <c r="BL105" i="18" s="1"/>
  <c r="BN105" i="18" s="1"/>
  <c r="C149" i="6" s="1"/>
  <c r="L149" i="6" s="1"/>
  <c r="Q149" i="6" s="1"/>
  <c r="AN105" i="18"/>
  <c r="AE105" i="18" l="1"/>
  <c r="AF105" i="18" s="1"/>
  <c r="BC105" i="18" s="1"/>
  <c r="BE105" i="18" s="1"/>
  <c r="BG105" i="18" s="1"/>
  <c r="C115" i="6" s="1"/>
  <c r="L115" i="6" s="1"/>
  <c r="Q115" i="6" s="1"/>
  <c r="AD105" i="18"/>
  <c r="U114" i="6"/>
  <c r="AN45" i="6" s="1"/>
  <c r="AJ45" i="6"/>
  <c r="AO106" i="18"/>
  <c r="AP106" i="18" s="1"/>
  <c r="BJ106" i="18" s="1"/>
  <c r="BL106" i="18" s="1"/>
  <c r="BN106" i="18" s="1"/>
  <c r="C150" i="6" s="1"/>
  <c r="L150" i="6" s="1"/>
  <c r="Q150" i="6" s="1"/>
  <c r="AN106" i="18"/>
  <c r="U149" i="6"/>
  <c r="AP46" i="6"/>
  <c r="AT46" i="6" s="1"/>
  <c r="AN107" i="18" l="1"/>
  <c r="AO107" i="18"/>
  <c r="AP107" i="18" s="1"/>
  <c r="BJ107" i="18" s="1"/>
  <c r="BL107" i="18" s="1"/>
  <c r="BN107" i="18" s="1"/>
  <c r="C151" i="6" s="1"/>
  <c r="L151" i="6" s="1"/>
  <c r="Q151" i="6" s="1"/>
  <c r="AE106" i="18"/>
  <c r="AF106" i="18" s="1"/>
  <c r="BC106" i="18" s="1"/>
  <c r="BE106" i="18" s="1"/>
  <c r="BG106" i="18" s="1"/>
  <c r="C116" i="6" s="1"/>
  <c r="L116" i="6" s="1"/>
  <c r="Q116" i="6" s="1"/>
  <c r="AD106" i="18"/>
  <c r="U150" i="6"/>
  <c r="AP47" i="6"/>
  <c r="AT47" i="6" s="1"/>
  <c r="U115" i="6"/>
  <c r="AN46" i="6" s="1"/>
  <c r="AJ46" i="6"/>
  <c r="AE107" i="18" l="1"/>
  <c r="AF107" i="18" s="1"/>
  <c r="BC107" i="18" s="1"/>
  <c r="BE107" i="18" s="1"/>
  <c r="BG107" i="18" s="1"/>
  <c r="C117" i="6" s="1"/>
  <c r="L117" i="6" s="1"/>
  <c r="Q117" i="6" s="1"/>
  <c r="AD107" i="18"/>
  <c r="U116" i="6"/>
  <c r="AN47" i="6" s="1"/>
  <c r="AJ47" i="6"/>
  <c r="U151" i="6"/>
  <c r="AP48" i="6"/>
  <c r="AT48" i="6" s="1"/>
  <c r="AN108" i="18"/>
  <c r="AO108" i="18"/>
  <c r="AP108" i="18" s="1"/>
  <c r="BJ108" i="18" s="1"/>
  <c r="BL108" i="18" s="1"/>
  <c r="BN108" i="18" s="1"/>
  <c r="C152" i="6" s="1"/>
  <c r="L152" i="6" s="1"/>
  <c r="Q152" i="6" s="1"/>
  <c r="U152" i="6" l="1"/>
  <c r="AP49" i="6"/>
  <c r="AT49" i="6" s="1"/>
  <c r="AO109" i="18"/>
  <c r="AP109" i="18" s="1"/>
  <c r="BJ109" i="18" s="1"/>
  <c r="BL109" i="18" s="1"/>
  <c r="BN109" i="18" s="1"/>
  <c r="C153" i="6" s="1"/>
  <c r="L153" i="6" s="1"/>
  <c r="Q153" i="6" s="1"/>
  <c r="AN109" i="18"/>
  <c r="AD108" i="18"/>
  <c r="AE108" i="18"/>
  <c r="AF108" i="18" s="1"/>
  <c r="BC108" i="18" s="1"/>
  <c r="BE108" i="18" s="1"/>
  <c r="BG108" i="18" s="1"/>
  <c r="C118" i="6" s="1"/>
  <c r="L118" i="6" s="1"/>
  <c r="Q118" i="6" s="1"/>
  <c r="AJ48" i="6"/>
  <c r="U117" i="6"/>
  <c r="AN48" i="6" s="1"/>
  <c r="AN110" i="18" l="1"/>
  <c r="AO110" i="18"/>
  <c r="AP110" i="18" s="1"/>
  <c r="BJ110" i="18" s="1"/>
  <c r="BL110" i="18" s="1"/>
  <c r="BN110" i="18" s="1"/>
  <c r="C154" i="6" s="1"/>
  <c r="L154" i="6" s="1"/>
  <c r="Q154" i="6" s="1"/>
  <c r="AP50" i="6"/>
  <c r="AT50" i="6" s="1"/>
  <c r="U153" i="6"/>
  <c r="U118" i="6"/>
  <c r="AN49" i="6" s="1"/>
  <c r="AJ49" i="6"/>
  <c r="AE109" i="18"/>
  <c r="AF109" i="18" s="1"/>
  <c r="BC109" i="18" s="1"/>
  <c r="BE109" i="18" s="1"/>
  <c r="BG109" i="18" s="1"/>
  <c r="C119" i="6" s="1"/>
  <c r="L119" i="6" s="1"/>
  <c r="Q119" i="6" s="1"/>
  <c r="AD109" i="18"/>
  <c r="AD110" i="18" l="1"/>
  <c r="AE110" i="18"/>
  <c r="AF110" i="18" s="1"/>
  <c r="BC110" i="18" s="1"/>
  <c r="BE110" i="18" s="1"/>
  <c r="BG110" i="18" s="1"/>
  <c r="C120" i="6" s="1"/>
  <c r="L120" i="6" s="1"/>
  <c r="Q120" i="6" s="1"/>
  <c r="U119" i="6"/>
  <c r="AN50" i="6" s="1"/>
  <c r="AJ50" i="6"/>
  <c r="U154" i="6"/>
  <c r="AP51" i="6"/>
  <c r="AT51" i="6" s="1"/>
  <c r="AO111" i="18"/>
  <c r="AP111" i="18" s="1"/>
  <c r="BJ111" i="18" s="1"/>
  <c r="BL111" i="18" s="1"/>
  <c r="BN111" i="18" s="1"/>
  <c r="C155" i="6" s="1"/>
  <c r="L155" i="6" s="1"/>
  <c r="Q155" i="6" s="1"/>
  <c r="AN111" i="18"/>
  <c r="AN112" i="18" l="1"/>
  <c r="AO112" i="18"/>
  <c r="AP112" i="18" s="1"/>
  <c r="BJ112" i="18" s="1"/>
  <c r="BL112" i="18" s="1"/>
  <c r="BN112" i="18" s="1"/>
  <c r="C156" i="6" s="1"/>
  <c r="L156" i="6" s="1"/>
  <c r="Q156" i="6" s="1"/>
  <c r="U155" i="6"/>
  <c r="AP52" i="6"/>
  <c r="AT52" i="6" s="1"/>
  <c r="AJ51" i="6"/>
  <c r="U120" i="6"/>
  <c r="AN51" i="6" s="1"/>
  <c r="AD111" i="18"/>
  <c r="AE111" i="18"/>
  <c r="AF111" i="18" s="1"/>
  <c r="BC111" i="18" s="1"/>
  <c r="BE111" i="18" s="1"/>
  <c r="BG111" i="18" s="1"/>
  <c r="C121" i="6" s="1"/>
  <c r="L121" i="6" s="1"/>
  <c r="Q121" i="6" s="1"/>
  <c r="U121" i="6" l="1"/>
  <c r="AN52" i="6" s="1"/>
  <c r="AJ52" i="6"/>
  <c r="AD112" i="18"/>
  <c r="AE112" i="18"/>
  <c r="AF112" i="18" s="1"/>
  <c r="BC112" i="18" s="1"/>
  <c r="BE112" i="18" s="1"/>
  <c r="BG112" i="18" s="1"/>
  <c r="C122" i="6" s="1"/>
  <c r="L122" i="6" s="1"/>
  <c r="Q122" i="6" s="1"/>
  <c r="U156" i="6"/>
  <c r="AP53" i="6"/>
  <c r="AT53" i="6" s="1"/>
  <c r="AN113" i="18"/>
  <c r="AO113" i="18"/>
  <c r="AP113" i="18" s="1"/>
  <c r="BJ113" i="18" s="1"/>
  <c r="BL113" i="18" s="1"/>
  <c r="BN113" i="18" s="1"/>
  <c r="C157" i="6" s="1"/>
  <c r="L157" i="6" s="1"/>
  <c r="Q157" i="6" s="1"/>
  <c r="AJ53" i="6" l="1"/>
  <c r="U122" i="6"/>
  <c r="AN53" i="6" s="1"/>
  <c r="U157" i="6"/>
  <c r="AP54" i="6"/>
  <c r="AT54" i="6" s="1"/>
  <c r="AD113" i="18"/>
  <c r="AE113" i="18"/>
  <c r="AF113" i="18" s="1"/>
  <c r="BC113" i="18" s="1"/>
  <c r="BE113" i="18" s="1"/>
  <c r="BG113" i="18" s="1"/>
  <c r="C123" i="6" s="1"/>
  <c r="L123" i="6" s="1"/>
  <c r="Q123" i="6" s="1"/>
  <c r="AN114" i="18"/>
  <c r="AO114" i="18"/>
  <c r="AP114" i="18" s="1"/>
  <c r="BJ114" i="18" s="1"/>
  <c r="BL114" i="18" s="1"/>
  <c r="BN114" i="18" s="1"/>
  <c r="C158" i="6" s="1"/>
  <c r="L158" i="6" s="1"/>
  <c r="Q158" i="6" s="1"/>
  <c r="U158" i="6" l="1"/>
  <c r="AP55" i="6"/>
  <c r="AT55" i="6" s="1"/>
  <c r="AO115" i="18"/>
  <c r="AP115" i="18" s="1"/>
  <c r="BJ115" i="18" s="1"/>
  <c r="BL115" i="18" s="1"/>
  <c r="BN115" i="18" s="1"/>
  <c r="C159" i="6" s="1"/>
  <c r="L159" i="6" s="1"/>
  <c r="Q159" i="6" s="1"/>
  <c r="AN115" i="18"/>
  <c r="AJ54" i="6"/>
  <c r="U123" i="6"/>
  <c r="AN54" i="6" s="1"/>
  <c r="AD114" i="18"/>
  <c r="AE114" i="18"/>
  <c r="AF114" i="18" s="1"/>
  <c r="BC114" i="18" s="1"/>
  <c r="BE114" i="18" s="1"/>
  <c r="BG114" i="18" s="1"/>
  <c r="C124" i="6" s="1"/>
  <c r="L124" i="6" s="1"/>
  <c r="Q124" i="6" s="1"/>
  <c r="AJ55" i="6" l="1"/>
  <c r="U124" i="6"/>
  <c r="AN55" i="6" s="1"/>
  <c r="AO116" i="18"/>
  <c r="AP116" i="18" s="1"/>
  <c r="BJ116" i="18" s="1"/>
  <c r="BL116" i="18" s="1"/>
  <c r="BN116" i="18" s="1"/>
  <c r="C160" i="6" s="1"/>
  <c r="L160" i="6" s="1"/>
  <c r="Q160" i="6" s="1"/>
  <c r="AN116" i="18"/>
  <c r="AE115" i="18"/>
  <c r="AF115" i="18" s="1"/>
  <c r="BC115" i="18" s="1"/>
  <c r="BE115" i="18" s="1"/>
  <c r="BG115" i="18" s="1"/>
  <c r="C125" i="6" s="1"/>
  <c r="L125" i="6" s="1"/>
  <c r="Q125" i="6" s="1"/>
  <c r="AD115" i="18"/>
  <c r="U159" i="6"/>
  <c r="AP56" i="6"/>
  <c r="AT56" i="6" s="1"/>
  <c r="AN117" i="18" l="1"/>
  <c r="AO117" i="18"/>
  <c r="AP117" i="18" s="1"/>
  <c r="BJ117" i="18" s="1"/>
  <c r="BL117" i="18" s="1"/>
  <c r="BN117" i="18" s="1"/>
  <c r="C161" i="6" s="1"/>
  <c r="L161" i="6" s="1"/>
  <c r="Q161" i="6" s="1"/>
  <c r="AD116" i="18"/>
  <c r="AE116" i="18"/>
  <c r="AF116" i="18" s="1"/>
  <c r="BC116" i="18" s="1"/>
  <c r="BE116" i="18" s="1"/>
  <c r="BG116" i="18" s="1"/>
  <c r="C126" i="6" s="1"/>
  <c r="L126" i="6" s="1"/>
  <c r="Q126" i="6" s="1"/>
  <c r="U160" i="6"/>
  <c r="AP57" i="6"/>
  <c r="AT57" i="6" s="1"/>
  <c r="AJ56" i="6"/>
  <c r="U125" i="6"/>
  <c r="AN56" i="6" s="1"/>
  <c r="AE117" i="18" l="1"/>
  <c r="AF117" i="18" s="1"/>
  <c r="BC117" i="18" s="1"/>
  <c r="BE117" i="18" s="1"/>
  <c r="BG117" i="18" s="1"/>
  <c r="C127" i="6" s="1"/>
  <c r="L127" i="6" s="1"/>
  <c r="Q127" i="6" s="1"/>
  <c r="AD117" i="18"/>
  <c r="U161" i="6"/>
  <c r="AP58" i="6"/>
  <c r="AT58" i="6" s="1"/>
  <c r="AJ57" i="6"/>
  <c r="U126" i="6"/>
  <c r="AN57" i="6" s="1"/>
  <c r="AN118" i="18"/>
  <c r="AO118" i="18"/>
  <c r="AP118" i="18" s="1"/>
  <c r="BJ118" i="18" s="1"/>
  <c r="BL118" i="18" s="1"/>
  <c r="BN118" i="18" s="1"/>
  <c r="C162" i="6" s="1"/>
  <c r="L162" i="6" s="1"/>
  <c r="Q162" i="6" s="1"/>
  <c r="K161" i="17"/>
  <c r="K169" i="17"/>
  <c r="K150" i="17"/>
  <c r="K160" i="17"/>
  <c r="K158" i="17"/>
  <c r="K163" i="17"/>
  <c r="K166" i="17"/>
  <c r="K155" i="17"/>
  <c r="K167" i="17"/>
  <c r="K154" i="17"/>
  <c r="K168" i="17"/>
  <c r="K162" i="17"/>
  <c r="K157" i="17"/>
  <c r="K151" i="17"/>
  <c r="K152" i="17"/>
  <c r="K164" i="17"/>
  <c r="K156" i="17"/>
  <c r="K159" i="17"/>
  <c r="K165" i="17"/>
  <c r="K153" i="17"/>
  <c r="K149" i="17"/>
  <c r="P165" i="17" l="1"/>
  <c r="Q165" i="17" s="1"/>
  <c r="AK165" i="17"/>
  <c r="M152" i="17"/>
  <c r="AK152" i="17"/>
  <c r="P168" i="17"/>
  <c r="Q168" i="17" s="1"/>
  <c r="AK168" i="17"/>
  <c r="P166" i="17"/>
  <c r="Q166" i="17" s="1"/>
  <c r="R166" i="17" s="1"/>
  <c r="S166" i="17" s="1"/>
  <c r="AK166" i="17"/>
  <c r="P150" i="17"/>
  <c r="Q150" i="17" s="1"/>
  <c r="R150" i="17" s="1"/>
  <c r="S150" i="17" s="1"/>
  <c r="V150" i="17" s="1"/>
  <c r="AK150" i="17"/>
  <c r="P159" i="17"/>
  <c r="Q159" i="17" s="1"/>
  <c r="R159" i="17" s="1"/>
  <c r="S159" i="17" s="1"/>
  <c r="AK159" i="17"/>
  <c r="P151" i="17"/>
  <c r="Q151" i="17" s="1"/>
  <c r="R151" i="17" s="1"/>
  <c r="S151" i="17" s="1"/>
  <c r="AK151" i="17"/>
  <c r="P154" i="17"/>
  <c r="Q154" i="17" s="1"/>
  <c r="R154" i="17" s="1"/>
  <c r="S154" i="17" s="1"/>
  <c r="AK154" i="17"/>
  <c r="P163" i="17"/>
  <c r="Q163" i="17" s="1"/>
  <c r="R163" i="17" s="1"/>
  <c r="S163" i="17" s="1"/>
  <c r="AK163" i="17"/>
  <c r="P169" i="17"/>
  <c r="Q169" i="17" s="1"/>
  <c r="R169" i="17" s="1"/>
  <c r="S169" i="17" s="1"/>
  <c r="AK169" i="17"/>
  <c r="P153" i="17"/>
  <c r="Q153" i="17" s="1"/>
  <c r="R153" i="17" s="1"/>
  <c r="S153" i="17" s="1"/>
  <c r="AK153" i="17"/>
  <c r="P164" i="17"/>
  <c r="Q164" i="17" s="1"/>
  <c r="R164" i="17" s="1"/>
  <c r="S164" i="17" s="1"/>
  <c r="AK164" i="17"/>
  <c r="P162" i="17"/>
  <c r="Q162" i="17" s="1"/>
  <c r="AK162" i="17"/>
  <c r="P155" i="17"/>
  <c r="Q155" i="17" s="1"/>
  <c r="R155" i="17" s="1"/>
  <c r="S155" i="17" s="1"/>
  <c r="AK155" i="17"/>
  <c r="P160" i="17"/>
  <c r="Q160" i="17" s="1"/>
  <c r="R160" i="17" s="1"/>
  <c r="S160" i="17" s="1"/>
  <c r="AK160" i="17"/>
  <c r="P149" i="17"/>
  <c r="Q149" i="17" s="1"/>
  <c r="R149" i="17" s="1"/>
  <c r="S149" i="17" s="1"/>
  <c r="T149" i="17" s="1"/>
  <c r="AK149" i="17"/>
  <c r="M156" i="17"/>
  <c r="AK156" i="17"/>
  <c r="P157" i="17"/>
  <c r="Q157" i="17" s="1"/>
  <c r="R157" i="17" s="1"/>
  <c r="S157" i="17" s="1"/>
  <c r="AK157" i="17"/>
  <c r="P167" i="17"/>
  <c r="Q167" i="17" s="1"/>
  <c r="R167" i="17" s="1"/>
  <c r="S167" i="17" s="1"/>
  <c r="AK167" i="17"/>
  <c r="M158" i="17"/>
  <c r="AK158" i="17"/>
  <c r="M161" i="17"/>
  <c r="AK161" i="17"/>
  <c r="R162" i="17"/>
  <c r="S162" i="17" s="1"/>
  <c r="R165" i="17"/>
  <c r="S165" i="17" s="1"/>
  <c r="R168" i="17"/>
  <c r="S168" i="17" s="1"/>
  <c r="AN119" i="18"/>
  <c r="AO119" i="18"/>
  <c r="AP119" i="18" s="1"/>
  <c r="BJ119" i="18" s="1"/>
  <c r="BL119" i="18" s="1"/>
  <c r="BN119" i="18" s="1"/>
  <c r="C163" i="6" s="1"/>
  <c r="L163" i="6" s="1"/>
  <c r="Q163" i="6" s="1"/>
  <c r="U162" i="6"/>
  <c r="AP59" i="6"/>
  <c r="AT59" i="6" s="1"/>
  <c r="U150" i="17"/>
  <c r="T150" i="17"/>
  <c r="AD118" i="18"/>
  <c r="AE118" i="18"/>
  <c r="AF118" i="18" s="1"/>
  <c r="BC118" i="18" s="1"/>
  <c r="BE118" i="18" s="1"/>
  <c r="BG118" i="18" s="1"/>
  <c r="C128" i="6" s="1"/>
  <c r="L128" i="6" s="1"/>
  <c r="Q128" i="6" s="1"/>
  <c r="U127" i="6"/>
  <c r="AN58" i="6" s="1"/>
  <c r="AJ58" i="6"/>
  <c r="M160" i="17"/>
  <c r="M169" i="17"/>
  <c r="M162" i="17"/>
  <c r="M154" i="17"/>
  <c r="M163" i="17"/>
  <c r="M155" i="17"/>
  <c r="P161" i="17"/>
  <c r="Q161" i="17" s="1"/>
  <c r="M153" i="17"/>
  <c r="M159" i="17"/>
  <c r="M164" i="17"/>
  <c r="M151" i="17"/>
  <c r="P156" i="17"/>
  <c r="Q156" i="17" s="1"/>
  <c r="P152" i="17"/>
  <c r="Q152" i="17" s="1"/>
  <c r="P158" i="17"/>
  <c r="Q158" i="17" s="1"/>
  <c r="M149" i="17"/>
  <c r="M165" i="17"/>
  <c r="M157" i="17"/>
  <c r="M168" i="17"/>
  <c r="M167" i="17"/>
  <c r="M166" i="17"/>
  <c r="M150" i="17"/>
  <c r="K137" i="17"/>
  <c r="K145" i="17"/>
  <c r="AK145" i="17" s="1"/>
  <c r="K138" i="17"/>
  <c r="AK138" i="17" s="1"/>
  <c r="K139" i="17"/>
  <c r="AK139" i="17" s="1"/>
  <c r="K142" i="17"/>
  <c r="AK142" i="17" s="1"/>
  <c r="K140" i="17"/>
  <c r="AK140" i="17" s="1"/>
  <c r="K141" i="17"/>
  <c r="AK141" i="17" s="1"/>
  <c r="K143" i="17"/>
  <c r="AK143" i="17" s="1"/>
  <c r="K144" i="17"/>
  <c r="AK144" i="17" s="1"/>
  <c r="V149" i="17" l="1"/>
  <c r="U149" i="17"/>
  <c r="AM149" i="17" s="1"/>
  <c r="AL149" i="17"/>
  <c r="CC110" i="17"/>
  <c r="AL150" i="17"/>
  <c r="AM150" i="17"/>
  <c r="M137" i="17"/>
  <c r="AK137" i="17"/>
  <c r="R161" i="17"/>
  <c r="S161" i="17" s="1"/>
  <c r="T157" i="17"/>
  <c r="V157" i="17"/>
  <c r="U157" i="17"/>
  <c r="V155" i="17"/>
  <c r="U155" i="17"/>
  <c r="T155" i="17"/>
  <c r="T169" i="17"/>
  <c r="V169" i="17"/>
  <c r="U169" i="17"/>
  <c r="V154" i="17"/>
  <c r="U154" i="17"/>
  <c r="T154" i="17"/>
  <c r="V164" i="17"/>
  <c r="T164" i="17"/>
  <c r="U164" i="17"/>
  <c r="V168" i="17"/>
  <c r="T168" i="17"/>
  <c r="U168" i="17"/>
  <c r="V160" i="17"/>
  <c r="T160" i="17"/>
  <c r="U160" i="17"/>
  <c r="R156" i="17"/>
  <c r="S156" i="17" s="1"/>
  <c r="R158" i="17"/>
  <c r="S158" i="17" s="1"/>
  <c r="R152" i="17"/>
  <c r="S152" i="17" s="1"/>
  <c r="T167" i="17"/>
  <c r="U167" i="17"/>
  <c r="V167" i="17"/>
  <c r="T159" i="17"/>
  <c r="U159" i="17"/>
  <c r="V159" i="17"/>
  <c r="V153" i="17"/>
  <c r="T153" i="17"/>
  <c r="U153" i="17"/>
  <c r="U163" i="17"/>
  <c r="V163" i="17"/>
  <c r="T163" i="17"/>
  <c r="T151" i="17"/>
  <c r="V151" i="17"/>
  <c r="U151" i="17"/>
  <c r="T166" i="17"/>
  <c r="V166" i="17"/>
  <c r="U166" i="17"/>
  <c r="T165" i="17"/>
  <c r="V165" i="17"/>
  <c r="U165" i="17"/>
  <c r="V162" i="17"/>
  <c r="T162" i="17"/>
  <c r="U162" i="17"/>
  <c r="Z149" i="17"/>
  <c r="W149" i="17"/>
  <c r="Y149" i="17"/>
  <c r="AB149" i="17"/>
  <c r="X149" i="17"/>
  <c r="AA149" i="17"/>
  <c r="Y150" i="17"/>
  <c r="AB150" i="17"/>
  <c r="X150" i="17"/>
  <c r="AA150" i="17"/>
  <c r="Z150" i="17"/>
  <c r="W150" i="17"/>
  <c r="U163" i="6"/>
  <c r="AP60" i="6"/>
  <c r="AT60" i="6" s="1"/>
  <c r="AE119" i="18"/>
  <c r="AF119" i="18" s="1"/>
  <c r="BC119" i="18" s="1"/>
  <c r="BE119" i="18" s="1"/>
  <c r="BG119" i="18" s="1"/>
  <c r="C129" i="6" s="1"/>
  <c r="L129" i="6" s="1"/>
  <c r="Q129" i="6" s="1"/>
  <c r="AD119" i="18"/>
  <c r="U128" i="6"/>
  <c r="AN59" i="6" s="1"/>
  <c r="AJ59" i="6"/>
  <c r="P137" i="17"/>
  <c r="Q137" i="17" s="1"/>
  <c r="P143" i="17"/>
  <c r="Q143" i="17" s="1"/>
  <c r="M143" i="17"/>
  <c r="M142" i="17"/>
  <c r="P142" i="17"/>
  <c r="Q142" i="17" s="1"/>
  <c r="M144" i="17"/>
  <c r="P144" i="17"/>
  <c r="Q144" i="17" s="1"/>
  <c r="P145" i="17"/>
  <c r="Q145" i="17" s="1"/>
  <c r="M145" i="17"/>
  <c r="K146" i="17"/>
  <c r="AK146" i="17" s="1"/>
  <c r="P141" i="17"/>
  <c r="Q141" i="17" s="1"/>
  <c r="M141" i="17"/>
  <c r="P139" i="17"/>
  <c r="Q139" i="17" s="1"/>
  <c r="M139" i="17"/>
  <c r="P140" i="17"/>
  <c r="Q140" i="17" s="1"/>
  <c r="M140" i="17"/>
  <c r="M138" i="17"/>
  <c r="P138" i="17"/>
  <c r="Q138" i="17" s="1"/>
  <c r="CC109" i="17" l="1"/>
  <c r="CC115" i="17"/>
  <c r="AL155" i="17"/>
  <c r="AM155" i="17"/>
  <c r="X105" i="19" s="1"/>
  <c r="BV109" i="17"/>
  <c r="CC126" i="17"/>
  <c r="AL166" i="17"/>
  <c r="AM166" i="17"/>
  <c r="X116" i="19" s="1"/>
  <c r="CC123" i="17"/>
  <c r="AL163" i="17"/>
  <c r="AM163" i="17"/>
  <c r="X113" i="19" s="1"/>
  <c r="CC127" i="17"/>
  <c r="AL167" i="17"/>
  <c r="AM167" i="17"/>
  <c r="CC128" i="17"/>
  <c r="AL168" i="17"/>
  <c r="AM168" i="17"/>
  <c r="X118" i="19" s="1"/>
  <c r="AN149" i="17"/>
  <c r="AO149" i="17" s="1"/>
  <c r="X99" i="19"/>
  <c r="CC125" i="17"/>
  <c r="AL165" i="17"/>
  <c r="AM165" i="17"/>
  <c r="CC113" i="17"/>
  <c r="AL153" i="17"/>
  <c r="AM153" i="17"/>
  <c r="CC119" i="17"/>
  <c r="AL159" i="17"/>
  <c r="AM159" i="17"/>
  <c r="CC120" i="17"/>
  <c r="AL160" i="17"/>
  <c r="AM160" i="17"/>
  <c r="X110" i="19" s="1"/>
  <c r="CC129" i="17"/>
  <c r="AL169" i="17"/>
  <c r="AM169" i="17"/>
  <c r="X119" i="19" s="1"/>
  <c r="BV110" i="17"/>
  <c r="CC122" i="17"/>
  <c r="AL162" i="17"/>
  <c r="AM162" i="17"/>
  <c r="X112" i="19" s="1"/>
  <c r="CC111" i="17"/>
  <c r="AL151" i="17"/>
  <c r="AM151" i="17"/>
  <c r="CC124" i="17"/>
  <c r="AL164" i="17"/>
  <c r="AM164" i="17"/>
  <c r="CC114" i="17"/>
  <c r="AL154" i="17"/>
  <c r="AM154" i="17"/>
  <c r="CC117" i="17"/>
  <c r="AL157" i="17"/>
  <c r="AM157" i="17"/>
  <c r="AN150" i="17"/>
  <c r="AO150" i="17" s="1"/>
  <c r="X100" i="19"/>
  <c r="V152" i="17"/>
  <c r="T152" i="17"/>
  <c r="U152" i="17"/>
  <c r="AA168" i="17"/>
  <c r="W168" i="17"/>
  <c r="Y168" i="17"/>
  <c r="AB168" i="17"/>
  <c r="Z168" i="17"/>
  <c r="X168" i="17"/>
  <c r="AA166" i="17"/>
  <c r="W166" i="17"/>
  <c r="Y166" i="17"/>
  <c r="AB166" i="17"/>
  <c r="Z166" i="17"/>
  <c r="X166" i="17"/>
  <c r="AA163" i="17"/>
  <c r="W163" i="17"/>
  <c r="Y163" i="17"/>
  <c r="AB163" i="17"/>
  <c r="Z163" i="17"/>
  <c r="X163" i="17"/>
  <c r="AA167" i="17"/>
  <c r="Y167" i="17"/>
  <c r="AB167" i="17"/>
  <c r="W167" i="17"/>
  <c r="Z167" i="17"/>
  <c r="X167" i="17"/>
  <c r="AA160" i="17"/>
  <c r="Y160" i="17"/>
  <c r="AB160" i="17"/>
  <c r="W160" i="17"/>
  <c r="Z160" i="17"/>
  <c r="X160" i="17"/>
  <c r="AA169" i="17"/>
  <c r="Y169" i="17"/>
  <c r="W169" i="17"/>
  <c r="Z169" i="17"/>
  <c r="AB169" i="17"/>
  <c r="X169" i="17"/>
  <c r="AA155" i="17"/>
  <c r="AB155" i="17"/>
  <c r="Y155" i="17"/>
  <c r="W155" i="17"/>
  <c r="Z155" i="17"/>
  <c r="X155" i="17"/>
  <c r="V156" i="17"/>
  <c r="T156" i="17"/>
  <c r="U156" i="17"/>
  <c r="AA165" i="17"/>
  <c r="AB165" i="17"/>
  <c r="Y165" i="17"/>
  <c r="W165" i="17"/>
  <c r="Z165" i="17"/>
  <c r="X165" i="17"/>
  <c r="AA153" i="17"/>
  <c r="W153" i="17"/>
  <c r="Y153" i="17"/>
  <c r="AB153" i="17"/>
  <c r="Z153" i="17"/>
  <c r="X153" i="17"/>
  <c r="AA159" i="17"/>
  <c r="AB159" i="17"/>
  <c r="Y159" i="17"/>
  <c r="W159" i="17"/>
  <c r="Z159" i="17"/>
  <c r="X159" i="17"/>
  <c r="T158" i="17"/>
  <c r="U158" i="17"/>
  <c r="V158" i="17"/>
  <c r="AA151" i="17"/>
  <c r="Z151" i="17"/>
  <c r="AB151" i="17"/>
  <c r="Y151" i="17"/>
  <c r="W151" i="17"/>
  <c r="X151" i="17"/>
  <c r="AA162" i="17"/>
  <c r="AB162" i="17"/>
  <c r="W162" i="17"/>
  <c r="Y162" i="17"/>
  <c r="Z162" i="17"/>
  <c r="X162" i="17"/>
  <c r="AA164" i="17"/>
  <c r="AB164" i="17"/>
  <c r="W164" i="17"/>
  <c r="Z164" i="17"/>
  <c r="Y164" i="17"/>
  <c r="X164" i="17"/>
  <c r="AA154" i="17"/>
  <c r="W154" i="17"/>
  <c r="Y154" i="17"/>
  <c r="AB154" i="17"/>
  <c r="Z154" i="17"/>
  <c r="X154" i="17"/>
  <c r="AA157" i="17"/>
  <c r="AB157" i="17"/>
  <c r="W157" i="17"/>
  <c r="Y157" i="17"/>
  <c r="Z157" i="17"/>
  <c r="X157" i="17"/>
  <c r="T161" i="17"/>
  <c r="V161" i="17"/>
  <c r="U161" i="17"/>
  <c r="R144" i="17"/>
  <c r="S144" i="17" s="1"/>
  <c r="R140" i="17"/>
  <c r="S140" i="17" s="1"/>
  <c r="R143" i="17"/>
  <c r="S143" i="17" s="1"/>
  <c r="U129" i="6"/>
  <c r="AN60" i="6" s="1"/>
  <c r="AJ60" i="6"/>
  <c r="R141" i="17"/>
  <c r="S141" i="17" s="1"/>
  <c r="R138" i="17"/>
  <c r="S138" i="17" s="1"/>
  <c r="R142" i="17"/>
  <c r="S142" i="17" s="1"/>
  <c r="R137" i="17"/>
  <c r="S137" i="17" s="1"/>
  <c r="R139" i="17"/>
  <c r="S139" i="17" s="1"/>
  <c r="R145" i="17"/>
  <c r="S145" i="17" s="1"/>
  <c r="AC150" i="17"/>
  <c r="AC149" i="17"/>
  <c r="P146" i="17"/>
  <c r="Q146" i="17" s="1"/>
  <c r="M146" i="17"/>
  <c r="K148" i="17"/>
  <c r="AK148" i="17" s="1"/>
  <c r="K147" i="17"/>
  <c r="AK147" i="17" s="1"/>
  <c r="BV117" i="17" l="1"/>
  <c r="BV124" i="17"/>
  <c r="CC118" i="17"/>
  <c r="AL158" i="17"/>
  <c r="AM158" i="17"/>
  <c r="X108" i="19" s="1"/>
  <c r="BV119" i="17"/>
  <c r="BV113" i="17"/>
  <c r="BV125" i="17"/>
  <c r="CC116" i="17"/>
  <c r="AL156" i="17"/>
  <c r="AM156" i="17"/>
  <c r="BV129" i="17"/>
  <c r="AN159" i="17"/>
  <c r="AO159" i="17" s="1"/>
  <c r="X109" i="19"/>
  <c r="AN153" i="17"/>
  <c r="AO153" i="17" s="1"/>
  <c r="X103" i="19"/>
  <c r="AA103" i="19" s="1"/>
  <c r="AN165" i="17"/>
  <c r="AO165" i="17" s="1"/>
  <c r="X115" i="19"/>
  <c r="AH149" i="17"/>
  <c r="BV115" i="17"/>
  <c r="BV120" i="17"/>
  <c r="BV126" i="17"/>
  <c r="CC112" i="17"/>
  <c r="AL152" i="17"/>
  <c r="AM152" i="17"/>
  <c r="AN169" i="17"/>
  <c r="AO169" i="17" s="1"/>
  <c r="AN160" i="17"/>
  <c r="AO160" i="17" s="1"/>
  <c r="AN155" i="17"/>
  <c r="AO155" i="17" s="1"/>
  <c r="AF150" i="17"/>
  <c r="CC121" i="17"/>
  <c r="AL161" i="17"/>
  <c r="AM161" i="17"/>
  <c r="BV122" i="17"/>
  <c r="BV111" i="17"/>
  <c r="AN157" i="17"/>
  <c r="AO157" i="17" s="1"/>
  <c r="X107" i="19"/>
  <c r="AN154" i="17"/>
  <c r="AO154" i="17" s="1"/>
  <c r="X104" i="19"/>
  <c r="AN164" i="17"/>
  <c r="AO164" i="17" s="1"/>
  <c r="X114" i="19"/>
  <c r="AN151" i="17"/>
  <c r="AO151" i="17" s="1"/>
  <c r="X101" i="19"/>
  <c r="AN167" i="17"/>
  <c r="AO167" i="17" s="1"/>
  <c r="X117" i="19"/>
  <c r="BV114" i="17"/>
  <c r="BV127" i="17"/>
  <c r="BV123" i="17"/>
  <c r="BV128" i="17"/>
  <c r="AN162" i="17"/>
  <c r="AO162" i="17" s="1"/>
  <c r="AN168" i="17"/>
  <c r="AO168" i="17" s="1"/>
  <c r="AN163" i="17"/>
  <c r="AO163" i="17" s="1"/>
  <c r="AN166" i="17"/>
  <c r="AO166" i="17" s="1"/>
  <c r="AE149" i="17"/>
  <c r="AF149" i="17"/>
  <c r="AD149" i="17"/>
  <c r="AI149" i="17"/>
  <c r="AC153" i="17"/>
  <c r="AE150" i="17"/>
  <c r="AH150" i="17"/>
  <c r="AA158" i="17"/>
  <c r="Y158" i="17"/>
  <c r="W158" i="17"/>
  <c r="AB158" i="17"/>
  <c r="Z158" i="17"/>
  <c r="X158" i="17"/>
  <c r="AG149" i="17"/>
  <c r="E177" i="6" s="1"/>
  <c r="AC157" i="17"/>
  <c r="AC164" i="17"/>
  <c r="AC151" i="17"/>
  <c r="AC169" i="17"/>
  <c r="AC167" i="17"/>
  <c r="AC166" i="17"/>
  <c r="AA152" i="17"/>
  <c r="W152" i="17"/>
  <c r="Y152" i="17"/>
  <c r="AB152" i="17"/>
  <c r="Z152" i="17"/>
  <c r="X152" i="17"/>
  <c r="AA156" i="17"/>
  <c r="Y156" i="17"/>
  <c r="AB156" i="17"/>
  <c r="W156" i="17"/>
  <c r="Z156" i="17"/>
  <c r="X156" i="17"/>
  <c r="AA161" i="17"/>
  <c r="AB161" i="17"/>
  <c r="Y161" i="17"/>
  <c r="W161" i="17"/>
  <c r="Z161" i="17"/>
  <c r="X161" i="17"/>
  <c r="AC159" i="17"/>
  <c r="AC165" i="17"/>
  <c r="AD153" i="17"/>
  <c r="AC154" i="17"/>
  <c r="AC162" i="17"/>
  <c r="AC155" i="17"/>
  <c r="AC160" i="17"/>
  <c r="AC163" i="17"/>
  <c r="AC168" i="17"/>
  <c r="V142" i="17"/>
  <c r="U142" i="17"/>
  <c r="T142" i="17"/>
  <c r="R146" i="17"/>
  <c r="S146" i="17" s="1"/>
  <c r="U140" i="17"/>
  <c r="V140" i="17"/>
  <c r="T140" i="17"/>
  <c r="T139" i="17"/>
  <c r="U139" i="17"/>
  <c r="V139" i="17"/>
  <c r="AI150" i="17"/>
  <c r="V145" i="17"/>
  <c r="U145" i="17"/>
  <c r="T145" i="17"/>
  <c r="V137" i="17"/>
  <c r="U137" i="17"/>
  <c r="T137" i="17"/>
  <c r="V138" i="17"/>
  <c r="T138" i="17"/>
  <c r="U138" i="17"/>
  <c r="V141" i="17"/>
  <c r="U141" i="17"/>
  <c r="T141" i="17"/>
  <c r="AD150" i="17"/>
  <c r="AG150" i="17"/>
  <c r="F178" i="6" s="1"/>
  <c r="T143" i="17"/>
  <c r="V143" i="17"/>
  <c r="U143" i="17"/>
  <c r="U144" i="17"/>
  <c r="T144" i="17"/>
  <c r="V144" i="17"/>
  <c r="P147" i="17"/>
  <c r="Q147" i="17" s="1"/>
  <c r="M147" i="17"/>
  <c r="AA100" i="19"/>
  <c r="AA99" i="19"/>
  <c r="M148" i="17"/>
  <c r="P148" i="17"/>
  <c r="Q148" i="17" s="1"/>
  <c r="D177" i="6"/>
  <c r="M177" i="6" s="1"/>
  <c r="F177" i="6"/>
  <c r="BV116" i="17" l="1"/>
  <c r="BV112" i="17"/>
  <c r="AH169" i="17"/>
  <c r="BV118" i="17"/>
  <c r="AN161" i="17"/>
  <c r="AO161" i="17" s="1"/>
  <c r="X111" i="19"/>
  <c r="BW110" i="17"/>
  <c r="CC101" i="17"/>
  <c r="AL141" i="17"/>
  <c r="AM141" i="17"/>
  <c r="CC102" i="17"/>
  <c r="AL142" i="17"/>
  <c r="AM142" i="17"/>
  <c r="AE153" i="17"/>
  <c r="BW113" i="17" s="1"/>
  <c r="AN152" i="17"/>
  <c r="AO152" i="17" s="1"/>
  <c r="X102" i="19"/>
  <c r="AN158" i="17"/>
  <c r="AO158" i="17" s="1"/>
  <c r="CC104" i="17"/>
  <c r="AL144" i="17"/>
  <c r="AM144" i="17"/>
  <c r="CC105" i="17"/>
  <c r="AL145" i="17"/>
  <c r="AM145" i="17"/>
  <c r="CC99" i="17"/>
  <c r="AL139" i="17"/>
  <c r="AM139" i="17"/>
  <c r="CC100" i="17"/>
  <c r="AL140" i="17"/>
  <c r="AM140" i="17"/>
  <c r="AF155" i="17"/>
  <c r="AI165" i="17"/>
  <c r="BV121" i="17"/>
  <c r="AH164" i="17"/>
  <c r="AN156" i="17"/>
  <c r="AO156" i="17" s="1"/>
  <c r="X106" i="19"/>
  <c r="CC103" i="17"/>
  <c r="AL143" i="17"/>
  <c r="AM143" i="17"/>
  <c r="CC98" i="17"/>
  <c r="AL138" i="17"/>
  <c r="AM138" i="17"/>
  <c r="CC97" i="17"/>
  <c r="AL137" i="17"/>
  <c r="AM137" i="17"/>
  <c r="AG168" i="17"/>
  <c r="AG162" i="17"/>
  <c r="AH159" i="17"/>
  <c r="BW109" i="17"/>
  <c r="AF164" i="17"/>
  <c r="AG153" i="17"/>
  <c r="AJ149" i="17"/>
  <c r="AF153" i="17"/>
  <c r="AH153" i="17"/>
  <c r="AI153" i="17"/>
  <c r="E178" i="6"/>
  <c r="N178" i="6" s="1"/>
  <c r="AG164" i="17"/>
  <c r="E192" i="6" s="1"/>
  <c r="AJ150" i="17"/>
  <c r="AI159" i="17"/>
  <c r="AG159" i="17"/>
  <c r="E187" i="6" s="1"/>
  <c r="F196" i="6"/>
  <c r="D196" i="6"/>
  <c r="M196" i="6" s="1"/>
  <c r="E196" i="6"/>
  <c r="AD154" i="17"/>
  <c r="AE154" i="17"/>
  <c r="BW114" i="17" s="1"/>
  <c r="AI154" i="17"/>
  <c r="AH154" i="17"/>
  <c r="AF154" i="17"/>
  <c r="AF166" i="17"/>
  <c r="AI166" i="17"/>
  <c r="AH166" i="17"/>
  <c r="AE166" i="17"/>
  <c r="BW126" i="17" s="1"/>
  <c r="AD166" i="17"/>
  <c r="AG151" i="17"/>
  <c r="AF151" i="17"/>
  <c r="AD151" i="17"/>
  <c r="AH151" i="17"/>
  <c r="AE151" i="17"/>
  <c r="BW111" i="17" s="1"/>
  <c r="AE157" i="17"/>
  <c r="BW117" i="17" s="1"/>
  <c r="AF157" i="17"/>
  <c r="AD157" i="17"/>
  <c r="AI157" i="17"/>
  <c r="AG157" i="17"/>
  <c r="AD163" i="17"/>
  <c r="AE163" i="17"/>
  <c r="BW123" i="17" s="1"/>
  <c r="AH163" i="17"/>
  <c r="AI163" i="17"/>
  <c r="AG163" i="17"/>
  <c r="AH162" i="17"/>
  <c r="AD162" i="17"/>
  <c r="AF162" i="17"/>
  <c r="AE162" i="17"/>
  <c r="BW122" i="17" s="1"/>
  <c r="AI162" i="17"/>
  <c r="AG166" i="17"/>
  <c r="AD167" i="17"/>
  <c r="AG167" i="17"/>
  <c r="AF167" i="17"/>
  <c r="AE167" i="17"/>
  <c r="BW127" i="17" s="1"/>
  <c r="AI167" i="17"/>
  <c r="AI168" i="17"/>
  <c r="AH168" i="17"/>
  <c r="AE168" i="17"/>
  <c r="BW128" i="17" s="1"/>
  <c r="AF168" i="17"/>
  <c r="AD168" i="17"/>
  <c r="AC161" i="17"/>
  <c r="AE160" i="17"/>
  <c r="BW120" i="17" s="1"/>
  <c r="AH160" i="17"/>
  <c r="AI160" i="17"/>
  <c r="AF160" i="17"/>
  <c r="AD160" i="17"/>
  <c r="AH155" i="17"/>
  <c r="AD155" i="17"/>
  <c r="AI155" i="17"/>
  <c r="AE155" i="17"/>
  <c r="BW115" i="17" s="1"/>
  <c r="AG160" i="17"/>
  <c r="AG165" i="17"/>
  <c r="AD165" i="17"/>
  <c r="AH165" i="17"/>
  <c r="AE165" i="17"/>
  <c r="BW125" i="17" s="1"/>
  <c r="AF165" i="17"/>
  <c r="AG155" i="17"/>
  <c r="AC152" i="17"/>
  <c r="AG169" i="17"/>
  <c r="AF169" i="17"/>
  <c r="AE169" i="17"/>
  <c r="BW129" i="17" s="1"/>
  <c r="AD169" i="17"/>
  <c r="AI169" i="17"/>
  <c r="AD164" i="17"/>
  <c r="AI164" i="17"/>
  <c r="AE164" i="17"/>
  <c r="BW124" i="17" s="1"/>
  <c r="AG154" i="17"/>
  <c r="AH167" i="17"/>
  <c r="F190" i="6"/>
  <c r="D190" i="6"/>
  <c r="M190" i="6" s="1"/>
  <c r="E190" i="6"/>
  <c r="N177" i="6"/>
  <c r="R177" i="6" s="1"/>
  <c r="AW40" i="6" s="1"/>
  <c r="D178" i="6"/>
  <c r="M178" i="6" s="1"/>
  <c r="AF163" i="17"/>
  <c r="AE159" i="17"/>
  <c r="BW119" i="17" s="1"/>
  <c r="AF159" i="17"/>
  <c r="AD159" i="17"/>
  <c r="AC156" i="17"/>
  <c r="D181" i="6"/>
  <c r="M181" i="6" s="1"/>
  <c r="F181" i="6"/>
  <c r="E181" i="6"/>
  <c r="AH157" i="17"/>
  <c r="AC158" i="17"/>
  <c r="AI151" i="17"/>
  <c r="T146" i="17"/>
  <c r="V146" i="17"/>
  <c r="U146" i="17"/>
  <c r="Y138" i="17"/>
  <c r="AB138" i="17"/>
  <c r="AA138" i="17"/>
  <c r="Z138" i="17"/>
  <c r="W138" i="17"/>
  <c r="X138" i="17"/>
  <c r="Y142" i="17"/>
  <c r="AB142" i="17"/>
  <c r="AA142" i="17"/>
  <c r="W142" i="17"/>
  <c r="Z142" i="17"/>
  <c r="X142" i="17"/>
  <c r="R147" i="17"/>
  <c r="S147" i="17" s="1"/>
  <c r="AA144" i="17"/>
  <c r="W144" i="17"/>
  <c r="Y144" i="17"/>
  <c r="AB144" i="17"/>
  <c r="Z144" i="17"/>
  <c r="X144" i="17"/>
  <c r="Z141" i="17"/>
  <c r="W141" i="17"/>
  <c r="Y141" i="17"/>
  <c r="AB141" i="17"/>
  <c r="AA141" i="17"/>
  <c r="X141" i="17"/>
  <c r="Z137" i="17"/>
  <c r="W137" i="17"/>
  <c r="Y137" i="17"/>
  <c r="AB137" i="17"/>
  <c r="AA137" i="17"/>
  <c r="X137" i="17"/>
  <c r="R148" i="17"/>
  <c r="S148" i="17" s="1"/>
  <c r="AB143" i="17"/>
  <c r="AA143" i="17"/>
  <c r="W143" i="17"/>
  <c r="Y143" i="17"/>
  <c r="Z143" i="17"/>
  <c r="X143" i="17"/>
  <c r="W145" i="17"/>
  <c r="Y145" i="17"/>
  <c r="AB145" i="17"/>
  <c r="AA145" i="17"/>
  <c r="Z145" i="17"/>
  <c r="X145" i="17"/>
  <c r="AB139" i="17"/>
  <c r="AA139" i="17"/>
  <c r="W139" i="17"/>
  <c r="Y139" i="17"/>
  <c r="Z139" i="17"/>
  <c r="X139" i="17"/>
  <c r="AA140" i="17"/>
  <c r="Z140" i="17"/>
  <c r="W140" i="17"/>
  <c r="Y140" i="17"/>
  <c r="AB140" i="17"/>
  <c r="X140" i="17"/>
  <c r="AC99" i="19"/>
  <c r="AB99" i="19"/>
  <c r="AC100" i="19"/>
  <c r="AB100" i="19"/>
  <c r="AC103" i="19"/>
  <c r="AB103" i="19"/>
  <c r="BV99" i="17" l="1"/>
  <c r="BV103" i="17"/>
  <c r="BV97" i="17"/>
  <c r="BV104" i="17"/>
  <c r="AF152" i="17"/>
  <c r="AE161" i="17"/>
  <c r="BW121" i="17" s="1"/>
  <c r="BV100" i="17"/>
  <c r="BV101" i="17"/>
  <c r="BV98" i="17"/>
  <c r="AN140" i="17"/>
  <c r="AO140" i="17" s="1"/>
  <c r="X90" i="19"/>
  <c r="AN139" i="17"/>
  <c r="AO139" i="17" s="1"/>
  <c r="X89" i="19"/>
  <c r="AN145" i="17"/>
  <c r="AO145" i="17" s="1"/>
  <c r="X95" i="19"/>
  <c r="AN144" i="17"/>
  <c r="AO144" i="17" s="1"/>
  <c r="X94" i="19"/>
  <c r="AN142" i="17"/>
  <c r="AO142" i="17" s="1"/>
  <c r="X92" i="19"/>
  <c r="AN141" i="17"/>
  <c r="AO141" i="17" s="1"/>
  <c r="X91" i="19"/>
  <c r="BV105" i="17"/>
  <c r="AH156" i="17"/>
  <c r="BV102" i="17"/>
  <c r="CC106" i="17"/>
  <c r="AL146" i="17"/>
  <c r="AM146" i="17"/>
  <c r="AN137" i="17"/>
  <c r="AO137" i="17" s="1"/>
  <c r="X87" i="19"/>
  <c r="AN138" i="17"/>
  <c r="AO138" i="17" s="1"/>
  <c r="X88" i="19"/>
  <c r="AN143" i="17"/>
  <c r="AO143" i="17" s="1"/>
  <c r="X93" i="19"/>
  <c r="R178" i="6"/>
  <c r="AW41" i="6" s="1"/>
  <c r="AJ153" i="17"/>
  <c r="F192" i="6"/>
  <c r="D192" i="6"/>
  <c r="M192" i="6" s="1"/>
  <c r="D187" i="6"/>
  <c r="M187" i="6" s="1"/>
  <c r="F187" i="6"/>
  <c r="N187" i="6" s="1"/>
  <c r="AI161" i="17"/>
  <c r="N196" i="6"/>
  <c r="N181" i="6"/>
  <c r="R181" i="6" s="1"/>
  <c r="AW44" i="6" s="1"/>
  <c r="AI152" i="17"/>
  <c r="N192" i="6"/>
  <c r="AA111" i="19"/>
  <c r="AD158" i="17"/>
  <c r="AF156" i="17"/>
  <c r="AD156" i="17"/>
  <c r="F193" i="6"/>
  <c r="D193" i="6"/>
  <c r="M193" i="6" s="1"/>
  <c r="E193" i="6"/>
  <c r="E194" i="6"/>
  <c r="F194" i="6"/>
  <c r="D194" i="6"/>
  <c r="M194" i="6" s="1"/>
  <c r="AE156" i="17"/>
  <c r="BW116" i="17" s="1"/>
  <c r="AC142" i="17"/>
  <c r="AJ165" i="17"/>
  <c r="AA115" i="19"/>
  <c r="D188" i="6"/>
  <c r="M188" i="6" s="1"/>
  <c r="F188" i="6"/>
  <c r="E188" i="6"/>
  <c r="AJ155" i="17"/>
  <c r="AA105" i="19"/>
  <c r="AA118" i="19"/>
  <c r="AJ168" i="17"/>
  <c r="AI158" i="17"/>
  <c r="AJ162" i="17"/>
  <c r="AA112" i="19"/>
  <c r="AJ163" i="17"/>
  <c r="AA113" i="19"/>
  <c r="AG158" i="17"/>
  <c r="AJ151" i="17"/>
  <c r="AA101" i="19"/>
  <c r="F179" i="6"/>
  <c r="E179" i="6"/>
  <c r="D179" i="6"/>
  <c r="M179" i="6" s="1"/>
  <c r="R196" i="6"/>
  <c r="AW59" i="6" s="1"/>
  <c r="AG156" i="17"/>
  <c r="AC137" i="17"/>
  <c r="AF158" i="17"/>
  <c r="AJ169" i="17"/>
  <c r="AD152" i="17"/>
  <c r="AG152" i="17"/>
  <c r="AE152" i="17"/>
  <c r="BW112" i="17" s="1"/>
  <c r="AA110" i="19"/>
  <c r="AJ160" i="17"/>
  <c r="AD161" i="17"/>
  <c r="AF161" i="17"/>
  <c r="AH161" i="17"/>
  <c r="AH158" i="17"/>
  <c r="E195" i="6"/>
  <c r="D195" i="6"/>
  <c r="M195" i="6" s="1"/>
  <c r="F195" i="6"/>
  <c r="AG161" i="17"/>
  <c r="D191" i="6"/>
  <c r="M191" i="6" s="1"/>
  <c r="F191" i="6"/>
  <c r="E191" i="6"/>
  <c r="AJ154" i="17"/>
  <c r="AA104" i="19"/>
  <c r="AJ164" i="17"/>
  <c r="AA114" i="19"/>
  <c r="E197" i="6"/>
  <c r="D197" i="6"/>
  <c r="M197" i="6" s="1"/>
  <c r="F197" i="6"/>
  <c r="AJ167" i="17"/>
  <c r="AA117" i="19"/>
  <c r="AI156" i="17"/>
  <c r="AE158" i="17"/>
  <c r="BW118" i="17" s="1"/>
  <c r="AJ159" i="17"/>
  <c r="AA109" i="19"/>
  <c r="N190" i="6"/>
  <c r="R190" i="6" s="1"/>
  <c r="AW53" i="6" s="1"/>
  <c r="F182" i="6"/>
  <c r="D182" i="6"/>
  <c r="M182" i="6" s="1"/>
  <c r="E182" i="6"/>
  <c r="E183" i="6"/>
  <c r="F183" i="6"/>
  <c r="D183" i="6"/>
  <c r="M183" i="6" s="1"/>
  <c r="D185" i="6"/>
  <c r="M185" i="6" s="1"/>
  <c r="F185" i="6"/>
  <c r="E185" i="6"/>
  <c r="AJ157" i="17"/>
  <c r="AA107" i="19"/>
  <c r="AJ166" i="17"/>
  <c r="AA116" i="19"/>
  <c r="AH152" i="17"/>
  <c r="AC144" i="17"/>
  <c r="Y146" i="17"/>
  <c r="AB146" i="17"/>
  <c r="AA146" i="17"/>
  <c r="W146" i="17"/>
  <c r="Z146" i="17"/>
  <c r="X146" i="17"/>
  <c r="AC140" i="17"/>
  <c r="AC145" i="17"/>
  <c r="AC141" i="17"/>
  <c r="AC138" i="17"/>
  <c r="AC139" i="17"/>
  <c r="AC143" i="17"/>
  <c r="U148" i="17"/>
  <c r="T148" i="17"/>
  <c r="V148" i="17"/>
  <c r="T147" i="17"/>
  <c r="V147" i="17"/>
  <c r="U147" i="17"/>
  <c r="AH144" i="17" l="1"/>
  <c r="AI140" i="17"/>
  <c r="R192" i="6"/>
  <c r="AW55" i="6" s="1"/>
  <c r="AI145" i="17"/>
  <c r="CC107" i="17"/>
  <c r="AL147" i="17"/>
  <c r="AM147" i="17"/>
  <c r="X97" i="19" s="1"/>
  <c r="AG138" i="17"/>
  <c r="D166" i="6" s="1"/>
  <c r="M166" i="6" s="1"/>
  <c r="AD142" i="17"/>
  <c r="BV106" i="17"/>
  <c r="AN146" i="17"/>
  <c r="AO146" i="17" s="1"/>
  <c r="X96" i="19"/>
  <c r="CC108" i="17"/>
  <c r="AL148" i="17"/>
  <c r="AM148" i="17"/>
  <c r="AI141" i="17"/>
  <c r="AG137" i="17"/>
  <c r="R187" i="6"/>
  <c r="AW50" i="6" s="1"/>
  <c r="AE144" i="17"/>
  <c r="AF142" i="17"/>
  <c r="AD137" i="17"/>
  <c r="AH137" i="17"/>
  <c r="N188" i="6"/>
  <c r="E165" i="6"/>
  <c r="F165" i="6"/>
  <c r="D165" i="6"/>
  <c r="M165" i="6" s="1"/>
  <c r="AD144" i="17"/>
  <c r="AG144" i="17"/>
  <c r="E172" i="6" s="1"/>
  <c r="AE137" i="17"/>
  <c r="AA87" i="19" s="1"/>
  <c r="AB87" i="19" s="1"/>
  <c r="AD87" i="19" s="1"/>
  <c r="AF137" i="17"/>
  <c r="AF144" i="17"/>
  <c r="AI137" i="17"/>
  <c r="N185" i="6"/>
  <c r="R185" i="6" s="1"/>
  <c r="AW48" i="6" s="1"/>
  <c r="N191" i="6"/>
  <c r="R191" i="6" s="1"/>
  <c r="AW54" i="6" s="1"/>
  <c r="N197" i="6"/>
  <c r="R197" i="6" s="1"/>
  <c r="AW60" i="6" s="1"/>
  <c r="AJ161" i="17"/>
  <c r="AJ156" i="17"/>
  <c r="N193" i="6"/>
  <c r="R193" i="6" s="1"/>
  <c r="AW56" i="6" s="1"/>
  <c r="AB116" i="19"/>
  <c r="AC116" i="19"/>
  <c r="AB119" i="19"/>
  <c r="AC119" i="19"/>
  <c r="AC115" i="19"/>
  <c r="AB115" i="19"/>
  <c r="N183" i="6"/>
  <c r="R183" i="6" s="1"/>
  <c r="AW46" i="6" s="1"/>
  <c r="AC104" i="19"/>
  <c r="AB104" i="19"/>
  <c r="AC110" i="19"/>
  <c r="AB110" i="19"/>
  <c r="AC101" i="19"/>
  <c r="AB101" i="19"/>
  <c r="AC113" i="19"/>
  <c r="AB113" i="19"/>
  <c r="AC112" i="19"/>
  <c r="AB112" i="19"/>
  <c r="AC105" i="19"/>
  <c r="AB105" i="19"/>
  <c r="AC114" i="19"/>
  <c r="AB114" i="19"/>
  <c r="N195" i="6"/>
  <c r="R195" i="6" s="1"/>
  <c r="AW58" i="6" s="1"/>
  <c r="AC118" i="19"/>
  <c r="AB118" i="19"/>
  <c r="R188" i="6"/>
  <c r="AW51" i="6" s="1"/>
  <c r="AB111" i="19"/>
  <c r="AC111" i="19"/>
  <c r="AC109" i="19"/>
  <c r="AB109" i="19"/>
  <c r="AB117" i="19"/>
  <c r="AC117" i="19"/>
  <c r="E180" i="6"/>
  <c r="F180" i="6"/>
  <c r="D180" i="6"/>
  <c r="M180" i="6" s="1"/>
  <c r="D184" i="6"/>
  <c r="M184" i="6" s="1"/>
  <c r="F184" i="6"/>
  <c r="E184" i="6"/>
  <c r="F186" i="6"/>
  <c r="E186" i="6"/>
  <c r="D186" i="6"/>
  <c r="M186" i="6" s="1"/>
  <c r="AA106" i="19"/>
  <c r="AB106" i="19" s="1"/>
  <c r="F166" i="6"/>
  <c r="AI144" i="17"/>
  <c r="AB107" i="19"/>
  <c r="AC107" i="19"/>
  <c r="N182" i="6"/>
  <c r="R182" i="6" s="1"/>
  <c r="AW45" i="6" s="1"/>
  <c r="AJ158" i="17"/>
  <c r="AA108" i="19"/>
  <c r="F189" i="6"/>
  <c r="E189" i="6"/>
  <c r="D189" i="6"/>
  <c r="M189" i="6" s="1"/>
  <c r="AA102" i="19"/>
  <c r="AJ152" i="17"/>
  <c r="N179" i="6"/>
  <c r="R179" i="6" s="1"/>
  <c r="AW42" i="6" s="1"/>
  <c r="AG142" i="17"/>
  <c r="AH142" i="17"/>
  <c r="AE142" i="17"/>
  <c r="BW102" i="17" s="1"/>
  <c r="AI142" i="17"/>
  <c r="N194" i="6"/>
  <c r="R194" i="6" s="1"/>
  <c r="AW57" i="6" s="1"/>
  <c r="AF143" i="17"/>
  <c r="AH143" i="17"/>
  <c r="AD143" i="17"/>
  <c r="AE143" i="17"/>
  <c r="BW103" i="17" s="1"/>
  <c r="AG143" i="17"/>
  <c r="AE145" i="17"/>
  <c r="BW105" i="17" s="1"/>
  <c r="AD145" i="17"/>
  <c r="AF145" i="17"/>
  <c r="AG145" i="17"/>
  <c r="AF140" i="17"/>
  <c r="AG140" i="17"/>
  <c r="AD140" i="17"/>
  <c r="AH140" i="17"/>
  <c r="AE140" i="17"/>
  <c r="BW100" i="17" s="1"/>
  <c r="AI143" i="17"/>
  <c r="AA148" i="17"/>
  <c r="Z148" i="17"/>
  <c r="W148" i="17"/>
  <c r="Y148" i="17"/>
  <c r="AB148" i="17"/>
  <c r="X148" i="17"/>
  <c r="AD139" i="17"/>
  <c r="AF139" i="17"/>
  <c r="AH139" i="17"/>
  <c r="AE139" i="17"/>
  <c r="BW99" i="17" s="1"/>
  <c r="AG139" i="17"/>
  <c r="AH138" i="17"/>
  <c r="AI138" i="17"/>
  <c r="AE138" i="17"/>
  <c r="BW98" i="17" s="1"/>
  <c r="AF138" i="17"/>
  <c r="AD138" i="17"/>
  <c r="AH145" i="17"/>
  <c r="E166" i="6"/>
  <c r="AB147" i="17"/>
  <c r="AA147" i="17"/>
  <c r="Z147" i="17"/>
  <c r="W147" i="17"/>
  <c r="Y147" i="17"/>
  <c r="X147" i="17"/>
  <c r="AG141" i="17"/>
  <c r="AD141" i="17"/>
  <c r="AF141" i="17"/>
  <c r="AE141" i="17"/>
  <c r="BW101" i="17" s="1"/>
  <c r="AC146" i="17"/>
  <c r="AI139" i="17"/>
  <c r="AH141" i="17"/>
  <c r="AN147" i="17" l="1"/>
  <c r="AO147" i="17" s="1"/>
  <c r="AC106" i="19"/>
  <c r="BW104" i="17"/>
  <c r="AI146" i="17"/>
  <c r="BV108" i="17"/>
  <c r="BV107" i="17"/>
  <c r="BW97" i="17"/>
  <c r="AN148" i="17"/>
  <c r="AO148" i="17" s="1"/>
  <c r="X98" i="19"/>
  <c r="AA94" i="19"/>
  <c r="AC94" i="19" s="1"/>
  <c r="N165" i="6"/>
  <c r="R165" i="6" s="1"/>
  <c r="AW28" i="6" s="1"/>
  <c r="F172" i="6"/>
  <c r="N172" i="6" s="1"/>
  <c r="D172" i="6"/>
  <c r="M172" i="6" s="1"/>
  <c r="AJ144" i="17"/>
  <c r="AC87" i="19"/>
  <c r="AE87" i="19" s="1"/>
  <c r="AF87" i="19" s="1"/>
  <c r="BC87" i="19" s="1"/>
  <c r="BE87" i="19" s="1"/>
  <c r="BG87" i="19" s="1"/>
  <c r="C165" i="6" s="1"/>
  <c r="L165" i="6" s="1"/>
  <c r="Q165" i="6" s="1"/>
  <c r="AV28" i="6" s="1"/>
  <c r="AJ137" i="17"/>
  <c r="N166" i="6"/>
  <c r="R166" i="6" s="1"/>
  <c r="AW29" i="6" s="1"/>
  <c r="N189" i="6"/>
  <c r="R189" i="6" s="1"/>
  <c r="AW52" i="6" s="1"/>
  <c r="E170" i="6"/>
  <c r="D170" i="6"/>
  <c r="M170" i="6" s="1"/>
  <c r="F170" i="6"/>
  <c r="N184" i="6"/>
  <c r="R184" i="6" s="1"/>
  <c r="AW47" i="6" s="1"/>
  <c r="AJ142" i="17"/>
  <c r="AA92" i="19"/>
  <c r="N180" i="6"/>
  <c r="R180" i="6" s="1"/>
  <c r="AW43" i="6" s="1"/>
  <c r="AB108" i="19"/>
  <c r="AC108" i="19"/>
  <c r="AB102" i="19"/>
  <c r="AC102" i="19"/>
  <c r="N186" i="6"/>
  <c r="R186" i="6" s="1"/>
  <c r="AW49" i="6" s="1"/>
  <c r="AC148" i="17"/>
  <c r="AD146" i="17"/>
  <c r="AE146" i="17"/>
  <c r="BW106" i="17" s="1"/>
  <c r="AH146" i="17"/>
  <c r="F169" i="6"/>
  <c r="E169" i="6"/>
  <c r="D169" i="6"/>
  <c r="M169" i="6" s="1"/>
  <c r="AA89" i="19"/>
  <c r="AJ139" i="17"/>
  <c r="AJ145" i="17"/>
  <c r="AA95" i="19"/>
  <c r="F167" i="6"/>
  <c r="D167" i="6"/>
  <c r="M167" i="6" s="1"/>
  <c r="E167" i="6"/>
  <c r="AJ140" i="17"/>
  <c r="AA90" i="19"/>
  <c r="AJ141" i="17"/>
  <c r="AA91" i="19"/>
  <c r="F173" i="6"/>
  <c r="D173" i="6"/>
  <c r="M173" i="6" s="1"/>
  <c r="E173" i="6"/>
  <c r="AA93" i="19"/>
  <c r="AJ143" i="17"/>
  <c r="AC147" i="17"/>
  <c r="AJ138" i="17"/>
  <c r="AA88" i="19"/>
  <c r="AG146" i="17"/>
  <c r="F168" i="6"/>
  <c r="D168" i="6"/>
  <c r="M168" i="6" s="1"/>
  <c r="E168" i="6"/>
  <c r="D171" i="6"/>
  <c r="M171" i="6" s="1"/>
  <c r="F171" i="6"/>
  <c r="E171" i="6"/>
  <c r="AF146" i="17"/>
  <c r="AH148" i="17" l="1"/>
  <c r="R172" i="6"/>
  <c r="AW35" i="6" s="1"/>
  <c r="AB94" i="19"/>
  <c r="U165" i="6"/>
  <c r="AZ28" i="6" s="1"/>
  <c r="AD148" i="17"/>
  <c r="N169" i="6"/>
  <c r="N170" i="6"/>
  <c r="R170" i="6" s="1"/>
  <c r="AW33" i="6" s="1"/>
  <c r="AB92" i="19"/>
  <c r="AC92" i="19"/>
  <c r="N168" i="6"/>
  <c r="R168" i="6" s="1"/>
  <c r="AW31" i="6" s="1"/>
  <c r="N167" i="6"/>
  <c r="R167" i="6" s="1"/>
  <c r="AW30" i="6" s="1"/>
  <c r="AG148" i="17"/>
  <c r="AE148" i="17"/>
  <c r="BW108" i="17" s="1"/>
  <c r="AI148" i="17"/>
  <c r="AF148" i="17"/>
  <c r="D174" i="6"/>
  <c r="M174" i="6" s="1"/>
  <c r="F174" i="6"/>
  <c r="E174" i="6"/>
  <c r="AB89" i="19"/>
  <c r="AC89" i="19"/>
  <c r="AB88" i="19"/>
  <c r="AD88" i="19" s="1"/>
  <c r="AC88" i="19"/>
  <c r="AE88" i="19" s="1"/>
  <c r="AF88" i="19" s="1"/>
  <c r="BC88" i="19" s="1"/>
  <c r="BE88" i="19" s="1"/>
  <c r="BG88" i="19" s="1"/>
  <c r="C166" i="6" s="1"/>
  <c r="L166" i="6" s="1"/>
  <c r="Q166" i="6" s="1"/>
  <c r="U166" i="6" s="1"/>
  <c r="AZ29" i="6" s="1"/>
  <c r="AG147" i="17"/>
  <c r="AE147" i="17"/>
  <c r="BW107" i="17" s="1"/>
  <c r="AD147" i="17"/>
  <c r="AI147" i="17"/>
  <c r="AB90" i="19"/>
  <c r="AC90" i="19"/>
  <c r="N171" i="6"/>
  <c r="R171" i="6" s="1"/>
  <c r="AW34" i="6" s="1"/>
  <c r="AH147" i="17"/>
  <c r="AB93" i="19"/>
  <c r="AC93" i="19"/>
  <c r="N173" i="6"/>
  <c r="R173" i="6" s="1"/>
  <c r="AW36" i="6" s="1"/>
  <c r="AB91" i="19"/>
  <c r="AC91" i="19"/>
  <c r="AC95" i="19"/>
  <c r="AB95" i="19"/>
  <c r="R169" i="6"/>
  <c r="AW32" i="6" s="1"/>
  <c r="AA96" i="19"/>
  <c r="AJ146" i="17"/>
  <c r="AF147" i="17"/>
  <c r="N174" i="6" l="1"/>
  <c r="AA98" i="19"/>
  <c r="AJ148" i="17"/>
  <c r="AV29" i="6"/>
  <c r="D176" i="6"/>
  <c r="M176" i="6" s="1"/>
  <c r="E176" i="6"/>
  <c r="F176" i="6"/>
  <c r="AD89" i="19"/>
  <c r="AE90" i="19" s="1"/>
  <c r="AF90" i="19" s="1"/>
  <c r="BC90" i="19" s="1"/>
  <c r="BE90" i="19" s="1"/>
  <c r="BG90" i="19" s="1"/>
  <c r="C168" i="6" s="1"/>
  <c r="L168" i="6" s="1"/>
  <c r="Q168" i="6" s="1"/>
  <c r="AV31" i="6" s="1"/>
  <c r="AJ147" i="17"/>
  <c r="AA97" i="19"/>
  <c r="AC96" i="19"/>
  <c r="AB96" i="19"/>
  <c r="D175" i="6"/>
  <c r="M175" i="6" s="1"/>
  <c r="F175" i="6"/>
  <c r="E175" i="6"/>
  <c r="AE89" i="19"/>
  <c r="AF89" i="19" s="1"/>
  <c r="BC89" i="19" s="1"/>
  <c r="BE89" i="19" s="1"/>
  <c r="BG89" i="19" s="1"/>
  <c r="C167" i="6" s="1"/>
  <c r="L167" i="6" s="1"/>
  <c r="Q167" i="6" s="1"/>
  <c r="AV30" i="6" s="1"/>
  <c r="R174" i="6"/>
  <c r="AW37" i="6" s="1"/>
  <c r="U168" i="6" l="1"/>
  <c r="AZ31" i="6" s="1"/>
  <c r="AD90" i="19"/>
  <c r="N176" i="6"/>
  <c r="R176" i="6" s="1"/>
  <c r="AW39" i="6" s="1"/>
  <c r="AB98" i="19"/>
  <c r="AC98" i="19"/>
  <c r="AC97" i="19"/>
  <c r="AB97" i="19"/>
  <c r="U167" i="6"/>
  <c r="AZ30" i="6" s="1"/>
  <c r="N175" i="6"/>
  <c r="R175" i="6" s="1"/>
  <c r="AW38" i="6" s="1"/>
  <c r="AD91" i="19" l="1"/>
  <c r="AE91" i="19"/>
  <c r="AF91" i="19" s="1"/>
  <c r="BC91" i="19" s="1"/>
  <c r="BE91" i="19" s="1"/>
  <c r="BG91" i="19" s="1"/>
  <c r="C169" i="6" s="1"/>
  <c r="L169" i="6" s="1"/>
  <c r="Q169" i="6" s="1"/>
  <c r="U169" i="6" s="1"/>
  <c r="AZ32" i="6" s="1"/>
  <c r="AV32" i="6" l="1"/>
  <c r="AD92" i="19"/>
  <c r="AE92" i="19"/>
  <c r="AF92" i="19" s="1"/>
  <c r="BC92" i="19" s="1"/>
  <c r="BE92" i="19" s="1"/>
  <c r="BG92" i="19" s="1"/>
  <c r="C170" i="6" s="1"/>
  <c r="L170" i="6" s="1"/>
  <c r="Q170" i="6" s="1"/>
  <c r="U170" i="6" s="1"/>
  <c r="AZ33" i="6" s="1"/>
  <c r="AV33" i="6" l="1"/>
  <c r="AD93" i="19"/>
  <c r="AE93" i="19"/>
  <c r="AF93" i="19" s="1"/>
  <c r="BC93" i="19" s="1"/>
  <c r="BE93" i="19" s="1"/>
  <c r="BG93" i="19" s="1"/>
  <c r="C171" i="6" s="1"/>
  <c r="L171" i="6" s="1"/>
  <c r="Q171" i="6" s="1"/>
  <c r="AV34" i="6" s="1"/>
  <c r="U171" i="6" l="1"/>
  <c r="AZ34" i="6" s="1"/>
  <c r="AE94" i="19"/>
  <c r="AF94" i="19" s="1"/>
  <c r="BC94" i="19" s="1"/>
  <c r="BE94" i="19" s="1"/>
  <c r="BG94" i="19" s="1"/>
  <c r="C172" i="6" s="1"/>
  <c r="L172" i="6" s="1"/>
  <c r="Q172" i="6" s="1"/>
  <c r="U172" i="6" s="1"/>
  <c r="AZ35" i="6" s="1"/>
  <c r="AD94" i="19"/>
  <c r="AV35" i="6" l="1"/>
  <c r="AE95" i="19"/>
  <c r="AF95" i="19" s="1"/>
  <c r="BC95" i="19" s="1"/>
  <c r="BE95" i="19" s="1"/>
  <c r="BG95" i="19" s="1"/>
  <c r="C173" i="6" s="1"/>
  <c r="L173" i="6" s="1"/>
  <c r="Q173" i="6" s="1"/>
  <c r="AV36" i="6" s="1"/>
  <c r="AD95" i="19"/>
  <c r="U173" i="6" l="1"/>
  <c r="AZ36" i="6" s="1"/>
  <c r="AD96" i="19"/>
  <c r="AE96" i="19"/>
  <c r="AF96" i="19" s="1"/>
  <c r="BC96" i="19" s="1"/>
  <c r="BE96" i="19" s="1"/>
  <c r="BG96" i="19" s="1"/>
  <c r="C174" i="6" s="1"/>
  <c r="L174" i="6" s="1"/>
  <c r="Q174" i="6" s="1"/>
  <c r="AV37" i="6" s="1"/>
  <c r="U174" i="6" l="1"/>
  <c r="AZ37" i="6" s="1"/>
  <c r="AD97" i="19"/>
  <c r="AE97" i="19"/>
  <c r="AF97" i="19" s="1"/>
  <c r="BC97" i="19" s="1"/>
  <c r="BE97" i="19" s="1"/>
  <c r="BG97" i="19" s="1"/>
  <c r="C175" i="6" s="1"/>
  <c r="L175" i="6" s="1"/>
  <c r="Q175" i="6" s="1"/>
  <c r="U175" i="6" s="1"/>
  <c r="AZ38" i="6" s="1"/>
  <c r="AV38" i="6" l="1"/>
  <c r="AD98" i="19"/>
  <c r="AE98" i="19"/>
  <c r="AF98" i="19" s="1"/>
  <c r="BC98" i="19" s="1"/>
  <c r="BE98" i="19" s="1"/>
  <c r="BG98" i="19" s="1"/>
  <c r="C176" i="6" s="1"/>
  <c r="L176" i="6" s="1"/>
  <c r="Q176" i="6" s="1"/>
  <c r="AV39" i="6" s="1"/>
  <c r="U176" i="6" l="1"/>
  <c r="AZ39" i="6" s="1"/>
  <c r="AD99" i="19"/>
  <c r="AE99" i="19"/>
  <c r="AF99" i="19" s="1"/>
  <c r="BC99" i="19" s="1"/>
  <c r="BE99" i="19" s="1"/>
  <c r="BG99" i="19" s="1"/>
  <c r="C177" i="6" s="1"/>
  <c r="L177" i="6" s="1"/>
  <c r="Q177" i="6" s="1"/>
  <c r="U177" i="6" s="1"/>
  <c r="AZ40" i="6" s="1"/>
  <c r="AE100" i="19" l="1"/>
  <c r="AF100" i="19" s="1"/>
  <c r="BC100" i="19" s="1"/>
  <c r="BE100" i="19" s="1"/>
  <c r="BG100" i="19" s="1"/>
  <c r="C178" i="6" s="1"/>
  <c r="L178" i="6" s="1"/>
  <c r="Q178" i="6" s="1"/>
  <c r="U178" i="6" s="1"/>
  <c r="AZ41" i="6" s="1"/>
  <c r="AD100" i="19"/>
  <c r="AV40" i="6"/>
  <c r="AV41" i="6" l="1"/>
  <c r="AD101" i="19"/>
  <c r="AE101" i="19"/>
  <c r="AF101" i="19" s="1"/>
  <c r="BC101" i="19" s="1"/>
  <c r="BE101" i="19" s="1"/>
  <c r="BG101" i="19" s="1"/>
  <c r="C179" i="6" s="1"/>
  <c r="L179" i="6" s="1"/>
  <c r="Q179" i="6" s="1"/>
  <c r="AV42" i="6" s="1"/>
  <c r="U179" i="6" l="1"/>
  <c r="AZ42" i="6" s="1"/>
  <c r="AD102" i="19"/>
  <c r="AE102" i="19"/>
  <c r="AF102" i="19" s="1"/>
  <c r="BC102" i="19" s="1"/>
  <c r="BE102" i="19" s="1"/>
  <c r="BG102" i="19" s="1"/>
  <c r="C180" i="6" s="1"/>
  <c r="L180" i="6" s="1"/>
  <c r="Q180" i="6" s="1"/>
  <c r="AV43" i="6" s="1"/>
  <c r="U180" i="6" l="1"/>
  <c r="AZ43" i="6" s="1"/>
  <c r="AD103" i="19"/>
  <c r="AE103" i="19"/>
  <c r="AF103" i="19" s="1"/>
  <c r="BC103" i="19" s="1"/>
  <c r="BE103" i="19" s="1"/>
  <c r="BG103" i="19" s="1"/>
  <c r="C181" i="6" s="1"/>
  <c r="L181" i="6" s="1"/>
  <c r="Q181" i="6" s="1"/>
  <c r="AV44" i="6" s="1"/>
  <c r="AD104" i="19" l="1"/>
  <c r="AE104" i="19"/>
  <c r="AF104" i="19" s="1"/>
  <c r="BC104" i="19" s="1"/>
  <c r="BE104" i="19" s="1"/>
  <c r="BG104" i="19" s="1"/>
  <c r="C182" i="6" s="1"/>
  <c r="L182" i="6" s="1"/>
  <c r="Q182" i="6" s="1"/>
  <c r="U182" i="6" s="1"/>
  <c r="AZ45" i="6" s="1"/>
  <c r="U181" i="6"/>
  <c r="AZ44" i="6" s="1"/>
  <c r="AV45" i="6" l="1"/>
  <c r="AD105" i="19"/>
  <c r="AE105" i="19"/>
  <c r="AF105" i="19" s="1"/>
  <c r="BC105" i="19" s="1"/>
  <c r="BE105" i="19" s="1"/>
  <c r="BG105" i="19" s="1"/>
  <c r="C183" i="6" s="1"/>
  <c r="L183" i="6" s="1"/>
  <c r="Q183" i="6" s="1"/>
  <c r="U183" i="6" s="1"/>
  <c r="AZ46" i="6" s="1"/>
  <c r="AV46" i="6" l="1"/>
  <c r="AE106" i="19"/>
  <c r="AF106" i="19" s="1"/>
  <c r="BC106" i="19" s="1"/>
  <c r="BE106" i="19" s="1"/>
  <c r="BG106" i="19" s="1"/>
  <c r="C184" i="6" s="1"/>
  <c r="L184" i="6" s="1"/>
  <c r="Q184" i="6" s="1"/>
  <c r="AV47" i="6" s="1"/>
  <c r="AD106" i="19"/>
  <c r="U184" i="6" l="1"/>
  <c r="AZ47" i="6" s="1"/>
  <c r="AD107" i="19"/>
  <c r="AE107" i="19"/>
  <c r="AF107" i="19" s="1"/>
  <c r="BC107" i="19" s="1"/>
  <c r="BE107" i="19" s="1"/>
  <c r="BG107" i="19" s="1"/>
  <c r="C185" i="6" s="1"/>
  <c r="L185" i="6" s="1"/>
  <c r="Q185" i="6" s="1"/>
  <c r="U185" i="6" s="1"/>
  <c r="AZ48" i="6" s="1"/>
  <c r="AE108" i="19" l="1"/>
  <c r="AF108" i="19" s="1"/>
  <c r="BC108" i="19" s="1"/>
  <c r="BE108" i="19" s="1"/>
  <c r="BG108" i="19" s="1"/>
  <c r="C186" i="6" s="1"/>
  <c r="L186" i="6" s="1"/>
  <c r="Q186" i="6" s="1"/>
  <c r="AV49" i="6" s="1"/>
  <c r="AD108" i="19"/>
  <c r="AV48" i="6"/>
  <c r="U186" i="6" l="1"/>
  <c r="AZ49" i="6" s="1"/>
  <c r="AE109" i="19"/>
  <c r="AF109" i="19" s="1"/>
  <c r="BC109" i="19" s="1"/>
  <c r="BE109" i="19" s="1"/>
  <c r="BG109" i="19" s="1"/>
  <c r="C187" i="6" s="1"/>
  <c r="L187" i="6" s="1"/>
  <c r="Q187" i="6" s="1"/>
  <c r="U187" i="6" s="1"/>
  <c r="AZ50" i="6" s="1"/>
  <c r="AD109" i="19"/>
  <c r="AV50" i="6" l="1"/>
  <c r="AE110" i="19"/>
  <c r="AF110" i="19" s="1"/>
  <c r="BC110" i="19" s="1"/>
  <c r="BE110" i="19" s="1"/>
  <c r="BG110" i="19" s="1"/>
  <c r="C188" i="6" s="1"/>
  <c r="L188" i="6" s="1"/>
  <c r="Q188" i="6" s="1"/>
  <c r="U188" i="6" s="1"/>
  <c r="AZ51" i="6" s="1"/>
  <c r="AD110" i="19"/>
  <c r="AV51" i="6" l="1"/>
  <c r="AD111" i="19"/>
  <c r="AE111" i="19"/>
  <c r="AF111" i="19" s="1"/>
  <c r="BC111" i="19" s="1"/>
  <c r="BE111" i="19" s="1"/>
  <c r="BG111" i="19" s="1"/>
  <c r="C189" i="6" s="1"/>
  <c r="L189" i="6" s="1"/>
  <c r="Q189" i="6" s="1"/>
  <c r="AV52" i="6" s="1"/>
  <c r="U189" i="6" l="1"/>
  <c r="AZ52" i="6" s="1"/>
  <c r="AE112" i="19"/>
  <c r="AF112" i="19" s="1"/>
  <c r="BC112" i="19" s="1"/>
  <c r="BE112" i="19" s="1"/>
  <c r="BG112" i="19" s="1"/>
  <c r="C190" i="6" s="1"/>
  <c r="L190" i="6" s="1"/>
  <c r="Q190" i="6" s="1"/>
  <c r="AV53" i="6" s="1"/>
  <c r="AD112" i="19"/>
  <c r="U190" i="6" l="1"/>
  <c r="AZ53" i="6" s="1"/>
  <c r="AD113" i="19"/>
  <c r="AE113" i="19"/>
  <c r="AF113" i="19" s="1"/>
  <c r="BC113" i="19" s="1"/>
  <c r="BE113" i="19" s="1"/>
  <c r="BG113" i="19" s="1"/>
  <c r="C191" i="6" s="1"/>
  <c r="L191" i="6" s="1"/>
  <c r="Q191" i="6" s="1"/>
  <c r="AV54" i="6" s="1"/>
  <c r="U191" i="6" l="1"/>
  <c r="AZ54" i="6" s="1"/>
  <c r="AE114" i="19"/>
  <c r="AF114" i="19" s="1"/>
  <c r="BC114" i="19" s="1"/>
  <c r="BE114" i="19" s="1"/>
  <c r="BG114" i="19" s="1"/>
  <c r="C192" i="6" s="1"/>
  <c r="L192" i="6" s="1"/>
  <c r="Q192" i="6" s="1"/>
  <c r="U192" i="6" s="1"/>
  <c r="AZ55" i="6" s="1"/>
  <c r="AD114" i="19"/>
  <c r="AV55" i="6" l="1"/>
  <c r="AE115" i="19"/>
  <c r="AF115" i="19" s="1"/>
  <c r="BC115" i="19" s="1"/>
  <c r="BE115" i="19" s="1"/>
  <c r="BG115" i="19" s="1"/>
  <c r="C193" i="6" s="1"/>
  <c r="L193" i="6" s="1"/>
  <c r="Q193" i="6" s="1"/>
  <c r="U193" i="6" s="1"/>
  <c r="AZ56" i="6" s="1"/>
  <c r="AD115" i="19"/>
  <c r="AV56" i="6" l="1"/>
  <c r="AE116" i="19"/>
  <c r="AF116" i="19" s="1"/>
  <c r="BC116" i="19" s="1"/>
  <c r="BE116" i="19" s="1"/>
  <c r="BG116" i="19" s="1"/>
  <c r="C194" i="6" s="1"/>
  <c r="L194" i="6" s="1"/>
  <c r="Q194" i="6" s="1"/>
  <c r="U194" i="6" s="1"/>
  <c r="AZ57" i="6" s="1"/>
  <c r="AD116" i="19"/>
  <c r="AV57" i="6" l="1"/>
  <c r="AD117" i="19"/>
  <c r="AE117" i="19"/>
  <c r="AF117" i="19" s="1"/>
  <c r="BC117" i="19" s="1"/>
  <c r="BE117" i="19" s="1"/>
  <c r="BG117" i="19" s="1"/>
  <c r="C195" i="6" s="1"/>
  <c r="L195" i="6" s="1"/>
  <c r="Q195" i="6" s="1"/>
  <c r="U195" i="6" s="1"/>
  <c r="AZ58" i="6" s="1"/>
  <c r="AV58" i="6" l="1"/>
  <c r="AD118" i="19"/>
  <c r="AE118" i="19"/>
  <c r="AF118" i="19" s="1"/>
  <c r="BC118" i="19" s="1"/>
  <c r="BE118" i="19" s="1"/>
  <c r="BG118" i="19" s="1"/>
  <c r="C196" i="6" s="1"/>
  <c r="L196" i="6" s="1"/>
  <c r="Q196" i="6" s="1"/>
  <c r="AV59" i="6" s="1"/>
  <c r="U196" i="6" l="1"/>
  <c r="AZ59" i="6" s="1"/>
  <c r="AE119" i="19"/>
  <c r="AF119" i="19" s="1"/>
  <c r="BC119" i="19" s="1"/>
  <c r="BE119" i="19" s="1"/>
  <c r="BG119" i="19" s="1"/>
  <c r="C197" i="6" s="1"/>
  <c r="L197" i="6" s="1"/>
  <c r="Q197" i="6" s="1"/>
  <c r="U197" i="6" s="1"/>
  <c r="AZ60" i="6" s="1"/>
  <c r="AD119" i="19"/>
  <c r="AV60" i="6" l="1"/>
  <c r="J149" i="11"/>
  <c r="K149" i="11" s="1"/>
  <c r="AK149" i="11" s="1"/>
  <c r="J151" i="11"/>
  <c r="J152" i="11" s="1"/>
  <c r="K150" i="11"/>
  <c r="P150" i="11" l="1"/>
  <c r="Q150" i="11" s="1"/>
  <c r="R150" i="11" s="1"/>
  <c r="S150" i="11" s="1"/>
  <c r="AK150" i="11"/>
  <c r="M150" i="11"/>
  <c r="K152" i="11"/>
  <c r="AK152" i="11" s="1"/>
  <c r="J153" i="11"/>
  <c r="M149" i="11"/>
  <c r="P149" i="11"/>
  <c r="Q149" i="11" s="1"/>
  <c r="K151" i="11"/>
  <c r="AK151" i="11" s="1"/>
  <c r="V150" i="11" l="1"/>
  <c r="T150" i="11"/>
  <c r="AC40" i="6" s="1"/>
  <c r="U150" i="11"/>
  <c r="R149" i="11"/>
  <c r="S149" i="11" s="1"/>
  <c r="P151" i="11"/>
  <c r="Q151" i="11" s="1"/>
  <c r="M151" i="11"/>
  <c r="K153" i="11"/>
  <c r="AK153" i="11" s="1"/>
  <c r="J154" i="11"/>
  <c r="P152" i="11"/>
  <c r="Q152" i="11" s="1"/>
  <c r="M152" i="11"/>
  <c r="CC110" i="11" l="1"/>
  <c r="AL150" i="11"/>
  <c r="AM150" i="11"/>
  <c r="X99" i="3" s="1"/>
  <c r="W150" i="11"/>
  <c r="AA150" i="11"/>
  <c r="AB150" i="11"/>
  <c r="Y150" i="11"/>
  <c r="Z150" i="11"/>
  <c r="X150" i="11"/>
  <c r="V149" i="11"/>
  <c r="U149" i="11"/>
  <c r="T149" i="11"/>
  <c r="AC39" i="6" s="1"/>
  <c r="J155" i="11"/>
  <c r="K154" i="11"/>
  <c r="AK154" i="11" s="1"/>
  <c r="P153" i="11"/>
  <c r="Q153" i="11" s="1"/>
  <c r="M153" i="11"/>
  <c r="AN150" i="11" l="1"/>
  <c r="AO150" i="11" s="1"/>
  <c r="CC109" i="11"/>
  <c r="AL149" i="11"/>
  <c r="AM149" i="11"/>
  <c r="BV110" i="11"/>
  <c r="AC150" i="11"/>
  <c r="W149" i="11"/>
  <c r="Z149" i="11"/>
  <c r="E40" i="6" s="1"/>
  <c r="Y149" i="11"/>
  <c r="AB149" i="11"/>
  <c r="AA149" i="11"/>
  <c r="X149" i="11"/>
  <c r="E41" i="6"/>
  <c r="D41" i="6"/>
  <c r="T18" i="23" s="1"/>
  <c r="F41" i="6"/>
  <c r="P154" i="11"/>
  <c r="Q154" i="11" s="1"/>
  <c r="M154" i="11"/>
  <c r="J156" i="11"/>
  <c r="K155" i="11"/>
  <c r="AK155" i="11" s="1"/>
  <c r="BV109" i="11" l="1"/>
  <c r="AN149" i="11"/>
  <c r="AO149" i="11" s="1"/>
  <c r="X98" i="3"/>
  <c r="AH150" i="11"/>
  <c r="T21" i="23"/>
  <c r="AE150" i="11"/>
  <c r="BW110" i="11" s="1"/>
  <c r="AI150" i="11"/>
  <c r="AF150" i="11"/>
  <c r="AG150" i="11"/>
  <c r="M41" i="6"/>
  <c r="N41" i="6"/>
  <c r="AC149" i="11"/>
  <c r="F40" i="6"/>
  <c r="S21" i="23" s="1"/>
  <c r="J157" i="11"/>
  <c r="K156" i="11"/>
  <c r="AK156" i="11" s="1"/>
  <c r="P155" i="11"/>
  <c r="Q155" i="11" s="1"/>
  <c r="M155" i="11"/>
  <c r="AF149" i="11" l="1"/>
  <c r="R41" i="6"/>
  <c r="Y40" i="6" s="1"/>
  <c r="AJ150" i="11"/>
  <c r="AA99" i="3"/>
  <c r="N40" i="6"/>
  <c r="AE149" i="11"/>
  <c r="BW109" i="11" s="1"/>
  <c r="AG149" i="11"/>
  <c r="D40" i="6" s="1"/>
  <c r="S18" i="23" s="1"/>
  <c r="AI149" i="11"/>
  <c r="AH149" i="11"/>
  <c r="P156" i="11"/>
  <c r="Q156" i="11" s="1"/>
  <c r="M156" i="11"/>
  <c r="J158" i="11"/>
  <c r="K157" i="11"/>
  <c r="AK157" i="11" s="1"/>
  <c r="AC99" i="3" l="1"/>
  <c r="AB99" i="3"/>
  <c r="M40" i="6"/>
  <c r="R40" i="6" s="1"/>
  <c r="Y39" i="6" s="1"/>
  <c r="AJ149" i="11"/>
  <c r="AA98" i="3"/>
  <c r="J159" i="11"/>
  <c r="K158" i="11"/>
  <c r="AK158" i="11" s="1"/>
  <c r="P157" i="11"/>
  <c r="Q157" i="11" s="1"/>
  <c r="M157" i="11"/>
  <c r="AB98" i="3" l="1"/>
  <c r="AD98" i="3" s="1"/>
  <c r="AC98" i="3"/>
  <c r="AE98" i="3" s="1"/>
  <c r="AF98" i="3" s="1"/>
  <c r="BC98" i="3" s="1"/>
  <c r="BE98" i="3" s="1"/>
  <c r="BG98" i="3" s="1"/>
  <c r="C40" i="6" s="1"/>
  <c r="S17" i="23" s="1"/>
  <c r="P158" i="11"/>
  <c r="Q158" i="11" s="1"/>
  <c r="M158" i="11"/>
  <c r="J160" i="11"/>
  <c r="K159" i="11"/>
  <c r="AK159" i="11" s="1"/>
  <c r="L40" i="6" l="1"/>
  <c r="Q40" i="6" s="1"/>
  <c r="X39" i="6" s="1"/>
  <c r="AB39" i="6" s="1"/>
  <c r="AE99" i="3"/>
  <c r="AF99" i="3" s="1"/>
  <c r="BC99" i="3" s="1"/>
  <c r="BE99" i="3" s="1"/>
  <c r="BG99" i="3" s="1"/>
  <c r="C41" i="6" s="1"/>
  <c r="T17" i="23" s="1"/>
  <c r="AD99" i="3"/>
  <c r="P159" i="11"/>
  <c r="Q159" i="11" s="1"/>
  <c r="M159" i="11"/>
  <c r="J161" i="11"/>
  <c r="K160" i="11"/>
  <c r="AK160" i="11" s="1"/>
  <c r="U40" i="6" l="1"/>
  <c r="L41" i="6"/>
  <c r="Q41" i="6" s="1"/>
  <c r="U41" i="6" s="1"/>
  <c r="J162" i="11"/>
  <c r="K161" i="11"/>
  <c r="AK161" i="11" s="1"/>
  <c r="P160" i="11"/>
  <c r="Q160" i="11" s="1"/>
  <c r="M160" i="11"/>
  <c r="X40" i="6" l="1"/>
  <c r="AB40" i="6" s="1"/>
  <c r="R160" i="11"/>
  <c r="S160" i="11" s="1"/>
  <c r="P161" i="11"/>
  <c r="Q161" i="11" s="1"/>
  <c r="R161" i="11" s="1"/>
  <c r="S161" i="11" s="1"/>
  <c r="M161" i="11"/>
  <c r="J163" i="11"/>
  <c r="K162" i="11"/>
  <c r="AK162" i="11" s="1"/>
  <c r="V160" i="11" l="1"/>
  <c r="U160" i="11"/>
  <c r="T160" i="11"/>
  <c r="AC50" i="6" s="1"/>
  <c r="V161" i="11"/>
  <c r="U161" i="11"/>
  <c r="T161" i="11"/>
  <c r="AC51" i="6" s="1"/>
  <c r="J164" i="11"/>
  <c r="K163" i="11"/>
  <c r="AK163" i="11" s="1"/>
  <c r="P162" i="11"/>
  <c r="Q162" i="11" s="1"/>
  <c r="R162" i="11" s="1"/>
  <c r="S162" i="11" s="1"/>
  <c r="M162" i="11"/>
  <c r="CC120" i="11" l="1"/>
  <c r="AL160" i="11"/>
  <c r="AM160" i="11"/>
  <c r="X109" i="3" s="1"/>
  <c r="CC121" i="11"/>
  <c r="AM161" i="11"/>
  <c r="AL161" i="11"/>
  <c r="W160" i="11"/>
  <c r="AA160" i="11"/>
  <c r="AB160" i="11"/>
  <c r="Z160" i="11"/>
  <c r="Y160" i="11"/>
  <c r="X160" i="11"/>
  <c r="W161" i="11"/>
  <c r="Z161" i="11"/>
  <c r="Y161" i="11"/>
  <c r="AB161" i="11"/>
  <c r="X161" i="11"/>
  <c r="AA161" i="11"/>
  <c r="V162" i="11"/>
  <c r="U162" i="11"/>
  <c r="T162" i="11"/>
  <c r="AC52" i="6" s="1"/>
  <c r="P163" i="11"/>
  <c r="Q163" i="11" s="1"/>
  <c r="R163" i="11" s="1"/>
  <c r="S163" i="11" s="1"/>
  <c r="M163" i="11"/>
  <c r="J165" i="11"/>
  <c r="K164" i="11"/>
  <c r="AK164" i="11" s="1"/>
  <c r="AN160" i="11" l="1"/>
  <c r="AO160" i="11" s="1"/>
  <c r="AN161" i="11"/>
  <c r="AO161" i="11" s="1"/>
  <c r="X110" i="3"/>
  <c r="BV120" i="11"/>
  <c r="BV121" i="11"/>
  <c r="CC122" i="11"/>
  <c r="AL162" i="11"/>
  <c r="AM162" i="11"/>
  <c r="X111" i="3" s="1"/>
  <c r="AC160" i="11"/>
  <c r="AC161" i="11"/>
  <c r="W162" i="11"/>
  <c r="Y162" i="11"/>
  <c r="AB162" i="11"/>
  <c r="X162" i="11"/>
  <c r="AA162" i="11"/>
  <c r="Z162" i="11"/>
  <c r="T163" i="11"/>
  <c r="AC53" i="6" s="1"/>
  <c r="V163" i="11"/>
  <c r="U163" i="11"/>
  <c r="F51" i="6"/>
  <c r="D51" i="6"/>
  <c r="E51" i="6"/>
  <c r="P164" i="11"/>
  <c r="Q164" i="11" s="1"/>
  <c r="R164" i="11" s="1"/>
  <c r="S164" i="11" s="1"/>
  <c r="M164" i="11"/>
  <c r="J166" i="11"/>
  <c r="K165" i="11"/>
  <c r="AK165" i="11" s="1"/>
  <c r="CC123" i="11" l="1"/>
  <c r="AM163" i="11"/>
  <c r="X112" i="3" s="1"/>
  <c r="AL163" i="11"/>
  <c r="BV122" i="11"/>
  <c r="AN162" i="11"/>
  <c r="AO162" i="11" s="1"/>
  <c r="AE161" i="11"/>
  <c r="AA110" i="3" s="1"/>
  <c r="AF161" i="11"/>
  <c r="AI161" i="11"/>
  <c r="M51" i="6"/>
  <c r="AH161" i="11"/>
  <c r="AG161" i="11"/>
  <c r="AE160" i="11"/>
  <c r="BW120" i="11" s="1"/>
  <c r="AF160" i="11"/>
  <c r="AI160" i="11"/>
  <c r="AH160" i="11"/>
  <c r="AG160" i="11"/>
  <c r="N51" i="6"/>
  <c r="W163" i="11"/>
  <c r="AB163" i="11"/>
  <c r="X163" i="11"/>
  <c r="AA163" i="11"/>
  <c r="Z163" i="11"/>
  <c r="Y163" i="11"/>
  <c r="U164" i="11"/>
  <c r="T164" i="11"/>
  <c r="AC54" i="6" s="1"/>
  <c r="V164" i="11"/>
  <c r="AC162" i="11"/>
  <c r="P165" i="11"/>
  <c r="Q165" i="11" s="1"/>
  <c r="R165" i="11" s="1"/>
  <c r="S165" i="11" s="1"/>
  <c r="M165" i="11"/>
  <c r="K166" i="11"/>
  <c r="AK166" i="11" s="1"/>
  <c r="J167" i="11"/>
  <c r="E52" i="6"/>
  <c r="D52" i="6"/>
  <c r="F52" i="6"/>
  <c r="AN163" i="11" l="1"/>
  <c r="BW121" i="11"/>
  <c r="AO163" i="11"/>
  <c r="CC124" i="11"/>
  <c r="AL164" i="11"/>
  <c r="AM164" i="11"/>
  <c r="X113" i="3" s="1"/>
  <c r="BV123" i="11"/>
  <c r="R51" i="6"/>
  <c r="Y50" i="6" s="1"/>
  <c r="AJ161" i="11"/>
  <c r="M52" i="6"/>
  <c r="AJ160" i="11"/>
  <c r="AA109" i="3"/>
  <c r="AC163" i="11"/>
  <c r="AH162" i="11"/>
  <c r="AG162" i="11"/>
  <c r="AE162" i="11"/>
  <c r="BW122" i="11" s="1"/>
  <c r="N52" i="6"/>
  <c r="R52" i="6" s="1"/>
  <c r="Y51" i="6" s="1"/>
  <c r="AF162" i="11"/>
  <c r="AI162" i="11"/>
  <c r="V165" i="11"/>
  <c r="U165" i="11"/>
  <c r="T165" i="11"/>
  <c r="AC55" i="6" s="1"/>
  <c r="W164" i="11"/>
  <c r="AA164" i="11"/>
  <c r="Z164" i="11"/>
  <c r="Y164" i="11"/>
  <c r="AB164" i="11"/>
  <c r="X164" i="11"/>
  <c r="E54" i="6"/>
  <c r="AC110" i="3"/>
  <c r="AB110" i="3"/>
  <c r="J168" i="11"/>
  <c r="K167" i="11"/>
  <c r="AK167" i="11" s="1"/>
  <c r="P166" i="11"/>
  <c r="Q166" i="11" s="1"/>
  <c r="R166" i="11" s="1"/>
  <c r="S166" i="11" s="1"/>
  <c r="M166" i="11"/>
  <c r="F53" i="6"/>
  <c r="E53" i="6"/>
  <c r="D53" i="6"/>
  <c r="AF18" i="23" s="1"/>
  <c r="AN164" i="11" l="1"/>
  <c r="AO164" i="11" s="1"/>
  <c r="CC125" i="11"/>
  <c r="AM165" i="11"/>
  <c r="AL165" i="11"/>
  <c r="BV124" i="11"/>
  <c r="AH163" i="11"/>
  <c r="AF21" i="23"/>
  <c r="M53" i="6"/>
  <c r="AI163" i="11"/>
  <c r="AF163" i="11"/>
  <c r="AG163" i="11"/>
  <c r="F54" i="6" s="1"/>
  <c r="AG21" i="23" s="1"/>
  <c r="AE163" i="11"/>
  <c r="BW123" i="11" s="1"/>
  <c r="AB109" i="3"/>
  <c r="AC109" i="3"/>
  <c r="N53" i="6"/>
  <c r="AC164" i="11"/>
  <c r="AJ162" i="11"/>
  <c r="V166" i="11"/>
  <c r="U166" i="11"/>
  <c r="T166" i="11"/>
  <c r="AC56" i="6" s="1"/>
  <c r="W165" i="11"/>
  <c r="Z165" i="11"/>
  <c r="Y165" i="11"/>
  <c r="AB165" i="11"/>
  <c r="X165" i="11"/>
  <c r="AA165" i="11"/>
  <c r="AA111" i="3"/>
  <c r="AC111" i="3" s="1"/>
  <c r="D54" i="6"/>
  <c r="AG18" i="23" s="1"/>
  <c r="F55" i="6"/>
  <c r="P167" i="11"/>
  <c r="Q167" i="11" s="1"/>
  <c r="R167" i="11" s="1"/>
  <c r="S167" i="11" s="1"/>
  <c r="M167" i="11"/>
  <c r="J169" i="11"/>
  <c r="K168" i="11"/>
  <c r="AK168" i="11" s="1"/>
  <c r="AN165" i="11" l="1"/>
  <c r="AO165" i="11" s="1"/>
  <c r="X114" i="3"/>
  <c r="CC126" i="11"/>
  <c r="AM166" i="11"/>
  <c r="X115" i="3" s="1"/>
  <c r="AL166" i="11"/>
  <c r="BV125" i="11"/>
  <c r="R53" i="6"/>
  <c r="Y52" i="6" s="1"/>
  <c r="AI164" i="11"/>
  <c r="AA112" i="3"/>
  <c r="AB112" i="3" s="1"/>
  <c r="AH21" i="23"/>
  <c r="N54" i="6"/>
  <c r="M54" i="6"/>
  <c r="AE164" i="11"/>
  <c r="BW124" i="11" s="1"/>
  <c r="AF164" i="11"/>
  <c r="AB111" i="3"/>
  <c r="AJ163" i="11"/>
  <c r="AH164" i="11"/>
  <c r="AG164" i="11"/>
  <c r="D55" i="6" s="1"/>
  <c r="T167" i="11"/>
  <c r="AC57" i="6" s="1"/>
  <c r="V167" i="11"/>
  <c r="U167" i="11"/>
  <c r="W166" i="11"/>
  <c r="Y166" i="11"/>
  <c r="AB166" i="11"/>
  <c r="X166" i="11"/>
  <c r="AA166" i="11"/>
  <c r="Z166" i="11"/>
  <c r="AC165" i="11"/>
  <c r="E55" i="6"/>
  <c r="N55" i="6" s="1"/>
  <c r="E56" i="6"/>
  <c r="D56" i="6"/>
  <c r="AI18" i="23" s="1"/>
  <c r="F56" i="6"/>
  <c r="P168" i="11"/>
  <c r="Q168" i="11" s="1"/>
  <c r="R168" i="11" s="1"/>
  <c r="S168" i="11" s="1"/>
  <c r="M168" i="11"/>
  <c r="J170" i="11"/>
  <c r="K170" i="11" s="1"/>
  <c r="AK170" i="11" s="1"/>
  <c r="K169" i="11"/>
  <c r="AK169" i="11" s="1"/>
  <c r="AN166" i="11" l="1"/>
  <c r="AO166" i="11" s="1"/>
  <c r="BV126" i="11"/>
  <c r="CC127" i="11"/>
  <c r="AL167" i="11"/>
  <c r="AM167" i="11"/>
  <c r="X116" i="3" s="1"/>
  <c r="R54" i="6"/>
  <c r="Y53" i="6" s="1"/>
  <c r="AC112" i="3"/>
  <c r="AA113" i="3"/>
  <c r="AG165" i="11"/>
  <c r="AI21" i="23"/>
  <c r="AH18" i="23"/>
  <c r="M56" i="6"/>
  <c r="M55" i="6"/>
  <c r="R55" i="6" s="1"/>
  <c r="Y54" i="6" s="1"/>
  <c r="AF165" i="11"/>
  <c r="AI165" i="11"/>
  <c r="AJ164" i="11"/>
  <c r="AH165" i="11"/>
  <c r="N56" i="6"/>
  <c r="AC166" i="11"/>
  <c r="W167" i="11"/>
  <c r="AB167" i="11"/>
  <c r="X167" i="11"/>
  <c r="AA167" i="11"/>
  <c r="Z167" i="11"/>
  <c r="Y167" i="11"/>
  <c r="AE165" i="11"/>
  <c r="BW125" i="11" s="1"/>
  <c r="U168" i="11"/>
  <c r="T168" i="11"/>
  <c r="AC58" i="6" s="1"/>
  <c r="V168" i="11"/>
  <c r="P169" i="11"/>
  <c r="Q169" i="11" s="1"/>
  <c r="R169" i="11" s="1"/>
  <c r="S169" i="11" s="1"/>
  <c r="M169" i="11"/>
  <c r="P170" i="11"/>
  <c r="Q170" i="11" s="1"/>
  <c r="M170" i="11"/>
  <c r="BV127" i="11" l="1"/>
  <c r="CC128" i="11"/>
  <c r="AM168" i="11"/>
  <c r="X117" i="3" s="1"/>
  <c r="AL168" i="11"/>
  <c r="AN167" i="11"/>
  <c r="AO167" i="11" s="1"/>
  <c r="R56" i="6"/>
  <c r="Y55" i="6" s="1"/>
  <c r="AC113" i="3"/>
  <c r="AB113" i="3"/>
  <c r="AA114" i="3"/>
  <c r="AG166" i="11"/>
  <c r="D57" i="6" s="1"/>
  <c r="M57" i="6" s="1"/>
  <c r="R170" i="11"/>
  <c r="S170" i="11" s="1"/>
  <c r="V169" i="11"/>
  <c r="U169" i="11"/>
  <c r="T169" i="11"/>
  <c r="AC59" i="6" s="1"/>
  <c r="AF166" i="11"/>
  <c r="AI166" i="11"/>
  <c r="AC167" i="11"/>
  <c r="AJ165" i="11"/>
  <c r="AE166" i="11"/>
  <c r="BW126" i="11" s="1"/>
  <c r="AH166" i="11"/>
  <c r="W168" i="11"/>
  <c r="AA168" i="11"/>
  <c r="Z168" i="11"/>
  <c r="Y168" i="11"/>
  <c r="AB168" i="11"/>
  <c r="X168" i="11"/>
  <c r="F57" i="6"/>
  <c r="E57" i="6"/>
  <c r="AN168" i="11" l="1"/>
  <c r="CC129" i="11"/>
  <c r="AL169" i="11"/>
  <c r="AM169" i="11"/>
  <c r="AO168" i="11"/>
  <c r="BV128" i="11"/>
  <c r="AC114" i="3"/>
  <c r="AB114" i="3"/>
  <c r="AH167" i="11"/>
  <c r="AJ18" i="23"/>
  <c r="AJ21" i="23"/>
  <c r="AE167" i="11"/>
  <c r="AA116" i="3" s="1"/>
  <c r="AG167" i="11"/>
  <c r="AI167" i="11"/>
  <c r="T170" i="11"/>
  <c r="AC60" i="6" s="1"/>
  <c r="V170" i="11"/>
  <c r="U170" i="11"/>
  <c r="AA115" i="3"/>
  <c r="AC115" i="3" s="1"/>
  <c r="AJ166" i="11"/>
  <c r="N57" i="6"/>
  <c r="R57" i="6" s="1"/>
  <c r="Y56" i="6" s="1"/>
  <c r="AC168" i="11"/>
  <c r="AF167" i="11"/>
  <c r="W169" i="11"/>
  <c r="Z169" i="11"/>
  <c r="Y169" i="11"/>
  <c r="AB169" i="11"/>
  <c r="X169" i="11"/>
  <c r="AA169" i="11"/>
  <c r="E58" i="6"/>
  <c r="D58" i="6"/>
  <c r="AK18" i="23" s="1"/>
  <c r="F58" i="6"/>
  <c r="D59" i="6"/>
  <c r="AN169" i="11" l="1"/>
  <c r="AO169" i="11" s="1"/>
  <c r="X118" i="3"/>
  <c r="BV129" i="11"/>
  <c r="CC130" i="11"/>
  <c r="AM170" i="11"/>
  <c r="X119" i="3" s="1"/>
  <c r="AL170" i="11"/>
  <c r="BW127" i="11"/>
  <c r="AH168" i="11"/>
  <c r="AK21" i="23"/>
  <c r="M58" i="6"/>
  <c r="M59" i="6"/>
  <c r="N58" i="6"/>
  <c r="AG168" i="11"/>
  <c r="E59" i="6" s="1"/>
  <c r="AL18" i="23" s="1"/>
  <c r="AB115" i="3"/>
  <c r="AF168" i="11"/>
  <c r="AJ167" i="11"/>
  <c r="W170" i="11"/>
  <c r="AA170" i="11"/>
  <c r="AB170" i="11"/>
  <c r="Z170" i="11"/>
  <c r="Y170" i="11"/>
  <c r="X170" i="11"/>
  <c r="AE168" i="11"/>
  <c r="BW128" i="11" s="1"/>
  <c r="AC169" i="11"/>
  <c r="AI168" i="11"/>
  <c r="F59" i="6"/>
  <c r="AC116" i="3"/>
  <c r="AB116" i="3"/>
  <c r="AN170" i="11" l="1"/>
  <c r="AO170" i="11" s="1"/>
  <c r="BV130" i="11"/>
  <c r="AH169" i="11"/>
  <c r="R58" i="6"/>
  <c r="Y57" i="6" s="1"/>
  <c r="AA117" i="3"/>
  <c r="AB117" i="3" s="1"/>
  <c r="AL21" i="23"/>
  <c r="N59" i="6"/>
  <c r="R59" i="6" s="1"/>
  <c r="Y58" i="6" s="1"/>
  <c r="AE169" i="11"/>
  <c r="BW129" i="11" s="1"/>
  <c r="AJ168" i="11"/>
  <c r="AI169" i="11"/>
  <c r="AF169" i="11"/>
  <c r="AC170" i="11"/>
  <c r="AG169" i="11"/>
  <c r="F60" i="6" s="1"/>
  <c r="AO21" i="23" s="1"/>
  <c r="D60" i="6"/>
  <c r="E60" i="6"/>
  <c r="D61" i="6"/>
  <c r="E61" i="6"/>
  <c r="F61" i="6"/>
  <c r="AP21" i="23" s="1"/>
  <c r="AC117" i="3" l="1"/>
  <c r="AA118" i="3"/>
  <c r="AF170" i="11"/>
  <c r="AM18" i="23"/>
  <c r="AO18" i="23"/>
  <c r="AN18" i="23"/>
  <c r="AP18" i="23"/>
  <c r="AM21" i="23"/>
  <c r="AN21" i="23"/>
  <c r="M60" i="6"/>
  <c r="M61" i="6"/>
  <c r="AJ169" i="11"/>
  <c r="N61" i="6"/>
  <c r="N60" i="6"/>
  <c r="AE170" i="11"/>
  <c r="BW130" i="11" s="1"/>
  <c r="AI170" i="11"/>
  <c r="AH170" i="11"/>
  <c r="AG170" i="11"/>
  <c r="H151" i="11"/>
  <c r="R151" i="11"/>
  <c r="S151" i="11" s="1"/>
  <c r="R60" i="6" l="1"/>
  <c r="Y59" i="6" s="1"/>
  <c r="AB118" i="3"/>
  <c r="AC118" i="3"/>
  <c r="AA119" i="3"/>
  <c r="R61" i="6"/>
  <c r="Y60" i="6" s="1"/>
  <c r="AJ170" i="11"/>
  <c r="T151" i="11"/>
  <c r="AC41" i="6" s="1"/>
  <c r="V151" i="11"/>
  <c r="U151" i="11"/>
  <c r="R153" i="11"/>
  <c r="S153" i="11" s="1"/>
  <c r="H153" i="11"/>
  <c r="R152" i="11"/>
  <c r="S152" i="11" s="1"/>
  <c r="H152" i="11"/>
  <c r="CC111" i="11" l="1"/>
  <c r="AL151" i="11"/>
  <c r="AM151" i="11"/>
  <c r="X100" i="3" s="1"/>
  <c r="AB119" i="3"/>
  <c r="AC119" i="3"/>
  <c r="U152" i="11"/>
  <c r="T152" i="11"/>
  <c r="AC42" i="6" s="1"/>
  <c r="V152" i="11"/>
  <c r="V153" i="11"/>
  <c r="U153" i="11"/>
  <c r="T153" i="11"/>
  <c r="AC43" i="6" s="1"/>
  <c r="W151" i="11"/>
  <c r="AB151" i="11"/>
  <c r="X151" i="11"/>
  <c r="AA151" i="11"/>
  <c r="Z151" i="11"/>
  <c r="Y151" i="11"/>
  <c r="H154" i="11"/>
  <c r="R154" i="11"/>
  <c r="S154" i="11" s="1"/>
  <c r="CC112" i="11" l="1"/>
  <c r="AL152" i="11"/>
  <c r="AM152" i="11"/>
  <c r="X101" i="3" s="1"/>
  <c r="AN151" i="11"/>
  <c r="AO151" i="11" s="1"/>
  <c r="CC113" i="11"/>
  <c r="AL153" i="11"/>
  <c r="AM153" i="11"/>
  <c r="BV111" i="11"/>
  <c r="V154" i="11"/>
  <c r="U154" i="11"/>
  <c r="T154" i="11"/>
  <c r="AC44" i="6" s="1"/>
  <c r="AC151" i="11"/>
  <c r="W153" i="11"/>
  <c r="Z153" i="11"/>
  <c r="Y153" i="11"/>
  <c r="AB153" i="11"/>
  <c r="X153" i="11"/>
  <c r="AA153" i="11"/>
  <c r="W152" i="11"/>
  <c r="AA152" i="11"/>
  <c r="Z152" i="11"/>
  <c r="Y152" i="11"/>
  <c r="AB152" i="11"/>
  <c r="X152" i="11"/>
  <c r="R155" i="11"/>
  <c r="S155" i="11" s="1"/>
  <c r="H155" i="11"/>
  <c r="AN152" i="11" l="1"/>
  <c r="AO152" i="11" s="1"/>
  <c r="BV113" i="11"/>
  <c r="BV112" i="11"/>
  <c r="CC114" i="11"/>
  <c r="AM154" i="11"/>
  <c r="X103" i="3" s="1"/>
  <c r="AL154" i="11"/>
  <c r="AN153" i="11"/>
  <c r="AO153" i="11" s="1"/>
  <c r="X102" i="3"/>
  <c r="AI151" i="11"/>
  <c r="AF151" i="11"/>
  <c r="AH151" i="11"/>
  <c r="AE151" i="11"/>
  <c r="BW111" i="11" s="1"/>
  <c r="AC153" i="11"/>
  <c r="AG151" i="11"/>
  <c r="T155" i="11"/>
  <c r="AC45" i="6" s="1"/>
  <c r="V155" i="11"/>
  <c r="U155" i="11"/>
  <c r="W154" i="11"/>
  <c r="Y154" i="11"/>
  <c r="AB154" i="11"/>
  <c r="X154" i="11"/>
  <c r="AA154" i="11"/>
  <c r="Z154" i="11"/>
  <c r="AC152" i="11"/>
  <c r="E42" i="6"/>
  <c r="D42" i="6"/>
  <c r="U18" i="23" s="1"/>
  <c r="F42" i="6"/>
  <c r="D43" i="6"/>
  <c r="V18" i="23" s="1"/>
  <c r="E43" i="6"/>
  <c r="F43" i="6"/>
  <c r="H156" i="11"/>
  <c r="R156" i="11"/>
  <c r="S156" i="11" s="1"/>
  <c r="AN154" i="11" l="1"/>
  <c r="AO154" i="11" s="1"/>
  <c r="BV114" i="11"/>
  <c r="CC115" i="11"/>
  <c r="AL155" i="11"/>
  <c r="AM155" i="11"/>
  <c r="X104" i="3" s="1"/>
  <c r="AF153" i="11"/>
  <c r="AG152" i="11"/>
  <c r="AA100" i="3"/>
  <c r="AB100" i="3" s="1"/>
  <c r="AD100" i="3" s="1"/>
  <c r="V21" i="23"/>
  <c r="U21" i="23"/>
  <c r="M43" i="6"/>
  <c r="M42" i="6"/>
  <c r="AH153" i="11"/>
  <c r="AG153" i="11"/>
  <c r="AJ151" i="11"/>
  <c r="W155" i="11"/>
  <c r="AB155" i="11"/>
  <c r="X155" i="11"/>
  <c r="AA155" i="11"/>
  <c r="Z155" i="11"/>
  <c r="Y155" i="11"/>
  <c r="AI153" i="11"/>
  <c r="N43" i="6"/>
  <c r="AH152" i="11"/>
  <c r="AC154" i="11"/>
  <c r="AI152" i="11"/>
  <c r="U156" i="11"/>
  <c r="T156" i="11"/>
  <c r="AC46" i="6" s="1"/>
  <c r="V156" i="11"/>
  <c r="AE153" i="11"/>
  <c r="BW113" i="11" s="1"/>
  <c r="N42" i="6"/>
  <c r="AF152" i="11"/>
  <c r="AE152" i="11"/>
  <c r="BW112" i="11" s="1"/>
  <c r="H157" i="11"/>
  <c r="R157" i="11"/>
  <c r="S157" i="11" s="1"/>
  <c r="E44" i="6"/>
  <c r="F44" i="6"/>
  <c r="W21" i="23" s="1"/>
  <c r="D44" i="6"/>
  <c r="W18" i="23" s="1"/>
  <c r="E45" i="6"/>
  <c r="D45" i="6"/>
  <c r="X18" i="23" s="1"/>
  <c r="F45" i="6"/>
  <c r="CC116" i="11" l="1"/>
  <c r="AM156" i="11"/>
  <c r="X105" i="3" s="1"/>
  <c r="AL156" i="11"/>
  <c r="BV115" i="11"/>
  <c r="AN155" i="11"/>
  <c r="AO155" i="11" s="1"/>
  <c r="AC100" i="3"/>
  <c r="AE100" i="3" s="1"/>
  <c r="AF100" i="3" s="1"/>
  <c r="BC100" i="3" s="1"/>
  <c r="BE100" i="3" s="1"/>
  <c r="BG100" i="3" s="1"/>
  <c r="C42" i="6" s="1"/>
  <c r="U17" i="23" s="1"/>
  <c r="AA101" i="3"/>
  <c r="AC101" i="3" s="1"/>
  <c r="AE101" i="3" s="1"/>
  <c r="AF101" i="3" s="1"/>
  <c r="BC101" i="3" s="1"/>
  <c r="BE101" i="3" s="1"/>
  <c r="BG101" i="3" s="1"/>
  <c r="C43" i="6" s="1"/>
  <c r="V17" i="23" s="1"/>
  <c r="AE154" i="11"/>
  <c r="AA103" i="3" s="1"/>
  <c r="AA102" i="3"/>
  <c r="R42" i="6"/>
  <c r="Y41" i="6" s="1"/>
  <c r="X21" i="23"/>
  <c r="R43" i="6"/>
  <c r="Y42" i="6" s="1"/>
  <c r="M44" i="6"/>
  <c r="M45" i="6"/>
  <c r="AH154" i="11"/>
  <c r="AF154" i="11"/>
  <c r="AJ153" i="11"/>
  <c r="AI154" i="11"/>
  <c r="AJ152" i="11"/>
  <c r="N44" i="6"/>
  <c r="W156" i="11"/>
  <c r="AA156" i="11"/>
  <c r="Z156" i="11"/>
  <c r="Y156" i="11"/>
  <c r="AB156" i="11"/>
  <c r="X156" i="11"/>
  <c r="N45" i="6"/>
  <c r="AC155" i="11"/>
  <c r="V157" i="11"/>
  <c r="U157" i="11"/>
  <c r="T157" i="11"/>
  <c r="AC47" i="6" s="1"/>
  <c r="AG154" i="11"/>
  <c r="H158" i="11"/>
  <c r="R158" i="11"/>
  <c r="S158" i="11" s="1"/>
  <c r="AB101" i="3" l="1"/>
  <c r="AD101" i="3" s="1"/>
  <c r="R45" i="6"/>
  <c r="Y44" i="6" s="1"/>
  <c r="L42" i="6"/>
  <c r="Q42" i="6" s="1"/>
  <c r="U42" i="6" s="1"/>
  <c r="AN156" i="11"/>
  <c r="AO156" i="11" s="1"/>
  <c r="BW114" i="11"/>
  <c r="CC117" i="11"/>
  <c r="AM157" i="11"/>
  <c r="AL157" i="11"/>
  <c r="BV116" i="11"/>
  <c r="AC102" i="3"/>
  <c r="AB102" i="3"/>
  <c r="AF155" i="11"/>
  <c r="R44" i="6"/>
  <c r="Y43" i="6" s="1"/>
  <c r="L43" i="6"/>
  <c r="Q43" i="6" s="1"/>
  <c r="U43" i="6" s="1"/>
  <c r="AJ154" i="11"/>
  <c r="AG155" i="11"/>
  <c r="F46" i="6" s="1"/>
  <c r="AB103" i="3"/>
  <c r="AC103" i="3"/>
  <c r="V158" i="11"/>
  <c r="U158" i="11"/>
  <c r="T158" i="11"/>
  <c r="AC48" i="6" s="1"/>
  <c r="AE155" i="11"/>
  <c r="BW115" i="11" s="1"/>
  <c r="AH155" i="11"/>
  <c r="W157" i="11"/>
  <c r="Z157" i="11"/>
  <c r="Y157" i="11"/>
  <c r="AB157" i="11"/>
  <c r="X157" i="11"/>
  <c r="AA157" i="11"/>
  <c r="AC156" i="11"/>
  <c r="AI155" i="11"/>
  <c r="E46" i="6"/>
  <c r="D46" i="6"/>
  <c r="Y18" i="23" s="1"/>
  <c r="H159" i="11"/>
  <c r="R159" i="11"/>
  <c r="S159" i="11" s="1"/>
  <c r="AD102" i="3" l="1"/>
  <c r="AE103" i="3" s="1"/>
  <c r="AF103" i="3" s="1"/>
  <c r="BC103" i="3" s="1"/>
  <c r="BE103" i="3" s="1"/>
  <c r="BG103" i="3" s="1"/>
  <c r="C45" i="6" s="1"/>
  <c r="X17" i="23" s="1"/>
  <c r="AE102" i="3"/>
  <c r="AF102" i="3" s="1"/>
  <c r="BC102" i="3" s="1"/>
  <c r="BE102" i="3" s="1"/>
  <c r="BG102" i="3" s="1"/>
  <c r="C44" i="6" s="1"/>
  <c r="W17" i="23" s="1"/>
  <c r="X41" i="6"/>
  <c r="AB41" i="6" s="1"/>
  <c r="BV117" i="11"/>
  <c r="CC118" i="11"/>
  <c r="AL158" i="11"/>
  <c r="AM158" i="11"/>
  <c r="X107" i="3" s="1"/>
  <c r="AN157" i="11"/>
  <c r="AO157" i="11" s="1"/>
  <c r="X106" i="3"/>
  <c r="AH156" i="11"/>
  <c r="X42" i="6"/>
  <c r="AB42" i="6" s="1"/>
  <c r="Y21" i="23"/>
  <c r="M46" i="6"/>
  <c r="AJ155" i="11"/>
  <c r="N46" i="6"/>
  <c r="AD103" i="3"/>
  <c r="AC157" i="11"/>
  <c r="W158" i="11"/>
  <c r="Y158" i="11"/>
  <c r="AB158" i="11"/>
  <c r="X158" i="11"/>
  <c r="AA158" i="11"/>
  <c r="Z158" i="11"/>
  <c r="T159" i="11"/>
  <c r="AC49" i="6" s="1"/>
  <c r="V159" i="11"/>
  <c r="U159" i="11"/>
  <c r="AG156" i="11"/>
  <c r="F47" i="6" s="1"/>
  <c r="AI156" i="11"/>
  <c r="AF156" i="11"/>
  <c r="AE156" i="11"/>
  <c r="BW116" i="11" s="1"/>
  <c r="AA104" i="3"/>
  <c r="E47" i="6"/>
  <c r="D47" i="6"/>
  <c r="Z18" i="23" s="1"/>
  <c r="F48" i="6"/>
  <c r="D48" i="6"/>
  <c r="AA18" i="23" s="1"/>
  <c r="E48" i="6"/>
  <c r="L44" i="6" l="1"/>
  <c r="Q44" i="6" s="1"/>
  <c r="U44" i="6" s="1"/>
  <c r="CC119" i="11"/>
  <c r="AM159" i="11"/>
  <c r="X108" i="3" s="1"/>
  <c r="AL159" i="11"/>
  <c r="BV118" i="11"/>
  <c r="AN158" i="11"/>
  <c r="AO158" i="11" s="1"/>
  <c r="AI157" i="11"/>
  <c r="AA105" i="3"/>
  <c r="AB105" i="3" s="1"/>
  <c r="X43" i="6"/>
  <c r="AB43" i="6" s="1"/>
  <c r="R46" i="6"/>
  <c r="Y45" i="6" s="1"/>
  <c r="Z21" i="23"/>
  <c r="AA21" i="23"/>
  <c r="M48" i="6"/>
  <c r="M47" i="6"/>
  <c r="L45" i="6"/>
  <c r="Q45" i="6" s="1"/>
  <c r="U45" i="6" s="1"/>
  <c r="AF157" i="11"/>
  <c r="N48" i="6"/>
  <c r="AH157" i="11"/>
  <c r="AG157" i="11"/>
  <c r="AE157" i="11"/>
  <c r="AJ156" i="11"/>
  <c r="N47" i="6"/>
  <c r="AC158" i="11"/>
  <c r="AB104" i="3"/>
  <c r="AD104" i="3" s="1"/>
  <c r="AC104" i="3"/>
  <c r="AE104" i="3" s="1"/>
  <c r="AF104" i="3" s="1"/>
  <c r="BC104" i="3" s="1"/>
  <c r="BE104" i="3" s="1"/>
  <c r="BG104" i="3" s="1"/>
  <c r="C46" i="6" s="1"/>
  <c r="Y17" i="23" s="1"/>
  <c r="W159" i="11"/>
  <c r="AB159" i="11"/>
  <c r="X159" i="11"/>
  <c r="AA159" i="11"/>
  <c r="Z159" i="11"/>
  <c r="Y159" i="11"/>
  <c r="AN159" i="11" l="1"/>
  <c r="AC105" i="3"/>
  <c r="BV119" i="11"/>
  <c r="AO159" i="11"/>
  <c r="BW117" i="11"/>
  <c r="AA106" i="3"/>
  <c r="AC106" i="3" s="1"/>
  <c r="AF158" i="11"/>
  <c r="R48" i="6"/>
  <c r="Y47" i="6" s="1"/>
  <c r="R47" i="6"/>
  <c r="Y46" i="6" s="1"/>
  <c r="X44" i="6"/>
  <c r="AB44" i="6" s="1"/>
  <c r="L46" i="6"/>
  <c r="Q46" i="6" s="1"/>
  <c r="X45" i="6" s="1"/>
  <c r="AB45" i="6" s="1"/>
  <c r="AE105" i="3"/>
  <c r="AF105" i="3" s="1"/>
  <c r="BC105" i="3" s="1"/>
  <c r="BE105" i="3" s="1"/>
  <c r="BG105" i="3" s="1"/>
  <c r="C47" i="6" s="1"/>
  <c r="Z17" i="23" s="1"/>
  <c r="AD105" i="3"/>
  <c r="AJ157" i="11"/>
  <c r="AG158" i="11"/>
  <c r="AC159" i="11"/>
  <c r="AH158" i="11"/>
  <c r="AI158" i="11"/>
  <c r="AE158" i="11"/>
  <c r="BW118" i="11" s="1"/>
  <c r="D49" i="6"/>
  <c r="AB18" i="23" s="1"/>
  <c r="E49" i="6"/>
  <c r="F49" i="6"/>
  <c r="AH159" i="11" l="1"/>
  <c r="AA107" i="3"/>
  <c r="U46" i="6"/>
  <c r="AD21" i="23"/>
  <c r="AB21" i="23"/>
  <c r="M49" i="6"/>
  <c r="AD18" i="23"/>
  <c r="AB106" i="3"/>
  <c r="AD106" i="3" s="1"/>
  <c r="L47" i="6"/>
  <c r="Q47" i="6" s="1"/>
  <c r="X46" i="6" s="1"/>
  <c r="AB46" i="6" s="1"/>
  <c r="AG159" i="11"/>
  <c r="AE106" i="3"/>
  <c r="AF106" i="3" s="1"/>
  <c r="BC106" i="3" s="1"/>
  <c r="BE106" i="3" s="1"/>
  <c r="BG106" i="3" s="1"/>
  <c r="C48" i="6" s="1"/>
  <c r="AA17" i="23" s="1"/>
  <c r="AJ158" i="11"/>
  <c r="N49" i="6"/>
  <c r="AI159" i="11"/>
  <c r="AE159" i="11"/>
  <c r="BW119" i="11" s="1"/>
  <c r="AF159" i="11"/>
  <c r="D50" i="6"/>
  <c r="AC18" i="23" s="1"/>
  <c r="E50" i="6"/>
  <c r="F50" i="6"/>
  <c r="AB107" i="3" l="1"/>
  <c r="AD107" i="3" s="1"/>
  <c r="AC107" i="3"/>
  <c r="AE107" i="3" s="1"/>
  <c r="AF107" i="3" s="1"/>
  <c r="BC107" i="3" s="1"/>
  <c r="BE107" i="3" s="1"/>
  <c r="BG107" i="3" s="1"/>
  <c r="C49" i="6" s="1"/>
  <c r="AB17" i="23" s="1"/>
  <c r="AA108" i="3"/>
  <c r="AB108" i="3" s="1"/>
  <c r="U47" i="6"/>
  <c r="AE21" i="23"/>
  <c r="AC21" i="23"/>
  <c r="R49" i="6"/>
  <c r="Y48" i="6" s="1"/>
  <c r="M50" i="6"/>
  <c r="AE18" i="23"/>
  <c r="L48" i="6"/>
  <c r="Q48" i="6" s="1"/>
  <c r="AC17" i="23"/>
  <c r="N50" i="6"/>
  <c r="R50" i="6" s="1"/>
  <c r="Y49" i="6" s="1"/>
  <c r="AJ159" i="11"/>
  <c r="AC108" i="3"/>
  <c r="AD108" i="3" l="1"/>
  <c r="AE109" i="3" s="1"/>
  <c r="AF109" i="3" s="1"/>
  <c r="BC109" i="3" s="1"/>
  <c r="BE109" i="3" s="1"/>
  <c r="BG109" i="3" s="1"/>
  <c r="C51" i="6" s="1"/>
  <c r="AD17" i="23" s="1"/>
  <c r="AE108" i="3"/>
  <c r="AF108" i="3" s="1"/>
  <c r="BC108" i="3" s="1"/>
  <c r="BE108" i="3" s="1"/>
  <c r="BG108" i="3" s="1"/>
  <c r="C50" i="6" s="1"/>
  <c r="L50" i="6" s="1"/>
  <c r="Q50" i="6" s="1"/>
  <c r="X49" i="6" s="1"/>
  <c r="AB49" i="6" s="1"/>
  <c r="L49" i="6"/>
  <c r="Q49" i="6" s="1"/>
  <c r="X48" i="6" s="1"/>
  <c r="AB48" i="6" s="1"/>
  <c r="U48" i="6"/>
  <c r="X47" i="6"/>
  <c r="AB47" i="6" s="1"/>
  <c r="AD109" i="3" l="1"/>
  <c r="AE110" i="3" s="1"/>
  <c r="AF110" i="3" s="1"/>
  <c r="BC110" i="3" s="1"/>
  <c r="BE110" i="3" s="1"/>
  <c r="BG110" i="3" s="1"/>
  <c r="C52" i="6" s="1"/>
  <c r="AE17" i="23" s="1"/>
  <c r="U49" i="6"/>
  <c r="U50" i="6"/>
  <c r="L51" i="6"/>
  <c r="Q51" i="6" s="1"/>
  <c r="U51" i="6" s="1"/>
  <c r="AD110" i="3" l="1"/>
  <c r="AE111" i="3" s="1"/>
  <c r="AF111" i="3" s="1"/>
  <c r="BC111" i="3" s="1"/>
  <c r="BE111" i="3" s="1"/>
  <c r="BG111" i="3" s="1"/>
  <c r="C53" i="6" s="1"/>
  <c r="AF17" i="23" s="1"/>
  <c r="X50" i="6"/>
  <c r="AB50" i="6" s="1"/>
  <c r="L52" i="6"/>
  <c r="Q52" i="6" s="1"/>
  <c r="X51" i="6" s="1"/>
  <c r="AB51" i="6" s="1"/>
  <c r="AD111" i="3" l="1"/>
  <c r="AD112" i="3" s="1"/>
  <c r="U52" i="6"/>
  <c r="L53" i="6"/>
  <c r="Q53" i="6" s="1"/>
  <c r="X52" i="6" s="1"/>
  <c r="AB52" i="6" s="1"/>
  <c r="AE112" i="3" l="1"/>
  <c r="AF112" i="3" s="1"/>
  <c r="BC112" i="3" s="1"/>
  <c r="BE112" i="3" s="1"/>
  <c r="BG112" i="3" s="1"/>
  <c r="C54" i="6" s="1"/>
  <c r="AG17" i="23" s="1"/>
  <c r="U53" i="6"/>
  <c r="AD113" i="3"/>
  <c r="AE113" i="3"/>
  <c r="AF113" i="3" s="1"/>
  <c r="BC113" i="3" s="1"/>
  <c r="BE113" i="3" s="1"/>
  <c r="BG113" i="3" s="1"/>
  <c r="C55" i="6" s="1"/>
  <c r="AH17" i="23" s="1"/>
  <c r="L54" i="6" l="1"/>
  <c r="Q54" i="6" s="1"/>
  <c r="X53" i="6" s="1"/>
  <c r="AB53" i="6" s="1"/>
  <c r="L55" i="6"/>
  <c r="Q55" i="6" s="1"/>
  <c r="X54" i="6" s="1"/>
  <c r="AB54" i="6" s="1"/>
  <c r="AD114" i="3"/>
  <c r="AE114" i="3"/>
  <c r="AF114" i="3" s="1"/>
  <c r="BC114" i="3" s="1"/>
  <c r="BE114" i="3" s="1"/>
  <c r="BG114" i="3" s="1"/>
  <c r="C56" i="6" s="1"/>
  <c r="AI17" i="23" s="1"/>
  <c r="U54" i="6" l="1"/>
  <c r="U55" i="6"/>
  <c r="L56" i="6"/>
  <c r="Q56" i="6" s="1"/>
  <c r="X55" i="6" s="1"/>
  <c r="AB55" i="6" s="1"/>
  <c r="AE115" i="3"/>
  <c r="AF115" i="3" s="1"/>
  <c r="BC115" i="3" s="1"/>
  <c r="BE115" i="3" s="1"/>
  <c r="BG115" i="3" s="1"/>
  <c r="C57" i="6" s="1"/>
  <c r="AJ17" i="23" s="1"/>
  <c r="AD115" i="3"/>
  <c r="U56" i="6" l="1"/>
  <c r="L57" i="6"/>
  <c r="Q57" i="6" s="1"/>
  <c r="X56" i="6" s="1"/>
  <c r="AB56" i="6" s="1"/>
  <c r="AE116" i="3"/>
  <c r="AF116" i="3" s="1"/>
  <c r="BC116" i="3" s="1"/>
  <c r="BE116" i="3" s="1"/>
  <c r="BG116" i="3" s="1"/>
  <c r="C58" i="6" s="1"/>
  <c r="AK17" i="23" s="1"/>
  <c r="AD116" i="3"/>
  <c r="U57" i="6" l="1"/>
  <c r="L58" i="6"/>
  <c r="Q58" i="6" s="1"/>
  <c r="X57" i="6" s="1"/>
  <c r="AB57" i="6" s="1"/>
  <c r="AD117" i="3"/>
  <c r="AE117" i="3"/>
  <c r="AF117" i="3" s="1"/>
  <c r="BC117" i="3" s="1"/>
  <c r="BE117" i="3" s="1"/>
  <c r="BG117" i="3" s="1"/>
  <c r="C59" i="6" s="1"/>
  <c r="AL17" i="23" s="1"/>
  <c r="L59" i="6" l="1"/>
  <c r="Q59" i="6" s="1"/>
  <c r="U59" i="6" s="1"/>
  <c r="U58" i="6"/>
  <c r="AE118" i="3"/>
  <c r="AF118" i="3" s="1"/>
  <c r="BC118" i="3" s="1"/>
  <c r="BE118" i="3" s="1"/>
  <c r="BG118" i="3" s="1"/>
  <c r="C60" i="6" s="1"/>
  <c r="AD118" i="3"/>
  <c r="X58" i="6" l="1"/>
  <c r="AB58" i="6" s="1"/>
  <c r="AM17" i="23"/>
  <c r="AO17" i="23"/>
  <c r="L60" i="6"/>
  <c r="Q60" i="6" s="1"/>
  <c r="X59" i="6" s="1"/>
  <c r="AB59" i="6" s="1"/>
  <c r="AE119" i="3"/>
  <c r="AF119" i="3" s="1"/>
  <c r="BC119" i="3" s="1"/>
  <c r="BE119" i="3" s="1"/>
  <c r="BG119" i="3" s="1"/>
  <c r="C61" i="6" s="1"/>
  <c r="AD119" i="3"/>
  <c r="AN17" i="23" l="1"/>
  <c r="AP17" i="23"/>
  <c r="U60" i="6"/>
  <c r="L61" i="6"/>
  <c r="Q61" i="6" s="1"/>
  <c r="U61" i="6" s="1"/>
  <c r="X60" i="6" l="1"/>
  <c r="AB60" i="6" s="1"/>
  <c r="D203" i="6"/>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4"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4" authorId="0" shapeId="0" xr:uid="{D804321A-AE25-46D1-A50A-CE44D930AE42}">
      <text>
        <r>
          <rPr>
            <b/>
            <sz val="8"/>
            <color indexed="81"/>
            <rFont val="Tahoma"/>
            <family val="2"/>
          </rPr>
          <t>Inert waste, i.e. not containing degradable organic carbon, e.g. glass, metal etc. (DOC=0)</t>
        </r>
        <r>
          <rPr>
            <sz val="8"/>
            <color indexed="81"/>
            <rFont val="Tahoma"/>
            <family val="2"/>
          </rPr>
          <t xml:space="preserve">
</t>
        </r>
      </text>
    </comment>
    <comment ref="BS94" authorId="0" shapeId="0" xr:uid="{1347D131-23EB-4A30-8A7A-CCABBFE8CF14}">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4"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4" authorId="0" shapeId="0" xr:uid="{57C19449-E597-4D1D-85D9-AFBC761D4834}">
      <text>
        <r>
          <rPr>
            <b/>
            <sz val="8"/>
            <color indexed="81"/>
            <rFont val="Tahoma"/>
            <family val="2"/>
          </rPr>
          <t>Inert waste, i.e. not containing degradable organic carbon, e.g. glass, metal etc. (DOC=0)</t>
        </r>
        <r>
          <rPr>
            <sz val="8"/>
            <color indexed="81"/>
            <rFont val="Tahoma"/>
            <family val="2"/>
          </rPr>
          <t xml:space="preserve">
</t>
        </r>
      </text>
    </comment>
    <comment ref="BS94" authorId="0" shapeId="0" xr:uid="{58F53CB1-1FE4-40A9-8AC6-B28CDD900D9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5" authorId="1" shapeId="0" xr:uid="{F946A7D4-4842-443B-BDB1-6EC40A9224EE}">
      <text>
        <r>
          <rPr>
            <sz val="8"/>
            <color indexed="81"/>
            <rFont val="Tahoma"/>
            <family val="2"/>
          </rPr>
          <t xml:space="preserve">Enter the population for which waste collection is organised (could be urban population)
</t>
        </r>
      </text>
    </comment>
    <comment ref="D15" authorId="1" shapeId="0" xr:uid="{9D6C6A44-6AB9-40A7-87F5-95F294166584}">
      <text>
        <r>
          <rPr>
            <sz val="8"/>
            <color indexed="81"/>
            <rFont val="Tahoma"/>
            <family val="2"/>
          </rPr>
          <t>Enter the percentage of waste generated which goes to solid waste disposal sites</t>
        </r>
      </text>
    </comment>
    <comment ref="K15"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5" authorId="0" shapeId="0" xr:uid="{7E83BA6A-55F3-46EA-BDE3-E1525E147E54}">
      <text>
        <r>
          <rPr>
            <sz val="8"/>
            <color indexed="81"/>
            <rFont val="Tahoma"/>
            <family val="2"/>
          </rPr>
          <t>Transferred from activity sheet</t>
        </r>
      </text>
    </comment>
    <comment ref="O15"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5" authorId="0" shapeId="0" xr:uid="{69FF36A2-530C-4789-9CC8-B954A3D56128}">
      <text>
        <r>
          <rPr>
            <sz val="8"/>
            <color indexed="81"/>
            <rFont val="Tahoma"/>
            <family val="2"/>
          </rPr>
          <t>Calculates the mass of DOC in the deposited material which will actually degrade in the SWDS. Equation 4 on the Theory sheet.</t>
        </r>
      </text>
    </comment>
    <comment ref="R15"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5"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5" authorId="0" shapeId="0" xr:uid="{ECC105CB-B0E4-4A4F-9008-37B36E30C52A}">
      <text>
        <r>
          <rPr>
            <sz val="8"/>
            <color indexed="81"/>
            <rFont val="Tahoma"/>
            <family val="2"/>
          </rPr>
          <t>Calculates the total amount of DDOCm left not decomposed in the SWDS at the end of the year. Equation 7 on the Theory sheet.</t>
        </r>
      </text>
    </comment>
    <comment ref="U15" authorId="0" shapeId="0" xr:uid="{C3E684E3-6586-41E1-AE7D-F839BADE7929}">
      <text>
        <r>
          <rPr>
            <sz val="8"/>
            <color indexed="81"/>
            <rFont val="Tahoma"/>
            <family val="2"/>
          </rPr>
          <t>Calculates the total mass of DDOC dedomposed to methane and carbon dioxide each year. Equation 8 on the Theory sheet.</t>
        </r>
      </text>
    </comment>
    <comment ref="V15" authorId="0" shapeId="0" xr:uid="{44CB9F2C-D607-4B1B-91C6-B2316DF6111A}">
      <text>
        <r>
          <rPr>
            <sz val="8"/>
            <color indexed="81"/>
            <rFont val="Tahoma"/>
            <family val="2"/>
          </rPr>
          <t>Calculates the mass of methane formed from DDOCm decomposed. Equation 9 on the Theory sheet.</t>
        </r>
      </text>
    </comment>
    <comment ref="X15" authorId="0" shapeId="0" xr:uid="{2D0BBB18-A617-45F8-AEE5-EC64359D3624}">
      <text>
        <r>
          <rPr>
            <sz val="8"/>
            <color indexed="81"/>
            <rFont val="Tahoma"/>
            <family val="2"/>
          </rPr>
          <t>Transferred from activity sheet</t>
        </r>
      </text>
    </comment>
    <comment ref="Y15"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5"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5"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5"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5" authorId="0" shapeId="0" xr:uid="{86F9834E-D123-4464-8C25-5D475CEDB265}">
      <text>
        <r>
          <rPr>
            <sz val="8"/>
            <color indexed="81"/>
            <rFont val="Tahoma"/>
            <family val="2"/>
          </rPr>
          <t>Calculates the total amount of DDOCm left not decomposed in the SWDS at the end of the year. Equation 7 on the Theory sheet.</t>
        </r>
      </text>
    </comment>
    <comment ref="AE15" authorId="0" shapeId="0" xr:uid="{7F23DD53-6031-48DF-8472-A18932828738}">
      <text>
        <r>
          <rPr>
            <sz val="8"/>
            <color indexed="81"/>
            <rFont val="Tahoma"/>
            <family val="2"/>
          </rPr>
          <t>Calculates the total mass of DDOC dedomposed to methane and carbon dioxide each year. Equation 8 on the Theory sheet.</t>
        </r>
      </text>
    </comment>
    <comment ref="AF15" authorId="0" shapeId="0" xr:uid="{92C73135-9BC4-41CB-9364-339F88BEA396}">
      <text>
        <r>
          <rPr>
            <sz val="8"/>
            <color indexed="81"/>
            <rFont val="Tahoma"/>
            <family val="2"/>
          </rPr>
          <t>Calculates the mass of methane formed from DDOCm decomposed. Equation 9 on the Theory sheet.</t>
        </r>
      </text>
    </comment>
    <comment ref="AH15" authorId="0" shapeId="0" xr:uid="{7FD85E37-4BCA-4BD5-A2C8-F86F8A23FB03}">
      <text>
        <r>
          <rPr>
            <sz val="8"/>
            <color indexed="81"/>
            <rFont val="Tahoma"/>
            <family val="2"/>
          </rPr>
          <t>Transferred from activity sheet</t>
        </r>
      </text>
    </comment>
    <comment ref="AI15"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5"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5"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5"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5" authorId="0" shapeId="0" xr:uid="{E8A0ECB6-6E41-4527-A468-E63CD06FC947}">
      <text>
        <r>
          <rPr>
            <sz val="8"/>
            <color indexed="81"/>
            <rFont val="Tahoma"/>
            <family val="2"/>
          </rPr>
          <t>Calculates the total amount of DDOCm left not decomposed in the SWDS at the end of the year. Equation 7 on the Theory sheet.</t>
        </r>
      </text>
    </comment>
    <comment ref="AO15" authorId="0" shapeId="0" xr:uid="{509C0C47-E5DB-4BCB-9FD9-DB3D3887F63E}">
      <text>
        <r>
          <rPr>
            <sz val="8"/>
            <color indexed="81"/>
            <rFont val="Tahoma"/>
            <family val="2"/>
          </rPr>
          <t>Calculates the total mass of DDOC dedomposed to methane and carbon dioxide each year. Equation 8 on the Theory sheet.</t>
        </r>
      </text>
    </comment>
    <comment ref="AP15" authorId="0" shapeId="0" xr:uid="{A7272FC4-A3CC-4F88-B12A-3FFDFABB8A9D}">
      <text>
        <r>
          <rPr>
            <sz val="8"/>
            <color indexed="81"/>
            <rFont val="Tahoma"/>
            <family val="2"/>
          </rPr>
          <t>Calculates the mass of methane formed from DDOCm decomposed. Equation 9 on the Theory sheet.</t>
        </r>
      </text>
    </comment>
    <comment ref="AR15" authorId="0" shapeId="0" xr:uid="{75235870-FD48-477A-B58B-8B09CA5C629C}">
      <text>
        <r>
          <rPr>
            <sz val="8"/>
            <color indexed="81"/>
            <rFont val="Tahoma"/>
            <family val="2"/>
          </rPr>
          <t>Transferred from activity sheet</t>
        </r>
      </text>
    </comment>
    <comment ref="AS15"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5"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5"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5"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5" authorId="0" shapeId="0" xr:uid="{0C1F0BB4-9A7B-4C5B-A4D8-5E8F94CDD28E}">
      <text>
        <r>
          <rPr>
            <sz val="8"/>
            <color indexed="81"/>
            <rFont val="Tahoma"/>
            <family val="2"/>
          </rPr>
          <t>Calculates the total amount of DDOCm left not decomposed in the SWDS at the end of the year. Equation 7 on the Theory sheet.</t>
        </r>
      </text>
    </comment>
    <comment ref="AY15" authorId="0" shapeId="0" xr:uid="{20E5B74E-A8BF-42B9-97CE-D665456217FC}">
      <text>
        <r>
          <rPr>
            <sz val="8"/>
            <color indexed="81"/>
            <rFont val="Tahoma"/>
            <family val="2"/>
          </rPr>
          <t>Calculates the total mass of DDOC dedomposed to methane and carbon dioxide each year. Equation 8 on the Theory sheet.</t>
        </r>
      </text>
    </comment>
    <comment ref="AZ15"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5" authorId="1" shapeId="0" xr:uid="{41490F4F-7420-4BB2-B424-6A1BC3E176C3}">
      <text>
        <r>
          <rPr>
            <sz val="8"/>
            <color indexed="81"/>
            <rFont val="Tahoma"/>
            <family val="2"/>
          </rPr>
          <t xml:space="preserve">Enter the population for which waste collection is organised (could be urban population)
</t>
        </r>
      </text>
    </comment>
    <comment ref="D15" authorId="1" shapeId="0" xr:uid="{7EE0911A-BA4C-4200-B3D4-20F41728AEB9}">
      <text>
        <r>
          <rPr>
            <sz val="8"/>
            <color indexed="81"/>
            <rFont val="Tahoma"/>
            <family val="2"/>
          </rPr>
          <t>Enter the percentage of waste generated which goes to solid waste disposal sites</t>
        </r>
      </text>
    </comment>
    <comment ref="K15"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5" authorId="0" shapeId="0" xr:uid="{11957BA8-3C2C-45DF-8123-0A613BD91F99}">
      <text>
        <r>
          <rPr>
            <sz val="8"/>
            <color indexed="81"/>
            <rFont val="Tahoma"/>
            <family val="2"/>
          </rPr>
          <t>Transferred from activity sheet</t>
        </r>
      </text>
    </comment>
    <comment ref="O15"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5" authorId="0" shapeId="0" xr:uid="{6664FACD-9F15-4525-A016-EB482A48F32E}">
      <text>
        <r>
          <rPr>
            <sz val="8"/>
            <color indexed="81"/>
            <rFont val="Tahoma"/>
            <family val="2"/>
          </rPr>
          <t>Calculates the mass of DOC in the deposited material which will actually degrade in the SWDS. Equation 4 on the Theory sheet.</t>
        </r>
      </text>
    </comment>
    <comment ref="R15"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5"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5" authorId="0" shapeId="0" xr:uid="{61680A96-8EC1-4726-AA2F-027CEBC3E89E}">
      <text>
        <r>
          <rPr>
            <sz val="8"/>
            <color indexed="81"/>
            <rFont val="Tahoma"/>
            <family val="2"/>
          </rPr>
          <t>Calculates the total amount of DDOCm left not decomposed in the SWDS at the end of the year. Equation 7 on the Theory sheet.</t>
        </r>
      </text>
    </comment>
    <comment ref="U15" authorId="0" shapeId="0" xr:uid="{AEAF2787-FE5D-4F8B-942F-D0BBE30D29BE}">
      <text>
        <r>
          <rPr>
            <sz val="8"/>
            <color indexed="81"/>
            <rFont val="Tahoma"/>
            <family val="2"/>
          </rPr>
          <t>Calculates the total mass of DDOC dedomposed to methane and carbon dioxide each year. Equation 8 on the Theory sheet.</t>
        </r>
      </text>
    </comment>
    <comment ref="V15" authorId="0" shapeId="0" xr:uid="{E5BB3F2A-AF0B-4952-B130-1040AF468DF5}">
      <text>
        <r>
          <rPr>
            <sz val="8"/>
            <color indexed="81"/>
            <rFont val="Tahoma"/>
            <family val="2"/>
          </rPr>
          <t>Calculates the mass of methane formed from DDOCm decomposed. Equation 9 on the Theory sheet.</t>
        </r>
      </text>
    </comment>
    <comment ref="X15" authorId="0" shapeId="0" xr:uid="{9C3F102A-0879-4C12-9869-4B43963A3CB0}">
      <text>
        <r>
          <rPr>
            <sz val="8"/>
            <color indexed="81"/>
            <rFont val="Tahoma"/>
            <family val="2"/>
          </rPr>
          <t>Transferred from activity sheet</t>
        </r>
      </text>
    </comment>
    <comment ref="Y15"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5"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5"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5"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5" authorId="0" shapeId="0" xr:uid="{2E3EDB9D-40AC-4381-B963-E106FB34C38D}">
      <text>
        <r>
          <rPr>
            <sz val="8"/>
            <color indexed="81"/>
            <rFont val="Tahoma"/>
            <family val="2"/>
          </rPr>
          <t>Calculates the total amount of DDOCm left not decomposed in the SWDS at the end of the year. Equation 7 on the Theory sheet.</t>
        </r>
      </text>
    </comment>
    <comment ref="AE15" authorId="0" shapeId="0" xr:uid="{26FD2F0F-DCC9-44FE-9809-284691D8DA54}">
      <text>
        <r>
          <rPr>
            <sz val="8"/>
            <color indexed="81"/>
            <rFont val="Tahoma"/>
            <family val="2"/>
          </rPr>
          <t>Calculates the total mass of DDOC dedomposed to methane and carbon dioxide each year. Equation 8 on the Theory sheet.</t>
        </r>
      </text>
    </comment>
    <comment ref="AF15" authorId="0" shapeId="0" xr:uid="{608CEDBA-2F77-412C-8A36-DB6B2473B215}">
      <text>
        <r>
          <rPr>
            <sz val="8"/>
            <color indexed="81"/>
            <rFont val="Tahoma"/>
            <family val="2"/>
          </rPr>
          <t>Calculates the mass of methane formed from DDOCm decomposed. Equation 9 on the Theory sheet.</t>
        </r>
      </text>
    </comment>
    <comment ref="AH15" authorId="0" shapeId="0" xr:uid="{2A1D66BA-7479-415B-9542-F9DAA1CA1A44}">
      <text>
        <r>
          <rPr>
            <sz val="8"/>
            <color indexed="81"/>
            <rFont val="Tahoma"/>
            <family val="2"/>
          </rPr>
          <t>Transferred from activity sheet</t>
        </r>
      </text>
    </comment>
    <comment ref="AI15"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5"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5"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5"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5" authorId="0" shapeId="0" xr:uid="{BBC6569B-5F7A-488B-AF4A-9819C86EB711}">
      <text>
        <r>
          <rPr>
            <sz val="8"/>
            <color indexed="81"/>
            <rFont val="Tahoma"/>
            <family val="2"/>
          </rPr>
          <t>Calculates the total amount of DDOCm left not decomposed in the SWDS at the end of the year. Equation 7 on the Theory sheet.</t>
        </r>
      </text>
    </comment>
    <comment ref="AO15" authorId="0" shapeId="0" xr:uid="{6ECB36C2-5306-47C4-90CF-75B42297394B}">
      <text>
        <r>
          <rPr>
            <sz val="8"/>
            <color indexed="81"/>
            <rFont val="Tahoma"/>
            <family val="2"/>
          </rPr>
          <t>Calculates the total mass of DDOC dedomposed to methane and carbon dioxide each year. Equation 8 on the Theory sheet.</t>
        </r>
      </text>
    </comment>
    <comment ref="AP15" authorId="0" shapeId="0" xr:uid="{B9E64778-B2D0-4252-8F00-CECCCA4F0792}">
      <text>
        <r>
          <rPr>
            <sz val="8"/>
            <color indexed="81"/>
            <rFont val="Tahoma"/>
            <family val="2"/>
          </rPr>
          <t>Calculates the mass of methane formed from DDOCm decomposed. Equation 9 on the Theory sheet.</t>
        </r>
      </text>
    </comment>
    <comment ref="AR15" authorId="0" shapeId="0" xr:uid="{91A4838D-37DC-48E5-8A39-CC447AE0636A}">
      <text>
        <r>
          <rPr>
            <sz val="8"/>
            <color indexed="81"/>
            <rFont val="Tahoma"/>
            <family val="2"/>
          </rPr>
          <t>Transferred from activity sheet</t>
        </r>
      </text>
    </comment>
    <comment ref="AS15"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5"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5"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5"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5" authorId="0" shapeId="0" xr:uid="{78A88FC7-F480-4FF5-A96A-7FA53123A746}">
      <text>
        <r>
          <rPr>
            <sz val="8"/>
            <color indexed="81"/>
            <rFont val="Tahoma"/>
            <family val="2"/>
          </rPr>
          <t>Calculates the total amount of DDOCm left not decomposed in the SWDS at the end of the year. Equation 7 on the Theory sheet.</t>
        </r>
      </text>
    </comment>
    <comment ref="AY15" authorId="0" shapeId="0" xr:uid="{7F27F8B0-66CE-4624-8480-8FEB6093A4F1}">
      <text>
        <r>
          <rPr>
            <sz val="8"/>
            <color indexed="81"/>
            <rFont val="Tahoma"/>
            <family val="2"/>
          </rPr>
          <t>Calculates the total mass of DDOC dedomposed to methane and carbon dioxide each year. Equation 8 on the Theory sheet.</t>
        </r>
      </text>
    </comment>
    <comment ref="AZ15"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5" authorId="1" shapeId="0" xr:uid="{71830717-B7F0-4DD8-8FA4-FD3DC979D4EF}">
      <text>
        <r>
          <rPr>
            <sz val="8"/>
            <color indexed="81"/>
            <rFont val="Tahoma"/>
            <family val="2"/>
          </rPr>
          <t xml:space="preserve">Enter the population for which waste collection is organised (could be urban population)
</t>
        </r>
      </text>
    </comment>
    <comment ref="D15" authorId="1" shapeId="0" xr:uid="{401CA4BB-58D1-4EC5-A2FA-5C24FF31553F}">
      <text>
        <r>
          <rPr>
            <sz val="8"/>
            <color indexed="81"/>
            <rFont val="Tahoma"/>
            <family val="2"/>
          </rPr>
          <t>Enter the percentage of waste generated which goes to solid waste disposal sites</t>
        </r>
      </text>
    </comment>
    <comment ref="K15"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5" authorId="0" shapeId="0" xr:uid="{89FCF9F0-43CA-44FE-8A5F-0055DA8E4FC7}">
      <text>
        <r>
          <rPr>
            <sz val="8"/>
            <color indexed="81"/>
            <rFont val="Tahoma"/>
            <family val="2"/>
          </rPr>
          <t>Transferred from activity sheet</t>
        </r>
      </text>
    </comment>
    <comment ref="O15"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5" authorId="0" shapeId="0" xr:uid="{C90001E6-47C4-44B8-B0FB-C7E6E910A644}">
      <text>
        <r>
          <rPr>
            <sz val="8"/>
            <color indexed="81"/>
            <rFont val="Tahoma"/>
            <family val="2"/>
          </rPr>
          <t>Calculates the mass of DOC in the deposited material which will actually degrade in the SWDS. Equation 4 on the Theory sheet.</t>
        </r>
      </text>
    </comment>
    <comment ref="R15"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5"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5" authorId="0" shapeId="0" xr:uid="{06A49E4D-3A7B-4447-B0B7-9C1882BC6A58}">
      <text>
        <r>
          <rPr>
            <sz val="8"/>
            <color indexed="81"/>
            <rFont val="Tahoma"/>
            <family val="2"/>
          </rPr>
          <t>Calculates the total amount of DDOCm left not decomposed in the SWDS at the end of the year. Equation 7 on the Theory sheet.</t>
        </r>
      </text>
    </comment>
    <comment ref="U15" authorId="0" shapeId="0" xr:uid="{9017E4C6-3752-4006-BF15-5BB05CBB7263}">
      <text>
        <r>
          <rPr>
            <sz val="8"/>
            <color indexed="81"/>
            <rFont val="Tahoma"/>
            <family val="2"/>
          </rPr>
          <t>Calculates the total mass of DDOC dedomposed to methane and carbon dioxide each year. Equation 8 on the Theory sheet.</t>
        </r>
      </text>
    </comment>
    <comment ref="V15" authorId="0" shapeId="0" xr:uid="{27B31D7D-593C-44CC-9885-ECFD46A54150}">
      <text>
        <r>
          <rPr>
            <sz val="8"/>
            <color indexed="81"/>
            <rFont val="Tahoma"/>
            <family val="2"/>
          </rPr>
          <t>Calculates the mass of methane formed from DDOCm decomposed. Equation 9 on the Theory sheet.</t>
        </r>
      </text>
    </comment>
    <comment ref="X15" authorId="0" shapeId="0" xr:uid="{5F9A9F5E-488B-4400-BB78-8530811D78B0}">
      <text>
        <r>
          <rPr>
            <sz val="8"/>
            <color indexed="81"/>
            <rFont val="Tahoma"/>
            <family val="2"/>
          </rPr>
          <t>Transferred from activity sheet</t>
        </r>
      </text>
    </comment>
    <comment ref="Y15"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5"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5"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5"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5" authorId="0" shapeId="0" xr:uid="{44574628-235F-4D4F-89CC-7BE185AA4D7E}">
      <text>
        <r>
          <rPr>
            <sz val="8"/>
            <color indexed="81"/>
            <rFont val="Tahoma"/>
            <family val="2"/>
          </rPr>
          <t>Calculates the total amount of DDOCm left not decomposed in the SWDS at the end of the year. Equation 7 on the Theory sheet.</t>
        </r>
      </text>
    </comment>
    <comment ref="AE15" authorId="0" shapeId="0" xr:uid="{155943DA-E383-434E-A95B-D6E8EB2DF0FC}">
      <text>
        <r>
          <rPr>
            <sz val="8"/>
            <color indexed="81"/>
            <rFont val="Tahoma"/>
            <family val="2"/>
          </rPr>
          <t>Calculates the total mass of DDOC dedomposed to methane and carbon dioxide each year. Equation 8 on the Theory sheet.</t>
        </r>
      </text>
    </comment>
    <comment ref="AF15" authorId="0" shapeId="0" xr:uid="{7E8A16F4-71EF-4502-BC4C-87D614402F3C}">
      <text>
        <r>
          <rPr>
            <sz val="8"/>
            <color indexed="81"/>
            <rFont val="Tahoma"/>
            <family val="2"/>
          </rPr>
          <t>Calculates the mass of methane formed from DDOCm decomposed. Equation 9 on the Theory sheet.</t>
        </r>
      </text>
    </comment>
    <comment ref="AH15" authorId="0" shapeId="0" xr:uid="{34C44213-F4AA-4509-98B9-9B4FE4C26E45}">
      <text>
        <r>
          <rPr>
            <sz val="8"/>
            <color indexed="81"/>
            <rFont val="Tahoma"/>
            <family val="2"/>
          </rPr>
          <t>Transferred from activity sheet</t>
        </r>
      </text>
    </comment>
    <comment ref="AI15"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5"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5"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5"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5" authorId="0" shapeId="0" xr:uid="{88091C52-6837-4348-A0C6-A1F2898CA90B}">
      <text>
        <r>
          <rPr>
            <sz val="8"/>
            <color indexed="81"/>
            <rFont val="Tahoma"/>
            <family val="2"/>
          </rPr>
          <t>Calculates the total amount of DDOCm left not decomposed in the SWDS at the end of the year. Equation 7 on the Theory sheet.</t>
        </r>
      </text>
    </comment>
    <comment ref="AO15" authorId="0" shapeId="0" xr:uid="{6589A662-60A1-44EA-A983-255C0177EDBE}">
      <text>
        <r>
          <rPr>
            <sz val="8"/>
            <color indexed="81"/>
            <rFont val="Tahoma"/>
            <family val="2"/>
          </rPr>
          <t>Calculates the total mass of DDOC dedomposed to methane and carbon dioxide each year. Equation 8 on the Theory sheet.</t>
        </r>
      </text>
    </comment>
    <comment ref="AP15" authorId="0" shapeId="0" xr:uid="{C32A76B4-C5CA-4A7C-9E0B-E4380C1E2CF5}">
      <text>
        <r>
          <rPr>
            <sz val="8"/>
            <color indexed="81"/>
            <rFont val="Tahoma"/>
            <family val="2"/>
          </rPr>
          <t>Calculates the mass of methane formed from DDOCm decomposed. Equation 9 on the Theory sheet.</t>
        </r>
      </text>
    </comment>
    <comment ref="AR15" authorId="0" shapeId="0" xr:uid="{758850EE-BB1F-460E-B4B3-5B6DDE45627E}">
      <text>
        <r>
          <rPr>
            <sz val="8"/>
            <color indexed="81"/>
            <rFont val="Tahoma"/>
            <family val="2"/>
          </rPr>
          <t>Transferred from activity sheet</t>
        </r>
      </text>
    </comment>
    <comment ref="AS15"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5"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5"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5"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5" authorId="0" shapeId="0" xr:uid="{6AFB21C4-BA36-49F9-A6B3-CA432E8E93EA}">
      <text>
        <r>
          <rPr>
            <sz val="8"/>
            <color indexed="81"/>
            <rFont val="Tahoma"/>
            <family val="2"/>
          </rPr>
          <t>Calculates the total amount of DDOCm left not decomposed in the SWDS at the end of the year. Equation 7 on the Theory sheet.</t>
        </r>
      </text>
    </comment>
    <comment ref="AY15" authorId="0" shapeId="0" xr:uid="{D7C41AFB-DA47-4971-A023-087D77DBD84B}">
      <text>
        <r>
          <rPr>
            <sz val="8"/>
            <color indexed="81"/>
            <rFont val="Tahoma"/>
            <family val="2"/>
          </rPr>
          <t>Calculates the total mass of DDOC dedomposed to methane and carbon dioxide each year. Equation 8 on the Theory sheet.</t>
        </r>
      </text>
    </comment>
    <comment ref="AZ15"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<sst xmlns="http://schemas.openxmlformats.org/spreadsheetml/2006/main" count="3666" uniqueCount="871">
  <si>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</si>
  <si>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</si>
  <si>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</si>
  <si>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</si>
  <si>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</si>
  <si>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</si>
  <si>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</si>
  <si>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</si>
  <si>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</si>
  <si>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</si>
  <si>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</si>
  <si>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</si>
  <si>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</si>
  <si>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</si>
  <si>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</si>
  <si>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</si>
  <si>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</si>
  <si>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</si>
  <si>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</si>
  <si>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</si>
  <si>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</si>
  <si>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</si>
  <si>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</si>
  <si>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</si>
  <si>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</si>
  <si>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</si>
  <si>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</si>
  <si>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</si>
  <si>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</si>
  <si>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</si>
  <si>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</si>
  <si>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</si>
  <si>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</si>
  <si>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</si>
  <si>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</si>
  <si>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</si>
  <si>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</si>
  <si>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</si>
  <si>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</si>
  <si>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</si>
  <si>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</si>
  <si>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</si>
  <si>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</si>
  <si>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</si>
  <si>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</si>
  <si>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</si>
  <si>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</si>
  <si>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</si>
  <si>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</si>
  <si>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</si>
  <si>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</si>
  <si>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</si>
  <si>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</si>
  <si>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</si>
  <si>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</si>
  <si>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</si>
  <si>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</si>
  <si>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</si>
  <si>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</si>
  <si>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</si>
  <si>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</si>
  <si>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</si>
  <si>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</si>
  <si>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</si>
  <si>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</si>
  <si>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</si>
  <si>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</si>
  <si>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</si>
  <si>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</si>
  <si>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</si>
  <si>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</si>
  <si>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</si>
  <si>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</si>
  <si>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</si>
  <si>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</si>
  <si>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</si>
  <si>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</si>
  <si>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</si>
  <si>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</si>
  <si>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</si>
  <si>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</si>
  <si>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</si>
  <si>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</si>
  <si>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</si>
  <si>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</si>
  <si>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</si>
  <si>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</si>
  <si>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</si>
  <si>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</si>
  <si>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</si>
  <si>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</si>
  <si>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</si>
  <si>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</si>
  <si>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</si>
  <si>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</si>
  <si>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</si>
  <si>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</si>
  <si>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</si>
  <si>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</si>
  <si>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</si>
  <si>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</si>
  <si>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</si>
  <si>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</si>
  <si>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</si>
  <si>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</si>
  <si>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</si>
  <si>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</si>
  <si>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</si>
  <si>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</si>
  <si>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</si>
  <si>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</si>
  <si>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</si>
  <si>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</si>
  <si>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</si>
  <si>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</si>
  <si>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</si>
  <si>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</si>
  <si>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</si>
  <si>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</si>
  <si>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</si>
  <si>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</si>
  <si>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</si>
  <si>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</si>
  <si>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</si>
  <si>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</si>
  <si>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</si>
  <si>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</si>
  <si>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</si>
  <si>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</si>
  <si>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</si>
  <si>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</si>
  <si>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</si>
  <si>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</si>
  <si>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</si>
  <si>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</si>
  <si>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</si>
  <si>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</si>
  <si>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</si>
  <si>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</si>
  <si>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</si>
  <si>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</si>
  <si>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</si>
  <si>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</si>
  <si>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</si>
  <si>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</si>
  <si>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</si>
  <si>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</si>
  <si>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</si>
  <si>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</si>
  <si>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</si>
  <si>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</si>
  <si>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</si>
  <si>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</si>
  <si>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</si>
  <si>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</si>
  <si>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</si>
  <si>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</si>
  <si>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</si>
  <si>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</si>
  <si>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</si>
  <si>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</si>
  <si>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</si>
  <si>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</si>
  <si>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</si>
  <si>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</si>
  <si>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</si>
  <si>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</si>
  <si>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</si>
  <si>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</si>
  <si>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</si>
  <si>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</si>
  <si>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</si>
  <si>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</si>
  <si>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</si>
  <si>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</si>
  <si>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</si>
  <si>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</si>
  <si>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</si>
  <si>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</si>
  <si>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</si>
  <si>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</si>
  <si>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</si>
  <si>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</si>
  <si>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</si>
  <si>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</si>
  <si>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</si>
  <si>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</si>
  <si>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</si>
  <si>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</si>
  <si>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</si>
  <si>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</si>
  <si>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</si>
  <si>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</si>
  <si>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</si>
  <si>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</si>
  <si>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</si>
  <si>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</si>
  <si>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</si>
  <si>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</si>
  <si>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</si>
  <si>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</si>
  <si>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</si>
  <si>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</si>
  <si>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</si>
  <si>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</si>
  <si>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</si>
  <si>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</si>
  <si>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</si>
  <si>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</si>
  <si>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</si>
  <si>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</si>
  <si>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</si>
  <si>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</si>
  <si>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</si>
  <si>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</si>
  <si>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</si>
  <si>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</si>
  <si>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</si>
  <si>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</si>
  <si>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</si>
  <si>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</si>
  <si>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</si>
  <si>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</si>
  <si>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</si>
  <si>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</si>
  <si>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</si>
  <si>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</si>
  <si>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</si>
  <si>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</si>
  <si>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</si>
  <si>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</si>
  <si>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</si>
  <si>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</si>
  <si>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</si>
  <si>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</si>
  <si>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</si>
  <si>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</si>
  <si>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</si>
  <si>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</si>
  <si>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</si>
  <si>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</si>
  <si>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</si>
  <si>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</si>
  <si>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</si>
  <si>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</si>
  <si>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</si>
  <si>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</si>
  <si>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</si>
  <si>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</si>
  <si>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</si>
  <si>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</si>
  <si>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</si>
  <si>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</si>
  <si>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</si>
  <si>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</si>
  <si>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</si>
  <si>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</si>
  <si>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</si>
  <si>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</si>
  <si>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</si>
  <si>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</si>
  <si>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</si>
  <si>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</si>
  <si>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</si>
  <si>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</si>
  <si>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</si>
  <si>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</si>
  <si>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</si>
  <si>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</si>
  <si>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</si>
  <si>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</si>
  <si>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</si>
  <si>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</si>
  <si>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</si>
  <si>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</si>
  <si>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</si>
  <si>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</si>
  <si>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</si>
  <si>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</si>
  <si>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</si>
  <si>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</si>
  <si>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</si>
  <si>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</si>
  <si>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</si>
  <si>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</si>
  <si>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</si>
  <si>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</si>
  <si>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</si>
  <si>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</si>
  <si>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</si>
  <si>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</si>
  <si>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</si>
  <si>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</si>
  <si>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</si>
  <si>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</si>
  <si>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</si>
  <si>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</si>
  <si>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</si>
  <si>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</si>
  <si>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</si>
  <si>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</si>
  <si>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</si>
  <si>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</si>
  <si>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</si>
  <si>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</si>
  <si>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</si>
  <si>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</si>
  <si>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</si>
  <si>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</si>
  <si>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</si>
  <si>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</si>
  <si>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</si>
  <si>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</si>
  <si>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</si>
  <si>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</si>
  <si>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</si>
  <si>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</si>
  <si>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</si>
  <si>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</si>
  <si>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</si>
  <si>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</si>
  <si>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</si>
  <si>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</si>
  <si>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</si>
  <si>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</si>
  <si>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</si>
  <si>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</si>
  <si>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</si>
  <si>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</si>
  <si>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</si>
  <si>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</si>
  <si>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</si>
  <si>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</si>
  <si>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</si>
  <si>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</si>
  <si>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</si>
  <si>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</si>
  <si>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</si>
  <si>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</si>
  <si>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</si>
  <si>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</si>
  <si>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</si>
  <si>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</si>
  <si>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</si>
  <si>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</si>
  <si>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</si>
  <si>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</si>
  <si>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</si>
  <si>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</si>
  <si>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</si>
  <si>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</si>
  <si>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</si>
  <si>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</si>
  <si>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</si>
  <si>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</si>
  <si>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</si>
  <si>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</si>
  <si>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</si>
  <si>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</si>
  <si>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</si>
  <si>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</si>
  <si>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</si>
  <si>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</si>
  <si>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</si>
  <si>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</si>
  <si>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</si>
  <si>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</si>
  <si>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</si>
  <si>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</si>
  <si>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</si>
  <si>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</si>
  <si>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</si>
  <si>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</si>
  <si>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</si>
  <si>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</si>
  <si>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</si>
  <si>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</si>
  <si>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</si>
  <si>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</si>
  <si>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</si>
  <si>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</si>
  <si>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</si>
  <si>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</si>
  <si>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</si>
  <si>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</si>
  <si>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</si>
  <si>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</si>
  <si>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</si>
  <si>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</si>
  <si>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</si>
  <si>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</si>
  <si>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</si>
  <si>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</si>
  <si>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</si>
  <si>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</si>
  <si>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</si>
  <si>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</si>
  <si>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</si>
  <si>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</si>
  <si>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</si>
  <si>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</si>
  <si>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</si>
  <si>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</si>
  <si>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</si>
  <si>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</si>
  <si>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</si>
  <si>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</si>
  <si>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</si>
  <si>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</si>
  <si>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</si>
  <si>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</si>
  <si>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</si>
  <si>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</si>
  <si>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</si>
  <si>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</si>
  <si>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</si>
  <si>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</si>
  <si>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</si>
  <si>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</si>
  <si>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</si>
  <si>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</si>
  <si>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</si>
  <si>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</si>
  <si>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</si>
  <si>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</si>
  <si>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</si>
  <si>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</si>
  <si>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</si>
  <si>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</si>
  <si>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</si>
  <si>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</si>
  <si>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</si>
  <si>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</si>
  <si>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</si>
  <si>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</si>
  <si>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</si>
  <si>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</si>
  <si>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</si>
  <si>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</si>
  <si>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</si>
  <si>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</si>
  <si>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</si>
  <si>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</si>
  <si>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</si>
  <si>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</si>
  <si>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</si>
  <si>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</si>
  <si>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</si>
  <si>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</si>
  <si>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</si>
  <si>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</si>
  <si>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</si>
  <si>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</si>
  <si>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</si>
  <si>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</si>
  <si>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</si>
  <si>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</si>
  <si>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</si>
  <si>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</si>
  <si>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</si>
  <si>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</si>
  <si>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Exchange rate</t>
  </si>
  <si>
    <t>SA cents/ USD</t>
  </si>
  <si>
    <t>*nominal exchange rate - still needs to be checked</t>
  </si>
  <si>
    <t>GDP</t>
  </si>
  <si>
    <t>Real Total Value Added</t>
  </si>
  <si>
    <t>Industrial waste generation</t>
  </si>
  <si>
    <t>ton industrial waste/Rmill GDP</t>
  </si>
  <si>
    <t>*based on real total value added (as mentioned in email from Faaiqa)</t>
  </si>
  <si>
    <t>ton industrial waste/USD mill GDP</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</si>
  <si>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</si>
  <si>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</si>
  <si>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</si>
  <si>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</si>
  <si>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</si>
  <si>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</si>
  <si>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</si>
  <si>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</si>
  <si>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</si>
  <si>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</si>
  <si>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</si>
  <si>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</si>
  <si>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</si>
  <si>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</si>
  <si>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</si>
  <si>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</si>
  <si>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</si>
  <si>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</si>
  <si>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</si>
  <si>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</si>
  <si>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</si>
  <si>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</si>
  <si>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 xml:space="preserve">Organic non hazardous </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</si>
  <si>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</si>
  <si>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</si>
  <si>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</si>
  <si>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</si>
  <si>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</si>
  <si>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</si>
  <si>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</si>
  <si>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</si>
  <si>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</si>
  <si>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</si>
  <si>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</si>
  <si>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</si>
  <si>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</si>
  <si>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</si>
  <si>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</si>
  <si>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</si>
  <si>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</si>
  <si>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</si>
  <si>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</si>
  <si>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</si>
  <si>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</si>
  <si>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</si>
  <si>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</si>
  <si>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</si>
  <si>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</si>
  <si>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</si>
  <si>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</si>
  <si>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</si>
  <si>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</si>
  <si>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</si>
  <si>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</si>
  <si>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</si>
  <si>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</si>
  <si>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</si>
  <si>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</si>
  <si>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</si>
  <si>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</si>
  <si>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</si>
  <si>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</si>
  <si>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</si>
  <si>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</si>
  <si>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</si>
  <si>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</si>
  <si>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</si>
  <si>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</si>
  <si>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</si>
  <si>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</si>
  <si>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</si>
  <si>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</si>
  <si>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</si>
  <si>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</si>
  <si>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</si>
  <si>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</si>
  <si>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</si>
  <si>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</si>
  <si>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</si>
  <si>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</si>
  <si>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</si>
  <si>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</si>
  <si>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</si>
  <si>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</si>
  <si>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</si>
  <si>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</si>
  <si>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</si>
  <si>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</si>
  <si>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</si>
  <si>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</si>
  <si>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</si>
  <si>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</si>
  <si>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</si>
  <si>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</si>
  <si>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</si>
  <si>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</si>
  <si>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</si>
  <si>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</si>
  <si>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</si>
  <si>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</si>
  <si>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</si>
  <si>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</si>
  <si>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</si>
  <si>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</si>
  <si>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</si>
  <si>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</si>
  <si>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</si>
  <si>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</si>
  <si>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</si>
  <si>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</si>
  <si>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</si>
  <si>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</si>
  <si>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</si>
  <si>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</si>
  <si>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</si>
  <si>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</si>
  <si>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</si>
  <si>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</si>
  <si>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</si>
  <si>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</si>
  <si>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</si>
  <si>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</si>
  <si>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</si>
  <si>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</si>
  <si>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</si>
  <si>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</si>
  <si>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</si>
  <si>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</si>
  <si>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</si>
  <si>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</si>
  <si>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</si>
  <si>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</si>
  <si>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</si>
  <si>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</si>
  <si>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</si>
  <si>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</si>
  <si>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</si>
  <si>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</si>
  <si>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</si>
  <si>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</si>
  <si>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</si>
  <si>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</si>
  <si>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</si>
  <si>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</si>
  <si>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</si>
  <si>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</si>
  <si>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</si>
  <si>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</si>
  <si>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</si>
  <si>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</si>
  <si>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</si>
  <si>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</si>
  <si>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</si>
  <si>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</si>
  <si>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</si>
  <si>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</si>
  <si>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</si>
  <si>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</si>
  <si>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</si>
  <si>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</si>
  <si>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</si>
  <si>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</si>
  <si>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</si>
  <si>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</si>
  <si>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</si>
  <si>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</si>
  <si>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</si>
  <si>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</si>
  <si>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</si>
  <si>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</si>
  <si>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</si>
  <si>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</si>
  <si>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</si>
  <si>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</si>
  <si>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</si>
  <si>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</si>
  <si>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</si>
  <si>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</si>
  <si>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</si>
  <si>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</si>
  <si>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</si>
  <si>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</si>
  <si>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</si>
  <si>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</si>
  <si>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</si>
  <si>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</si>
  <si>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</si>
  <si>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</si>
  <si>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</si>
  <si>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</si>
  <si>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</si>
  <si>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</si>
  <si>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</si>
  <si>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</si>
  <si>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</si>
  <si>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</si>
  <si>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</si>
  <si>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</si>
  <si>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</si>
  <si>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</si>
  <si>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</si>
  <si>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</si>
  <si>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</si>
  <si>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</si>
  <si>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</si>
  <si>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</si>
  <si>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</si>
  <si>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</si>
  <si>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</si>
  <si>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</si>
  <si>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</si>
  <si>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</si>
  <si>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</si>
  <si>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</si>
  <si>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</si>
  <si>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</si>
  <si>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</si>
  <si>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</si>
  <si>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</si>
  <si>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</si>
  <si>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</si>
  <si>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</si>
  <si>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</si>
  <si>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</si>
  <si>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</si>
  <si>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</si>
  <si>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</si>
  <si>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</si>
  <si>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</si>
  <si>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</si>
  <si>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</si>
  <si>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</si>
  <si>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</si>
  <si>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</si>
  <si>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</si>
  <si>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</si>
  <si>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</si>
  <si>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</si>
  <si>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</si>
  <si>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</si>
  <si>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</si>
  <si>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</si>
  <si>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</si>
  <si>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</si>
  <si>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</si>
  <si>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</si>
  <si>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</si>
  <si>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</si>
  <si>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</si>
  <si>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</si>
  <si>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</si>
  <si>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</si>
  <si>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</si>
  <si>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</si>
  <si>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</si>
  <si>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</si>
  <si>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</si>
  <si>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</si>
  <si>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</si>
  <si>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</si>
  <si>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</si>
  <si>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</si>
  <si>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</si>
  <si>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</si>
  <si>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</si>
  <si>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</si>
  <si>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</si>
  <si>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</si>
  <si>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</si>
  <si>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</si>
  <si>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</si>
  <si>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</si>
  <si>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</si>
  <si>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</si>
  <si>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</si>
  <si>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</si>
  <si>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</si>
  <si>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</si>
  <si>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</si>
  <si>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</si>
  <si>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</si>
  <si>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</si>
  <si>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</si>
  <si>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</si>
  <si>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</si>
  <si>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</si>
  <si>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</si>
  <si>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</si>
  <si>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</si>
  <si>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</si>
  <si>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</si>
  <si>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</si>
  <si>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</si>
  <si>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</si>
  <si>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</si>
  <si>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</si>
  <si>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</si>
  <si>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</si>
  <si>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</si>
  <si>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</si>
  <si>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</si>
  <si>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</si>
  <si>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</si>
  <si>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</si>
  <si>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</si>
  <si>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</si>
  <si>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</si>
  <si>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</si>
  <si>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</si>
  <si>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</si>
  <si>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</si>
  <si>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</si>
  <si>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</si>
  <si>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Policies met?</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</si>
  <si>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</si>
  <si>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</si>
  <si>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</si>
  <si>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</si>
  <si>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</si>
  <si>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</si>
  <si>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</si>
  <si>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</si>
  <si>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</si>
  <si>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</si>
  <si>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</si>
  <si>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</si>
  <si>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</si>
  <si>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</si>
  <si>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</si>
  <si>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</si>
  <si>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</si>
  <si>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</si>
  <si>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</si>
  <si>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</si>
  <si>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</si>
  <si>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</si>
  <si>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</si>
  <si>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</si>
  <si>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</si>
  <si>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</si>
  <si>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</si>
  <si>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</si>
  <si>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</si>
  <si>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</si>
  <si>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</si>
  <si>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</si>
  <si>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</si>
  <si>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</si>
  <si>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</si>
  <si>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</si>
  <si>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</si>
  <si>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</si>
  <si>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</si>
  <si>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</si>
  <si>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</si>
  <si>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</si>
  <si>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</si>
  <si>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</si>
  <si>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</si>
  <si>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</si>
  <si>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</si>
  <si>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</si>
  <si>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</si>
  <si>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</si>
  <si>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</si>
  <si>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</si>
  <si>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</si>
  <si>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</si>
  <si>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</si>
  <si>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</si>
  <si>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</si>
  <si>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</si>
  <si>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</si>
  <si>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</si>
  <si>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</si>
  <si>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</si>
  <si>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</si>
  <si>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Organic component of industrial waste including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</si>
  <si>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</si>
  <si>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</si>
  <si>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</si>
  <si>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</si>
  <si>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</si>
  <si>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</si>
  <si>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</si>
  <si>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</si>
  <si>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Draft for Emissions Projection Model - 27 July 2020</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</si>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</sst>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s>
  <fonts count="84">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8"/>
      <color rgb="FF000000"/>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thin">
        <color rgb="FFD8D8D7"/>
      </right>
      <top style="thin">
        <color rgb="FFE8E8E7"/>
      </top>
      <bottom style="thin">
        <color rgb="FFD8D8D7"/>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style="thin">
        <color indexed="64"/>
      </left>
      <right style="thin">
        <color indexed="64"/>
      </right>
      <top/>
      <bottom style="medium">
        <color indexed="64"/>
      </bottom>
      <diagonal/>
    </border>
    <border>
      <left/>
      <right style="medium">
        <color indexed="64"/>
      </right>
      <top style="thin">
        <color indexed="64"/>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1" fillId="26" borderId="76" applyNumberFormat="0" applyAlignment="0" applyProtection="0"/>
    <xf numFmtId="0" fontId="3" fillId="27" borderId="77" applyNumberFormat="0" applyFont="0" applyAlignment="0" applyProtection="0"/>
  </cellStyleXfs>
  <cellXfs count="1973">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3" fillId="0" borderId="68" xfId="0" applyFont="1" applyBorder="1" applyAlignment="1">
      <alignment vertical="top"/>
    </xf>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9"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70"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10" fontId="0" fillId="0" borderId="0" xfId="0" applyNumberFormat="1" applyBorder="1"/>
    <xf numFmtId="41" fontId="4" fillId="0" borderId="0" xfId="0" applyNumberFormat="1" applyFont="1"/>
    <xf numFmtId="170" fontId="4" fillId="0" borderId="0" xfId="0" applyNumberFormat="1" applyFon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1" xfId="0" applyNumberFormat="1" applyBorder="1"/>
    <xf numFmtId="9" fontId="0" fillId="0" borderId="71"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2"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4" fontId="74" fillId="0" borderId="0" xfId="0" applyNumberFormat="1" applyFont="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5"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3"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43" fontId="1" fillId="6" borderId="0" xfId="0" applyNumberFormat="1" applyFont="1" applyFill="1" applyBorder="1"/>
    <xf numFmtId="43" fontId="0" fillId="6" borderId="0" xfId="0" applyNumberFormat="1" applyFill="1" applyBorder="1"/>
    <xf numFmtId="177" fontId="0" fillId="6" borderId="0" xfId="0" applyNumberFormat="1" applyFill="1" applyBorder="1"/>
    <xf numFmtId="183" fontId="0" fillId="0" borderId="0" xfId="0" applyNumberFormat="1"/>
    <xf numFmtId="0" fontId="22" fillId="10" borderId="74"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8"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4"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4"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7" fillId="5" borderId="54" xfId="0" applyFont="1" applyFill="1" applyBorder="1" applyAlignment="1">
      <alignment vertical="center"/>
    </xf>
    <xf numFmtId="0" fontId="77"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7"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9" fillId="0" borderId="0" xfId="0" applyFont="1"/>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0" fontId="73" fillId="0" borderId="0" xfId="0" applyFont="1" applyBorder="1" applyAlignment="1">
      <alignment horizontal="right"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1" fillId="11" borderId="17"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2" fontId="7"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1" fillId="6" borderId="0" xfId="0" applyNumberFormat="1" applyFont="1" applyFill="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41" fontId="41" fillId="0" borderId="0" xfId="0" applyNumberFormat="1" applyFont="1" applyBorder="1"/>
    <xf numFmtId="166" fontId="0" fillId="27" borderId="77" xfId="6" applyNumberFormat="1" applyFont="1"/>
    <xf numFmtId="0" fontId="81" fillId="26" borderId="76" xfId="5"/>
    <xf numFmtId="178" fontId="21" fillId="27" borderId="77" xfId="6" applyNumberFormat="1" applyFont="1"/>
    <xf numFmtId="177" fontId="0" fillId="27" borderId="77" xfId="6" applyNumberFormat="1" applyFont="1"/>
    <xf numFmtId="0" fontId="0" fillId="0" borderId="0" xfId="0" quotePrefix="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3" fontId="0" fillId="0" borderId="50" xfId="0" applyNumberFormat="1" applyBorder="1"/>
    <xf numFmtId="3" fontId="0" fillId="0" borderId="19" xfId="0" applyNumberFormat="1" applyBorder="1"/>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10" fontId="0" fillId="0" borderId="51" xfId="0" applyNumberFormat="1" applyBorder="1"/>
    <xf numFmtId="0" fontId="10" fillId="14" borderId="39" xfId="0" applyFont="1" applyFill="1" applyBorder="1" applyAlignment="1">
      <alignment horizontal="center" vertical="center"/>
    </xf>
    <xf numFmtId="0" fontId="77" fillId="5" borderId="1" xfId="0" applyFont="1" applyFill="1" applyBorder="1" applyAlignment="1">
      <alignment vertical="center"/>
    </xf>
    <xf numFmtId="0" fontId="77" fillId="5" borderId="2" xfId="0" applyFont="1" applyFill="1" applyBorder="1" applyAlignment="1">
      <alignment vertical="center"/>
    </xf>
    <xf numFmtId="180" fontId="0" fillId="0" borderId="33" xfId="0" applyNumberFormat="1" applyBorder="1"/>
    <xf numFmtId="0" fontId="22" fillId="5" borderId="78"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2" fillId="0" borderId="53" xfId="0" applyFont="1" applyFill="1" applyBorder="1" applyAlignment="1">
      <alignment horizontal="left"/>
    </xf>
    <xf numFmtId="10" fontId="22" fillId="0" borderId="52" xfId="0" applyNumberFormat="1" applyFont="1" applyFill="1" applyBorder="1" applyAlignment="1">
      <alignment horizontal="left"/>
    </xf>
    <xf numFmtId="0" fontId="22" fillId="0" borderId="56" xfId="0" applyFont="1" applyFill="1" applyBorder="1" applyAlignment="1">
      <alignment horizontal="left"/>
    </xf>
    <xf numFmtId="0" fontId="23" fillId="5" borderId="17" xfId="0" applyFont="1" applyFill="1" applyBorder="1" applyAlignment="1">
      <alignment horizontal="center" vertical="center" wrapText="1"/>
    </xf>
    <xf numFmtId="174" fontId="0" fillId="0" borderId="6" xfId="0" applyNumberFormat="1" applyBorder="1"/>
    <xf numFmtId="174" fontId="0" fillId="0" borderId="0" xfId="0" applyNumberFormat="1" applyBorder="1"/>
    <xf numFmtId="185" fontId="0" fillId="0" borderId="58" xfId="0" applyNumberFormat="1" applyBorder="1"/>
    <xf numFmtId="174" fontId="0" fillId="0" borderId="43" xfId="0" applyNumberFormat="1" applyBorder="1"/>
    <xf numFmtId="174" fontId="0" fillId="0" borderId="51" xfId="0" applyNumberFormat="1" applyBorder="1"/>
    <xf numFmtId="185" fontId="0" fillId="0" borderId="44" xfId="0" applyNumberFormat="1" applyBorder="1"/>
    <xf numFmtId="0" fontId="10" fillId="14" borderId="48" xfId="0" applyFont="1" applyFill="1" applyBorder="1" applyAlignment="1">
      <alignment horizontal="center" vertical="center"/>
    </xf>
    <xf numFmtId="0" fontId="1" fillId="2"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 fillId="0" borderId="6" xfId="0" applyFont="1" applyBorder="1" applyAlignment="1">
      <alignment horizontal="center"/>
    </xf>
    <xf numFmtId="0" fontId="1" fillId="0" borderId="58" xfId="0" applyFont="1" applyBorder="1" applyAlignment="1">
      <alignment horizontal="center"/>
    </xf>
    <xf numFmtId="164" fontId="0" fillId="0" borderId="33" xfId="0" applyNumberFormat="1" applyFill="1" applyBorder="1"/>
    <xf numFmtId="177" fontId="1" fillId="0" borderId="0" xfId="0" applyNumberFormat="1" applyFont="1" applyFill="1" applyBorder="1"/>
    <xf numFmtId="170" fontId="0" fillId="0" borderId="51" xfId="0" applyNumberFormat="1" applyFill="1" applyBorder="1"/>
    <xf numFmtId="41" fontId="0" fillId="0" borderId="51" xfId="0" applyNumberFormat="1" applyFill="1" applyBorder="1"/>
    <xf numFmtId="164" fontId="0" fillId="0" borderId="44" xfId="0" applyNumberFormat="1" applyFill="1" applyBorder="1"/>
    <xf numFmtId="0" fontId="0" fillId="0" borderId="1" xfId="0" applyFill="1" applyBorder="1"/>
    <xf numFmtId="170" fontId="0" fillId="0" borderId="2" xfId="0" applyNumberFormat="1" applyFill="1" applyBorder="1"/>
    <xf numFmtId="41" fontId="0" fillId="0" borderId="2" xfId="0" applyNumberFormat="1" applyFill="1" applyBorder="1"/>
    <xf numFmtId="0" fontId="82"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3" fillId="4" borderId="18" xfId="0" applyFont="1" applyFill="1" applyBorder="1" applyAlignment="1">
      <alignment horizontal="center" vertical="center" wrapText="1"/>
    </xf>
    <xf numFmtId="0" fontId="83" fillId="4" borderId="32" xfId="0" applyFont="1" applyFill="1" applyBorder="1" applyAlignment="1">
      <alignment horizontal="center" vertical="center" wrapText="1"/>
    </xf>
    <xf numFmtId="0" fontId="83" fillId="4" borderId="38" xfId="0" applyFont="1" applyFill="1" applyBorder="1" applyAlignment="1">
      <alignment horizontal="center" vertical="center" wrapText="1"/>
    </xf>
    <xf numFmtId="0" fontId="83" fillId="4" borderId="17" xfId="0" applyFont="1" applyFill="1" applyBorder="1" applyAlignment="1">
      <alignment horizontal="center" vertical="center" wrapText="1"/>
    </xf>
    <xf numFmtId="0" fontId="83" fillId="22" borderId="18" xfId="0" applyFont="1" applyFill="1" applyBorder="1" applyAlignment="1">
      <alignment horizontal="center" vertical="center" wrapText="1"/>
    </xf>
    <xf numFmtId="0" fontId="83" fillId="22" borderId="17" xfId="0" applyFont="1" applyFill="1" applyBorder="1" applyAlignment="1">
      <alignment horizontal="center" vertical="center" wrapText="1"/>
    </xf>
    <xf numFmtId="0" fontId="83"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80"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10" fillId="22" borderId="60" xfId="0" applyFont="1" applyFill="1" applyBorder="1" applyAlignment="1">
      <alignment horizontal="center" vertical="center" wrapText="1"/>
    </xf>
    <xf numFmtId="0" fontId="22" fillId="15" borderId="28" xfId="0" applyFont="1" applyFill="1" applyBorder="1" applyAlignment="1">
      <alignment horizontal="center" vertical="center" wrapText="1"/>
    </xf>
    <xf numFmtId="0" fontId="22" fillId="15" borderId="45" xfId="0" applyFont="1" applyFill="1" applyBorder="1" applyAlignment="1">
      <alignment horizontal="center" vertical="center" wrapText="1"/>
    </xf>
    <xf numFmtId="177" fontId="0" fillId="0" borderId="0" xfId="0" applyNumberFormat="1"/>
    <xf numFmtId="0" fontId="10" fillId="4" borderId="40" xfId="0" applyFont="1" applyFill="1" applyBorder="1" applyAlignment="1">
      <alignment horizontal="center" vertical="center" wrapText="1"/>
    </xf>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0" fillId="22" borderId="36" xfId="0" applyFont="1" applyFill="1" applyBorder="1" applyAlignment="1">
      <alignment horizontal="center" vertical="center" wrapText="1"/>
    </xf>
    <xf numFmtId="0" fontId="10" fillId="22" borderId="39"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4" xfId="0" applyFont="1" applyFill="1" applyBorder="1" applyAlignment="1">
      <alignment horizontal="center" vertical="center" wrapText="1"/>
    </xf>
    <xf numFmtId="0" fontId="10" fillId="4" borderId="80"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9" fontId="41" fillId="0" borderId="51" xfId="0" applyNumberFormat="1" applyFont="1" applyBorder="1"/>
    <xf numFmtId="9" fontId="41" fillId="0" borderId="0"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1" fontId="1" fillId="0" borderId="43"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178" fontId="1" fillId="0" borderId="2" xfId="0" applyNumberFormat="1" applyFont="1" applyFill="1" applyBorder="1"/>
    <xf numFmtId="2" fontId="1" fillId="22" borderId="2" xfId="0" applyNumberFormat="1" applyFont="1" applyFill="1" applyBorder="1"/>
    <xf numFmtId="2" fontId="1" fillId="22" borderId="51" xfId="0" applyNumberFormat="1" applyFont="1" applyFill="1" applyBorder="1"/>
    <xf numFmtId="2" fontId="0" fillId="0" borderId="1" xfId="0" applyNumberFormat="1" applyFill="1" applyBorder="1"/>
    <xf numFmtId="2" fontId="0" fillId="0" borderId="2" xfId="0" applyNumberFormat="1" applyFill="1" applyBorder="1"/>
    <xf numFmtId="2" fontId="1" fillId="0" borderId="33" xfId="0" applyNumberFormat="1" applyFont="1" applyFill="1" applyBorder="1"/>
    <xf numFmtId="2" fontId="0" fillId="0" borderId="6" xfId="0" applyNumberFormat="1" applyFill="1" applyBorder="1"/>
    <xf numFmtId="2" fontId="1" fillId="0" borderId="58" xfId="0" applyNumberFormat="1" applyFont="1" applyFill="1" applyBorder="1"/>
    <xf numFmtId="2" fontId="0" fillId="0" borderId="43" xfId="0" applyNumberFormat="1" applyFill="1" applyBorder="1"/>
    <xf numFmtId="2" fontId="1" fillId="0" borderId="44" xfId="0" applyNumberFormat="1" applyFont="1" applyFill="1" applyBorder="1"/>
    <xf numFmtId="164" fontId="0" fillId="0" borderId="1" xfId="0" applyNumberFormat="1" applyFill="1" applyBorder="1"/>
    <xf numFmtId="164" fontId="0" fillId="0" borderId="2" xfId="0" applyNumberFormat="1" applyFill="1" applyBorder="1"/>
    <xf numFmtId="164" fontId="1" fillId="0" borderId="33" xfId="0" applyNumberFormat="1" applyFont="1" applyFill="1" applyBorder="1"/>
    <xf numFmtId="164" fontId="0" fillId="0" borderId="6" xfId="0" applyNumberFormat="1" applyFill="1" applyBorder="1"/>
    <xf numFmtId="164" fontId="1" fillId="0" borderId="58" xfId="0" applyNumberFormat="1" applyFont="1" applyFill="1" applyBorder="1"/>
    <xf numFmtId="164" fontId="0" fillId="0" borderId="43" xfId="0" applyNumberForma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80" fillId="6" borderId="7" xfId="0" applyFont="1" applyFill="1" applyBorder="1" applyAlignment="1">
      <alignment horizontal="center"/>
    </xf>
    <xf numFmtId="0" fontId="80" fillId="6" borderId="54" xfId="0" applyFont="1" applyFill="1" applyBorder="1" applyAlignment="1">
      <alignment horizontal="center"/>
    </xf>
    <xf numFmtId="0" fontId="80"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5" xfId="0" applyFont="1" applyFill="1" applyBorder="1" applyAlignment="1">
      <alignment horizontal="center" vertical="center" wrapText="1"/>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14" borderId="12" xfId="0" applyFont="1" applyFill="1" applyBorder="1" applyAlignment="1">
      <alignment horizontal="center" vertical="center" wrapText="1"/>
    </xf>
    <xf numFmtId="0" fontId="1" fillId="14" borderId="16" xfId="0" applyFont="1" applyFill="1" applyBorder="1" applyAlignment="1">
      <alignment horizontal="center" vertical="center" wrapText="1"/>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4" fillId="14" borderId="79" xfId="0" applyFont="1" applyFill="1" applyBorder="1" applyAlignment="1">
      <alignment horizontal="center" vertical="center" wrapText="1"/>
    </xf>
    <xf numFmtId="0" fontId="10" fillId="14" borderId="30" xfId="0" applyFont="1" applyFill="1" applyBorder="1" applyAlignment="1">
      <alignment horizontal="center" vertical="center" wrapText="1"/>
    </xf>
    <xf numFmtId="0" fontId="10" fillId="14" borderId="20" xfId="0" applyFont="1" applyFill="1" applyBorder="1" applyAlignment="1">
      <alignment horizontal="center" vertical="center" wrapText="1"/>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71"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24" fillId="22" borderId="14" xfId="0" applyFont="1" applyFill="1" applyBorder="1" applyAlignment="1">
      <alignment horizontal="center" vertical="center" wrapText="1"/>
    </xf>
    <xf numFmtId="0" fontId="1" fillId="7" borderId="3" xfId="0" applyFont="1" applyFill="1" applyBorder="1" applyAlignment="1">
      <alignment horizontal="center" vertical="center"/>
    </xf>
    <xf numFmtId="0" fontId="1" fillId="2" borderId="4" xfId="0" applyFont="1" applyFill="1" applyBorder="1" applyAlignment="1">
      <alignment horizontal="center" vertical="center"/>
    </xf>
    <xf numFmtId="0" fontId="71" fillId="22" borderId="14" xfId="0" applyFont="1" applyFill="1" applyBorder="1" applyAlignment="1">
      <alignment horizontal="center" vertical="center"/>
    </xf>
    <xf numFmtId="0" fontId="77" fillId="5" borderId="7" xfId="0"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20538.078088467711</c:v>
                </c:pt>
                <c:pt idx="19">
                  <c:v>20565.426864731635</c:v>
                </c:pt>
                <c:pt idx="20">
                  <c:v>20391.862505194254</c:v>
                </c:pt>
                <c:pt idx="21">
                  <c:v>20273.385584704563</c:v>
                </c:pt>
                <c:pt idx="22">
                  <c:v>20173.942180425005</c:v>
                </c:pt>
                <c:pt idx="23">
                  <c:v>20062.295785053378</c:v>
                </c:pt>
                <c:pt idx="24">
                  <c:v>19956.071952859296</c:v>
                </c:pt>
                <c:pt idx="25">
                  <c:v>19890.533574664922</c:v>
                </c:pt>
                <c:pt idx="26">
                  <c:v>19768.081943571509</c:v>
                </c:pt>
                <c:pt idx="27">
                  <c:v>19639.923528293992</c:v>
                </c:pt>
                <c:pt idx="28">
                  <c:v>19375.891731921278</c:v>
                </c:pt>
                <c:pt idx="29">
                  <c:v>19127.696047856614</c:v>
                </c:pt>
                <c:pt idx="30">
                  <c:v>18895.630612227978</c:v>
                </c:pt>
                <c:pt idx="31">
                  <c:v>18650.816295633515</c:v>
                </c:pt>
                <c:pt idx="32">
                  <c:v>18406.393880895052</c:v>
                </c:pt>
                <c:pt idx="33">
                  <c:v>18172.167038533407</c:v>
                </c:pt>
                <c:pt idx="34">
                  <c:v>17945.840969728102</c:v>
                </c:pt>
                <c:pt idx="35">
                  <c:v>17727.108115611423</c:v>
                </c:pt>
                <c:pt idx="36">
                  <c:v>17643.865575174481</c:v>
                </c:pt>
                <c:pt idx="37">
                  <c:v>17616.92300300482</c:v>
                </c:pt>
                <c:pt idx="38">
                  <c:v>17602.303796979144</c:v>
                </c:pt>
                <c:pt idx="39">
                  <c:v>17611.930494853503</c:v>
                </c:pt>
                <c:pt idx="40">
                  <c:v>17646.105862926124</c:v>
                </c:pt>
                <c:pt idx="41">
                  <c:v>17562.571073869218</c:v>
                </c:pt>
                <c:pt idx="42">
                  <c:v>17483.593961184957</c:v>
                </c:pt>
                <c:pt idx="43">
                  <c:v>17408.90572369863</c:v>
                </c:pt>
                <c:pt idx="44">
                  <c:v>17338.625070268252</c:v>
                </c:pt>
                <c:pt idx="45">
                  <c:v>17274.231443211393</c:v>
                </c:pt>
                <c:pt idx="46">
                  <c:v>17207.53629690532</c:v>
                </c:pt>
                <c:pt idx="47">
                  <c:v>17145.409893381082</c:v>
                </c:pt>
                <c:pt idx="48">
                  <c:v>17119.031926421449</c:v>
                </c:pt>
                <c:pt idx="49">
                  <c:v>17104.590995058479</c:v>
                </c:pt>
                <c:pt idx="50">
                  <c:v>17102.09819432423</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20603.104263763664</c:v>
                </c:pt>
                <c:pt idx="19">
                  <c:v>20734.618713209886</c:v>
                </c:pt>
                <c:pt idx="20">
                  <c:v>20673.06724872924</c:v>
                </c:pt>
                <c:pt idx="21">
                  <c:v>20371.456228786192</c:v>
                </c:pt>
                <c:pt idx="22">
                  <c:v>19825.687700081253</c:v>
                </c:pt>
                <c:pt idx="23">
                  <c:v>19447.335776378124</c:v>
                </c:pt>
                <c:pt idx="24">
                  <c:v>19089.82412871335</c:v>
                </c:pt>
                <c:pt idx="25">
                  <c:v>18751.719050072967</c:v>
                </c:pt>
                <c:pt idx="26">
                  <c:v>18422.543147314493</c:v>
                </c:pt>
                <c:pt idx="27">
                  <c:v>18108.814726946144</c:v>
                </c:pt>
                <c:pt idx="28">
                  <c:v>17809.062803580026</c:v>
                </c:pt>
                <c:pt idx="29">
                  <c:v>17521.875292935962</c:v>
                </c:pt>
                <c:pt idx="30">
                  <c:v>17245.683307736428</c:v>
                </c:pt>
                <c:pt idx="31">
                  <c:v>16869.326119909783</c:v>
                </c:pt>
                <c:pt idx="32">
                  <c:v>16497.640378879812</c:v>
                </c:pt>
                <c:pt idx="33">
                  <c:v>16204.191937528125</c:v>
                </c:pt>
                <c:pt idx="34">
                  <c:v>15930.894413438966</c:v>
                </c:pt>
                <c:pt idx="35">
                  <c:v>15676.750468539607</c:v>
                </c:pt>
                <c:pt idx="36">
                  <c:v>15433.270934654191</c:v>
                </c:pt>
                <c:pt idx="37">
                  <c:v>15206.927911557046</c:v>
                </c:pt>
                <c:pt idx="38">
                  <c:v>15041.136107443001</c:v>
                </c:pt>
                <c:pt idx="39">
                  <c:v>14995.939559249775</c:v>
                </c:pt>
                <c:pt idx="40">
                  <c:v>14986.775471231811</c:v>
                </c:pt>
                <c:pt idx="41">
                  <c:v>14944.08421028771</c:v>
                </c:pt>
                <c:pt idx="42">
                  <c:v>14925.953017875156</c:v>
                </c:pt>
                <c:pt idx="43">
                  <c:v>14931.529504368798</c:v>
                </c:pt>
                <c:pt idx="44">
                  <c:v>14960.201858173807</c:v>
                </c:pt>
                <c:pt idx="45">
                  <c:v>15012.563154183459</c:v>
                </c:pt>
                <c:pt idx="46">
                  <c:v>15080.014939246888</c:v>
                </c:pt>
                <c:pt idx="47">
                  <c:v>15169.355038432752</c:v>
                </c:pt>
                <c:pt idx="48">
                  <c:v>15277.852538265248</c:v>
                </c:pt>
                <c:pt idx="49">
                  <c:v>15406.998298153487</c:v>
                </c:pt>
                <c:pt idx="50">
                  <c:v>15556.779504845017</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20512.532562166842</c:v>
                </c:pt>
                <c:pt idx="19">
                  <c:v>20502.043486371324</c:v>
                </c:pt>
                <c:pt idx="20">
                  <c:v>20501.989554514061</c:v>
                </c:pt>
                <c:pt idx="21">
                  <c:v>20214.481671447891</c:v>
                </c:pt>
                <c:pt idx="22">
                  <c:v>19559.203185653503</c:v>
                </c:pt>
                <c:pt idx="23">
                  <c:v>19083.472188918735</c:v>
                </c:pt>
                <c:pt idx="24">
                  <c:v>18735.39594289436</c:v>
                </c:pt>
                <c:pt idx="25">
                  <c:v>18407.137895982127</c:v>
                </c:pt>
                <c:pt idx="26">
                  <c:v>18088.198421711801</c:v>
                </c:pt>
                <c:pt idx="27">
                  <c:v>17785.990683288612</c:v>
                </c:pt>
                <c:pt idx="28">
                  <c:v>17498.234706601717</c:v>
                </c:pt>
                <c:pt idx="29">
                  <c:v>17223.80719442762</c:v>
                </c:pt>
                <c:pt idx="30">
                  <c:v>16961.123688496224</c:v>
                </c:pt>
                <c:pt idx="31">
                  <c:v>16600.718090458089</c:v>
                </c:pt>
                <c:pt idx="32">
                  <c:v>16246.38344605139</c:v>
                </c:pt>
                <c:pt idx="33">
                  <c:v>15948.387675041698</c:v>
                </c:pt>
                <c:pt idx="34">
                  <c:v>15670.460530636978</c:v>
                </c:pt>
                <c:pt idx="35">
                  <c:v>15411.437430508757</c:v>
                </c:pt>
                <c:pt idx="36">
                  <c:v>15163.321649245887</c:v>
                </c:pt>
                <c:pt idx="37">
                  <c:v>14932.109896842339</c:v>
                </c:pt>
                <c:pt idx="38">
                  <c:v>14717.305507640975</c:v>
                </c:pt>
                <c:pt idx="39">
                  <c:v>14550.607619181197</c:v>
                </c:pt>
                <c:pt idx="40">
                  <c:v>14477.714400249355</c:v>
                </c:pt>
                <c:pt idx="41">
                  <c:v>14431.790278217093</c:v>
                </c:pt>
                <c:pt idx="42">
                  <c:v>14372.729051983451</c:v>
                </c:pt>
                <c:pt idx="43">
                  <c:v>14336.703658844934</c:v>
                </c:pt>
                <c:pt idx="44">
                  <c:v>14322.757230736244</c:v>
                </c:pt>
                <c:pt idx="45">
                  <c:v>14330.510269504301</c:v>
                </c:pt>
                <c:pt idx="46">
                  <c:v>14352.735248302328</c:v>
                </c:pt>
                <c:pt idx="47">
                  <c:v>14395.711889770793</c:v>
                </c:pt>
                <c:pt idx="48">
                  <c:v>14458.839737441667</c:v>
                </c:pt>
                <c:pt idx="49">
                  <c:v>14539.960292445818</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20538.078088467711</c:v>
                </c:pt>
                <c:pt idx="19">
                  <c:v>20553.713542227084</c:v>
                </c:pt>
                <c:pt idx="20">
                  <c:v>20288.286365596814</c:v>
                </c:pt>
                <c:pt idx="21">
                  <c:v>20122.050595389905</c:v>
                </c:pt>
                <c:pt idx="22">
                  <c:v>19923.229665346644</c:v>
                </c:pt>
                <c:pt idx="23">
                  <c:v>19705.488932532859</c:v>
                </c:pt>
                <c:pt idx="24">
                  <c:v>19464.642917752302</c:v>
                </c:pt>
                <c:pt idx="25">
                  <c:v>19208.942735644028</c:v>
                </c:pt>
                <c:pt idx="26">
                  <c:v>18942.49575597699</c:v>
                </c:pt>
                <c:pt idx="27">
                  <c:v>18668.286385877182</c:v>
                </c:pt>
                <c:pt idx="28">
                  <c:v>18296.403627080028</c:v>
                </c:pt>
                <c:pt idx="29">
                  <c:v>17969.226377818268</c:v>
                </c:pt>
                <c:pt idx="30">
                  <c:v>17670.044583992254</c:v>
                </c:pt>
                <c:pt idx="31">
                  <c:v>17383.836583289212</c:v>
                </c:pt>
                <c:pt idx="32">
                  <c:v>17108.763852997839</c:v>
                </c:pt>
                <c:pt idx="33">
                  <c:v>16844.974348368112</c:v>
                </c:pt>
                <c:pt idx="34">
                  <c:v>16591.736911012642</c:v>
                </c:pt>
                <c:pt idx="35">
                  <c:v>16348.239293985323</c:v>
                </c:pt>
                <c:pt idx="36">
                  <c:v>16106.500234730431</c:v>
                </c:pt>
                <c:pt idx="37">
                  <c:v>15905.888600568378</c:v>
                </c:pt>
                <c:pt idx="38">
                  <c:v>15704.903390676722</c:v>
                </c:pt>
                <c:pt idx="39">
                  <c:v>15514.566837718925</c:v>
                </c:pt>
                <c:pt idx="40">
                  <c:v>15334.494522157547</c:v>
                </c:pt>
                <c:pt idx="41">
                  <c:v>15157.309024889051</c:v>
                </c:pt>
                <c:pt idx="42">
                  <c:v>14988.904758203336</c:v>
                </c:pt>
                <c:pt idx="43">
                  <c:v>14828.844598268231</c:v>
                </c:pt>
                <c:pt idx="44">
                  <c:v>14676.629324157988</c:v>
                </c:pt>
                <c:pt idx="45">
                  <c:v>14532.246059878529</c:v>
                </c:pt>
                <c:pt idx="46">
                  <c:v>14387.874832374695</c:v>
                </c:pt>
                <c:pt idx="47">
                  <c:v>14250.20615952054</c:v>
                </c:pt>
                <c:pt idx="48">
                  <c:v>14152.172101683587</c:v>
                </c:pt>
                <c:pt idx="49">
                  <c:v>14067.768573115285</c:v>
                </c:pt>
                <c:pt idx="50">
                  <c:v>13996.731155660207</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20603.104263763664</c:v>
                </c:pt>
                <c:pt idx="19">
                  <c:v>20734.618713209886</c:v>
                </c:pt>
                <c:pt idx="20">
                  <c:v>20669.132034742288</c:v>
                </c:pt>
                <c:pt idx="21">
                  <c:v>20339.804194261487</c:v>
                </c:pt>
                <c:pt idx="22">
                  <c:v>19771.719133578867</c:v>
                </c:pt>
                <c:pt idx="23">
                  <c:v>19395.999287922932</c:v>
                </c:pt>
                <c:pt idx="24">
                  <c:v>19040.991350344229</c:v>
                </c:pt>
                <c:pt idx="25">
                  <c:v>18705.267874408139</c:v>
                </c:pt>
                <c:pt idx="26">
                  <c:v>18378.357422219451</c:v>
                </c:pt>
                <c:pt idx="27">
                  <c:v>18066.783965092844</c:v>
                </c:pt>
                <c:pt idx="28">
                  <c:v>17769.081906170984</c:v>
                </c:pt>
                <c:pt idx="29">
                  <c:v>17483.844286902538</c:v>
                </c:pt>
                <c:pt idx="30">
                  <c:v>17209.507095754067</c:v>
                </c:pt>
                <c:pt idx="31">
                  <c:v>16834.914242605191</c:v>
                </c:pt>
                <c:pt idx="32">
                  <c:v>16464.906788635373</c:v>
                </c:pt>
                <c:pt idx="33">
                  <c:v>16173.054783318066</c:v>
                </c:pt>
                <c:pt idx="34">
                  <c:v>15901.275836159142</c:v>
                </c:pt>
                <c:pt idx="35">
                  <c:v>15648.576406319189</c:v>
                </c:pt>
                <c:pt idx="36">
                  <c:v>15406.470937662414</c:v>
                </c:pt>
                <c:pt idx="37">
                  <c:v>15181.434965841938</c:v>
                </c:pt>
                <c:pt idx="38">
                  <c:v>15016.886467361594</c:v>
                </c:pt>
                <c:pt idx="39">
                  <c:v>14966.969646477881</c:v>
                </c:pt>
                <c:pt idx="40">
                  <c:v>14934.192141333981</c:v>
                </c:pt>
                <c:pt idx="41">
                  <c:v>14849.648778166094</c:v>
                </c:pt>
                <c:pt idx="42">
                  <c:v>14780.218112713632</c:v>
                </c:pt>
                <c:pt idx="43">
                  <c:v>14725.302929424062</c:v>
                </c:pt>
                <c:pt idx="44">
                  <c:v>14684.546738722442</c:v>
                </c:pt>
                <c:pt idx="45">
                  <c:v>14658.757466043124</c:v>
                </c:pt>
                <c:pt idx="46">
                  <c:v>14639.424545757216</c:v>
                </c:pt>
                <c:pt idx="47">
                  <c:v>14633.481349980875</c:v>
                </c:pt>
                <c:pt idx="48">
                  <c:v>14638.322123698243</c:v>
                </c:pt>
                <c:pt idx="49">
                  <c:v>14655.773064360554</c:v>
                </c:pt>
                <c:pt idx="50">
                  <c:v>14685.896668865587</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20493.732070615239</c:v>
                </c:pt>
                <c:pt idx="19">
                  <c:v>20498.534553052559</c:v>
                </c:pt>
                <c:pt idx="20">
                  <c:v>20277.958347284883</c:v>
                </c:pt>
                <c:pt idx="21">
                  <c:v>19881.894437429368</c:v>
                </c:pt>
                <c:pt idx="22">
                  <c:v>19401.960852052238</c:v>
                </c:pt>
                <c:pt idx="23">
                  <c:v>19034.858482477106</c:v>
                </c:pt>
                <c:pt idx="24">
                  <c:v>18689.189333078299</c:v>
                </c:pt>
                <c:pt idx="25">
                  <c:v>18363.424960484543</c:v>
                </c:pt>
                <c:pt idx="26">
                  <c:v>18047.264920393885</c:v>
                </c:pt>
                <c:pt idx="27">
                  <c:v>17747.18037011876</c:v>
                </c:pt>
                <c:pt idx="28">
                  <c:v>17461.628839412926</c:v>
                </c:pt>
                <c:pt idx="29">
                  <c:v>17189.262860835475</c:v>
                </c:pt>
                <c:pt idx="30">
                  <c:v>16928.556096611959</c:v>
                </c:pt>
                <c:pt idx="31">
                  <c:v>16570.639219508786</c:v>
                </c:pt>
                <c:pt idx="32">
                  <c:v>16217.779329805446</c:v>
                </c:pt>
                <c:pt idx="33">
                  <c:v>15921.836869150027</c:v>
                </c:pt>
                <c:pt idx="34">
                  <c:v>15645.746052612307</c:v>
                </c:pt>
                <c:pt idx="35">
                  <c:v>15388.504970565518</c:v>
                </c:pt>
                <c:pt idx="36">
                  <c:v>15141.91826546125</c:v>
                </c:pt>
                <c:pt idx="37">
                  <c:v>14912.243289673792</c:v>
                </c:pt>
                <c:pt idx="38">
                  <c:v>14698.768084737683</c:v>
                </c:pt>
                <c:pt idx="39">
                  <c:v>14500.729714918447</c:v>
                </c:pt>
                <c:pt idx="40">
                  <c:v>14317.58662243996</c:v>
                </c:pt>
                <c:pt idx="41">
                  <c:v>14141.855033999425</c:v>
                </c:pt>
                <c:pt idx="42">
                  <c:v>13979.508371445561</c:v>
                </c:pt>
                <c:pt idx="43">
                  <c:v>13830.052897002039</c:v>
                </c:pt>
                <c:pt idx="44">
                  <c:v>13692.899747153366</c:v>
                </c:pt>
                <c:pt idx="45">
                  <c:v>13567.877461706914</c:v>
                </c:pt>
                <c:pt idx="46">
                  <c:v>13447.086735982217</c:v>
                </c:pt>
                <c:pt idx="47">
                  <c:v>13337.255166858013</c:v>
                </c:pt>
                <c:pt idx="48">
                  <c:v>13237.590123265139</c:v>
                </c:pt>
                <c:pt idx="49">
                  <c:v>13147.879757485982</c:v>
                </c:pt>
                <c:pt idx="50">
                  <c:v>13067.971587784743</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79.13189956134427</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106.29013303385885</c:v>
                </c:pt>
                <c:pt idx="19">
                  <c:v>102.83663580000209</c:v>
                </c:pt>
                <c:pt idx="20">
                  <c:v>92.80989421388928</c:v>
                </c:pt>
                <c:pt idx="21">
                  <c:v>90.867285029242865</c:v>
                </c:pt>
                <c:pt idx="22">
                  <c:v>89.290543972056582</c:v>
                </c:pt>
                <c:pt idx="23">
                  <c:v>87.742597350320452</c:v>
                </c:pt>
                <c:pt idx="24">
                  <c:v>86.352436594069189</c:v>
                </c:pt>
                <c:pt idx="25">
                  <c:v>85.411016661416483</c:v>
                </c:pt>
                <c:pt idx="26">
                  <c:v>84.381797795234618</c:v>
                </c:pt>
                <c:pt idx="27">
                  <c:v>83.437373342730112</c:v>
                </c:pt>
                <c:pt idx="28">
                  <c:v>81.458458681006846</c:v>
                </c:pt>
                <c:pt idx="29">
                  <c:v>79.638503928462299</c:v>
                </c:pt>
                <c:pt idx="30">
                  <c:v>77.975706398072248</c:v>
                </c:pt>
                <c:pt idx="31">
                  <c:v>76.693301921146329</c:v>
                </c:pt>
                <c:pt idx="32">
                  <c:v>75.270535784232166</c:v>
                </c:pt>
                <c:pt idx="33">
                  <c:v>73.977880776461646</c:v>
                </c:pt>
                <c:pt idx="34">
                  <c:v>72.747549474662065</c:v>
                </c:pt>
                <c:pt idx="35">
                  <c:v>71.5771538373222</c:v>
                </c:pt>
                <c:pt idx="36">
                  <c:v>71.091449780835489</c:v>
                </c:pt>
                <c:pt idx="37">
                  <c:v>71.257635119666631</c:v>
                </c:pt>
                <c:pt idx="38">
                  <c:v>71.106030386352742</c:v>
                </c:pt>
                <c:pt idx="39">
                  <c:v>70.968903086776976</c:v>
                </c:pt>
                <c:pt idx="40">
                  <c:v>70.881879640890077</c:v>
                </c:pt>
                <c:pt idx="41">
                  <c:v>69.098425281024831</c:v>
                </c:pt>
                <c:pt idx="42">
                  <c:v>67.366831439369918</c:v>
                </c:pt>
                <c:pt idx="43">
                  <c:v>65.676832459136079</c:v>
                </c:pt>
                <c:pt idx="44">
                  <c:v>64.033005936569438</c:v>
                </c:pt>
                <c:pt idx="45">
                  <c:v>62.466698841367347</c:v>
                </c:pt>
                <c:pt idx="46">
                  <c:v>60.941022408450195</c:v>
                </c:pt>
                <c:pt idx="47">
                  <c:v>59.461761887929043</c:v>
                </c:pt>
                <c:pt idx="48">
                  <c:v>58.61851550449007</c:v>
                </c:pt>
                <c:pt idx="49">
                  <c:v>57.829170705284398</c:v>
                </c:pt>
                <c:pt idx="50">
                  <c:v>57.09341120670873</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79.13189956134427</c:v>
                </c:pt>
                <c:pt idx="1">
                  <c:v>81.107570993730093</c:v>
                </c:pt>
                <c:pt idx="2">
                  <c:v>83.507652371610845</c:v>
                </c:pt>
                <c:pt idx="3">
                  <c:v>85.530637638837788</c:v>
                </c:pt>
                <c:pt idx="4">
                  <c:v>88.528346917261359</c:v>
                </c:pt>
                <c:pt idx="5">
                  <c:v>92.083355919607541</c:v>
                </c:pt>
                <c:pt idx="6">
                  <c:v>96.021312306721029</c:v>
                </c:pt>
                <c:pt idx="7">
                  <c:v>99.992179942684729</c:v>
                </c:pt>
                <c:pt idx="8">
                  <c:v>102.60198811238484</c:v>
                </c:pt>
                <c:pt idx="9">
                  <c:v>101.7631938359152</c:v>
                </c:pt>
                <c:pt idx="10">
                  <c:v>103.3442854098891</c:v>
                </c:pt>
                <c:pt idx="11">
                  <c:v>105.88590407147763</c:v>
                </c:pt>
                <c:pt idx="12">
                  <c:v>106.89995781963603</c:v>
                </c:pt>
                <c:pt idx="13">
                  <c:v>108.25365662961583</c:v>
                </c:pt>
                <c:pt idx="14">
                  <c:v>109.15083960718961</c:v>
                </c:pt>
                <c:pt idx="15">
                  <c:v>109.55725853991771</c:v>
                </c:pt>
                <c:pt idx="16">
                  <c:v>109.55959567111202</c:v>
                </c:pt>
                <c:pt idx="17">
                  <c:v>109.87635423856577</c:v>
                </c:pt>
                <c:pt idx="18">
                  <c:v>106.29013303385885</c:v>
                </c:pt>
                <c:pt idx="19">
                  <c:v>102.74353699665076</c:v>
                </c:pt>
                <c:pt idx="20">
                  <c:v>92.041392261469241</c:v>
                </c:pt>
                <c:pt idx="21">
                  <c:v>89.993966261017306</c:v>
                </c:pt>
                <c:pt idx="22">
                  <c:v>87.940575062302727</c:v>
                </c:pt>
                <c:pt idx="23">
                  <c:v>85.981776376355498</c:v>
                </c:pt>
                <c:pt idx="24">
                  <c:v>84.057043130962555</c:v>
                </c:pt>
                <c:pt idx="25">
                  <c:v>82.298949321685654</c:v>
                </c:pt>
                <c:pt idx="26">
                  <c:v>80.890486785400199</c:v>
                </c:pt>
                <c:pt idx="27">
                  <c:v>79.576338614341637</c:v>
                </c:pt>
                <c:pt idx="28">
                  <c:v>77.536661858203075</c:v>
                </c:pt>
                <c:pt idx="29">
                  <c:v>76.422887953703537</c:v>
                </c:pt>
                <c:pt idx="30">
                  <c:v>75.712755328722352</c:v>
                </c:pt>
                <c:pt idx="31">
                  <c:v>75.13302953435452</c:v>
                </c:pt>
                <c:pt idx="32">
                  <c:v>74.530904330938327</c:v>
                </c:pt>
                <c:pt idx="33">
                  <c:v>73.932464155047001</c:v>
                </c:pt>
                <c:pt idx="34">
                  <c:v>73.332424630864779</c:v>
                </c:pt>
                <c:pt idx="35">
                  <c:v>72.730886242199247</c:v>
                </c:pt>
                <c:pt idx="36">
                  <c:v>72.103237987365191</c:v>
                </c:pt>
                <c:pt idx="37">
                  <c:v>72.11105139425915</c:v>
                </c:pt>
                <c:pt idx="38">
                  <c:v>71.830004417343631</c:v>
                </c:pt>
                <c:pt idx="39">
                  <c:v>71.550002699091522</c:v>
                </c:pt>
                <c:pt idx="40">
                  <c:v>71.276161946663493</c:v>
                </c:pt>
                <c:pt idx="41">
                  <c:v>70.991192812555624</c:v>
                </c:pt>
                <c:pt idx="42">
                  <c:v>70.710048396163359</c:v>
                </c:pt>
                <c:pt idx="43">
                  <c:v>70.432137511783253</c:v>
                </c:pt>
                <c:pt idx="44">
                  <c:v>70.158774527451826</c:v>
                </c:pt>
                <c:pt idx="45">
                  <c:v>69.896560281462811</c:v>
                </c:pt>
                <c:pt idx="46">
                  <c:v>69.632014427032146</c:v>
                </c:pt>
                <c:pt idx="47">
                  <c:v>69.377119537757409</c:v>
                </c:pt>
                <c:pt idx="48">
                  <c:v>69.773486644656458</c:v>
                </c:pt>
                <c:pt idx="49">
                  <c:v>70.187331042055291</c:v>
                </c:pt>
                <c:pt idx="50">
                  <c:v>70.620266480612941</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_(* #,##0_);_(* \(#,##0\);_(* "-"_);_(@_)</c:formatCode>
                <c:ptCount val="51"/>
                <c:pt idx="0">
                  <c:v>79.13189956134427</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106.87433565264148</c:v>
                </c:pt>
                <c:pt idx="19">
                  <c:v>104.89781834296268</c:v>
                </c:pt>
                <c:pt idx="20">
                  <c:v>93.216144821678014</c:v>
                </c:pt>
                <c:pt idx="21">
                  <c:v>79.778034372349481</c:v>
                </c:pt>
                <c:pt idx="22">
                  <c:v>70.076035320428332</c:v>
                </c:pt>
                <c:pt idx="23">
                  <c:v>68.341601393042652</c:v>
                </c:pt>
                <c:pt idx="24">
                  <c:v>66.223905770338661</c:v>
                </c:pt>
                <c:pt idx="25">
                  <c:v>63.263069963906965</c:v>
                </c:pt>
                <c:pt idx="26">
                  <c:v>61.55949241750529</c:v>
                </c:pt>
                <c:pt idx="27">
                  <c:v>59.807407802297149</c:v>
                </c:pt>
                <c:pt idx="28">
                  <c:v>58.011401529007244</c:v>
                </c:pt>
                <c:pt idx="29">
                  <c:v>56.167633091058349</c:v>
                </c:pt>
                <c:pt idx="30">
                  <c:v>54.273566515095546</c:v>
                </c:pt>
                <c:pt idx="31">
                  <c:v>52.979805211605893</c:v>
                </c:pt>
                <c:pt idx="32">
                  <c:v>51.655060825074962</c:v>
                </c:pt>
                <c:pt idx="33">
                  <c:v>51.737439622889518</c:v>
                </c:pt>
                <c:pt idx="34">
                  <c:v>51.83342349009127</c:v>
                </c:pt>
                <c:pt idx="35">
                  <c:v>51.943527998623466</c:v>
                </c:pt>
                <c:pt idx="36">
                  <c:v>49.395607984247604</c:v>
                </c:pt>
                <c:pt idx="37">
                  <c:v>46.857337935727969</c:v>
                </c:pt>
                <c:pt idx="38">
                  <c:v>45.402511363282024</c:v>
                </c:pt>
                <c:pt idx="39">
                  <c:v>46.37476793648645</c:v>
                </c:pt>
                <c:pt idx="40">
                  <c:v>47.410888911411924</c:v>
                </c:pt>
                <c:pt idx="41">
                  <c:v>48.556333734962038</c:v>
                </c:pt>
                <c:pt idx="42">
                  <c:v>49.750914010731776</c:v>
                </c:pt>
                <c:pt idx="43">
                  <c:v>50.991776083637212</c:v>
                </c:pt>
                <c:pt idx="44">
                  <c:v>52.285439768867342</c:v>
                </c:pt>
                <c:pt idx="45">
                  <c:v>53.65986657354533</c:v>
                </c:pt>
                <c:pt idx="46">
                  <c:v>55.091024455938516</c:v>
                </c:pt>
                <c:pt idx="47">
                  <c:v>56.591358931225336</c:v>
                </c:pt>
                <c:pt idx="48">
                  <c:v>58.109329809666157</c:v>
                </c:pt>
                <c:pt idx="49">
                  <c:v>59.702708328326267</c:v>
                </c:pt>
                <c:pt idx="50">
                  <c:v>61.37775831207469</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106.87433565264148</c:v>
                </c:pt>
                <c:pt idx="19">
                  <c:v>104.82268381700432</c:v>
                </c:pt>
                <c:pt idx="20">
                  <c:v>92.611990824842948</c:v>
                </c:pt>
                <c:pt idx="21">
                  <c:v>78.986036872534569</c:v>
                </c:pt>
                <c:pt idx="22">
                  <c:v>74.344895057511636</c:v>
                </c:pt>
                <c:pt idx="23">
                  <c:v>73.768384646040616</c:v>
                </c:pt>
                <c:pt idx="24">
                  <c:v>73.144723907822438</c:v>
                </c:pt>
                <c:pt idx="25">
                  <c:v>72.480036899061858</c:v>
                </c:pt>
                <c:pt idx="26">
                  <c:v>71.761888548754513</c:v>
                </c:pt>
                <c:pt idx="27">
                  <c:v>70.995233129640738</c:v>
                </c:pt>
                <c:pt idx="28">
                  <c:v>70.184656052445177</c:v>
                </c:pt>
                <c:pt idx="29">
                  <c:v>69.326316810590654</c:v>
                </c:pt>
                <c:pt idx="30">
                  <c:v>68.417679430722217</c:v>
                </c:pt>
                <c:pt idx="31">
                  <c:v>67.305444642288322</c:v>
                </c:pt>
                <c:pt idx="32">
                  <c:v>66.162226770813206</c:v>
                </c:pt>
                <c:pt idx="33">
                  <c:v>66.426132083683541</c:v>
                </c:pt>
                <c:pt idx="34">
                  <c:v>66.703642465941087</c:v>
                </c:pt>
                <c:pt idx="35">
                  <c:v>66.995273489529069</c:v>
                </c:pt>
                <c:pt idx="36">
                  <c:v>67.282282310683541</c:v>
                </c:pt>
                <c:pt idx="37">
                  <c:v>67.578941097694269</c:v>
                </c:pt>
                <c:pt idx="38">
                  <c:v>67.879746959793792</c:v>
                </c:pt>
                <c:pt idx="39">
                  <c:v>68.190409873652285</c:v>
                </c:pt>
                <c:pt idx="40">
                  <c:v>68.5161242439967</c:v>
                </c:pt>
                <c:pt idx="41">
                  <c:v>68.841983673297804</c:v>
                </c:pt>
                <c:pt idx="42">
                  <c:v>69.179390284490111</c:v>
                </c:pt>
                <c:pt idx="43">
                  <c:v>69.527792919906389</c:v>
                </c:pt>
                <c:pt idx="44">
                  <c:v>69.88858833798335</c:v>
                </c:pt>
                <c:pt idx="45">
                  <c:v>70.268439944739271</c:v>
                </c:pt>
                <c:pt idx="46">
                  <c:v>70.652813500285546</c:v>
                </c:pt>
                <c:pt idx="47">
                  <c:v>71.053463770575604</c:v>
                </c:pt>
                <c:pt idx="48">
                  <c:v>71.45839595900253</c:v>
                </c:pt>
                <c:pt idx="49">
                  <c:v>71.880827977617415</c:v>
                </c:pt>
                <c:pt idx="50">
                  <c:v>72.322418656455824</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79.13189956134427</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106.87433565264148</c:v>
                </c:pt>
                <c:pt idx="19">
                  <c:v>104.89781834296268</c:v>
                </c:pt>
                <c:pt idx="20">
                  <c:v>93.216144821678014</c:v>
                </c:pt>
                <c:pt idx="21">
                  <c:v>79.778034372349481</c:v>
                </c:pt>
                <c:pt idx="22">
                  <c:v>70.076035320428332</c:v>
                </c:pt>
                <c:pt idx="23">
                  <c:v>68.341601393042652</c:v>
                </c:pt>
                <c:pt idx="24">
                  <c:v>66.223905770338661</c:v>
                </c:pt>
                <c:pt idx="25">
                  <c:v>63.263069963906965</c:v>
                </c:pt>
                <c:pt idx="26">
                  <c:v>61.55949241750529</c:v>
                </c:pt>
                <c:pt idx="27">
                  <c:v>59.807407802297149</c:v>
                </c:pt>
                <c:pt idx="28">
                  <c:v>58.011401529007244</c:v>
                </c:pt>
                <c:pt idx="29">
                  <c:v>56.167633091058349</c:v>
                </c:pt>
                <c:pt idx="30">
                  <c:v>54.273566515095546</c:v>
                </c:pt>
                <c:pt idx="31">
                  <c:v>52.979805211605893</c:v>
                </c:pt>
                <c:pt idx="32">
                  <c:v>51.655060825074962</c:v>
                </c:pt>
                <c:pt idx="33">
                  <c:v>51.737439622889518</c:v>
                </c:pt>
                <c:pt idx="34">
                  <c:v>51.83342349009127</c:v>
                </c:pt>
                <c:pt idx="35">
                  <c:v>51.943527998623466</c:v>
                </c:pt>
                <c:pt idx="36">
                  <c:v>49.395607984247604</c:v>
                </c:pt>
                <c:pt idx="37">
                  <c:v>46.857337935727969</c:v>
                </c:pt>
                <c:pt idx="38">
                  <c:v>45.402511363282024</c:v>
                </c:pt>
                <c:pt idx="39">
                  <c:v>46.37476793648645</c:v>
                </c:pt>
                <c:pt idx="40">
                  <c:v>47.410888911411924</c:v>
                </c:pt>
                <c:pt idx="41">
                  <c:v>48.556333734962038</c:v>
                </c:pt>
                <c:pt idx="42">
                  <c:v>49.750914010731776</c:v>
                </c:pt>
                <c:pt idx="43">
                  <c:v>50.991776083637212</c:v>
                </c:pt>
                <c:pt idx="44">
                  <c:v>52.285439768867342</c:v>
                </c:pt>
                <c:pt idx="45">
                  <c:v>53.65986657354533</c:v>
                </c:pt>
                <c:pt idx="46">
                  <c:v>55.091024455938516</c:v>
                </c:pt>
                <c:pt idx="47">
                  <c:v>56.591358931225336</c:v>
                </c:pt>
                <c:pt idx="48">
                  <c:v>58.109329809666157</c:v>
                </c:pt>
                <c:pt idx="49">
                  <c:v>59.702708328326267</c:v>
                </c:pt>
                <c:pt idx="50">
                  <c:v>61.37775831207469</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106.87433565264148</c:v>
                </c:pt>
                <c:pt idx="19">
                  <c:v>104.82268381700432</c:v>
                </c:pt>
                <c:pt idx="20">
                  <c:v>92.611990824842948</c:v>
                </c:pt>
                <c:pt idx="21">
                  <c:v>78.986036872534569</c:v>
                </c:pt>
                <c:pt idx="22">
                  <c:v>74.344895057511636</c:v>
                </c:pt>
                <c:pt idx="23">
                  <c:v>73.768384646040616</c:v>
                </c:pt>
                <c:pt idx="24">
                  <c:v>73.144723907822438</c:v>
                </c:pt>
                <c:pt idx="25">
                  <c:v>72.480036899061858</c:v>
                </c:pt>
                <c:pt idx="26">
                  <c:v>71.761888548754513</c:v>
                </c:pt>
                <c:pt idx="27">
                  <c:v>70.995233129640738</c:v>
                </c:pt>
                <c:pt idx="28">
                  <c:v>70.184656052445177</c:v>
                </c:pt>
                <c:pt idx="29">
                  <c:v>69.326316810590654</c:v>
                </c:pt>
                <c:pt idx="30">
                  <c:v>68.417679430722217</c:v>
                </c:pt>
                <c:pt idx="31">
                  <c:v>67.305444642288322</c:v>
                </c:pt>
                <c:pt idx="32">
                  <c:v>66.162226770813206</c:v>
                </c:pt>
                <c:pt idx="33">
                  <c:v>66.426132083683541</c:v>
                </c:pt>
                <c:pt idx="34">
                  <c:v>66.703642465941087</c:v>
                </c:pt>
                <c:pt idx="35">
                  <c:v>66.995273489529069</c:v>
                </c:pt>
                <c:pt idx="36">
                  <c:v>67.282282310683541</c:v>
                </c:pt>
                <c:pt idx="37">
                  <c:v>67.578941097694269</c:v>
                </c:pt>
                <c:pt idx="38">
                  <c:v>67.879746959793792</c:v>
                </c:pt>
                <c:pt idx="39">
                  <c:v>68.190409873652285</c:v>
                </c:pt>
                <c:pt idx="40">
                  <c:v>68.5161242439967</c:v>
                </c:pt>
                <c:pt idx="41">
                  <c:v>68.841983673297804</c:v>
                </c:pt>
                <c:pt idx="42">
                  <c:v>69.179390284490111</c:v>
                </c:pt>
                <c:pt idx="43">
                  <c:v>69.527792919906389</c:v>
                </c:pt>
                <c:pt idx="44">
                  <c:v>69.88858833798335</c:v>
                </c:pt>
                <c:pt idx="45">
                  <c:v>70.268439944739271</c:v>
                </c:pt>
                <c:pt idx="46">
                  <c:v>70.652813500285546</c:v>
                </c:pt>
                <c:pt idx="47">
                  <c:v>71.053463770575604</c:v>
                </c:pt>
                <c:pt idx="48">
                  <c:v>71.45839595900253</c:v>
                </c:pt>
                <c:pt idx="49">
                  <c:v>71.880827977617415</c:v>
                </c:pt>
                <c:pt idx="50">
                  <c:v>72.322418656455824</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20538.078088467711</c:v>
                </c:pt>
                <c:pt idx="19">
                  <c:v>20565.426864731635</c:v>
                </c:pt>
                <c:pt idx="20">
                  <c:v>20391.862505194254</c:v>
                </c:pt>
                <c:pt idx="21">
                  <c:v>20273.385584704563</c:v>
                </c:pt>
                <c:pt idx="22">
                  <c:v>20173.942180425005</c:v>
                </c:pt>
                <c:pt idx="23">
                  <c:v>20062.295785053378</c:v>
                </c:pt>
                <c:pt idx="24">
                  <c:v>19956.071952859296</c:v>
                </c:pt>
                <c:pt idx="25">
                  <c:v>19890.533574664922</c:v>
                </c:pt>
                <c:pt idx="26">
                  <c:v>19768.081943571509</c:v>
                </c:pt>
                <c:pt idx="27">
                  <c:v>19639.923528293992</c:v>
                </c:pt>
                <c:pt idx="28">
                  <c:v>19375.891731921278</c:v>
                </c:pt>
                <c:pt idx="29">
                  <c:v>19127.696047856614</c:v>
                </c:pt>
                <c:pt idx="30">
                  <c:v>18895.630612227978</c:v>
                </c:pt>
                <c:pt idx="31">
                  <c:v>18650.816295633515</c:v>
                </c:pt>
                <c:pt idx="32">
                  <c:v>18406.393880895052</c:v>
                </c:pt>
                <c:pt idx="33">
                  <c:v>18172.167038533407</c:v>
                </c:pt>
                <c:pt idx="34">
                  <c:v>17945.840969728102</c:v>
                </c:pt>
                <c:pt idx="35">
                  <c:v>17727.108115611423</c:v>
                </c:pt>
                <c:pt idx="36">
                  <c:v>17643.865575174481</c:v>
                </c:pt>
                <c:pt idx="37">
                  <c:v>17616.92300300482</c:v>
                </c:pt>
                <c:pt idx="38">
                  <c:v>17602.303796979144</c:v>
                </c:pt>
                <c:pt idx="39">
                  <c:v>17611.930494853503</c:v>
                </c:pt>
                <c:pt idx="40">
                  <c:v>17646.105862926124</c:v>
                </c:pt>
                <c:pt idx="41">
                  <c:v>17562.571073869218</c:v>
                </c:pt>
                <c:pt idx="42">
                  <c:v>17483.593961184957</c:v>
                </c:pt>
                <c:pt idx="43">
                  <c:v>17408.90572369863</c:v>
                </c:pt>
                <c:pt idx="44">
                  <c:v>17338.625070268252</c:v>
                </c:pt>
                <c:pt idx="45">
                  <c:v>17274.231443211393</c:v>
                </c:pt>
                <c:pt idx="46">
                  <c:v>17207.53629690532</c:v>
                </c:pt>
                <c:pt idx="47">
                  <c:v>17145.409893381082</c:v>
                </c:pt>
                <c:pt idx="48">
                  <c:v>17119.031926421449</c:v>
                </c:pt>
                <c:pt idx="49">
                  <c:v>17104.590995058479</c:v>
                </c:pt>
                <c:pt idx="50">
                  <c:v>17102.09819432423</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20603.104263763664</c:v>
                </c:pt>
                <c:pt idx="19">
                  <c:v>20734.618713209886</c:v>
                </c:pt>
                <c:pt idx="20">
                  <c:v>20673.06724872924</c:v>
                </c:pt>
                <c:pt idx="21">
                  <c:v>20371.456228786192</c:v>
                </c:pt>
                <c:pt idx="22">
                  <c:v>19825.687700081253</c:v>
                </c:pt>
                <c:pt idx="23">
                  <c:v>19447.335776378124</c:v>
                </c:pt>
                <c:pt idx="24">
                  <c:v>19089.82412871335</c:v>
                </c:pt>
                <c:pt idx="25">
                  <c:v>18751.719050072967</c:v>
                </c:pt>
                <c:pt idx="26">
                  <c:v>18422.543147314493</c:v>
                </c:pt>
                <c:pt idx="27">
                  <c:v>18108.814726946144</c:v>
                </c:pt>
                <c:pt idx="28">
                  <c:v>17809.062803580026</c:v>
                </c:pt>
                <c:pt idx="29">
                  <c:v>17521.875292935962</c:v>
                </c:pt>
                <c:pt idx="30">
                  <c:v>17245.683307736428</c:v>
                </c:pt>
                <c:pt idx="31">
                  <c:v>16869.326119909783</c:v>
                </c:pt>
                <c:pt idx="32">
                  <c:v>16497.640378879812</c:v>
                </c:pt>
                <c:pt idx="33">
                  <c:v>16204.191937528125</c:v>
                </c:pt>
                <c:pt idx="34">
                  <c:v>15930.894413438966</c:v>
                </c:pt>
                <c:pt idx="35">
                  <c:v>15676.750468539607</c:v>
                </c:pt>
                <c:pt idx="36">
                  <c:v>15433.270934654191</c:v>
                </c:pt>
                <c:pt idx="37">
                  <c:v>15206.927911557046</c:v>
                </c:pt>
                <c:pt idx="38">
                  <c:v>15041.136107443001</c:v>
                </c:pt>
                <c:pt idx="39">
                  <c:v>14995.939559249775</c:v>
                </c:pt>
                <c:pt idx="40">
                  <c:v>14986.775471231811</c:v>
                </c:pt>
                <c:pt idx="41">
                  <c:v>14944.08421028771</c:v>
                </c:pt>
                <c:pt idx="42">
                  <c:v>14925.953017875156</c:v>
                </c:pt>
                <c:pt idx="43">
                  <c:v>14931.529504368798</c:v>
                </c:pt>
                <c:pt idx="44">
                  <c:v>14960.201858173807</c:v>
                </c:pt>
                <c:pt idx="45">
                  <c:v>15012.563154183459</c:v>
                </c:pt>
                <c:pt idx="46">
                  <c:v>15080.014939246888</c:v>
                </c:pt>
                <c:pt idx="47">
                  <c:v>15169.355038432752</c:v>
                </c:pt>
                <c:pt idx="48">
                  <c:v>15277.852538265248</c:v>
                </c:pt>
                <c:pt idx="49">
                  <c:v>15406.998298153487</c:v>
                </c:pt>
                <c:pt idx="50">
                  <c:v>15556.779504845017</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20512.532562166842</c:v>
                </c:pt>
                <c:pt idx="19">
                  <c:v>20502.043486371324</c:v>
                </c:pt>
                <c:pt idx="20">
                  <c:v>20501.989554514061</c:v>
                </c:pt>
                <c:pt idx="21">
                  <c:v>20214.481671447891</c:v>
                </c:pt>
                <c:pt idx="22">
                  <c:v>19559.203185653503</c:v>
                </c:pt>
                <c:pt idx="23">
                  <c:v>19083.472188918735</c:v>
                </c:pt>
                <c:pt idx="24">
                  <c:v>18735.39594289436</c:v>
                </c:pt>
                <c:pt idx="25">
                  <c:v>18407.137895982127</c:v>
                </c:pt>
                <c:pt idx="26">
                  <c:v>18088.198421711801</c:v>
                </c:pt>
                <c:pt idx="27">
                  <c:v>17785.990683288612</c:v>
                </c:pt>
                <c:pt idx="28">
                  <c:v>17498.234706601717</c:v>
                </c:pt>
                <c:pt idx="29">
                  <c:v>17223.80719442762</c:v>
                </c:pt>
                <c:pt idx="30">
                  <c:v>16961.123688496224</c:v>
                </c:pt>
                <c:pt idx="31">
                  <c:v>16600.718090458089</c:v>
                </c:pt>
                <c:pt idx="32">
                  <c:v>16246.38344605139</c:v>
                </c:pt>
                <c:pt idx="33">
                  <c:v>15948.387675041698</c:v>
                </c:pt>
                <c:pt idx="34">
                  <c:v>15670.460530636978</c:v>
                </c:pt>
                <c:pt idx="35">
                  <c:v>15411.437430508757</c:v>
                </c:pt>
                <c:pt idx="36">
                  <c:v>15163.321649245887</c:v>
                </c:pt>
                <c:pt idx="37">
                  <c:v>14932.109896842339</c:v>
                </c:pt>
                <c:pt idx="38">
                  <c:v>14717.305507640975</c:v>
                </c:pt>
                <c:pt idx="39">
                  <c:v>14550.607619181197</c:v>
                </c:pt>
                <c:pt idx="40">
                  <c:v>14477.714400249355</c:v>
                </c:pt>
                <c:pt idx="41">
                  <c:v>14431.790278217093</c:v>
                </c:pt>
                <c:pt idx="42">
                  <c:v>14372.729051983451</c:v>
                </c:pt>
                <c:pt idx="43">
                  <c:v>14336.703658844934</c:v>
                </c:pt>
                <c:pt idx="44">
                  <c:v>14322.757230736244</c:v>
                </c:pt>
                <c:pt idx="45">
                  <c:v>14330.510269504301</c:v>
                </c:pt>
                <c:pt idx="46">
                  <c:v>14352.735248302328</c:v>
                </c:pt>
                <c:pt idx="47">
                  <c:v>14395.711889770793</c:v>
                </c:pt>
                <c:pt idx="48">
                  <c:v>14458.839737441667</c:v>
                </c:pt>
                <c:pt idx="49">
                  <c:v>14539.960292445818</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20538.078088467711</c:v>
                </c:pt>
                <c:pt idx="19">
                  <c:v>20553.713542227084</c:v>
                </c:pt>
                <c:pt idx="20">
                  <c:v>20288.286365596814</c:v>
                </c:pt>
                <c:pt idx="21">
                  <c:v>20122.050595389905</c:v>
                </c:pt>
                <c:pt idx="22">
                  <c:v>19923.229665346644</c:v>
                </c:pt>
                <c:pt idx="23">
                  <c:v>19705.488932532859</c:v>
                </c:pt>
                <c:pt idx="24">
                  <c:v>19464.642917752302</c:v>
                </c:pt>
                <c:pt idx="25">
                  <c:v>19208.942735644028</c:v>
                </c:pt>
                <c:pt idx="26">
                  <c:v>18942.49575597699</c:v>
                </c:pt>
                <c:pt idx="27">
                  <c:v>18668.286385877182</c:v>
                </c:pt>
                <c:pt idx="28">
                  <c:v>18296.403627080028</c:v>
                </c:pt>
                <c:pt idx="29">
                  <c:v>17969.226377818268</c:v>
                </c:pt>
                <c:pt idx="30">
                  <c:v>17670.044583992254</c:v>
                </c:pt>
                <c:pt idx="31">
                  <c:v>17383.836583289212</c:v>
                </c:pt>
                <c:pt idx="32">
                  <c:v>17108.763852997839</c:v>
                </c:pt>
                <c:pt idx="33">
                  <c:v>16844.974348368112</c:v>
                </c:pt>
                <c:pt idx="34">
                  <c:v>16591.736911012642</c:v>
                </c:pt>
                <c:pt idx="35">
                  <c:v>16348.239293985323</c:v>
                </c:pt>
                <c:pt idx="36">
                  <c:v>16106.500234730431</c:v>
                </c:pt>
                <c:pt idx="37">
                  <c:v>15905.888600568378</c:v>
                </c:pt>
                <c:pt idx="38">
                  <c:v>15704.903390676722</c:v>
                </c:pt>
                <c:pt idx="39">
                  <c:v>15514.566837718925</c:v>
                </c:pt>
                <c:pt idx="40">
                  <c:v>15334.494522157547</c:v>
                </c:pt>
                <c:pt idx="41">
                  <c:v>15157.309024889051</c:v>
                </c:pt>
                <c:pt idx="42">
                  <c:v>14988.904758203336</c:v>
                </c:pt>
                <c:pt idx="43">
                  <c:v>14828.844598268231</c:v>
                </c:pt>
                <c:pt idx="44">
                  <c:v>14676.629324157988</c:v>
                </c:pt>
                <c:pt idx="45">
                  <c:v>14532.246059878529</c:v>
                </c:pt>
                <c:pt idx="46">
                  <c:v>14387.874832374695</c:v>
                </c:pt>
                <c:pt idx="47">
                  <c:v>14250.20615952054</c:v>
                </c:pt>
                <c:pt idx="48">
                  <c:v>14152.172101683587</c:v>
                </c:pt>
                <c:pt idx="49">
                  <c:v>14067.768573115285</c:v>
                </c:pt>
                <c:pt idx="50">
                  <c:v>13996.731155660207</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20603.104263763664</c:v>
                </c:pt>
                <c:pt idx="19">
                  <c:v>20734.618713209886</c:v>
                </c:pt>
                <c:pt idx="20">
                  <c:v>20669.132034742288</c:v>
                </c:pt>
                <c:pt idx="21">
                  <c:v>20339.804194261487</c:v>
                </c:pt>
                <c:pt idx="22">
                  <c:v>19771.719133578867</c:v>
                </c:pt>
                <c:pt idx="23">
                  <c:v>19395.999287922932</c:v>
                </c:pt>
                <c:pt idx="24">
                  <c:v>19040.991350344229</c:v>
                </c:pt>
                <c:pt idx="25">
                  <c:v>18705.267874408139</c:v>
                </c:pt>
                <c:pt idx="26">
                  <c:v>18378.357422219451</c:v>
                </c:pt>
                <c:pt idx="27">
                  <c:v>18066.783965092844</c:v>
                </c:pt>
                <c:pt idx="28">
                  <c:v>17769.081906170984</c:v>
                </c:pt>
                <c:pt idx="29">
                  <c:v>17483.844286902538</c:v>
                </c:pt>
                <c:pt idx="30">
                  <c:v>17209.507095754067</c:v>
                </c:pt>
                <c:pt idx="31">
                  <c:v>16834.914242605191</c:v>
                </c:pt>
                <c:pt idx="32">
                  <c:v>16464.906788635373</c:v>
                </c:pt>
                <c:pt idx="33">
                  <c:v>16173.054783318066</c:v>
                </c:pt>
                <c:pt idx="34">
                  <c:v>15901.275836159142</c:v>
                </c:pt>
                <c:pt idx="35">
                  <c:v>15648.576406319189</c:v>
                </c:pt>
                <c:pt idx="36">
                  <c:v>15406.470937662414</c:v>
                </c:pt>
                <c:pt idx="37">
                  <c:v>15181.434965841938</c:v>
                </c:pt>
                <c:pt idx="38">
                  <c:v>15016.886467361594</c:v>
                </c:pt>
                <c:pt idx="39">
                  <c:v>14966.969646477881</c:v>
                </c:pt>
                <c:pt idx="40">
                  <c:v>14934.192141333981</c:v>
                </c:pt>
                <c:pt idx="41">
                  <c:v>14849.648778166094</c:v>
                </c:pt>
                <c:pt idx="42">
                  <c:v>14780.218112713632</c:v>
                </c:pt>
                <c:pt idx="43">
                  <c:v>14725.302929424062</c:v>
                </c:pt>
                <c:pt idx="44">
                  <c:v>14684.546738722442</c:v>
                </c:pt>
                <c:pt idx="45">
                  <c:v>14658.757466043124</c:v>
                </c:pt>
                <c:pt idx="46">
                  <c:v>14639.424545757216</c:v>
                </c:pt>
                <c:pt idx="47">
                  <c:v>14633.481349980875</c:v>
                </c:pt>
                <c:pt idx="48">
                  <c:v>14638.322123698243</c:v>
                </c:pt>
                <c:pt idx="49">
                  <c:v>14655.773064360554</c:v>
                </c:pt>
                <c:pt idx="50">
                  <c:v>14685.896668865587</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14164.08144736863</c:v>
                </c:pt>
                <c:pt idx="1">
                  <c:v>14602.450501161267</c:v>
                </c:pt>
                <c:pt idx="2">
                  <c:v>15028.125972505977</c:v>
                </c:pt>
                <c:pt idx="3">
                  <c:v>15447.202328678144</c:v>
                </c:pt>
                <c:pt idx="4">
                  <c:v>15873.296669932297</c:v>
                </c:pt>
                <c:pt idx="5">
                  <c:v>16307.033647851425</c:v>
                </c:pt>
                <c:pt idx="6">
                  <c:v>16749.758827297668</c:v>
                </c:pt>
                <c:pt idx="7">
                  <c:v>17198.547102216879</c:v>
                </c:pt>
                <c:pt idx="8">
                  <c:v>17638.4386641282</c:v>
                </c:pt>
                <c:pt idx="9">
                  <c:v>18037.991661415457</c:v>
                </c:pt>
                <c:pt idx="10">
                  <c:v>18514.840575389106</c:v>
                </c:pt>
                <c:pt idx="11">
                  <c:v>18944.110448206971</c:v>
                </c:pt>
                <c:pt idx="12">
                  <c:v>19311.678742456523</c:v>
                </c:pt>
                <c:pt idx="13">
                  <c:v>19641.337609875616</c:v>
                </c:pt>
                <c:pt idx="14">
                  <c:v>19918.273231053314</c:v>
                </c:pt>
                <c:pt idx="15">
                  <c:v>20143.575648819125</c:v>
                </c:pt>
                <c:pt idx="16">
                  <c:v>20319.464606329519</c:v>
                </c:pt>
                <c:pt idx="17">
                  <c:v>20454.937384799225</c:v>
                </c:pt>
                <c:pt idx="18">
                  <c:v>20493.732070615239</c:v>
                </c:pt>
                <c:pt idx="19">
                  <c:v>20498.534553052559</c:v>
                </c:pt>
                <c:pt idx="20">
                  <c:v>20277.958347284883</c:v>
                </c:pt>
                <c:pt idx="21">
                  <c:v>19881.894437429368</c:v>
                </c:pt>
                <c:pt idx="22">
                  <c:v>19401.960852052238</c:v>
                </c:pt>
                <c:pt idx="23">
                  <c:v>19034.858482477106</c:v>
                </c:pt>
                <c:pt idx="24">
                  <c:v>18689.189333078299</c:v>
                </c:pt>
                <c:pt idx="25">
                  <c:v>18363.424960484543</c:v>
                </c:pt>
                <c:pt idx="26">
                  <c:v>18047.264920393885</c:v>
                </c:pt>
                <c:pt idx="27">
                  <c:v>17747.18037011876</c:v>
                </c:pt>
                <c:pt idx="28">
                  <c:v>17461.628839412926</c:v>
                </c:pt>
                <c:pt idx="29">
                  <c:v>17189.262860835475</c:v>
                </c:pt>
                <c:pt idx="30">
                  <c:v>16928.556096611959</c:v>
                </c:pt>
                <c:pt idx="31">
                  <c:v>16570.639219508786</c:v>
                </c:pt>
                <c:pt idx="32">
                  <c:v>16217.779329805446</c:v>
                </c:pt>
                <c:pt idx="33">
                  <c:v>15921.836869150027</c:v>
                </c:pt>
                <c:pt idx="34">
                  <c:v>15645.746052612307</c:v>
                </c:pt>
                <c:pt idx="35">
                  <c:v>15388.504970565518</c:v>
                </c:pt>
                <c:pt idx="36">
                  <c:v>15141.91826546125</c:v>
                </c:pt>
                <c:pt idx="37">
                  <c:v>14912.243289673792</c:v>
                </c:pt>
                <c:pt idx="38">
                  <c:v>14698.768084737683</c:v>
                </c:pt>
                <c:pt idx="39">
                  <c:v>14500.729714918447</c:v>
                </c:pt>
                <c:pt idx="40">
                  <c:v>14317.58662243996</c:v>
                </c:pt>
                <c:pt idx="41">
                  <c:v>14141.855033999425</c:v>
                </c:pt>
                <c:pt idx="42">
                  <c:v>13979.508371445561</c:v>
                </c:pt>
                <c:pt idx="43">
                  <c:v>13830.052897002039</c:v>
                </c:pt>
                <c:pt idx="44">
                  <c:v>13692.899747153366</c:v>
                </c:pt>
                <c:pt idx="45">
                  <c:v>13567.877461706914</c:v>
                </c:pt>
                <c:pt idx="46">
                  <c:v>13447.086735982217</c:v>
                </c:pt>
                <c:pt idx="47">
                  <c:v>13337.255166858013</c:v>
                </c:pt>
                <c:pt idx="48">
                  <c:v>13237.590123265139</c:v>
                </c:pt>
                <c:pt idx="49">
                  <c:v>13147.879757485982</c:v>
                </c:pt>
                <c:pt idx="50">
                  <c:v>13067.971587784743</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0.22042757957220868</c:v>
                </c:pt>
                <c:pt idx="11">
                  <c:v>0.23459029705587137</c:v>
                </c:pt>
                <c:pt idx="12">
                  <c:v>0.2479747563458998</c:v>
                </c:pt>
                <c:pt idx="13">
                  <c:v>0.26091497211589859</c:v>
                </c:pt>
                <c:pt idx="14">
                  <c:v>0.27355978971582146</c:v>
                </c:pt>
                <c:pt idx="15">
                  <c:v>0.2859242342376842</c:v>
                </c:pt>
                <c:pt idx="16">
                  <c:v>0.29713182575222147</c:v>
                </c:pt>
                <c:pt idx="17">
                  <c:v>0.29713182575222163</c:v>
                </c:pt>
                <c:pt idx="18">
                  <c:v>0.30918051690308657</c:v>
                </c:pt>
                <c:pt idx="19">
                  <c:v>0.32332819026603998</c:v>
                </c:pt>
                <c:pt idx="20">
                  <c:v>0.34106045371459914</c:v>
                </c:pt>
                <c:pt idx="21">
                  <c:v>0.35686533956860023</c:v>
                </c:pt>
                <c:pt idx="22">
                  <c:v>0.37943231633106983</c:v>
                </c:pt>
                <c:pt idx="23">
                  <c:v>0.40265575687566835</c:v>
                </c:pt>
                <c:pt idx="24">
                  <c:v>0.42978803358723744</c:v>
                </c:pt>
                <c:pt idx="25">
                  <c:v>0.46420451913582322</c:v>
                </c:pt>
                <c:pt idx="26">
                  <c:v>0.49389810572749709</c:v>
                </c:pt>
                <c:pt idx="27">
                  <c:v>0.52644709744557738</c:v>
                </c:pt>
                <c:pt idx="28">
                  <c:v>0.53919341684209243</c:v>
                </c:pt>
                <c:pt idx="29">
                  <c:v>0.55390119153091844</c:v>
                </c:pt>
                <c:pt idx="30">
                  <c:v>0.57071062808606376</c:v>
                </c:pt>
                <c:pt idx="31">
                  <c:v>0.56438013508341156</c:v>
                </c:pt>
                <c:pt idx="32">
                  <c:v>0.55770079918369797</c:v>
                </c:pt>
                <c:pt idx="33">
                  <c:v>0.55074695204294777</c:v>
                </c:pt>
                <c:pt idx="34">
                  <c:v>0.54350960087657207</c:v>
                </c:pt>
                <c:pt idx="35">
                  <c:v>0.53599021663047142</c:v>
                </c:pt>
                <c:pt idx="36">
                  <c:v>0.54348731944651452</c:v>
                </c:pt>
                <c:pt idx="37">
                  <c:v>0.5576827280251021</c:v>
                </c:pt>
                <c:pt idx="38">
                  <c:v>0.56904788579981747</c:v>
                </c:pt>
                <c:pt idx="39">
                  <c:v>0.58054476328152671</c:v>
                </c:pt>
                <c:pt idx="40">
                  <c:v>0.59216461912375973</c:v>
                </c:pt>
                <c:pt idx="41">
                  <c:v>0.59440519026119454</c:v>
                </c:pt>
                <c:pt idx="42">
                  <c:v>0.59668143494868919</c:v>
                </c:pt>
                <c:pt idx="43">
                  <c:v>0.59899357316531754</c:v>
                </c:pt>
                <c:pt idx="44">
                  <c:v>0.60133606655908911</c:v>
                </c:pt>
                <c:pt idx="45">
                  <c:v>0.60369988597554669</c:v>
                </c:pt>
                <c:pt idx="46">
                  <c:v>0.60595760819201749</c:v>
                </c:pt>
                <c:pt idx="47">
                  <c:v>0.60824235919197667</c:v>
                </c:pt>
                <c:pt idx="48">
                  <c:v>0.61879267788203407</c:v>
                </c:pt>
                <c:pt idx="49">
                  <c:v>0.62975701214482482</c:v>
                </c:pt>
                <c:pt idx="50">
                  <c:v>0.64113279036900128</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0.19294173265665418</c:v>
                </c:pt>
                <c:pt idx="1">
                  <c:v>0.19283372758765369</c:v>
                </c:pt>
                <c:pt idx="2">
                  <c:v>0.19244111347697429</c:v>
                </c:pt>
                <c:pt idx="3">
                  <c:v>0.1921588904207206</c:v>
                </c:pt>
                <c:pt idx="4">
                  <c:v>0.19159968918099338</c:v>
                </c:pt>
                <c:pt idx="5">
                  <c:v>0.19092494708587937</c:v>
                </c:pt>
                <c:pt idx="6">
                  <c:v>0.19020897678168794</c:v>
                </c:pt>
                <c:pt idx="7">
                  <c:v>0.18953960310810339</c:v>
                </c:pt>
                <c:pt idx="8">
                  <c:v>0.18921389159482299</c:v>
                </c:pt>
                <c:pt idx="9">
                  <c:v>0.18963417971367144</c:v>
                </c:pt>
                <c:pt idx="10">
                  <c:v>0.20500122394187426</c:v>
                </c:pt>
                <c:pt idx="11">
                  <c:v>0.22042757957220868</c:v>
                </c:pt>
                <c:pt idx="12">
                  <c:v>0.23459029705587137</c:v>
                </c:pt>
                <c:pt idx="13">
                  <c:v>0.2479747563458998</c:v>
                </c:pt>
                <c:pt idx="14">
                  <c:v>0.26091497211589859</c:v>
                </c:pt>
                <c:pt idx="15">
                  <c:v>0.27355978971582146</c:v>
                </c:pt>
                <c:pt idx="16">
                  <c:v>0.2859242342376842</c:v>
                </c:pt>
                <c:pt idx="17">
                  <c:v>0.29713182575222163</c:v>
                </c:pt>
                <c:pt idx="18">
                  <c:v>0.30918051690308657</c:v>
                </c:pt>
                <c:pt idx="19">
                  <c:v>0.32213017099988633</c:v>
                </c:pt>
                <c:pt idx="20">
                  <c:v>0.32995595256499261</c:v>
                </c:pt>
                <c:pt idx="21">
                  <c:v>0.34382460695929362</c:v>
                </c:pt>
                <c:pt idx="22">
                  <c:v>0.35857690816221094</c:v>
                </c:pt>
                <c:pt idx="23">
                  <c:v>0.37450722069661757</c:v>
                </c:pt>
                <c:pt idx="24">
                  <c:v>0.39178185523986708</c:v>
                </c:pt>
                <c:pt idx="25">
                  <c:v>0.41085422264242766</c:v>
                </c:pt>
                <c:pt idx="26">
                  <c:v>0.43208782151485392</c:v>
                </c:pt>
                <c:pt idx="27">
                  <c:v>0.45581130178029217</c:v>
                </c:pt>
                <c:pt idx="28">
                  <c:v>0.46508934036440602</c:v>
                </c:pt>
                <c:pt idx="29">
                  <c:v>0.47855857378410172</c:v>
                </c:pt>
                <c:pt idx="30">
                  <c:v>0.49571015796475626</c:v>
                </c:pt>
                <c:pt idx="31">
                  <c:v>0.48852845558251917</c:v>
                </c:pt>
                <c:pt idx="32">
                  <c:v>0.48115347749068749</c:v>
                </c:pt>
                <c:pt idx="33">
                  <c:v>0.47361224791371626</c:v>
                </c:pt>
                <c:pt idx="34">
                  <c:v>0.46590084358604955</c:v>
                </c:pt>
                <c:pt idx="35">
                  <c:v>0.4580135019327411</c:v>
                </c:pt>
                <c:pt idx="36">
                  <c:v>0.44976060715982213</c:v>
                </c:pt>
                <c:pt idx="37">
                  <c:v>0.44791897173481371</c:v>
                </c:pt>
                <c:pt idx="38">
                  <c:v>0.44308818316449833</c:v>
                </c:pt>
                <c:pt idx="39">
                  <c:v>0.43818307243271637</c:v>
                </c:pt>
                <c:pt idx="40">
                  <c:v>0.43321374977926591</c:v>
                </c:pt>
                <c:pt idx="41">
                  <c:v>0.42803742657425559</c:v>
                </c:pt>
                <c:pt idx="42">
                  <c:v>0.42280282235683919</c:v>
                </c:pt>
                <c:pt idx="43">
                  <c:v>0.41751088915775353</c:v>
                </c:pt>
                <c:pt idx="44">
                  <c:v>0.41216400214235493</c:v>
                </c:pt>
                <c:pt idx="45">
                  <c:v>0.4067806467064316</c:v>
                </c:pt>
                <c:pt idx="46">
                  <c:v>0.40124455501675582</c:v>
                </c:pt>
                <c:pt idx="47">
                  <c:v>0.39568263978550711</c:v>
                </c:pt>
                <c:pt idx="48">
                  <c:v>0.39700042270129143</c:v>
                </c:pt>
                <c:pt idx="49">
                  <c:v>0.39834810071831678</c:v>
                </c:pt>
                <c:pt idx="50">
                  <c:v>0.39973001505239486</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0.22042757957220868</c:v>
                </c:pt>
                <c:pt idx="11">
                  <c:v>0.23459029705587137</c:v>
                </c:pt>
                <c:pt idx="12">
                  <c:v>0.2479747563458998</c:v>
                </c:pt>
                <c:pt idx="13">
                  <c:v>0.26091497211589859</c:v>
                </c:pt>
                <c:pt idx="14">
                  <c:v>0.27355978971582146</c:v>
                </c:pt>
                <c:pt idx="15">
                  <c:v>0.2859242342376842</c:v>
                </c:pt>
                <c:pt idx="16">
                  <c:v>0.29713182575222147</c:v>
                </c:pt>
                <c:pt idx="17">
                  <c:v>0.29713182575222163</c:v>
                </c:pt>
                <c:pt idx="18">
                  <c:v>0.32768792027823929</c:v>
                </c:pt>
                <c:pt idx="19">
                  <c:v>0.3632761773919651</c:v>
                </c:pt>
                <c:pt idx="20">
                  <c:v>0.41707141135775727</c:v>
                </c:pt>
                <c:pt idx="21">
                  <c:v>0.48072550668143788</c:v>
                </c:pt>
                <c:pt idx="22">
                  <c:v>0.50925010089574485</c:v>
                </c:pt>
                <c:pt idx="23">
                  <c:v>0.54952143423466249</c:v>
                </c:pt>
                <c:pt idx="24">
                  <c:v>0.59287738632389075</c:v>
                </c:pt>
                <c:pt idx="25">
                  <c:v>0.64181941881000182</c:v>
                </c:pt>
                <c:pt idx="26">
                  <c:v>0.68520627201315898</c:v>
                </c:pt>
                <c:pt idx="27">
                  <c:v>0.73003349026520781</c:v>
                </c:pt>
                <c:pt idx="28">
                  <c:v>0.77627777239129692</c:v>
                </c:pt>
                <c:pt idx="29">
                  <c:v>0.82392421598602072</c:v>
                </c:pt>
                <c:pt idx="30">
                  <c:v>0.87291810619176224</c:v>
                </c:pt>
                <c:pt idx="31">
                  <c:v>0.85151459435001897</c:v>
                </c:pt>
                <c:pt idx="32">
                  <c:v>0.82921538172565135</c:v>
                </c:pt>
                <c:pt idx="33">
                  <c:v>0.83020176927161193</c:v>
                </c:pt>
                <c:pt idx="34">
                  <c:v>0.8311308231127823</c:v>
                </c:pt>
                <c:pt idx="35">
                  <c:v>0.83199291786398999</c:v>
                </c:pt>
                <c:pt idx="36">
                  <c:v>0.84249045104108611</c:v>
                </c:pt>
                <c:pt idx="37">
                  <c:v>0.85421767927943193</c:v>
                </c:pt>
                <c:pt idx="38">
                  <c:v>0.85963863629289472</c:v>
                </c:pt>
                <c:pt idx="39">
                  <c:v>0.84848413511490561</c:v>
                </c:pt>
                <c:pt idx="40">
                  <c:v>0.83753152455610469</c:v>
                </c:pt>
                <c:pt idx="41">
                  <c:v>0.82952457660225665</c:v>
                </c:pt>
                <c:pt idx="42">
                  <c:v>0.82169142216068014</c:v>
                </c:pt>
                <c:pt idx="43">
                  <c:v>0.81406122796454849</c:v>
                </c:pt>
                <c:pt idx="44">
                  <c:v>0.80660593745077303</c:v>
                </c:pt>
                <c:pt idx="45">
                  <c:v>0.79921612323790836</c:v>
                </c:pt>
                <c:pt idx="46">
                  <c:v>0.7917875026663157</c:v>
                </c:pt>
                <c:pt idx="47">
                  <c:v>0.78452776141344993</c:v>
                </c:pt>
                <c:pt idx="48">
                  <c:v>0.77763754189993606</c:v>
                </c:pt>
                <c:pt idx="49">
                  <c:v>0.77089004315281895</c:v>
                </c:pt>
                <c:pt idx="50">
                  <c:v>0.76428504859512059</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0.22042757957220868</c:v>
                </c:pt>
                <c:pt idx="11">
                  <c:v>0.23459029705587137</c:v>
                </c:pt>
                <c:pt idx="12">
                  <c:v>0.2479747563458998</c:v>
                </c:pt>
                <c:pt idx="13">
                  <c:v>0.26091497211589859</c:v>
                </c:pt>
                <c:pt idx="14">
                  <c:v>0.27355978971582146</c:v>
                </c:pt>
                <c:pt idx="15">
                  <c:v>0.2859242342376842</c:v>
                </c:pt>
                <c:pt idx="16">
                  <c:v>0.29713182575222147</c:v>
                </c:pt>
                <c:pt idx="17">
                  <c:v>0.29713182575222163</c:v>
                </c:pt>
                <c:pt idx="18">
                  <c:v>0.32768792027823929</c:v>
                </c:pt>
                <c:pt idx="19">
                  <c:v>0.36229971180901283</c:v>
                </c:pt>
                <c:pt idx="20">
                  <c:v>0.40788706503437866</c:v>
                </c:pt>
                <c:pt idx="21">
                  <c:v>0.46602558447314762</c:v>
                </c:pt>
                <c:pt idx="22">
                  <c:v>0.49043154049270299</c:v>
                </c:pt>
                <c:pt idx="23">
                  <c:v>0.52571509160654983</c:v>
                </c:pt>
                <c:pt idx="24">
                  <c:v>0.5626342673339626</c:v>
                </c:pt>
                <c:pt idx="25">
                  <c:v>0.60133405804649953</c:v>
                </c:pt>
                <c:pt idx="26">
                  <c:v>0.64165041661087419</c:v>
                </c:pt>
                <c:pt idx="27">
                  <c:v>0.68408346998063563</c:v>
                </c:pt>
                <c:pt idx="28">
                  <c:v>0.7288232908259662</c:v>
                </c:pt>
                <c:pt idx="29">
                  <c:v>0.77610722299473334</c:v>
                </c:pt>
                <c:pt idx="30">
                  <c:v>0.82619803616022147</c:v>
                </c:pt>
                <c:pt idx="31">
                  <c:v>0.80881499458342854</c:v>
                </c:pt>
                <c:pt idx="32">
                  <c:v>0.79091680211042981</c:v>
                </c:pt>
                <c:pt idx="33">
                  <c:v>0.79133458123768419</c:v>
                </c:pt>
                <c:pt idx="34">
                  <c:v>0.79171600743637727</c:v>
                </c:pt>
                <c:pt idx="35">
                  <c:v>0.7920548483855383</c:v>
                </c:pt>
                <c:pt idx="36">
                  <c:v>0.79222717216980165</c:v>
                </c:pt>
                <c:pt idx="37">
                  <c:v>0.79237180447108724</c:v>
                </c:pt>
                <c:pt idx="38">
                  <c:v>0.79251242467237626</c:v>
                </c:pt>
                <c:pt idx="39">
                  <c:v>0.79262505199985489</c:v>
                </c:pt>
                <c:pt idx="40">
                  <c:v>0.7926923838350951</c:v>
                </c:pt>
                <c:pt idx="41">
                  <c:v>0.79259195130135063</c:v>
                </c:pt>
                <c:pt idx="42">
                  <c:v>0.79245819927103844</c:v>
                </c:pt>
                <c:pt idx="43">
                  <c:v>0.79229576189754736</c:v>
                </c:pt>
                <c:pt idx="44">
                  <c:v>0.79209831292977029</c:v>
                </c:pt>
                <c:pt idx="45">
                  <c:v>0.79184898362168576</c:v>
                </c:pt>
                <c:pt idx="46">
                  <c:v>0.79141230762401338</c:v>
                </c:pt>
                <c:pt idx="47">
                  <c:v>0.79093434427047604</c:v>
                </c:pt>
                <c:pt idx="48">
                  <c:v>0.79045255888919375</c:v>
                </c:pt>
                <c:pt idx="49">
                  <c:v>0.7899228486263834</c:v>
                </c:pt>
                <c:pt idx="50">
                  <c:v>0.78934556267027101</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0.22042757957220868</c:v>
                </c:pt>
                <c:pt idx="11">
                  <c:v>0.23459029705587137</c:v>
                </c:pt>
                <c:pt idx="12">
                  <c:v>0.2479747563458998</c:v>
                </c:pt>
                <c:pt idx="13">
                  <c:v>0.26091497211589859</c:v>
                </c:pt>
                <c:pt idx="14">
                  <c:v>0.27355978971582146</c:v>
                </c:pt>
                <c:pt idx="15">
                  <c:v>0.2859242342376842</c:v>
                </c:pt>
                <c:pt idx="16">
                  <c:v>0.29713182575222147</c:v>
                </c:pt>
                <c:pt idx="17">
                  <c:v>0.29713182575222163</c:v>
                </c:pt>
                <c:pt idx="18">
                  <c:v>0.32768792027823929</c:v>
                </c:pt>
                <c:pt idx="19">
                  <c:v>0.3632761773919651</c:v>
                </c:pt>
                <c:pt idx="20">
                  <c:v>0.41707141135775727</c:v>
                </c:pt>
                <c:pt idx="21">
                  <c:v>0.48072550668143788</c:v>
                </c:pt>
                <c:pt idx="22">
                  <c:v>0.50925010089574485</c:v>
                </c:pt>
                <c:pt idx="23">
                  <c:v>0.54952143423466249</c:v>
                </c:pt>
                <c:pt idx="24">
                  <c:v>0.59287738632389075</c:v>
                </c:pt>
                <c:pt idx="25">
                  <c:v>0.64181941881000182</c:v>
                </c:pt>
                <c:pt idx="26">
                  <c:v>0.68520627201315898</c:v>
                </c:pt>
                <c:pt idx="27">
                  <c:v>0.73003349026520781</c:v>
                </c:pt>
                <c:pt idx="28">
                  <c:v>0.77627777239129692</c:v>
                </c:pt>
                <c:pt idx="29">
                  <c:v>0.82392421598602072</c:v>
                </c:pt>
                <c:pt idx="30">
                  <c:v>0.87291810619176224</c:v>
                </c:pt>
                <c:pt idx="31">
                  <c:v>0.85151459435001897</c:v>
                </c:pt>
                <c:pt idx="32">
                  <c:v>0.82921538172565135</c:v>
                </c:pt>
                <c:pt idx="33">
                  <c:v>0.83020176927161193</c:v>
                </c:pt>
                <c:pt idx="34">
                  <c:v>0.8311308231127823</c:v>
                </c:pt>
                <c:pt idx="35">
                  <c:v>0.83199291786398999</c:v>
                </c:pt>
                <c:pt idx="36">
                  <c:v>0.84249045104108611</c:v>
                </c:pt>
                <c:pt idx="37">
                  <c:v>0.85421767927943193</c:v>
                </c:pt>
                <c:pt idx="38">
                  <c:v>0.85963863629289472</c:v>
                </c:pt>
                <c:pt idx="39">
                  <c:v>0.84848413511490561</c:v>
                </c:pt>
                <c:pt idx="40">
                  <c:v>0.83753152455610469</c:v>
                </c:pt>
                <c:pt idx="41">
                  <c:v>0.82952457660225665</c:v>
                </c:pt>
                <c:pt idx="42">
                  <c:v>0.82169142216068014</c:v>
                </c:pt>
                <c:pt idx="43">
                  <c:v>0.81406122796454849</c:v>
                </c:pt>
                <c:pt idx="44">
                  <c:v>0.80660593745077303</c:v>
                </c:pt>
                <c:pt idx="45">
                  <c:v>0.79921612323790836</c:v>
                </c:pt>
                <c:pt idx="46">
                  <c:v>0.7917875026663157</c:v>
                </c:pt>
                <c:pt idx="47">
                  <c:v>0.78452776141344993</c:v>
                </c:pt>
                <c:pt idx="48">
                  <c:v>0.77763754189993606</c:v>
                </c:pt>
                <c:pt idx="49">
                  <c:v>0.77089004315281895</c:v>
                </c:pt>
                <c:pt idx="50">
                  <c:v>0.76428504859512059</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0.22042757957220868</c:v>
                </c:pt>
                <c:pt idx="11">
                  <c:v>0.23459029705587137</c:v>
                </c:pt>
                <c:pt idx="12">
                  <c:v>0.2479747563458998</c:v>
                </c:pt>
                <c:pt idx="13">
                  <c:v>0.26091497211589859</c:v>
                </c:pt>
                <c:pt idx="14">
                  <c:v>0.27355978971582146</c:v>
                </c:pt>
                <c:pt idx="15">
                  <c:v>0.2859242342376842</c:v>
                </c:pt>
                <c:pt idx="16">
                  <c:v>0.29713182575222147</c:v>
                </c:pt>
                <c:pt idx="17">
                  <c:v>0.29713182575222163</c:v>
                </c:pt>
                <c:pt idx="18">
                  <c:v>0.32768792027823929</c:v>
                </c:pt>
                <c:pt idx="19">
                  <c:v>0.36229971180901283</c:v>
                </c:pt>
                <c:pt idx="20">
                  <c:v>0.40788706503437866</c:v>
                </c:pt>
                <c:pt idx="21">
                  <c:v>0.46602558447314762</c:v>
                </c:pt>
                <c:pt idx="22">
                  <c:v>0.49043154049270299</c:v>
                </c:pt>
                <c:pt idx="23">
                  <c:v>0.52571509160654983</c:v>
                </c:pt>
                <c:pt idx="24">
                  <c:v>0.5626342673339626</c:v>
                </c:pt>
                <c:pt idx="25">
                  <c:v>0.60133405804649953</c:v>
                </c:pt>
                <c:pt idx="26">
                  <c:v>0.64165041661087419</c:v>
                </c:pt>
                <c:pt idx="27">
                  <c:v>0.68408346998063563</c:v>
                </c:pt>
                <c:pt idx="28">
                  <c:v>0.7288232908259662</c:v>
                </c:pt>
                <c:pt idx="29">
                  <c:v>0.77610722299473334</c:v>
                </c:pt>
                <c:pt idx="30">
                  <c:v>0.82619803616022147</c:v>
                </c:pt>
                <c:pt idx="31">
                  <c:v>0.80881499458342854</c:v>
                </c:pt>
                <c:pt idx="32">
                  <c:v>0.79091680211042981</c:v>
                </c:pt>
                <c:pt idx="33">
                  <c:v>0.79133458123768419</c:v>
                </c:pt>
                <c:pt idx="34">
                  <c:v>0.79171600743637727</c:v>
                </c:pt>
                <c:pt idx="35">
                  <c:v>0.7920548483855383</c:v>
                </c:pt>
                <c:pt idx="36">
                  <c:v>0.79222717216980165</c:v>
                </c:pt>
                <c:pt idx="37">
                  <c:v>0.79237180447108724</c:v>
                </c:pt>
                <c:pt idx="38">
                  <c:v>0.79251242467237626</c:v>
                </c:pt>
                <c:pt idx="39">
                  <c:v>0.79262505199985489</c:v>
                </c:pt>
                <c:pt idx="40">
                  <c:v>0.7926923838350951</c:v>
                </c:pt>
                <c:pt idx="41">
                  <c:v>0.79259195130135063</c:v>
                </c:pt>
                <c:pt idx="42">
                  <c:v>0.79245819927103844</c:v>
                </c:pt>
                <c:pt idx="43">
                  <c:v>0.79229576189754736</c:v>
                </c:pt>
                <c:pt idx="44">
                  <c:v>0.79209831292977029</c:v>
                </c:pt>
                <c:pt idx="45">
                  <c:v>0.79184898362168576</c:v>
                </c:pt>
                <c:pt idx="46">
                  <c:v>0.79141230762401338</c:v>
                </c:pt>
                <c:pt idx="47">
                  <c:v>0.79093434427047604</c:v>
                </c:pt>
                <c:pt idx="48">
                  <c:v>0.79045255888919375</c:v>
                </c:pt>
                <c:pt idx="49">
                  <c:v>0.7899228486263834</c:v>
                </c:pt>
                <c:pt idx="50">
                  <c:v>0.78934556267027101</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input)'!$AD$56:$AD$73</c:f>
              <c:numCache>
                <c:formatCode>0%</c:formatCode>
                <c:ptCount val="18"/>
                <c:pt idx="0">
                  <c:v>0.14268338865096522</c:v>
                </c:pt>
                <c:pt idx="1">
                  <c:v>0.14268338865096522</c:v>
                </c:pt>
                <c:pt idx="2">
                  <c:v>0.14268338865096522</c:v>
                </c:pt>
                <c:pt idx="3">
                  <c:v>0.14268338865096522</c:v>
                </c:pt>
                <c:pt idx="4">
                  <c:v>0.14268338865096522</c:v>
                </c:pt>
                <c:pt idx="5">
                  <c:v>0.14268338865096522</c:v>
                </c:pt>
                <c:pt idx="6">
                  <c:v>0.14268338865096522</c:v>
                </c:pt>
                <c:pt idx="7">
                  <c:v>0.14268338865096522</c:v>
                </c:pt>
                <c:pt idx="8">
                  <c:v>0.14268338865096522</c:v>
                </c:pt>
                <c:pt idx="9">
                  <c:v>0.14268338865096522</c:v>
                </c:pt>
                <c:pt idx="10">
                  <c:v>0.14268338865096522</c:v>
                </c:pt>
                <c:pt idx="11">
                  <c:v>0.14268338865096522</c:v>
                </c:pt>
                <c:pt idx="12">
                  <c:v>0.14268338865096522</c:v>
                </c:pt>
                <c:pt idx="13">
                  <c:v>0.14268338865096522</c:v>
                </c:pt>
                <c:pt idx="14">
                  <c:v>0.14268338865096522</c:v>
                </c:pt>
                <c:pt idx="15">
                  <c:v>0.14268338865096522</c:v>
                </c:pt>
                <c:pt idx="16">
                  <c:v>0.14268338865096522</c:v>
                </c:pt>
                <c:pt idx="17">
                  <c:v>0.14268338865096522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input)'!$AF$56:$AF$73</c:f>
              <c:numCache>
                <c:formatCode>0%</c:formatCode>
                <c:ptCount val="18"/>
                <c:pt idx="0">
                  <c:v>8.973626520254116E-4</c:v>
                </c:pt>
                <c:pt idx="1">
                  <c:v>8.973626520254116E-4</c:v>
                </c:pt>
                <c:pt idx="2">
                  <c:v>8.973626520254116E-4</c:v>
                </c:pt>
                <c:pt idx="3">
                  <c:v>8.973626520254116E-4</c:v>
                </c:pt>
                <c:pt idx="4">
                  <c:v>8.973626520254116E-4</c:v>
                </c:pt>
                <c:pt idx="5">
                  <c:v>8.973626520254116E-4</c:v>
                </c:pt>
                <c:pt idx="6">
                  <c:v>8.973626520254116E-4</c:v>
                </c:pt>
                <c:pt idx="7">
                  <c:v>8.973626520254116E-4</c:v>
                </c:pt>
                <c:pt idx="8">
                  <c:v>8.973626520254116E-4</c:v>
                </c:pt>
                <c:pt idx="9">
                  <c:v>8.973626520254116E-4</c:v>
                </c:pt>
                <c:pt idx="10">
                  <c:v>8.973626520254116E-4</c:v>
                </c:pt>
                <c:pt idx="11">
                  <c:v>8.973626520254116E-4</c:v>
                </c:pt>
                <c:pt idx="12">
                  <c:v>8.973626520254116E-4</c:v>
                </c:pt>
                <c:pt idx="13">
                  <c:v>8.973626520254116E-4</c:v>
                </c:pt>
                <c:pt idx="14">
                  <c:v>8.973626520254116E-4</c:v>
                </c:pt>
                <c:pt idx="15">
                  <c:v>8.973626520254116E-4</c:v>
                </c:pt>
                <c:pt idx="16">
                  <c:v>8.973626520254116E-4</c:v>
                </c:pt>
                <c:pt idx="17">
                  <c:v>8.973626520254116E-4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input)'!$AG$56:$AG$73</c:f>
              <c:numCache>
                <c:formatCode>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input)'!$AH$56:$AH$73</c:f>
              <c:numCache>
                <c:formatCode>0.0%</c:formatCode>
                <c:ptCount val="18"/>
                <c:pt idx="0">
                  <c:v>0.49613166950665732</c:v>
                </c:pt>
                <c:pt idx="1">
                  <c:v>0.49613166950665732</c:v>
                </c:pt>
                <c:pt idx="2">
                  <c:v>0.49613166950665732</c:v>
                </c:pt>
                <c:pt idx="3">
                  <c:v>0.49613166950665732</c:v>
                </c:pt>
                <c:pt idx="4">
                  <c:v>0.49613166950665732</c:v>
                </c:pt>
                <c:pt idx="5">
                  <c:v>0.49613166950665732</c:v>
                </c:pt>
                <c:pt idx="6">
                  <c:v>0.49613166950665732</c:v>
                </c:pt>
                <c:pt idx="7">
                  <c:v>0.49613166950665732</c:v>
                </c:pt>
                <c:pt idx="8">
                  <c:v>0.49613166950665732</c:v>
                </c:pt>
                <c:pt idx="9">
                  <c:v>0.49613166950665732</c:v>
                </c:pt>
                <c:pt idx="10">
                  <c:v>0.49613166950665732</c:v>
                </c:pt>
                <c:pt idx="11">
                  <c:v>0.49613166950665732</c:v>
                </c:pt>
                <c:pt idx="12">
                  <c:v>0.49613166950665732</c:v>
                </c:pt>
                <c:pt idx="13">
                  <c:v>0.49613166950665732</c:v>
                </c:pt>
                <c:pt idx="14">
                  <c:v>0.49613166950665732</c:v>
                </c:pt>
                <c:pt idx="15">
                  <c:v>0.49613166950665732</c:v>
                </c:pt>
                <c:pt idx="16">
                  <c:v>0.49613166950665732</c:v>
                </c:pt>
                <c:pt idx="17">
                  <c:v>0.49613166950665732</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_-* #\ ##0_-;\-* #\ ##0_-;_-* "-"??_-;_-@_-</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_-* #\ ##0_-;\-* #\ ##0_-;_-* "-"??_-;_-@_-</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_-* #\ ##0_-;\-* #\ ##0_-;_-* "-"??_-;_-@_-</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_-* #\ ##0.0_-;\-* #\ ##0.0_-;_-* "-"??_-;_-@_-</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 ##0_-;\-* #\ ##0_-;_-* &quot;-&quot;??_-;_-@_-">
                  <c:v>1079.9319251187405</c:v>
                </c:pt>
                <c:pt idx="11" formatCode="_-* #\ ##0_-;\-* #\ ##0_-;_-* &quot;-&quot;??_-;_-@_-">
                  <c:v>1073.6833036774706</c:v>
                </c:pt>
                <c:pt idx="12" formatCode="_-* #\ ##0_-;\-* #\ ##0_-;_-* &quot;-&quot;??_-;_-@_-">
                  <c:v>1137.6852182866348</c:v>
                </c:pt>
                <c:pt idx="13" formatCode="_-* #\ ##0_-;\-* #\ ##0_-;_-* &quot;-&quot;??_-;_-@_-">
                  <c:v>1202.7253956774834</c:v>
                </c:pt>
                <c:pt idx="14" formatCode="_-* #\ ##0_-;\-* #\ ##0_-;_-* &quot;-&quot;??_-;_-@_-">
                  <c:v>1260.5476384837968</c:v>
                </c:pt>
                <c:pt idx="15" formatCode="_-* #\ ##0_-;\-* #\ ##0_-;_-* &quot;-&quot;??_-;_-@_-">
                  <c:v>1310.694715127433</c:v>
                </c:pt>
                <c:pt idx="16" formatCode="_-* #\ ##0_-;\-* #\ ##0_-;_-* &quot;-&quot;??_-;_-@_-">
                  <c:v>1353.9572264517599</c:v>
                </c:pt>
                <c:pt idx="17" formatCode="_-* #\ ##0_-;\-* #\ ##0_-;_-* &quot;-&quot;??_-;_-@_-">
                  <c:v>1397.6603160945167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input)'!$AD$56:$AD$73</c:f>
              <c:numCache>
                <c:formatCode>0%</c:formatCode>
                <c:ptCount val="18"/>
                <c:pt idx="0">
                  <c:v>0.14268338865096522</c:v>
                </c:pt>
                <c:pt idx="1">
                  <c:v>0.14268338865096522</c:v>
                </c:pt>
                <c:pt idx="2">
                  <c:v>0.14268338865096522</c:v>
                </c:pt>
                <c:pt idx="3">
                  <c:v>0.14268338865096522</c:v>
                </c:pt>
                <c:pt idx="4">
                  <c:v>0.14268338865096522</c:v>
                </c:pt>
                <c:pt idx="5">
                  <c:v>0.14268338865096522</c:v>
                </c:pt>
                <c:pt idx="6">
                  <c:v>0.14268338865096522</c:v>
                </c:pt>
                <c:pt idx="7">
                  <c:v>0.14268338865096522</c:v>
                </c:pt>
                <c:pt idx="8">
                  <c:v>0.14268338865096522</c:v>
                </c:pt>
                <c:pt idx="9">
                  <c:v>0.14268338865096522</c:v>
                </c:pt>
                <c:pt idx="10">
                  <c:v>0.14268338865096522</c:v>
                </c:pt>
                <c:pt idx="11">
                  <c:v>0.14268338865096522</c:v>
                </c:pt>
                <c:pt idx="12">
                  <c:v>0.14268338865096522</c:v>
                </c:pt>
                <c:pt idx="13">
                  <c:v>0.14268338865096522</c:v>
                </c:pt>
                <c:pt idx="14">
                  <c:v>0.14268338865096522</c:v>
                </c:pt>
                <c:pt idx="15">
                  <c:v>0.14268338865096522</c:v>
                </c:pt>
                <c:pt idx="16">
                  <c:v>0.14268338865096522</c:v>
                </c:pt>
                <c:pt idx="17">
                  <c:v>0.14268338865096522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input)'!$AF$56:$AF$73</c:f>
              <c:numCache>
                <c:formatCode>0%</c:formatCode>
                <c:ptCount val="18"/>
                <c:pt idx="0">
                  <c:v>8.973626520254116E-4</c:v>
                </c:pt>
                <c:pt idx="1">
                  <c:v>8.973626520254116E-4</c:v>
                </c:pt>
                <c:pt idx="2">
                  <c:v>8.973626520254116E-4</c:v>
                </c:pt>
                <c:pt idx="3">
                  <c:v>8.973626520254116E-4</c:v>
                </c:pt>
                <c:pt idx="4">
                  <c:v>8.973626520254116E-4</c:v>
                </c:pt>
                <c:pt idx="5">
                  <c:v>8.973626520254116E-4</c:v>
                </c:pt>
                <c:pt idx="6">
                  <c:v>8.973626520254116E-4</c:v>
                </c:pt>
                <c:pt idx="7">
                  <c:v>8.973626520254116E-4</c:v>
                </c:pt>
                <c:pt idx="8">
                  <c:v>8.973626520254116E-4</c:v>
                </c:pt>
                <c:pt idx="9">
                  <c:v>8.973626520254116E-4</c:v>
                </c:pt>
                <c:pt idx="10">
                  <c:v>8.973626520254116E-4</c:v>
                </c:pt>
                <c:pt idx="11">
                  <c:v>8.973626520254116E-4</c:v>
                </c:pt>
                <c:pt idx="12">
                  <c:v>8.973626520254116E-4</c:v>
                </c:pt>
                <c:pt idx="13">
                  <c:v>8.973626520254116E-4</c:v>
                </c:pt>
                <c:pt idx="14">
                  <c:v>8.973626520254116E-4</c:v>
                </c:pt>
                <c:pt idx="15">
                  <c:v>8.973626520254116E-4</c:v>
                </c:pt>
                <c:pt idx="16">
                  <c:v>8.973626520254116E-4</c:v>
                </c:pt>
                <c:pt idx="17">
                  <c:v>8.973626520254116E-4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input)'!$AG$56:$AG$73</c:f>
              <c:numCache>
                <c:formatCode>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input)'!$AH$56:$AH$73</c:f>
              <c:numCache>
                <c:formatCode>0.0%</c:formatCode>
                <c:ptCount val="18"/>
                <c:pt idx="0">
                  <c:v>0.49613166950665732</c:v>
                </c:pt>
                <c:pt idx="1">
                  <c:v>0.49613166950665732</c:v>
                </c:pt>
                <c:pt idx="2">
                  <c:v>0.49613166950665732</c:v>
                </c:pt>
                <c:pt idx="3">
                  <c:v>0.49613166950665732</c:v>
                </c:pt>
                <c:pt idx="4">
                  <c:v>0.49613166950665732</c:v>
                </c:pt>
                <c:pt idx="5">
                  <c:v>0.49613166950665732</c:v>
                </c:pt>
                <c:pt idx="6">
                  <c:v>0.49613166950665732</c:v>
                </c:pt>
                <c:pt idx="7">
                  <c:v>0.49613166950665732</c:v>
                </c:pt>
                <c:pt idx="8">
                  <c:v>0.49613166950665732</c:v>
                </c:pt>
                <c:pt idx="9">
                  <c:v>0.49613166950665732</c:v>
                </c:pt>
                <c:pt idx="10">
                  <c:v>0.49613166950665732</c:v>
                </c:pt>
                <c:pt idx="11">
                  <c:v>0.49613166950665732</c:v>
                </c:pt>
                <c:pt idx="12">
                  <c:v>0.49613166950665732</c:v>
                </c:pt>
                <c:pt idx="13">
                  <c:v>0.49613166950665732</c:v>
                </c:pt>
                <c:pt idx="14">
                  <c:v>0.49613166950665732</c:v>
                </c:pt>
                <c:pt idx="15">
                  <c:v>0.49613166950665732</c:v>
                </c:pt>
                <c:pt idx="16">
                  <c:v>0.49613166950665732</c:v>
                </c:pt>
                <c:pt idx="17">
                  <c:v>0.49613166950665732</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0.85641924869700936</c:v>
                </c:pt>
                <c:pt idx="1">
                  <c:v>0.85641924869700936</c:v>
                </c:pt>
                <c:pt idx="2">
                  <c:v>0.85641924869700936</c:v>
                </c:pt>
                <c:pt idx="3">
                  <c:v>0.85641924869700936</c:v>
                </c:pt>
                <c:pt idx="4">
                  <c:v>0.85641924869700936</c:v>
                </c:pt>
                <c:pt idx="5">
                  <c:v>0.85641924869700936</c:v>
                </c:pt>
                <c:pt idx="6">
                  <c:v>0.85641924869700936</c:v>
                </c:pt>
                <c:pt idx="7">
                  <c:v>0.85641924869700936</c:v>
                </c:pt>
                <c:pt idx="8">
                  <c:v>0.85641924869700936</c:v>
                </c:pt>
                <c:pt idx="9">
                  <c:v>0.85641924869700936</c:v>
                </c:pt>
                <c:pt idx="10">
                  <c:v>0.85641924869700936</c:v>
                </c:pt>
                <c:pt idx="11">
                  <c:v>0.85641924869700936</c:v>
                </c:pt>
                <c:pt idx="12">
                  <c:v>0.85641924869700936</c:v>
                </c:pt>
                <c:pt idx="13">
                  <c:v>0.85641924869700936</c:v>
                </c:pt>
                <c:pt idx="14">
                  <c:v>0.85641924869700936</c:v>
                </c:pt>
                <c:pt idx="15">
                  <c:v>0.85641924869700936</c:v>
                </c:pt>
                <c:pt idx="16">
                  <c:v>0.85641924869700936</c:v>
                </c:pt>
                <c:pt idx="17">
                  <c:v>0.85641924869700936</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 ##0_-;\-* #\ ##0_-;_-* &quot;-&quot;??_-;_-@_-">
                  <c:v>1079.9319251187405</c:v>
                </c:pt>
                <c:pt idx="11" formatCode="_-* #\ ##0_-;\-* #\ ##0_-;_-* &quot;-&quot;??_-;_-@_-">
                  <c:v>1073.6833036774706</c:v>
                </c:pt>
                <c:pt idx="12" formatCode="_-* #\ ##0_-;\-* #\ ##0_-;_-* &quot;-&quot;??_-;_-@_-">
                  <c:v>1137.6852182866348</c:v>
                </c:pt>
                <c:pt idx="13" formatCode="_-* #\ ##0_-;\-* #\ ##0_-;_-* &quot;-&quot;??_-;_-@_-">
                  <c:v>1202.7253956774834</c:v>
                </c:pt>
                <c:pt idx="14" formatCode="_-* #\ ##0_-;\-* #\ ##0_-;_-* &quot;-&quot;??_-;_-@_-">
                  <c:v>1260.5476384837968</c:v>
                </c:pt>
                <c:pt idx="15" formatCode="_-* #\ ##0_-;\-* #\ ##0_-;_-* &quot;-&quot;??_-;_-@_-">
                  <c:v>1310.694715127433</c:v>
                </c:pt>
                <c:pt idx="16" formatCode="_-* #\ ##0_-;\-* #\ ##0_-;_-* &quot;-&quot;??_-;_-@_-">
                  <c:v>1353.9572264517599</c:v>
                </c:pt>
                <c:pt idx="17" formatCode="_-* #\ ##0_-;\-* #\ ##0_-;_-* &quot;-&quot;??_-;_-@_-">
                  <c:v>1397.6603160945167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pt idx="18">
                  <c:v>15093.307865555609</c:v>
                </c:pt>
                <c:pt idx="19">
                  <c:v>15025.741267193534</c:v>
                </c:pt>
                <c:pt idx="20">
                  <c:v>14903.527010633872</c:v>
                </c:pt>
                <c:pt idx="21">
                  <c:v>14689.278539883861</c:v>
                </c:pt>
                <c:pt idx="22">
                  <c:v>14448.424300683124</c:v>
                </c:pt>
                <c:pt idx="23">
                  <c:v>14196.340405764278</c:v>
                </c:pt>
                <c:pt idx="24">
                  <c:v>13931.600392376638</c:v>
                </c:pt>
                <c:pt idx="25">
                  <c:v>13658.467204390021</c:v>
                </c:pt>
                <c:pt idx="26">
                  <c:v>13385.173732499807</c:v>
                </c:pt>
                <c:pt idx="27">
                  <c:v>13101.407891810479</c:v>
                </c:pt>
                <c:pt idx="28">
                  <c:v>12807.956351184925</c:v>
                </c:pt>
                <c:pt idx="29">
                  <c:v>12522.193422766384</c:v>
                </c:pt>
                <c:pt idx="30">
                  <c:v>12244.569082973792</c:v>
                </c:pt>
                <c:pt idx="31">
                  <c:v>11975.506462216341</c:v>
                </c:pt>
                <c:pt idx="32">
                  <c:v>11711.747123001105</c:v>
                </c:pt>
                <c:pt idx="33">
                  <c:v>11452.083296583538</c:v>
                </c:pt>
                <c:pt idx="34">
                  <c:v>11196.839683658467</c:v>
                </c:pt>
                <c:pt idx="35">
                  <c:v>10945.952854819283</c:v>
                </c:pt>
                <c:pt idx="36">
                  <c:v>10699.342223075961</c:v>
                </c:pt>
                <c:pt idx="37">
                  <c:v>10474.753255531528</c:v>
                </c:pt>
                <c:pt idx="38">
                  <c:v>10277.725040574776</c:v>
                </c:pt>
                <c:pt idx="39">
                  <c:v>10103.638036689077</c:v>
                </c:pt>
                <c:pt idx="40">
                  <c:v>9951.3312114856471</c:v>
                </c:pt>
                <c:pt idx="41">
                  <c:v>9819.8926133102832</c:v>
                </c:pt>
                <c:pt idx="42">
                  <c:v>9690.3144556223615</c:v>
                </c:pt>
                <c:pt idx="43">
                  <c:v>9562.6651996248565</c:v>
                </c:pt>
                <c:pt idx="44">
                  <c:v>9436.9528312839593</c:v>
                </c:pt>
                <c:pt idx="45">
                  <c:v>9313.206785928287</c:v>
                </c:pt>
                <c:pt idx="46">
                  <c:v>9191.6263954443984</c:v>
                </c:pt>
                <c:pt idx="47">
                  <c:v>9072.1176228856766</c:v>
                </c:pt>
                <c:pt idx="48">
                  <c:v>8954.7058320098968</c:v>
                </c:pt>
                <c:pt idx="49">
                  <c:v>8846.5143381953694</c:v>
                </c:pt>
                <c:pt idx="50">
                  <c:v>8747.3973747462278</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1073.6833036774706</c:v>
                </c:pt>
                <c:pt idx="12">
                  <c:v>1137.6852182866348</c:v>
                </c:pt>
                <c:pt idx="13">
                  <c:v>1202.7253956774834</c:v>
                </c:pt>
                <c:pt idx="14">
                  <c:v>1260.5476384837968</c:v>
                </c:pt>
                <c:pt idx="15">
                  <c:v>1310.694715127433</c:v>
                </c:pt>
                <c:pt idx="16">
                  <c:v>1353.9572264517599</c:v>
                </c:pt>
                <c:pt idx="17">
                  <c:v>1397.6603160945167</c:v>
                </c:pt>
                <c:pt idx="18">
                  <c:v>1397.7821169367921</c:v>
                </c:pt>
                <c:pt idx="19">
                  <c:v>1402.5761456687806</c:v>
                </c:pt>
                <c:pt idx="20">
                  <c:v>1258.791306849949</c:v>
                </c:pt>
                <c:pt idx="21">
                  <c:v>1279.5852249699403</c:v>
                </c:pt>
                <c:pt idx="22">
                  <c:v>1344.4607006561016</c:v>
                </c:pt>
                <c:pt idx="23">
                  <c:v>1406.6398760272748</c:v>
                </c:pt>
                <c:pt idx="24">
                  <c:v>1485.2230568616681</c:v>
                </c:pt>
                <c:pt idx="25">
                  <c:v>1611.1842395225713</c:v>
                </c:pt>
                <c:pt idx="26">
                  <c:v>1686.4384832798962</c:v>
                </c:pt>
                <c:pt idx="27">
                  <c:v>1764.8724737583709</c:v>
                </c:pt>
                <c:pt idx="28">
                  <c:v>1726.570760764338</c:v>
                </c:pt>
                <c:pt idx="29">
                  <c:v>1694.6787254049675</c:v>
                </c:pt>
                <c:pt idx="30">
                  <c:v>1669.1277636691261</c:v>
                </c:pt>
                <c:pt idx="31">
                  <c:v>1625.964855212203</c:v>
                </c:pt>
                <c:pt idx="32">
                  <c:v>1577.0879065174663</c:v>
                </c:pt>
                <c:pt idx="33">
                  <c:v>1533.5794017251499</c:v>
                </c:pt>
                <c:pt idx="34">
                  <c:v>1492.661290707493</c:v>
                </c:pt>
                <c:pt idx="35">
                  <c:v>1454.237519521397</c:v>
                </c:pt>
                <c:pt idx="36">
                  <c:v>1552.6591516832211</c:v>
                </c:pt>
                <c:pt idx="37">
                  <c:v>1676.1770695153998</c:v>
                </c:pt>
                <c:pt idx="38">
                  <c:v>1787.427401087353</c:v>
                </c:pt>
                <c:pt idx="39">
                  <c:v>1899.2924796533894</c:v>
                </c:pt>
                <c:pt idx="40">
                  <c:v>2013.2321271350854</c:v>
                </c:pt>
                <c:pt idx="41">
                  <c:v>1994.0588143471164</c:v>
                </c:pt>
                <c:pt idx="42">
                  <c:v>1977.0293932104053</c:v>
                </c:pt>
                <c:pt idx="43">
                  <c:v>1961.723023285502</c:v>
                </c:pt>
                <c:pt idx="44">
                  <c:v>1948.3278194464137</c:v>
                </c:pt>
                <c:pt idx="45">
                  <c:v>1938.1275162842444</c:v>
                </c:pt>
                <c:pt idx="46">
                  <c:v>1929.6381416906395</c:v>
                </c:pt>
                <c:pt idx="47">
                  <c:v>1923.0664118254572</c:v>
                </c:pt>
                <c:pt idx="48">
                  <c:v>1940.8864335162036</c:v>
                </c:pt>
                <c:pt idx="49">
                  <c:v>1960.9145105451528</c:v>
                </c:pt>
                <c:pt idx="50">
                  <c:v>1983.1370846035243</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pt idx="18">
                  <c:v>15093.307865555609</c:v>
                </c:pt>
                <c:pt idx="19">
                  <c:v>15034.527819710593</c:v>
                </c:pt>
                <c:pt idx="20">
                  <c:v>14937.758070949161</c:v>
                </c:pt>
                <c:pt idx="21">
                  <c:v>14706.766750740459</c:v>
                </c:pt>
                <c:pt idx="22">
                  <c:v>14294.991238289604</c:v>
                </c:pt>
                <c:pt idx="23">
                  <c:v>13810.631781811519</c:v>
                </c:pt>
                <c:pt idx="24">
                  <c:v>13346.934551141854</c:v>
                </c:pt>
                <c:pt idx="25">
                  <c:v>12902.205377976983</c:v>
                </c:pt>
                <c:pt idx="26">
                  <c:v>12474.850727542453</c:v>
                </c:pt>
                <c:pt idx="27">
                  <c:v>12063.138385830369</c:v>
                </c:pt>
                <c:pt idx="28">
                  <c:v>11665.571086806938</c:v>
                </c:pt>
                <c:pt idx="29">
                  <c:v>11280.732922555611</c:v>
                </c:pt>
                <c:pt idx="30">
                  <c:v>10907.243854061024</c:v>
                </c:pt>
                <c:pt idx="31">
                  <c:v>10543.76113405634</c:v>
                </c:pt>
                <c:pt idx="32">
                  <c:v>10186.052086220545</c:v>
                </c:pt>
                <c:pt idx="33">
                  <c:v>9833.5629806984707</c:v>
                </c:pt>
                <c:pt idx="34">
                  <c:v>9500.1614982654864</c:v>
                </c:pt>
                <c:pt idx="35">
                  <c:v>9184.9978086576139</c:v>
                </c:pt>
                <c:pt idx="36">
                  <c:v>8887.2645059955066</c:v>
                </c:pt>
                <c:pt idx="37">
                  <c:v>8606.0194073842922</c:v>
                </c:pt>
                <c:pt idx="38">
                  <c:v>8340.5151207324543</c:v>
                </c:pt>
                <c:pt idx="39">
                  <c:v>8095.9152097465621</c:v>
                </c:pt>
                <c:pt idx="40">
                  <c:v>7884.4782792227143</c:v>
                </c:pt>
                <c:pt idx="41">
                  <c:v>7704.9399658757484</c:v>
                </c:pt>
                <c:pt idx="42">
                  <c:v>7547.7800038877022</c:v>
                </c:pt>
                <c:pt idx="43">
                  <c:v>7412.1786028473325</c:v>
                </c:pt>
                <c:pt idx="44">
                  <c:v>7297.3411488564225</c:v>
                </c:pt>
                <c:pt idx="45">
                  <c:v>7202.5464991104445</c:v>
                </c:pt>
                <c:pt idx="46">
                  <c:v>7127.2632927942286</c:v>
                </c:pt>
                <c:pt idx="47">
                  <c:v>7070.7812796762291</c:v>
                </c:pt>
                <c:pt idx="48">
                  <c:v>7032.5654704523658</c:v>
                </c:pt>
                <c:pt idx="49">
                  <c:v>7011.8241443476309</c:v>
                </c:pt>
                <c:pt idx="50">
                  <c:v>7008.1192274707564</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1073.6833036774706</c:v>
                </c:pt>
                <c:pt idx="12">
                  <c:v>1137.6852182866348</c:v>
                </c:pt>
                <c:pt idx="13">
                  <c:v>1202.7253956774834</c:v>
                </c:pt>
                <c:pt idx="14">
                  <c:v>1260.5476384837968</c:v>
                </c:pt>
                <c:pt idx="15">
                  <c:v>1310.694715127433</c:v>
                </c:pt>
                <c:pt idx="16">
                  <c:v>1353.9572264517599</c:v>
                </c:pt>
                <c:pt idx="17">
                  <c:v>1397.6603160945167</c:v>
                </c:pt>
                <c:pt idx="18">
                  <c:v>1413.1515767294368</c:v>
                </c:pt>
                <c:pt idx="19">
                  <c:v>1459.5835466116764</c:v>
                </c:pt>
                <c:pt idx="20">
                  <c:v>1349.4859760120851</c:v>
                </c:pt>
                <c:pt idx="21">
                  <c:v>1165.8155204940736</c:v>
                </c:pt>
                <c:pt idx="22">
                  <c:v>941.81807564087649</c:v>
                </c:pt>
                <c:pt idx="23">
                  <c:v>919.96374922975019</c:v>
                </c:pt>
                <c:pt idx="24">
                  <c:v>896.28902400403285</c:v>
                </c:pt>
                <c:pt idx="25">
                  <c:v>871.05062743812596</c:v>
                </c:pt>
                <c:pt idx="26">
                  <c:v>843.81266873025288</c:v>
                </c:pt>
                <c:pt idx="27">
                  <c:v>814.70892369334751</c:v>
                </c:pt>
                <c:pt idx="28">
                  <c:v>783.93473171488893</c:v>
                </c:pt>
                <c:pt idx="29">
                  <c:v>751.33818950177442</c:v>
                </c:pt>
                <c:pt idx="30">
                  <c:v>716.82299060373975</c:v>
                </c:pt>
                <c:pt idx="31">
                  <c:v>674.56529933255183</c:v>
                </c:pt>
                <c:pt idx="32">
                  <c:v>631.09691496336222</c:v>
                </c:pt>
                <c:pt idx="33">
                  <c:v>641.70433471915157</c:v>
                </c:pt>
                <c:pt idx="34">
                  <c:v>652.86700762305452</c:v>
                </c:pt>
                <c:pt idx="35">
                  <c:v>664.60677287475778</c:v>
                </c:pt>
                <c:pt idx="36">
                  <c:v>676.1850955238998</c:v>
                </c:pt>
                <c:pt idx="37">
                  <c:v>688.15770439776338</c:v>
                </c:pt>
                <c:pt idx="38">
                  <c:v>744.51735277423575</c:v>
                </c:pt>
                <c:pt idx="39">
                  <c:v>900.31386089291902</c:v>
                </c:pt>
                <c:pt idx="40">
                  <c:v>1058.7258282121604</c:v>
                </c:pt>
                <c:pt idx="41">
                  <c:v>1157.977844740758</c:v>
                </c:pt>
                <c:pt idx="42">
                  <c:v>1259.2422314335386</c:v>
                </c:pt>
                <c:pt idx="43">
                  <c:v>1362.4017155721756</c:v>
                </c:pt>
                <c:pt idx="44">
                  <c:v>1467.7237729642752</c:v>
                </c:pt>
                <c:pt idx="45">
                  <c:v>1576.3532742992065</c:v>
                </c:pt>
                <c:pt idx="46">
                  <c:v>1687.3357015958557</c:v>
                </c:pt>
                <c:pt idx="47">
                  <c:v>1801.1512293040571</c:v>
                </c:pt>
                <c:pt idx="48">
                  <c:v>1915.6886067563173</c:v>
                </c:pt>
                <c:pt idx="49">
                  <c:v>2033.3150876409661</c:v>
                </c:pt>
                <c:pt idx="50">
                  <c:v>2154.2865855883824</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pt idx="18">
                  <c:v>15093.307865555609</c:v>
                </c:pt>
                <c:pt idx="19">
                  <c:v>15034.53539938898</c:v>
                </c:pt>
                <c:pt idx="20">
                  <c:v>14937.780613773604</c:v>
                </c:pt>
                <c:pt idx="21">
                  <c:v>14706.811461332869</c:v>
                </c:pt>
                <c:pt idx="22">
                  <c:v>14295.065013087842</c:v>
                </c:pt>
                <c:pt idx="23">
                  <c:v>13810.741300522468</c:v>
                </c:pt>
                <c:pt idx="24">
                  <c:v>13347.086293717775</c:v>
                </c:pt>
                <c:pt idx="25">
                  <c:v>12902.405638887662</c:v>
                </c:pt>
                <c:pt idx="26">
                  <c:v>12475.105629744074</c:v>
                </c:pt>
                <c:pt idx="27">
                  <c:v>12063.453769211743</c:v>
                </c:pt>
                <c:pt idx="28">
                  <c:v>11665.952623517624</c:v>
                </c:pt>
                <c:pt idx="29">
                  <c:v>11281.186126642322</c:v>
                </c:pt>
                <c:pt idx="30">
                  <c:v>10907.774095821545</c:v>
                </c:pt>
                <c:pt idx="31">
                  <c:v>10544.373649466563</c:v>
                </c:pt>
                <c:pt idx="32">
                  <c:v>10186.74304990535</c:v>
                </c:pt>
                <c:pt idx="33">
                  <c:v>9834.3287986331252</c:v>
                </c:pt>
                <c:pt idx="34">
                  <c:v>9500.9987925872701</c:v>
                </c:pt>
                <c:pt idx="35">
                  <c:v>9185.9034085086714</c:v>
                </c:pt>
                <c:pt idx="36">
                  <c:v>8888.235432036674</c:v>
                </c:pt>
                <c:pt idx="37">
                  <c:v>8607.0527199646822</c:v>
                </c:pt>
                <c:pt idx="38">
                  <c:v>8341.608056539857</c:v>
                </c:pt>
                <c:pt idx="39">
                  <c:v>8097.0651749694161</c:v>
                </c:pt>
                <c:pt idx="40">
                  <c:v>7885.6828362480164</c:v>
                </c:pt>
                <c:pt idx="41">
                  <c:v>7706.1968241927516</c:v>
                </c:pt>
                <c:pt idx="42">
                  <c:v>7549.0868794220014</c:v>
                </c:pt>
                <c:pt idx="43">
                  <c:v>7413.5333479698129</c:v>
                </c:pt>
                <c:pt idx="44">
                  <c:v>7298.7417461528812</c:v>
                </c:pt>
                <c:pt idx="45">
                  <c:v>7203.9910520828889</c:v>
                </c:pt>
                <c:pt idx="46">
                  <c:v>7128.7500222504123</c:v>
                </c:pt>
                <c:pt idx="47">
                  <c:v>7072.3083727899239</c:v>
                </c:pt>
                <c:pt idx="48">
                  <c:v>7034.1312251148511</c:v>
                </c:pt>
                <c:pt idx="49">
                  <c:v>7013.426961004433</c:v>
                </c:pt>
                <c:pt idx="50">
                  <c:v>7009.7576014337792</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1073.6833036774706</c:v>
                </c:pt>
                <c:pt idx="12">
                  <c:v>1137.6852182866348</c:v>
                </c:pt>
                <c:pt idx="13">
                  <c:v>1202.7253956774834</c:v>
                </c:pt>
                <c:pt idx="14">
                  <c:v>1260.5476384837968</c:v>
                </c:pt>
                <c:pt idx="15">
                  <c:v>1310.694715127433</c:v>
                </c:pt>
                <c:pt idx="16">
                  <c:v>1353.9572264517599</c:v>
                </c:pt>
                <c:pt idx="17">
                  <c:v>1397.6603160945167</c:v>
                </c:pt>
                <c:pt idx="18">
                  <c:v>1322.5798751326151</c:v>
                </c:pt>
                <c:pt idx="19">
                  <c:v>1227.0007400947236</c:v>
                </c:pt>
                <c:pt idx="20">
                  <c:v>1178.385738972461</c:v>
                </c:pt>
                <c:pt idx="21">
                  <c:v>1008.7962525633618</c:v>
                </c:pt>
                <c:pt idx="22">
                  <c:v>675.25978641488598</c:v>
                </c:pt>
                <c:pt idx="23">
                  <c:v>555.99064305941181</c:v>
                </c:pt>
                <c:pt idx="24">
                  <c:v>541.70909560912196</c:v>
                </c:pt>
                <c:pt idx="25">
                  <c:v>526.26921243660854</c:v>
                </c:pt>
                <c:pt idx="26">
                  <c:v>509.21304092594227</c:v>
                </c:pt>
                <c:pt idx="27">
                  <c:v>491.56949665444347</c:v>
                </c:pt>
                <c:pt idx="28">
                  <c:v>472.72509802589531</c:v>
                </c:pt>
                <c:pt idx="29">
                  <c:v>452.81688690672138</c:v>
                </c:pt>
                <c:pt idx="30">
                  <c:v>431.73312960301536</c:v>
                </c:pt>
                <c:pt idx="31">
                  <c:v>405.34475447063807</c:v>
                </c:pt>
                <c:pt idx="32">
                  <c:v>379.14901845013702</c:v>
                </c:pt>
                <c:pt idx="33">
                  <c:v>385.13425429807086</c:v>
                </c:pt>
                <c:pt idx="34">
                  <c:v>391.59583049928182</c:v>
                </c:pt>
                <c:pt idx="35">
                  <c:v>398.38813499285015</c:v>
                </c:pt>
                <c:pt idx="36">
                  <c:v>405.26488407442912</c:v>
                </c:pt>
                <c:pt idx="37">
                  <c:v>412.30637710266404</c:v>
                </c:pt>
                <c:pt idx="38">
                  <c:v>419.59381716480652</c:v>
                </c:pt>
                <c:pt idx="39">
                  <c:v>453.83195560148681</c:v>
                </c:pt>
                <c:pt idx="40">
                  <c:v>548.46020020440164</c:v>
                </c:pt>
                <c:pt idx="41">
                  <c:v>644.42705435313735</c:v>
                </c:pt>
                <c:pt idx="42">
                  <c:v>704.71139000753521</c:v>
                </c:pt>
                <c:pt idx="43">
                  <c:v>766.22112492583358</c:v>
                </c:pt>
                <c:pt idx="44">
                  <c:v>828.87854823025521</c:v>
                </c:pt>
                <c:pt idx="45">
                  <c:v>892.85583664760338</c:v>
                </c:pt>
                <c:pt idx="46">
                  <c:v>958.56928119511156</c:v>
                </c:pt>
                <c:pt idx="47">
                  <c:v>1025.9809875284045</c:v>
                </c:pt>
                <c:pt idx="48">
                  <c:v>1095.1100512702492</c:v>
                </c:pt>
                <c:pt idx="49">
                  <c:v>1164.6742652764931</c:v>
                </c:pt>
                <c:pt idx="50">
                  <c:v>1236.1210457522488</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pt idx="18">
                  <c:v>15093.307865555609</c:v>
                </c:pt>
                <c:pt idx="19">
                  <c:v>15025.741267193534</c:v>
                </c:pt>
                <c:pt idx="20">
                  <c:v>14903.527010633872</c:v>
                </c:pt>
                <c:pt idx="21">
                  <c:v>14689.278539883861</c:v>
                </c:pt>
                <c:pt idx="22">
                  <c:v>14448.424300683124</c:v>
                </c:pt>
                <c:pt idx="23">
                  <c:v>14196.340405764278</c:v>
                </c:pt>
                <c:pt idx="24">
                  <c:v>13931.600392376638</c:v>
                </c:pt>
                <c:pt idx="25">
                  <c:v>13658.467204390021</c:v>
                </c:pt>
                <c:pt idx="26">
                  <c:v>13385.173732499807</c:v>
                </c:pt>
                <c:pt idx="27">
                  <c:v>13101.407891810479</c:v>
                </c:pt>
                <c:pt idx="28">
                  <c:v>12807.956351184925</c:v>
                </c:pt>
                <c:pt idx="29">
                  <c:v>12522.193422766384</c:v>
                </c:pt>
                <c:pt idx="30">
                  <c:v>12244.569082973792</c:v>
                </c:pt>
                <c:pt idx="31">
                  <c:v>11975.506462216341</c:v>
                </c:pt>
                <c:pt idx="32">
                  <c:v>11711.747123001105</c:v>
                </c:pt>
                <c:pt idx="33">
                  <c:v>11452.083296583538</c:v>
                </c:pt>
                <c:pt idx="34">
                  <c:v>11196.839683658467</c:v>
                </c:pt>
                <c:pt idx="35">
                  <c:v>10945.952854819283</c:v>
                </c:pt>
                <c:pt idx="36">
                  <c:v>10699.342223075961</c:v>
                </c:pt>
                <c:pt idx="37">
                  <c:v>10474.753255531528</c:v>
                </c:pt>
                <c:pt idx="38">
                  <c:v>10277.725040574776</c:v>
                </c:pt>
                <c:pt idx="39">
                  <c:v>10103.638036689077</c:v>
                </c:pt>
                <c:pt idx="40">
                  <c:v>9951.3312114856471</c:v>
                </c:pt>
                <c:pt idx="41">
                  <c:v>9819.8926133102832</c:v>
                </c:pt>
                <c:pt idx="42">
                  <c:v>9690.3144556223615</c:v>
                </c:pt>
                <c:pt idx="43">
                  <c:v>9562.6651996248565</c:v>
                </c:pt>
                <c:pt idx="44">
                  <c:v>9436.9528312839593</c:v>
                </c:pt>
                <c:pt idx="45">
                  <c:v>9313.206785928287</c:v>
                </c:pt>
                <c:pt idx="46">
                  <c:v>9191.6263954443984</c:v>
                </c:pt>
                <c:pt idx="47">
                  <c:v>9072.1176228856766</c:v>
                </c:pt>
                <c:pt idx="48">
                  <c:v>8954.7058320098968</c:v>
                </c:pt>
                <c:pt idx="49">
                  <c:v>8846.5143381953694</c:v>
                </c:pt>
                <c:pt idx="50">
                  <c:v>8747.3973747462278</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1073.6833036774706</c:v>
                </c:pt>
                <c:pt idx="12">
                  <c:v>1137.6852182866348</c:v>
                </c:pt>
                <c:pt idx="13">
                  <c:v>1202.7253956774834</c:v>
                </c:pt>
                <c:pt idx="14">
                  <c:v>1260.5476384837968</c:v>
                </c:pt>
                <c:pt idx="15">
                  <c:v>1310.694715127433</c:v>
                </c:pt>
                <c:pt idx="16">
                  <c:v>1353.9572264517599</c:v>
                </c:pt>
                <c:pt idx="17">
                  <c:v>1397.6603160945167</c:v>
                </c:pt>
                <c:pt idx="18">
                  <c:v>1397.7821169367921</c:v>
                </c:pt>
                <c:pt idx="19">
                  <c:v>1402.5761456687806</c:v>
                </c:pt>
                <c:pt idx="20">
                  <c:v>1258.791306849949</c:v>
                </c:pt>
                <c:pt idx="21">
                  <c:v>1279.5852249699403</c:v>
                </c:pt>
                <c:pt idx="22">
                  <c:v>1344.4607006561016</c:v>
                </c:pt>
                <c:pt idx="23">
                  <c:v>1406.6398760272748</c:v>
                </c:pt>
                <c:pt idx="24">
                  <c:v>1485.2230568616681</c:v>
                </c:pt>
                <c:pt idx="25">
                  <c:v>1611.1842395225713</c:v>
                </c:pt>
                <c:pt idx="26">
                  <c:v>1686.4384832798962</c:v>
                </c:pt>
                <c:pt idx="27">
                  <c:v>1764.8724737583709</c:v>
                </c:pt>
                <c:pt idx="28">
                  <c:v>1726.570760764338</c:v>
                </c:pt>
                <c:pt idx="29">
                  <c:v>1694.6787254049675</c:v>
                </c:pt>
                <c:pt idx="30">
                  <c:v>1669.1277636691261</c:v>
                </c:pt>
                <c:pt idx="31">
                  <c:v>1625.964855212203</c:v>
                </c:pt>
                <c:pt idx="32">
                  <c:v>1577.0879065174663</c:v>
                </c:pt>
                <c:pt idx="33">
                  <c:v>1533.5794017251499</c:v>
                </c:pt>
                <c:pt idx="34">
                  <c:v>1492.661290707493</c:v>
                </c:pt>
                <c:pt idx="35">
                  <c:v>1454.237519521397</c:v>
                </c:pt>
                <c:pt idx="36">
                  <c:v>1552.6591516832211</c:v>
                </c:pt>
                <c:pt idx="37">
                  <c:v>1676.1770695153998</c:v>
                </c:pt>
                <c:pt idx="38">
                  <c:v>1787.427401087353</c:v>
                </c:pt>
                <c:pt idx="39">
                  <c:v>1899.2924796533894</c:v>
                </c:pt>
                <c:pt idx="40">
                  <c:v>2013.2321271350854</c:v>
                </c:pt>
                <c:pt idx="41">
                  <c:v>1994.0588143471164</c:v>
                </c:pt>
                <c:pt idx="42">
                  <c:v>1977.0293932104053</c:v>
                </c:pt>
                <c:pt idx="43">
                  <c:v>1961.723023285502</c:v>
                </c:pt>
                <c:pt idx="44">
                  <c:v>1948.3278194464137</c:v>
                </c:pt>
                <c:pt idx="45">
                  <c:v>1938.1275162842444</c:v>
                </c:pt>
                <c:pt idx="46">
                  <c:v>1929.6381416906395</c:v>
                </c:pt>
                <c:pt idx="47">
                  <c:v>1923.0664118254572</c:v>
                </c:pt>
                <c:pt idx="48">
                  <c:v>1940.8864335162036</c:v>
                </c:pt>
                <c:pt idx="49">
                  <c:v>1960.9145105451528</c:v>
                </c:pt>
                <c:pt idx="50">
                  <c:v>1983.1370846035243</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10318.425174459751</c:v>
                </c:pt>
                <c:pt idx="2">
                  <c:v>10673.397638865463</c:v>
                </c:pt>
                <c:pt idx="3">
                  <c:v>11030.049569655019</c:v>
                </c:pt>
                <c:pt idx="4">
                  <c:v>11387.073561530855</c:v>
                </c:pt>
                <c:pt idx="5">
                  <c:v>11742.290727593452</c:v>
                </c:pt>
                <c:pt idx="6">
                  <c:v>12099.874756855068</c:v>
                </c:pt>
                <c:pt idx="7">
                  <c:v>12462.086000936695</c:v>
                </c:pt>
                <c:pt idx="8">
                  <c:v>12830.45399287315</c:v>
                </c:pt>
                <c:pt idx="9">
                  <c:v>13204.755746739154</c:v>
                </c:pt>
                <c:pt idx="10">
                  <c:v>13578.59374285077</c:v>
                </c:pt>
                <c:pt idx="11">
                  <c:v>13936.128356014127</c:v>
                </c:pt>
                <c:pt idx="12">
                  <c:v>14236.501029827068</c:v>
                </c:pt>
                <c:pt idx="13">
                  <c:v>14500.263300992026</c:v>
                </c:pt>
                <c:pt idx="14">
                  <c:v>14710.147207211054</c:v>
                </c:pt>
                <c:pt idx="15">
                  <c:v>14873.391915033922</c:v>
                </c:pt>
                <c:pt idx="16">
                  <c:v>14991.516548556496</c:v>
                </c:pt>
                <c:pt idx="17">
                  <c:v>15065.855101241148</c:v>
                </c:pt>
                <c:pt idx="18">
                  <c:v>15098.128200594709</c:v>
                </c:pt>
                <c:pt idx="19">
                  <c:v>15093.307865555609</c:v>
                </c:pt>
                <c:pt idx="20">
                  <c:v>15034.527819710593</c:v>
                </c:pt>
                <c:pt idx="21">
                  <c:v>14937.758070949161</c:v>
                </c:pt>
                <c:pt idx="22">
                  <c:v>14706.766750740459</c:v>
                </c:pt>
                <c:pt idx="23">
                  <c:v>14294.991238289604</c:v>
                </c:pt>
                <c:pt idx="24">
                  <c:v>13810.631781811519</c:v>
                </c:pt>
                <c:pt idx="25">
                  <c:v>13346.934551141854</c:v>
                </c:pt>
                <c:pt idx="26">
                  <c:v>12902.205377976983</c:v>
                </c:pt>
                <c:pt idx="27">
                  <c:v>12474.850727542453</c:v>
                </c:pt>
                <c:pt idx="28">
                  <c:v>12063.138385830369</c:v>
                </c:pt>
                <c:pt idx="29">
                  <c:v>11665.571086806938</c:v>
                </c:pt>
                <c:pt idx="30">
                  <c:v>11280.732922555611</c:v>
                </c:pt>
                <c:pt idx="31">
                  <c:v>10907.243854061024</c:v>
                </c:pt>
                <c:pt idx="32">
                  <c:v>10543.76113405634</c:v>
                </c:pt>
                <c:pt idx="33">
                  <c:v>10186.052086220545</c:v>
                </c:pt>
                <c:pt idx="34">
                  <c:v>9833.5629806984707</c:v>
                </c:pt>
                <c:pt idx="35">
                  <c:v>9500.1614982654864</c:v>
                </c:pt>
                <c:pt idx="36">
                  <c:v>9184.9978086576139</c:v>
                </c:pt>
                <c:pt idx="37">
                  <c:v>8887.2645059955066</c:v>
                </c:pt>
                <c:pt idx="38">
                  <c:v>8606.0194073842922</c:v>
                </c:pt>
                <c:pt idx="39">
                  <c:v>8340.5151207324543</c:v>
                </c:pt>
                <c:pt idx="40">
                  <c:v>8095.9152097465621</c:v>
                </c:pt>
                <c:pt idx="41">
                  <c:v>7884.4782792227143</c:v>
                </c:pt>
                <c:pt idx="42">
                  <c:v>7704.9399658757484</c:v>
                </c:pt>
                <c:pt idx="43">
                  <c:v>7547.7800038877022</c:v>
                </c:pt>
                <c:pt idx="44">
                  <c:v>7412.1786028473325</c:v>
                </c:pt>
                <c:pt idx="45">
                  <c:v>7297.3411488564225</c:v>
                </c:pt>
                <c:pt idx="46">
                  <c:v>7202.5464991104445</c:v>
                </c:pt>
                <c:pt idx="47">
                  <c:v>7127.2632927942286</c:v>
                </c:pt>
                <c:pt idx="48">
                  <c:v>7070.7812796762291</c:v>
                </c:pt>
                <c:pt idx="49">
                  <c:v>7032.5654704523658</c:v>
                </c:pt>
                <c:pt idx="50">
                  <c:v>7011.8241443476309</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760.94982037695092</c:v>
                </c:pt>
                <c:pt idx="2">
                  <c:v>780.54907176832921</c:v>
                </c:pt>
                <c:pt idx="3">
                  <c:v>805.89597323422572</c:v>
                </c:pt>
                <c:pt idx="4">
                  <c:v>827.07597703450631</c:v>
                </c:pt>
                <c:pt idx="5">
                  <c:v>859.4644285342431</c:v>
                </c:pt>
                <c:pt idx="6">
                  <c:v>898.25036493722359</c:v>
                </c:pt>
                <c:pt idx="7">
                  <c:v>941.39728804730544</c:v>
                </c:pt>
                <c:pt idx="8">
                  <c:v>984.94130752933586</c:v>
                </c:pt>
                <c:pt idx="9">
                  <c:v>1012.9537824256299</c:v>
                </c:pt>
                <c:pt idx="10">
                  <c:v>1001.7224131357198</c:v>
                </c:pt>
                <c:pt idx="11">
                  <c:v>1079.9319251187405</c:v>
                </c:pt>
                <c:pt idx="12">
                  <c:v>1073.6833036774706</c:v>
                </c:pt>
                <c:pt idx="13">
                  <c:v>1137.6852182866348</c:v>
                </c:pt>
                <c:pt idx="14">
                  <c:v>1202.7253956774834</c:v>
                </c:pt>
                <c:pt idx="15">
                  <c:v>1260.5476384837968</c:v>
                </c:pt>
                <c:pt idx="16">
                  <c:v>1310.694715127433</c:v>
                </c:pt>
                <c:pt idx="17">
                  <c:v>1353.9572264517599</c:v>
                </c:pt>
                <c:pt idx="18">
                  <c:v>1397.6603160945167</c:v>
                </c:pt>
                <c:pt idx="19">
                  <c:v>1413.1515767294368</c:v>
                </c:pt>
                <c:pt idx="20">
                  <c:v>1459.5835466116764</c:v>
                </c:pt>
                <c:pt idx="21">
                  <c:v>1349.4859760120851</c:v>
                </c:pt>
                <c:pt idx="22">
                  <c:v>1165.8155204940736</c:v>
                </c:pt>
                <c:pt idx="23">
                  <c:v>941.81807564087649</c:v>
                </c:pt>
                <c:pt idx="24">
                  <c:v>919.96374922975019</c:v>
                </c:pt>
                <c:pt idx="25">
                  <c:v>896.28902400403285</c:v>
                </c:pt>
                <c:pt idx="26">
                  <c:v>871.05062743812596</c:v>
                </c:pt>
                <c:pt idx="27">
                  <c:v>843.81266873025288</c:v>
                </c:pt>
                <c:pt idx="28">
                  <c:v>814.70892369334751</c:v>
                </c:pt>
                <c:pt idx="29">
                  <c:v>783.93473171488893</c:v>
                </c:pt>
                <c:pt idx="30">
                  <c:v>751.33818950177442</c:v>
                </c:pt>
                <c:pt idx="31">
                  <c:v>716.82299060373975</c:v>
                </c:pt>
                <c:pt idx="32">
                  <c:v>674.56529933255183</c:v>
                </c:pt>
                <c:pt idx="33">
                  <c:v>631.09691496336222</c:v>
                </c:pt>
                <c:pt idx="34">
                  <c:v>641.70433471915157</c:v>
                </c:pt>
                <c:pt idx="35">
                  <c:v>652.86700762305452</c:v>
                </c:pt>
                <c:pt idx="36">
                  <c:v>664.60677287475778</c:v>
                </c:pt>
                <c:pt idx="37">
                  <c:v>676.1850955238998</c:v>
                </c:pt>
                <c:pt idx="38">
                  <c:v>688.15770439776338</c:v>
                </c:pt>
                <c:pt idx="39">
                  <c:v>744.51735277423575</c:v>
                </c:pt>
                <c:pt idx="40">
                  <c:v>900.31386089291902</c:v>
                </c:pt>
                <c:pt idx="41">
                  <c:v>1058.7258282121604</c:v>
                </c:pt>
                <c:pt idx="42">
                  <c:v>1157.977844740758</c:v>
                </c:pt>
                <c:pt idx="43">
                  <c:v>1259.2422314335386</c:v>
                </c:pt>
                <c:pt idx="44">
                  <c:v>1362.4017155721756</c:v>
                </c:pt>
                <c:pt idx="45">
                  <c:v>1467.7237729642752</c:v>
                </c:pt>
                <c:pt idx="46">
                  <c:v>1576.3532742992065</c:v>
                </c:pt>
                <c:pt idx="47">
                  <c:v>1687.3357015958557</c:v>
                </c:pt>
                <c:pt idx="48">
                  <c:v>1801.1512293040571</c:v>
                </c:pt>
                <c:pt idx="49">
                  <c:v>1915.6886067563173</c:v>
                </c:pt>
                <c:pt idx="50">
                  <c:v>2033.3150876409661</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306.05386884064137</c:v>
                </c:pt>
                <c:pt idx="14">
                  <c:v>310.65162675346664</c:v>
                </c:pt>
                <c:pt idx="15">
                  <c:v>314.51680959429882</c:v>
                </c:pt>
                <c:pt idx="16">
                  <c:v>317.61320692281578</c:v>
                </c:pt>
                <c:pt idx="17">
                  <c:v>319.90724608551255</c:v>
                </c:pt>
                <c:pt idx="18">
                  <c:v>321.35043715255375</c:v>
                </c:pt>
                <c:pt idx="19">
                  <c:v>318.51307420464519</c:v>
                </c:pt>
                <c:pt idx="20">
                  <c:v>318.44017899800792</c:v>
                </c:pt>
                <c:pt idx="21">
                  <c:v>316.15464933726764</c:v>
                </c:pt>
                <c:pt idx="22">
                  <c:v>297.20445411141543</c:v>
                </c:pt>
                <c:pt idx="23">
                  <c:v>252.7692434020974</c:v>
                </c:pt>
                <c:pt idx="24">
                  <c:v>243.5772230839396</c:v>
                </c:pt>
                <c:pt idx="25">
                  <c:v>233.80539031045572</c:v>
                </c:pt>
                <c:pt idx="26">
                  <c:v>223.42342042950941</c:v>
                </c:pt>
                <c:pt idx="27">
                  <c:v>212.04821853300356</c:v>
                </c:pt>
                <c:pt idx="28">
                  <c:v>200.04010310106719</c:v>
                </c:pt>
                <c:pt idx="29">
                  <c:v>187.36015599914873</c:v>
                </c:pt>
                <c:pt idx="30">
                  <c:v>173.98003764298724</c:v>
                </c:pt>
                <c:pt idx="31">
                  <c:v>159.86021415032977</c:v>
                </c:pt>
                <c:pt idx="32">
                  <c:v>142.62192070734397</c:v>
                </c:pt>
                <c:pt idx="33">
                  <c:v>125.07804954705433</c:v>
                </c:pt>
                <c:pt idx="34">
                  <c:v>126.14449527187307</c:v>
                </c:pt>
                <c:pt idx="35">
                  <c:v>127.22212749030876</c:v>
                </c:pt>
                <c:pt idx="36">
                  <c:v>128.30721737115584</c:v>
                </c:pt>
                <c:pt idx="37">
                  <c:v>129.2468828349821</c:v>
                </c:pt>
                <c:pt idx="38">
                  <c:v>130.19214154561689</c:v>
                </c:pt>
                <c:pt idx="39">
                  <c:v>131.14672233426586</c:v>
                </c:pt>
                <c:pt idx="40">
                  <c:v>132.1068963697233</c:v>
                </c:pt>
                <c:pt idx="41">
                  <c:v>133.07266365198925</c:v>
                </c:pt>
                <c:pt idx="42">
                  <c:v>133.90046417964575</c:v>
                </c:pt>
                <c:pt idx="43">
                  <c:v>134.73199353850791</c:v>
                </c:pt>
                <c:pt idx="44">
                  <c:v>135.56911614417857</c:v>
                </c:pt>
                <c:pt idx="45">
                  <c:v>136.4099675810549</c:v>
                </c:pt>
                <c:pt idx="46">
                  <c:v>137.25827668034256</c:v>
                </c:pt>
                <c:pt idx="47">
                  <c:v>137.95743253140378</c:v>
                </c:pt>
                <c:pt idx="48">
                  <c:v>138.6621816292735</c:v>
                </c:pt>
                <c:pt idx="49">
                  <c:v>139.37065955834888</c:v>
                </c:pt>
                <c:pt idx="50">
                  <c:v>140.0810019030271</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10318.425174459751</c:v>
                </c:pt>
                <c:pt idx="1">
                  <c:v>10673.397638865463</c:v>
                </c:pt>
                <c:pt idx="2">
                  <c:v>11030.049569655019</c:v>
                </c:pt>
                <c:pt idx="3">
                  <c:v>11387.073561530855</c:v>
                </c:pt>
                <c:pt idx="4">
                  <c:v>11742.290727593452</c:v>
                </c:pt>
                <c:pt idx="5">
                  <c:v>12099.874756855068</c:v>
                </c:pt>
                <c:pt idx="6">
                  <c:v>12462.086000936695</c:v>
                </c:pt>
                <c:pt idx="7">
                  <c:v>12830.45399287315</c:v>
                </c:pt>
                <c:pt idx="8">
                  <c:v>13204.755746739154</c:v>
                </c:pt>
                <c:pt idx="9">
                  <c:v>13578.59374285077</c:v>
                </c:pt>
                <c:pt idx="10">
                  <c:v>13936.128356014127</c:v>
                </c:pt>
                <c:pt idx="11">
                  <c:v>14236.501029827068</c:v>
                </c:pt>
                <c:pt idx="12">
                  <c:v>14500.263300992026</c:v>
                </c:pt>
                <c:pt idx="13">
                  <c:v>14710.147207211054</c:v>
                </c:pt>
                <c:pt idx="14">
                  <c:v>14873.391915033922</c:v>
                </c:pt>
                <c:pt idx="15">
                  <c:v>14991.516548556496</c:v>
                </c:pt>
                <c:pt idx="16">
                  <c:v>15065.855101241148</c:v>
                </c:pt>
                <c:pt idx="17">
                  <c:v>15098.128200594709</c:v>
                </c:pt>
                <c:pt idx="18">
                  <c:v>15093.307865555609</c:v>
                </c:pt>
                <c:pt idx="19">
                  <c:v>15034.53539938898</c:v>
                </c:pt>
                <c:pt idx="20">
                  <c:v>14937.780613773604</c:v>
                </c:pt>
                <c:pt idx="21">
                  <c:v>14706.811461332869</c:v>
                </c:pt>
                <c:pt idx="22">
                  <c:v>14295.065013087842</c:v>
                </c:pt>
                <c:pt idx="23">
                  <c:v>13810.741300522468</c:v>
                </c:pt>
                <c:pt idx="24">
                  <c:v>13347.086293717775</c:v>
                </c:pt>
                <c:pt idx="25">
                  <c:v>12902.405638887662</c:v>
                </c:pt>
                <c:pt idx="26">
                  <c:v>12475.105629744074</c:v>
                </c:pt>
                <c:pt idx="27">
                  <c:v>12063.453769211743</c:v>
                </c:pt>
                <c:pt idx="28">
                  <c:v>11665.952623517624</c:v>
                </c:pt>
                <c:pt idx="29">
                  <c:v>11281.186126642322</c:v>
                </c:pt>
                <c:pt idx="30">
                  <c:v>10907.774095821545</c:v>
                </c:pt>
                <c:pt idx="31">
                  <c:v>10544.373649466563</c:v>
                </c:pt>
                <c:pt idx="32">
                  <c:v>10186.74304990535</c:v>
                </c:pt>
                <c:pt idx="33">
                  <c:v>9834.3287986331252</c:v>
                </c:pt>
                <c:pt idx="34">
                  <c:v>9500.9987925872701</c:v>
                </c:pt>
                <c:pt idx="35">
                  <c:v>9185.9034085086714</c:v>
                </c:pt>
                <c:pt idx="36">
                  <c:v>8888.235432036674</c:v>
                </c:pt>
                <c:pt idx="37">
                  <c:v>8607.0527199646822</c:v>
                </c:pt>
                <c:pt idx="38">
                  <c:v>8341.608056539857</c:v>
                </c:pt>
                <c:pt idx="39">
                  <c:v>8097.0651749694161</c:v>
                </c:pt>
                <c:pt idx="40">
                  <c:v>7885.6828362480164</c:v>
                </c:pt>
                <c:pt idx="41">
                  <c:v>7706.1968241927516</c:v>
                </c:pt>
                <c:pt idx="42">
                  <c:v>7549.0868794220014</c:v>
                </c:pt>
                <c:pt idx="43">
                  <c:v>7413.5333479698129</c:v>
                </c:pt>
                <c:pt idx="44">
                  <c:v>7298.7417461528812</c:v>
                </c:pt>
                <c:pt idx="45">
                  <c:v>7203.9910520828889</c:v>
                </c:pt>
                <c:pt idx="46">
                  <c:v>7128.7500222504123</c:v>
                </c:pt>
                <c:pt idx="47">
                  <c:v>7072.3083727899239</c:v>
                </c:pt>
                <c:pt idx="48">
                  <c:v>7034.1312251148511</c:v>
                </c:pt>
                <c:pt idx="49">
                  <c:v>7013.426961004433</c:v>
                </c:pt>
                <c:pt idx="50">
                  <c:v>7009.7576014337792</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1073.6833036774706</c:v>
                </c:pt>
                <c:pt idx="12">
                  <c:v>1137.6852182866348</c:v>
                </c:pt>
                <c:pt idx="13">
                  <c:v>1202.7253956774834</c:v>
                </c:pt>
                <c:pt idx="14">
                  <c:v>1260.5476384837968</c:v>
                </c:pt>
                <c:pt idx="15">
                  <c:v>1310.694715127433</c:v>
                </c:pt>
                <c:pt idx="16">
                  <c:v>1353.9572264517599</c:v>
                </c:pt>
                <c:pt idx="17">
                  <c:v>1397.6603160945167</c:v>
                </c:pt>
                <c:pt idx="18">
                  <c:v>1322.5798751326151</c:v>
                </c:pt>
                <c:pt idx="19">
                  <c:v>1227.0007400947236</c:v>
                </c:pt>
                <c:pt idx="20">
                  <c:v>1178.385738972461</c:v>
                </c:pt>
                <c:pt idx="21">
                  <c:v>1008.7962525633618</c:v>
                </c:pt>
                <c:pt idx="22">
                  <c:v>675.25978641488598</c:v>
                </c:pt>
                <c:pt idx="23">
                  <c:v>555.99064305941181</c:v>
                </c:pt>
                <c:pt idx="24">
                  <c:v>541.70909560912196</c:v>
                </c:pt>
                <c:pt idx="25">
                  <c:v>526.26921243660854</c:v>
                </c:pt>
                <c:pt idx="26">
                  <c:v>509.21304092594227</c:v>
                </c:pt>
                <c:pt idx="27">
                  <c:v>491.56949665444347</c:v>
                </c:pt>
                <c:pt idx="28">
                  <c:v>472.72509802589531</c:v>
                </c:pt>
                <c:pt idx="29">
                  <c:v>452.81688690672138</c:v>
                </c:pt>
                <c:pt idx="30">
                  <c:v>431.73312960301536</c:v>
                </c:pt>
                <c:pt idx="31">
                  <c:v>405.34475447063807</c:v>
                </c:pt>
                <c:pt idx="32">
                  <c:v>379.14901845013702</c:v>
                </c:pt>
                <c:pt idx="33">
                  <c:v>385.13425429807086</c:v>
                </c:pt>
                <c:pt idx="34">
                  <c:v>391.59583049928182</c:v>
                </c:pt>
                <c:pt idx="35">
                  <c:v>398.38813499285015</c:v>
                </c:pt>
                <c:pt idx="36">
                  <c:v>405.26488407442912</c:v>
                </c:pt>
                <c:pt idx="37">
                  <c:v>412.30637710266404</c:v>
                </c:pt>
                <c:pt idx="38">
                  <c:v>419.59381716480652</c:v>
                </c:pt>
                <c:pt idx="39">
                  <c:v>453.83195560148681</c:v>
                </c:pt>
                <c:pt idx="40">
                  <c:v>548.46020020440164</c:v>
                </c:pt>
                <c:pt idx="41">
                  <c:v>644.42705435313735</c:v>
                </c:pt>
                <c:pt idx="42">
                  <c:v>704.71139000753521</c:v>
                </c:pt>
                <c:pt idx="43">
                  <c:v>766.22112492583358</c:v>
                </c:pt>
                <c:pt idx="44">
                  <c:v>828.87854823025521</c:v>
                </c:pt>
                <c:pt idx="45">
                  <c:v>892.85583664760338</c:v>
                </c:pt>
                <c:pt idx="46">
                  <c:v>958.56928119511156</c:v>
                </c:pt>
                <c:pt idx="47">
                  <c:v>1025.9809875284045</c:v>
                </c:pt>
                <c:pt idx="48">
                  <c:v>1095.1100512702492</c:v>
                </c:pt>
                <c:pt idx="49">
                  <c:v>1164.6742652764931</c:v>
                </c:pt>
                <c:pt idx="50">
                  <c:v>1236.1210457522488</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22</xdr:col>
      <xdr:colOff>119062</xdr:colOff>
      <xdr:row>64</xdr:row>
      <xdr:rowOff>112933</xdr:rowOff>
    </xdr:from>
    <xdr:to>
      <xdr:col>62</xdr:col>
      <xdr:colOff>638907</xdr:colOff>
      <xdr:row>150</xdr:row>
      <xdr:rowOff>142875</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D Wastewater treatment and dis"/>
      <sheetName val="MSW characteristics"/>
      <sheetName val="4C2 Open-burning"/>
    </sheetNames>
    <sheetDataSet>
      <sheetData sheetId="0"/>
      <sheetData sheetId="1"/>
      <sheetData sheetId="2"/>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4.4"/>
  <sheetData>
    <row r="1" spans="1:13" ht="15.6">
      <c r="A1" s="650"/>
      <c r="B1" s="650"/>
      <c r="C1" s="650"/>
      <c r="D1" s="650"/>
      <c r="E1" s="650"/>
      <c r="F1" s="650"/>
      <c r="G1" s="650"/>
      <c r="H1" s="650"/>
      <c r="I1" s="650"/>
      <c r="J1" s="650"/>
      <c r="K1" s="650"/>
      <c r="L1" s="650"/>
      <c r="M1" s="650"/>
    </row>
    <row r="2" spans="1:13" ht="15.6">
      <c r="A2" s="650"/>
      <c r="B2" s="650"/>
      <c r="C2" s="650"/>
      <c r="D2" s="650"/>
      <c r="E2" s="650"/>
      <c r="F2" s="650"/>
      <c r="G2" s="650"/>
      <c r="H2" s="650"/>
      <c r="I2" s="650"/>
      <c r="J2" s="650"/>
      <c r="K2" s="650"/>
      <c r="L2" s="650"/>
      <c r="M2" s="650"/>
    </row>
    <row r="3" spans="1:13" ht="30">
      <c r="A3" s="651"/>
      <c r="B3" s="650"/>
      <c r="C3" s="650"/>
      <c r="D3" s="650"/>
      <c r="E3" s="650"/>
      <c r="F3" s="650"/>
      <c r="G3" s="650"/>
      <c r="H3" s="650"/>
      <c r="I3" s="650"/>
      <c r="J3" s="650"/>
      <c r="K3" s="650"/>
      <c r="L3" s="650"/>
      <c r="M3" s="650"/>
    </row>
    <row r="4" spans="1:13" ht="49.8">
      <c r="A4" s="652" t="s">
        <v>616</v>
      </c>
      <c r="B4" s="650"/>
      <c r="C4" s="650"/>
      <c r="D4" s="650"/>
      <c r="E4" s="650"/>
      <c r="F4" s="650"/>
      <c r="G4" s="650"/>
      <c r="H4" s="650"/>
      <c r="I4" s="650"/>
      <c r="J4" s="650"/>
      <c r="K4" s="650"/>
      <c r="L4" s="650"/>
      <c r="M4" s="650"/>
    </row>
    <row r="5" spans="1:13" ht="49.8">
      <c r="A5" s="652" t="s">
        <v>614</v>
      </c>
      <c r="B5" s="650"/>
      <c r="C5" s="650"/>
      <c r="D5" s="650"/>
      <c r="E5" s="650"/>
      <c r="F5" s="650"/>
      <c r="G5" s="650"/>
      <c r="H5" s="650"/>
      <c r="I5" s="650"/>
      <c r="J5" s="650"/>
      <c r="K5" s="650"/>
      <c r="L5" s="650"/>
      <c r="M5" s="650"/>
    </row>
    <row r="6" spans="1:13" ht="49.8">
      <c r="A6" s="652" t="s">
        <v>615</v>
      </c>
      <c r="B6" s="650"/>
      <c r="C6" s="650"/>
      <c r="D6" s="650"/>
      <c r="E6" s="650"/>
      <c r="F6" s="650"/>
      <c r="G6" s="650"/>
      <c r="H6" s="650"/>
      <c r="I6" s="650"/>
      <c r="J6" s="650"/>
      <c r="K6" s="650"/>
      <c r="L6" s="650"/>
      <c r="M6" s="650"/>
    </row>
    <row r="7" spans="1:13" ht="30">
      <c r="A7" s="651" t="s">
        <v>617</v>
      </c>
      <c r="B7" s="650"/>
      <c r="C7" s="650"/>
      <c r="D7" s="650"/>
      <c r="E7" s="650"/>
      <c r="F7" s="650"/>
      <c r="G7" s="650"/>
      <c r="H7" s="650"/>
      <c r="I7" s="650"/>
      <c r="J7" s="650"/>
      <c r="K7" s="650"/>
      <c r="L7" s="650"/>
      <c r="M7" s="650"/>
    </row>
    <row r="8" spans="1:13" ht="20.399999999999999">
      <c r="A8" s="653"/>
      <c r="B8" s="650"/>
      <c r="C8" s="650"/>
      <c r="D8" s="650"/>
      <c r="E8" s="650"/>
      <c r="F8" s="650"/>
      <c r="G8" s="650"/>
      <c r="H8" s="650"/>
      <c r="I8" s="650"/>
      <c r="J8" s="650"/>
      <c r="K8" s="650"/>
      <c r="L8" s="650"/>
      <c r="M8" s="650"/>
    </row>
    <row r="9" spans="1:13" ht="18">
      <c r="A9" s="655" t="s">
        <v>856</v>
      </c>
      <c r="B9" s="650"/>
      <c r="C9" s="650"/>
      <c r="D9" s="650"/>
      <c r="E9" s="650"/>
      <c r="F9" s="650"/>
      <c r="G9" s="650"/>
      <c r="H9" s="650"/>
      <c r="I9" s="650"/>
      <c r="J9" s="650"/>
      <c r="K9" s="650"/>
      <c r="L9" s="650"/>
      <c r="M9" s="650"/>
    </row>
    <row r="10" spans="1:13" ht="15.6">
      <c r="A10" s="650"/>
      <c r="B10" s="650"/>
      <c r="C10" s="650"/>
      <c r="D10" s="650"/>
      <c r="E10" s="650"/>
      <c r="F10" s="650"/>
      <c r="G10" s="650"/>
      <c r="H10" s="650"/>
      <c r="I10" s="650"/>
      <c r="J10" s="650"/>
      <c r="K10" s="650"/>
      <c r="L10" s="650"/>
      <c r="M10" s="650"/>
    </row>
    <row r="11" spans="1:13" ht="20.399999999999999">
      <c r="A11" s="653" t="s">
        <v>618</v>
      </c>
      <c r="B11" s="650"/>
      <c r="C11" s="650"/>
      <c r="D11" s="650"/>
      <c r="E11" s="650"/>
      <c r="F11" s="650"/>
      <c r="G11" s="650"/>
      <c r="H11" s="650"/>
      <c r="I11" s="650"/>
      <c r="J11" s="650"/>
      <c r="K11" s="650"/>
      <c r="L11" s="650"/>
      <c r="M11" s="650"/>
    </row>
    <row r="12" spans="1:13" ht="20.399999999999999">
      <c r="A12" s="653" t="s">
        <v>619</v>
      </c>
      <c r="B12" s="650"/>
      <c r="C12" s="650"/>
      <c r="D12" s="650"/>
      <c r="E12" s="650"/>
      <c r="F12" s="650"/>
      <c r="G12" s="650"/>
      <c r="H12" s="650"/>
      <c r="I12" s="650"/>
      <c r="J12" s="650"/>
      <c r="K12" s="650"/>
      <c r="L12" s="650"/>
      <c r="M12" s="650"/>
    </row>
    <row r="13" spans="1:13" ht="15.6">
      <c r="A13" s="650"/>
      <c r="B13" s="650"/>
      <c r="C13" s="650"/>
      <c r="D13" s="650"/>
      <c r="E13" s="650"/>
      <c r="F13" s="650"/>
      <c r="G13" s="650"/>
      <c r="H13" s="650"/>
      <c r="I13" s="650"/>
      <c r="J13" s="650"/>
      <c r="K13" s="650"/>
      <c r="L13" s="650"/>
      <c r="M13" s="650"/>
    </row>
    <row r="14" spans="1:13" ht="15.6">
      <c r="A14" s="650"/>
      <c r="B14" s="650"/>
      <c r="C14" s="650"/>
      <c r="D14" s="650"/>
      <c r="E14" s="650"/>
      <c r="F14" s="650"/>
      <c r="G14" s="650"/>
      <c r="H14" s="650"/>
      <c r="I14" s="650"/>
      <c r="J14" s="650"/>
      <c r="K14" s="650"/>
      <c r="L14" s="650"/>
      <c r="M14" s="650"/>
    </row>
    <row r="15" spans="1:13" ht="15.6">
      <c r="A15" s="650"/>
      <c r="B15" s="650"/>
      <c r="C15" s="650"/>
      <c r="D15" s="650"/>
      <c r="E15" s="650"/>
      <c r="F15" s="650"/>
      <c r="G15" s="650"/>
      <c r="H15" s="650"/>
      <c r="I15" s="650"/>
      <c r="J15" s="650"/>
      <c r="K15" s="650"/>
      <c r="L15" s="650"/>
      <c r="M15" s="650"/>
    </row>
    <row r="16" spans="1:13" ht="15.6">
      <c r="A16" s="650"/>
      <c r="B16" s="650"/>
      <c r="C16" s="650"/>
      <c r="D16" s="650"/>
      <c r="E16" s="650"/>
      <c r="F16" s="650"/>
      <c r="G16" s="650"/>
      <c r="H16" s="650"/>
      <c r="I16" s="650"/>
      <c r="J16" s="650"/>
      <c r="K16" s="650"/>
      <c r="L16" s="650"/>
      <c r="M16" s="650"/>
    </row>
    <row r="17" spans="1:13" ht="15.6">
      <c r="A17" s="650"/>
      <c r="B17" s="650"/>
      <c r="C17" s="650"/>
      <c r="D17" s="650"/>
      <c r="E17" s="650"/>
      <c r="F17" s="650"/>
      <c r="G17" s="650"/>
      <c r="H17" s="650"/>
      <c r="I17" s="650"/>
      <c r="J17" s="650"/>
      <c r="K17" s="650"/>
      <c r="L17" s="650"/>
      <c r="M17" s="650"/>
    </row>
    <row r="18" spans="1:13" ht="15.6">
      <c r="A18" s="650"/>
      <c r="B18" s="650"/>
      <c r="C18" s="650"/>
      <c r="D18" s="650"/>
      <c r="E18" s="650"/>
      <c r="F18" s="650"/>
      <c r="G18" s="650"/>
      <c r="H18" s="650"/>
      <c r="I18" s="650"/>
      <c r="J18" s="650"/>
      <c r="K18" s="650"/>
      <c r="L18" s="650"/>
      <c r="M18" s="650"/>
    </row>
    <row r="19" spans="1:13" ht="15.6">
      <c r="A19" s="650"/>
      <c r="B19" s="650"/>
      <c r="C19" s="650"/>
      <c r="D19" s="650"/>
      <c r="E19" s="650"/>
      <c r="F19" s="650"/>
      <c r="G19" s="650"/>
      <c r="H19" s="650"/>
      <c r="I19" s="650"/>
      <c r="J19" s="650"/>
      <c r="K19" s="650"/>
      <c r="L19" s="650"/>
      <c r="M19" s="650"/>
    </row>
    <row r="20" spans="1:13" ht="15.6">
      <c r="A20" s="650"/>
      <c r="B20" s="650"/>
      <c r="C20" s="650"/>
      <c r="D20" s="650"/>
      <c r="E20" s="650"/>
      <c r="F20" s="650"/>
      <c r="G20" s="650"/>
      <c r="H20" s="650"/>
      <c r="I20" s="650"/>
      <c r="J20" s="650"/>
      <c r="K20" s="650"/>
      <c r="L20" s="650"/>
      <c r="M20" s="650"/>
    </row>
    <row r="21" spans="1:13" ht="15.6">
      <c r="A21" s="650"/>
      <c r="B21" s="650"/>
      <c r="C21" s="650"/>
      <c r="D21" s="650"/>
      <c r="E21" s="650"/>
      <c r="F21" s="650"/>
      <c r="G21" s="650"/>
      <c r="H21" s="650"/>
      <c r="I21" s="650"/>
      <c r="J21" s="650"/>
      <c r="K21" s="650"/>
      <c r="L21" s="650"/>
      <c r="M21" s="650"/>
    </row>
    <row r="22" spans="1:13" ht="15.6">
      <c r="A22" s="650"/>
      <c r="B22" s="650"/>
      <c r="C22" s="650"/>
      <c r="D22" s="650"/>
      <c r="E22" s="650"/>
      <c r="F22" s="650"/>
      <c r="G22" s="650"/>
      <c r="H22" s="650"/>
      <c r="I22" s="650"/>
      <c r="J22" s="650"/>
      <c r="K22" s="650"/>
      <c r="L22" s="650"/>
      <c r="M22" s="650"/>
    </row>
    <row r="23" spans="1:13" ht="15.6">
      <c r="A23" s="654"/>
      <c r="B23" s="654"/>
      <c r="C23" s="654"/>
      <c r="D23" s="654"/>
      <c r="E23" s="654"/>
      <c r="F23" s="654"/>
      <c r="G23" s="654"/>
      <c r="H23" s="654"/>
      <c r="I23" s="654"/>
      <c r="J23" s="654"/>
      <c r="K23" s="654"/>
      <c r="L23" s="654"/>
      <c r="M23" s="654"/>
    </row>
    <row r="24" spans="1:13" ht="15.6">
      <c r="A24" s="654"/>
      <c r="B24" s="654"/>
      <c r="C24" s="654"/>
      <c r="D24" s="654"/>
      <c r="E24" s="654"/>
      <c r="F24" s="654"/>
      <c r="G24" s="654"/>
      <c r="H24" s="654"/>
      <c r="I24" s="654"/>
      <c r="J24" s="654"/>
      <c r="K24" s="654"/>
      <c r="L24" s="654"/>
      <c r="M24" s="654"/>
    </row>
    <row r="25" spans="1:13" ht="15.6">
      <c r="A25" s="654"/>
      <c r="B25" s="654"/>
      <c r="C25" s="654"/>
      <c r="D25" s="654"/>
      <c r="E25" s="654"/>
      <c r="F25" s="654"/>
      <c r="G25" s="654"/>
      <c r="H25" s="654"/>
      <c r="I25" s="654"/>
      <c r="J25" s="654"/>
      <c r="K25" s="654"/>
      <c r="L25" s="654"/>
      <c r="M25" s="654"/>
    </row>
    <row r="26" spans="1:13" ht="15.6">
      <c r="A26" s="654"/>
      <c r="B26" s="654"/>
      <c r="C26" s="654"/>
      <c r="D26" s="654"/>
      <c r="E26" s="654"/>
      <c r="F26" s="654"/>
      <c r="G26" s="654"/>
      <c r="H26" s="654"/>
      <c r="I26" s="654"/>
      <c r="J26" s="654"/>
      <c r="K26" s="654"/>
      <c r="L26" s="654"/>
      <c r="M26" s="654"/>
    </row>
    <row r="27" spans="1:13" ht="15.6">
      <c r="A27" s="654"/>
      <c r="B27" s="654"/>
      <c r="C27" s="654"/>
      <c r="D27" s="654"/>
      <c r="E27" s="654"/>
      <c r="F27" s="654"/>
      <c r="G27" s="654"/>
      <c r="H27" s="654"/>
      <c r="I27" s="654"/>
      <c r="J27" s="654"/>
      <c r="K27" s="654"/>
      <c r="L27" s="654"/>
      <c r="M27" s="654"/>
    </row>
    <row r="28" spans="1:13" ht="15.6">
      <c r="A28" s="654"/>
      <c r="B28" s="654"/>
      <c r="C28" s="654"/>
      <c r="D28" s="654"/>
      <c r="E28" s="654"/>
      <c r="F28" s="654"/>
      <c r="G28" s="654"/>
      <c r="H28" s="654"/>
      <c r="I28" s="654"/>
      <c r="J28" s="654"/>
      <c r="K28" s="654"/>
      <c r="L28" s="654"/>
      <c r="M28" s="654"/>
    </row>
    <row r="29" spans="1:13" ht="15.6">
      <c r="A29" s="654"/>
      <c r="B29" s="654"/>
      <c r="C29" s="654"/>
      <c r="D29" s="654"/>
      <c r="E29" s="654"/>
      <c r="F29" s="654"/>
      <c r="G29" s="654"/>
      <c r="H29" s="654"/>
      <c r="I29" s="654"/>
      <c r="J29" s="654"/>
      <c r="K29" s="654"/>
      <c r="L29" s="654"/>
      <c r="M29" s="65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4.4"/>
  <cols>
    <col min="2" max="2" width="15.44140625" bestFit="1" customWidth="1"/>
    <col min="3" max="3" width="17.33203125" bestFit="1" customWidth="1"/>
  </cols>
  <sheetData>
    <row r="6" spans="1:6">
      <c r="D6" t="s">
        <v>785</v>
      </c>
      <c r="E6" t="s">
        <v>786</v>
      </c>
      <c r="F6" t="s">
        <v>787</v>
      </c>
    </row>
    <row r="7" spans="1:6">
      <c r="A7" t="s">
        <v>788</v>
      </c>
      <c r="B7" t="s">
        <v>805</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785</v>
      </c>
      <c r="E6" t="s">
        <v>786</v>
      </c>
      <c r="F6" t="s">
        <v>787</v>
      </c>
    </row>
    <row r="7" spans="1:6">
      <c r="A7" t="s">
        <v>788</v>
      </c>
      <c r="B7" t="s">
        <v>789</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workbookViewId="0">
      <selection activeCell="H20" sqref="H20"/>
    </sheetView>
  </sheetViews>
  <sheetFormatPr defaultRowHeight="14.4"/>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464</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804</v>
      </c>
    </row>
    <row r="24" spans="1:39">
      <c r="A24" s="1370" t="s">
        <v>806</v>
      </c>
      <c r="B24" s="1370" t="s">
        <v>807</v>
      </c>
      <c r="C24" s="1370" t="s">
        <v>808</v>
      </c>
      <c r="D24" s="1370" t="s">
        <v>809</v>
      </c>
      <c r="E24" s="1370" t="s">
        <v>810</v>
      </c>
      <c r="F24" s="1370" t="s">
        <v>811</v>
      </c>
      <c r="G24" s="1370" t="s">
        <v>812</v>
      </c>
      <c r="H24" s="1370" t="s">
        <v>813</v>
      </c>
      <c r="I24" s="1370" t="s">
        <v>814</v>
      </c>
      <c r="J24" s="1370" t="s">
        <v>815</v>
      </c>
      <c r="K24" s="1370" t="s">
        <v>816</v>
      </c>
      <c r="L24" s="1370" t="s">
        <v>817</v>
      </c>
      <c r="M24" s="1370" t="s">
        <v>818</v>
      </c>
      <c r="N24" s="1370" t="s">
        <v>819</v>
      </c>
      <c r="O24" s="1370" t="s">
        <v>820</v>
      </c>
      <c r="P24" s="1370" t="s">
        <v>821</v>
      </c>
      <c r="Q24" s="1370" t="s">
        <v>822</v>
      </c>
      <c r="R24" s="1370" t="s">
        <v>823</v>
      </c>
      <c r="S24" s="1370" t="s">
        <v>824</v>
      </c>
      <c r="T24" s="1370" t="s">
        <v>825</v>
      </c>
      <c r="U24" s="1370" t="s">
        <v>826</v>
      </c>
      <c r="V24" s="1370" t="s">
        <v>827</v>
      </c>
      <c r="W24" s="1370" t="s">
        <v>828</v>
      </c>
      <c r="X24" s="1370" t="s">
        <v>829</v>
      </c>
      <c r="Y24" s="1370" t="s">
        <v>830</v>
      </c>
      <c r="Z24" s="1370" t="s">
        <v>831</v>
      </c>
      <c r="AA24" s="1370" t="s">
        <v>832</v>
      </c>
      <c r="AB24" s="1370" t="s">
        <v>833</v>
      </c>
      <c r="AC24" s="1370" t="s">
        <v>834</v>
      </c>
      <c r="AD24" s="1370" t="s">
        <v>835</v>
      </c>
      <c r="AE24" s="1370" t="s">
        <v>836</v>
      </c>
      <c r="AF24" s="1370" t="s">
        <v>837</v>
      </c>
      <c r="AG24" s="1370" t="s">
        <v>838</v>
      </c>
      <c r="AH24" s="1370" t="s">
        <v>839</v>
      </c>
      <c r="AI24" s="1370" t="s">
        <v>840</v>
      </c>
      <c r="AJ24" s="1370" t="s">
        <v>841</v>
      </c>
      <c r="AK24" s="1370" t="s">
        <v>842</v>
      </c>
      <c r="AL24" s="1370" t="s">
        <v>843</v>
      </c>
      <c r="AM24" s="1370" t="s">
        <v>844</v>
      </c>
    </row>
    <row r="25" spans="1:39">
      <c r="A25">
        <v>3118.4256039244997</v>
      </c>
      <c r="B25">
        <v>3065.7476054270364</v>
      </c>
      <c r="C25">
        <v>3013.0696069295741</v>
      </c>
      <c r="D25">
        <v>2960.3916084321104</v>
      </c>
      <c r="E25">
        <v>2946.5329043651905</v>
      </c>
      <c r="F25">
        <v>2927.0646790192823</v>
      </c>
      <c r="G25">
        <v>2937.4286337061499</v>
      </c>
      <c r="H25">
        <v>2918.4244411360219</v>
      </c>
      <c r="I25">
        <v>2786.0770798793037</v>
      </c>
      <c r="J25">
        <v>2770.9492087661306</v>
      </c>
      <c r="K25">
        <v>2687.4993245810492</v>
      </c>
      <c r="L25">
        <v>2619.7062739361054</v>
      </c>
      <c r="M25">
        <v>2532.2348812256332</v>
      </c>
      <c r="N25">
        <v>2397.8020541957007</v>
      </c>
      <c r="O25">
        <v>2340.1080437713063</v>
      </c>
      <c r="P25">
        <v>2282.4140333469113</v>
      </c>
      <c r="Q25">
        <v>2224.7200229225164</v>
      </c>
      <c r="R25">
        <v>2167.0260124981214</v>
      </c>
      <c r="S25">
        <v>2109.332002073726</v>
      </c>
      <c r="T25">
        <v>2098.7041531187315</v>
      </c>
      <c r="U25">
        <v>2088.0763041637365</v>
      </c>
      <c r="V25">
        <v>2077.4484552087424</v>
      </c>
      <c r="W25">
        <v>2066.8206062537474</v>
      </c>
      <c r="X25">
        <v>2056.1927572987529</v>
      </c>
      <c r="Y25">
        <v>1890.2159276718735</v>
      </c>
      <c r="Z25">
        <v>1724.2390980449936</v>
      </c>
      <c r="AA25">
        <v>1558.2622684181138</v>
      </c>
      <c r="AB25">
        <v>1392.2854387912339</v>
      </c>
      <c r="AC25">
        <v>1226.308609164354</v>
      </c>
      <c r="AD25">
        <v>1151.310904752864</v>
      </c>
      <c r="AE25">
        <v>1076.3132003413739</v>
      </c>
      <c r="AF25">
        <v>1001.3154959298838</v>
      </c>
      <c r="AG25">
        <v>926.31779151839373</v>
      </c>
      <c r="AH25">
        <v>851.32008710690366</v>
      </c>
      <c r="AI25">
        <v>776.32238269541381</v>
      </c>
      <c r="AJ25">
        <v>701.32467828392373</v>
      </c>
      <c r="AK25">
        <v>626.32697387243377</v>
      </c>
      <c r="AL25">
        <v>551.32926946094358</v>
      </c>
      <c r="AM25">
        <v>476.33156504945345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4.4"/>
  <cols>
    <col min="1" max="1" width="37.6640625" bestFit="1" customWidth="1"/>
  </cols>
  <sheetData>
    <row r="1" spans="1:42">
      <c r="A1" t="s">
        <v>790</v>
      </c>
      <c r="B1" s="1367">
        <v>1</v>
      </c>
      <c r="C1" t="s">
        <v>791</v>
      </c>
      <c r="H1" t="s">
        <v>803</v>
      </c>
      <c r="K1" t="s">
        <v>802</v>
      </c>
      <c r="L1" t="s">
        <v>293</v>
      </c>
      <c r="M1" t="s">
        <v>800</v>
      </c>
      <c r="N1" t="s">
        <v>801</v>
      </c>
    </row>
    <row r="2" spans="1:42">
      <c r="H2">
        <v>1</v>
      </c>
      <c r="I2">
        <v>1</v>
      </c>
      <c r="J2" t="str">
        <f>K2&amp;L2</f>
        <v>W4C2CO2</v>
      </c>
      <c r="K2" t="s">
        <v>798</v>
      </c>
      <c r="L2" t="s">
        <v>190</v>
      </c>
      <c r="M2">
        <v>5</v>
      </c>
      <c r="N2">
        <v>1</v>
      </c>
    </row>
    <row r="3" spans="1:42">
      <c r="H3">
        <v>2</v>
      </c>
      <c r="I3">
        <v>69</v>
      </c>
      <c r="J3" t="str">
        <f t="shared" ref="J3:J9" si="0">K3&amp;L3</f>
        <v>W4ACH4</v>
      </c>
      <c r="K3" t="s">
        <v>796</v>
      </c>
      <c r="L3" t="s">
        <v>188</v>
      </c>
      <c r="M3">
        <v>1</v>
      </c>
      <c r="N3">
        <v>1</v>
      </c>
    </row>
    <row r="4" spans="1:42">
      <c r="H4">
        <v>3</v>
      </c>
      <c r="I4">
        <f>I3-I2+I3</f>
        <v>137</v>
      </c>
      <c r="J4" t="str">
        <f t="shared" si="0"/>
        <v>W4BCH4</v>
      </c>
      <c r="K4" t="s">
        <v>797</v>
      </c>
      <c r="L4" t="s">
        <v>188</v>
      </c>
      <c r="M4">
        <v>2</v>
      </c>
      <c r="N4">
        <v>2</v>
      </c>
    </row>
    <row r="5" spans="1:42">
      <c r="J5" t="str">
        <f t="shared" si="0"/>
        <v>W4C2CH4</v>
      </c>
      <c r="K5" t="s">
        <v>798</v>
      </c>
      <c r="L5" t="s">
        <v>188</v>
      </c>
      <c r="M5">
        <v>6</v>
      </c>
      <c r="N5">
        <v>1</v>
      </c>
    </row>
    <row r="6" spans="1:42">
      <c r="J6" t="str">
        <f t="shared" si="0"/>
        <v>W4D1CH4</v>
      </c>
      <c r="K6" t="s">
        <v>799</v>
      </c>
      <c r="L6" t="s">
        <v>188</v>
      </c>
      <c r="M6">
        <v>8</v>
      </c>
      <c r="N6">
        <v>1</v>
      </c>
    </row>
    <row r="7" spans="1:42">
      <c r="J7" t="str">
        <f t="shared" si="0"/>
        <v>W4BN2O</v>
      </c>
      <c r="K7" t="s">
        <v>797</v>
      </c>
      <c r="L7" t="s">
        <v>191</v>
      </c>
      <c r="M7">
        <v>4</v>
      </c>
      <c r="N7">
        <v>1</v>
      </c>
    </row>
    <row r="8" spans="1:42">
      <c r="J8" t="str">
        <f t="shared" si="0"/>
        <v>W4C2N2O</v>
      </c>
      <c r="K8" t="s">
        <v>798</v>
      </c>
      <c r="L8" t="s">
        <v>191</v>
      </c>
      <c r="M8">
        <v>7</v>
      </c>
      <c r="N8">
        <v>1</v>
      </c>
    </row>
    <row r="9" spans="1:42">
      <c r="J9" t="str">
        <f t="shared" si="0"/>
        <v>W4D1N2O</v>
      </c>
      <c r="K9" t="s">
        <v>799</v>
      </c>
      <c r="L9" t="s">
        <v>191</v>
      </c>
      <c r="M9">
        <v>9</v>
      </c>
      <c r="N9">
        <v>1</v>
      </c>
    </row>
    <row r="15" spans="1:42">
      <c r="B15" s="1370"/>
      <c r="C15" s="1370"/>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793</v>
      </c>
      <c r="B16" t="s">
        <v>798</v>
      </c>
      <c r="C16" t="s">
        <v>190</v>
      </c>
      <c r="D16" s="1366">
        <f ca="1">SUM(OFFSET('Output data (results)'!$B$10,D$15-2000,INDEX($M$2:$M$9,MATCH($B16&amp;$C16,$J$2:$J$9,0)),1,INDEX($N$2:$N$9,MATCH($B16&amp;$C16,$J$2:$J$9,0))))</f>
        <v>32.155386437255011</v>
      </c>
      <c r="E16" s="1366">
        <f ca="1">SUM(OFFSET('Output data (results)'!$B$10,E$15-2000,INDEX($M$2:$M$9,MATCH($B16&amp;$C16,$J$2:$J$9,0)),1,INDEX($N$2:$N$9,MATCH($B16&amp;$C16,$J$2:$J$9,0))))</f>
        <v>32.638447419270648</v>
      </c>
      <c r="F16" s="1366">
        <f ca="1">SUM(OFFSET('Output data (results)'!$B$10,F$15-2000,INDEX($M$2:$M$9,MATCH($B16&amp;$C16,$J$2:$J$9,0)),1,INDEX($N$2:$N$9,MATCH($B16&amp;$C16,$J$2:$J$9,0))))</f>
        <v>33.044540792206639</v>
      </c>
      <c r="G16" s="1366">
        <f ca="1">SUM(OFFSET('Output data (results)'!$B$10,G$15-2000,INDEX($M$2:$M$9,MATCH($B16&amp;$C16,$J$2:$J$9,0)),1,INDEX($N$2:$N$9,MATCH($B16&amp;$C16,$J$2:$J$9,0))))</f>
        <v>33.369862125470313</v>
      </c>
      <c r="H16" s="1366">
        <f ca="1">SUM(OFFSET('Output data (results)'!$B$10,H$15-2000,INDEX($M$2:$M$9,MATCH($B16&amp;$C16,$J$2:$J$9,0)),1,INDEX($N$2:$N$9,MATCH($B16&amp;$C16,$J$2:$J$9,0))))</f>
        <v>33.610884126133612</v>
      </c>
      <c r="I16" s="1366">
        <f ca="1">SUM(OFFSET('Output data (results)'!$B$10,I$15-2000,INDEX($M$2:$M$9,MATCH($B16&amp;$C16,$J$2:$J$9,0)),1,INDEX($N$2:$N$9,MATCH($B16&amp;$C16,$J$2:$J$9,0))))</f>
        <v>33.762512225589745</v>
      </c>
      <c r="J16" s="641">
        <f ca="1">SUM(OFFSET('Output data (results)'!$B$10,J$15-2000+INDEX($I$2:$I$4,MATCH($B$1,$H$2:$H$4,0)),INDEX($M$2:$M$9,MATCH($B16&amp;$C16,$J$2:$J$9,0)),1,INDEX($N$2:$N$9,MATCH($B16&amp;$C16,$J$2:$J$9,0))))</f>
        <v>33.437280995125889</v>
      </c>
      <c r="K16" s="641">
        <f ca="1">SUM(OFFSET('Output data (results)'!$B$10,K$15-2000+INDEX($I$2:$I$4,MATCH($B$1,$H$2:$H$4,0)),INDEX($M$2:$M$9,MATCH($B16&amp;$C16,$J$2:$J$9,0)),1,INDEX($N$2:$N$9,MATCH($B16&amp;$C16,$J$2:$J$9,0))))</f>
        <v>33.141257633565822</v>
      </c>
      <c r="L16" s="641">
        <f ca="1">SUM(OFFSET('Output data (results)'!$B$10,L$15-2000+INDEX($I$2:$I$4,MATCH($B$1,$H$2:$H$4,0)),INDEX($M$2:$M$9,MATCH($B16&amp;$C16,$J$2:$J$9,0)),1,INDEX($N$2:$N$9,MATCH($B16&amp;$C16,$J$2:$J$9,0))))</f>
        <v>32.875085670840846</v>
      </c>
      <c r="M16" s="641">
        <f ca="1">SUM(OFFSET('Output data (results)'!$B$10,M$15-2000+INDEX($I$2:$I$4,MATCH($B$1,$H$2:$H$4,0)),INDEX($M$2:$M$9,MATCH($B16&amp;$C16,$J$2:$J$9,0)),1,INDEX($N$2:$N$9,MATCH($B16&amp;$C16,$J$2:$J$9,0))))</f>
        <v>32.49010916485382</v>
      </c>
      <c r="N16" s="641">
        <f ca="1">SUM(OFFSET('Output data (results)'!$B$10,N$15-2000+INDEX($I$2:$I$4,MATCH($B$1,$H$2:$H$4,0)),INDEX($M$2:$M$9,MATCH($B16&amp;$C16,$J$2:$J$9,0)),1,INDEX($N$2:$N$9,MATCH($B16&amp;$C16,$J$2:$J$9,0))))</f>
        <v>32.139172084466054</v>
      </c>
      <c r="O16" s="641">
        <f ca="1">SUM(OFFSET('Output data (results)'!$B$10,O$15-2000+INDEX($I$2:$I$4,MATCH($B$1,$H$2:$H$4,0)),INDEX($M$2:$M$9,MATCH($B16&amp;$C16,$J$2:$J$9,0)),1,INDEX($N$2:$N$9,MATCH($B16&amp;$C16,$J$2:$J$9,0))))</f>
        <v>31.824172735047821</v>
      </c>
      <c r="P16" s="641">
        <f ca="1">SUM(OFFSET('Output data (results)'!$B$10,P$15-2000+INDEX($I$2:$I$4,MATCH($B$1,$H$2:$H$4,0)),INDEX($M$2:$M$9,MATCH($B16&amp;$C16,$J$2:$J$9,0)),1,INDEX($N$2:$N$9,MATCH($B16&amp;$C16,$J$2:$J$9,0))))</f>
        <v>31.545625006256476</v>
      </c>
      <c r="Q16" s="641">
        <f ca="1">SUM(OFFSET('Output data (results)'!$B$10,Q$15-2000+INDEX($I$2:$I$4,MATCH($B$1,$H$2:$H$4,0)),INDEX($M$2:$M$9,MATCH($B16&amp;$C16,$J$2:$J$9,0)),1,INDEX($N$2:$N$9,MATCH($B16&amp;$C16,$J$2:$J$9,0))))</f>
        <v>31.304845735881266</v>
      </c>
      <c r="R16" s="641">
        <f ca="1">SUM(OFFSET('Output data (results)'!$B$10,R$15-2000+INDEX($I$2:$I$4,MATCH($B$1,$H$2:$H$4,0)),INDEX($M$2:$M$9,MATCH($B16&amp;$C16,$J$2:$J$9,0)),1,INDEX($N$2:$N$9,MATCH($B16&amp;$C16,$J$2:$J$9,0))))</f>
        <v>31.052044706058311</v>
      </c>
      <c r="S16" s="641">
        <f ca="1">SUM(OFFSET('Output data (results)'!$B$10,S$15-2000+INDEX($I$2:$I$4,MATCH($B$1,$H$2:$H$4,0)),INDEX($M$2:$M$9,MATCH($B16&amp;$C16,$J$2:$J$9,0)),1,INDEX($N$2:$N$9,MATCH($B16&amp;$C16,$J$2:$J$9,0))))</f>
        <v>30.841816400680194</v>
      </c>
      <c r="T16" s="641">
        <f ca="1">SUM(OFFSET('Output data (results)'!$B$10,T$15-2000+INDEX($I$2:$I$4,MATCH($B$1,$H$2:$H$4,0)),INDEX($M$2:$M$9,MATCH($B16&amp;$C16,$J$2:$J$9,0)),1,INDEX($N$2:$N$9,MATCH($B16&amp;$C16,$J$2:$J$9,0))))</f>
        <v>29.528061406389611</v>
      </c>
      <c r="U16" s="641">
        <f ca="1">SUM(OFFSET('Output data (results)'!$B$10,U$15-2000+INDEX($I$2:$I$4,MATCH($B$1,$H$2:$H$4,0)),INDEX($M$2:$M$9,MATCH($B16&amp;$C16,$J$2:$J$9,0)),1,INDEX($N$2:$N$9,MATCH($B16&amp;$C16,$J$2:$J$9,0))))</f>
        <v>28.270615373473987</v>
      </c>
      <c r="V16" s="641">
        <f ca="1">SUM(OFFSET('Output data (results)'!$B$10,V$15-2000+INDEX($I$2:$I$4,MATCH($B$1,$H$2:$H$4,0)),INDEX($M$2:$M$9,MATCH($B16&amp;$C16,$J$2:$J$9,0)),1,INDEX($N$2:$N$9,MATCH($B16&amp;$C16,$J$2:$J$9,0))))</f>
        <v>27.066605014483478</v>
      </c>
      <c r="W16" s="641">
        <f ca="1">SUM(OFFSET('Output data (results)'!$B$10,W$15-2000+INDEX($I$2:$I$4,MATCH($B$1,$H$2:$H$4,0)),INDEX($M$2:$M$9,MATCH($B16&amp;$C16,$J$2:$J$9,0)),1,INDEX($N$2:$N$9,MATCH($B16&amp;$C16,$J$2:$J$9,0))))</f>
        <v>26.005209810108362</v>
      </c>
      <c r="X16" s="641">
        <f ca="1">SUM(OFFSET('Output data (results)'!$B$10,X$15-2000+INDEX($I$2:$I$4,MATCH($B$1,$H$2:$H$4,0)),INDEX($M$2:$M$9,MATCH($B16&amp;$C16,$J$2:$J$9,0)),1,INDEX($N$2:$N$9,MATCH($B16&amp;$C16,$J$2:$J$9,0))))</f>
        <v>24.923794482381798</v>
      </c>
      <c r="Y16" s="641">
        <f ca="1">SUM(OFFSET('Output data (results)'!$B$10,Y$15-2000+INDEX($I$2:$I$4,MATCH($B$1,$H$2:$H$4,0)),INDEX($M$2:$M$9,MATCH($B16&amp;$C16,$J$2:$J$9,0)),1,INDEX($N$2:$N$9,MATCH($B16&amp;$C16,$J$2:$J$9,0))))</f>
        <v>23.821715502804061</v>
      </c>
      <c r="Z16" s="641">
        <f ca="1">SUM(OFFSET('Output data (results)'!$B$10,Z$15-2000+INDEX($I$2:$I$4,MATCH($B$1,$H$2:$H$4,0)),INDEX($M$2:$M$9,MATCH($B16&amp;$C16,$J$2:$J$9,0)),1,INDEX($N$2:$N$9,MATCH($B16&amp;$C16,$J$2:$J$9,0))))</f>
        <v>22.699405027289806</v>
      </c>
      <c r="AA16" s="641">
        <f ca="1">SUM(OFFSET('Output data (results)'!$B$10,AA$15-2000+INDEX($I$2:$I$4,MATCH($B$1,$H$2:$H$4,0)),INDEX($M$2:$M$9,MATCH($B16&amp;$C16,$J$2:$J$9,0)),1,INDEX($N$2:$N$9,MATCH($B16&amp;$C16,$J$2:$J$9,0))))</f>
        <v>21.555886871961349</v>
      </c>
      <c r="AB16" s="641">
        <f ca="1">SUM(OFFSET('Output data (results)'!$B$10,AB$15-2000+INDEX($I$2:$I$4,MATCH($B$1,$H$2:$H$4,0)),INDEX($M$2:$M$9,MATCH($B16&amp;$C16,$J$2:$J$9,0)),1,INDEX($N$2:$N$9,MATCH($B16&amp;$C16,$J$2:$J$9,0))))</f>
        <v>20.366836590480755</v>
      </c>
      <c r="AC16" s="641">
        <f ca="1">SUM(OFFSET('Output data (results)'!$B$10,AC$15-2000+INDEX($I$2:$I$4,MATCH($B$1,$H$2:$H$4,0)),INDEX($M$2:$M$9,MATCH($B16&amp;$C16,$J$2:$J$9,0)),1,INDEX($N$2:$N$9,MATCH($B16&amp;$C16,$J$2:$J$9,0))))</f>
        <v>20.059474797030845</v>
      </c>
      <c r="AD16" s="641">
        <f ca="1">SUM(OFFSET('Output data (results)'!$B$10,AD$15-2000+INDEX($I$2:$I$4,MATCH($B$1,$H$2:$H$4,0)),INDEX($M$2:$M$9,MATCH($B16&amp;$C16,$J$2:$J$9,0)),1,INDEX($N$2:$N$9,MATCH($B16&amp;$C16,$J$2:$J$9,0))))</f>
        <v>19.340557599798252</v>
      </c>
      <c r="AE16" s="641">
        <f ca="1">SUM(OFFSET('Output data (results)'!$B$10,AE$15-2000+INDEX($I$2:$I$4,MATCH($B$1,$H$2:$H$4,0)),INDEX($M$2:$M$9,MATCH($B16&amp;$C16,$J$2:$J$9,0)),1,INDEX($N$2:$N$9,MATCH($B16&amp;$C16,$J$2:$J$9,0))))</f>
        <v>18.609821641203279</v>
      </c>
      <c r="AF16" s="641">
        <f ca="1">SUM(OFFSET('Output data (results)'!$B$10,AF$15-2000+INDEX($I$2:$I$4,MATCH($B$1,$H$2:$H$4,0)),INDEX($M$2:$M$9,MATCH($B16&amp;$C16,$J$2:$J$9,0)),1,INDEX($N$2:$N$9,MATCH($B16&amp;$C16,$J$2:$J$9,0))))</f>
        <v>17.867156120358153</v>
      </c>
      <c r="AG16" s="641">
        <f ca="1">SUM(OFFSET('Output data (results)'!$B$10,AG$15-2000+INDEX($I$2:$I$4,MATCH($B$1,$H$2:$H$4,0)),INDEX($M$2:$M$9,MATCH($B16&amp;$C16,$J$2:$J$9,0)),1,INDEX($N$2:$N$9,MATCH($B16&amp;$C16,$J$2:$J$9,0))))</f>
        <v>17.09412294879025</v>
      </c>
      <c r="AH16" s="641">
        <f ca="1">SUM(OFFSET('Output data (results)'!$B$10,AH$15-2000+INDEX($I$2:$I$4,MATCH($B$1,$H$2:$H$4,0)),INDEX($M$2:$M$9,MATCH($B16&amp;$C16,$J$2:$J$9,0)),1,INDEX($N$2:$N$9,MATCH($B16&amp;$C16,$J$2:$J$9,0))))</f>
        <v>16.310608833986393</v>
      </c>
      <c r="AI16" s="641">
        <f ca="1">SUM(OFFSET('Output data (results)'!$B$10,AI$15-2000+INDEX($I$2:$I$4,MATCH($B$1,$H$2:$H$4,0)),INDEX($M$2:$M$9,MATCH($B16&amp;$C16,$J$2:$J$9,0)),1,INDEX($N$2:$N$9,MATCH($B16&amp;$C16,$J$2:$J$9,0))))</f>
        <v>15.516753302990452</v>
      </c>
      <c r="AJ16" s="641">
        <f ca="1">SUM(OFFSET('Output data (results)'!$B$10,AJ$15-2000+INDEX($I$2:$I$4,MATCH($B$1,$H$2:$H$4,0)),INDEX($M$2:$M$9,MATCH($B16&amp;$C16,$J$2:$J$9,0)),1,INDEX($N$2:$N$9,MATCH($B16&amp;$C16,$J$2:$J$9,0))))</f>
        <v>14.712244471822048</v>
      </c>
      <c r="AK16" s="641">
        <f ca="1">SUM(OFFSET('Output data (results)'!$B$10,AK$15-2000+INDEX($I$2:$I$4,MATCH($B$1,$H$2:$H$4,0)),INDEX($M$2:$M$9,MATCH($B16&amp;$C16,$J$2:$J$9,0)),1,INDEX($N$2:$N$9,MATCH($B16&amp;$C16,$J$2:$J$9,0))))</f>
        <v>13.897386016988383</v>
      </c>
      <c r="AL16" s="641">
        <f ca="1">SUM(OFFSET('Output data (results)'!$B$10,AL$15-2000+INDEX($I$2:$I$4,MATCH($B$1,$H$2:$H$4,0)),INDEX($M$2:$M$9,MATCH($B16&amp;$C16,$J$2:$J$9,0)),1,INDEX($N$2:$N$9,MATCH($B16&amp;$C16,$J$2:$J$9,0))))</f>
        <v>13.057207507430453</v>
      </c>
      <c r="AM16" s="641">
        <f ca="1">SUM(OFFSET('Output data (results)'!$B$10,AM$15-2000+INDEX($I$2:$I$4,MATCH($B$1,$H$2:$H$4,0)),INDEX($M$2:$M$9,MATCH($B16&amp;$C16,$J$2:$J$9,0)),1,INDEX($N$2:$N$9,MATCH($B16&amp;$C16,$J$2:$J$9,0))))</f>
        <v>12.208288038948259</v>
      </c>
      <c r="AN16" s="641">
        <f ca="1">SUM(OFFSET('Output data (results)'!$B$10,AN$15-2000+INDEX($I$2:$I$4,MATCH($B$1,$H$2:$H$4,0)),INDEX($M$2:$M$9,MATCH($B16&amp;$C16,$J$2:$J$9,0)),1,INDEX($N$2:$N$9,MATCH($B16&amp;$C16,$J$2:$J$9,0))))</f>
        <v>12.270664835027485</v>
      </c>
      <c r="AO16" s="641">
        <f ca="1">SUM(OFFSET('Output data (results)'!$B$10,AO$15-2000+INDEX($I$2:$I$4,MATCH($B$1,$H$2:$H$4,0)),INDEX($M$2:$M$9,MATCH($B16&amp;$C16,$J$2:$J$9,0)),1,INDEX($N$2:$N$9,MATCH($B16&amp;$C16,$J$2:$J$9,0))))</f>
        <v>12.333205780570079</v>
      </c>
      <c r="AP16" s="641">
        <f ca="1">SUM(OFFSET('Output data (results)'!$B$10,AP$15-2000+INDEX($I$2:$I$4,MATCH($B$1,$H$2:$H$4,0)),INDEX($M$2:$M$9,MATCH($B16&amp;$C16,$J$2:$J$9,0)),1,INDEX($N$2:$N$9,MATCH($B16&amp;$C16,$J$2:$J$9,0))))</f>
        <v>12.396239174502771</v>
      </c>
    </row>
    <row r="17" spans="1:42">
      <c r="A17" s="10" t="s">
        <v>792</v>
      </c>
      <c r="B17" t="s">
        <v>796</v>
      </c>
      <c r="C17" t="s">
        <v>188</v>
      </c>
      <c r="D17" s="1366">
        <f ca="1">SUM(OFFSET('Output data (results)'!$B$10,D$15-2000,INDEX($M$2:$M$9,MATCH($B17&amp;$C17,$J$2:$J$9,0)),1,INDEX($N$2:$N$9,MATCH($B17&amp;$C17,$J$2:$J$9,0))))</f>
        <v>690.48872861866789</v>
      </c>
      <c r="E17" s="1366">
        <f ca="1">SUM(OFFSET('Output data (results)'!$B$10,E$15-2000,INDEX($M$2:$M$9,MATCH($B17&amp;$C17,$J$2:$J$9,0)),1,INDEX($N$2:$N$9,MATCH($B17&amp;$C17,$J$2:$J$9,0))))</f>
        <v>700.48320034338349</v>
      </c>
      <c r="F17" s="1366">
        <f ca="1">SUM(OFFSET('Output data (results)'!$B$10,F$15-2000,INDEX($M$2:$M$9,MATCH($B17&amp;$C17,$J$2:$J$9,0)),1,INDEX($N$2:$N$9,MATCH($B17&amp;$C17,$J$2:$J$9,0))))</f>
        <v>708.25675785875819</v>
      </c>
      <c r="G17" s="1366">
        <f ca="1">SUM(OFFSET('Output data (results)'!$B$10,G$15-2000,INDEX($M$2:$M$9,MATCH($B17&amp;$C17,$J$2:$J$9,0)),1,INDEX($N$2:$N$9,MATCH($B17&amp;$C17,$J$2:$J$9,0))))</f>
        <v>713.88174040745218</v>
      </c>
      <c r="H17" s="1366">
        <f ca="1">SUM(OFFSET('Output data (results)'!$B$10,H$15-2000,INDEX($M$2:$M$9,MATCH($B17&amp;$C17,$J$2:$J$9,0)),1,INDEX($N$2:$N$9,MATCH($B17&amp;$C17,$J$2:$J$9,0))))</f>
        <v>717.42167148767373</v>
      </c>
      <c r="I17" s="1366">
        <f ca="1">SUM(OFFSET('Output data (results)'!$B$10,I$15-2000,INDEX($M$2:$M$9,MATCH($B17&amp;$C17,$J$2:$J$9,0)),1,INDEX($N$2:$N$9,MATCH($B17&amp;$C17,$J$2:$J$9,0))))</f>
        <v>718.95848574260515</v>
      </c>
      <c r="J17" s="641">
        <f ca="1">SUM(OFFSET('Output data (results)'!$B$10,J$15-2000+INDEX($I$2:$I$4,MATCH($B$1,$H$2:$H$4,0)),INDEX($M$2:$M$9,MATCH($B17&amp;$C17,$J$2:$J$9,0)),1,INDEX($N$2:$N$9,MATCH($B17&amp;$C17,$J$2:$J$9,0))))</f>
        <v>718.72894597883851</v>
      </c>
      <c r="K17" s="641">
        <f ca="1">SUM(OFFSET('Output data (results)'!$B$10,K$15-2000+INDEX($I$2:$I$4,MATCH($B$1,$H$2:$H$4,0)),INDEX($M$2:$M$9,MATCH($B17&amp;$C17,$J$2:$J$9,0)),1,INDEX($N$2:$N$9,MATCH($B17&amp;$C17,$J$2:$J$9,0))))</f>
        <v>715.51148891397781</v>
      </c>
      <c r="L17" s="641">
        <f ca="1">SUM(OFFSET('Output data (results)'!$B$10,L$15-2000+INDEX($I$2:$I$4,MATCH($B$1,$H$2:$H$4,0)),INDEX($M$2:$M$9,MATCH($B17&amp;$C17,$J$2:$J$9,0)),1,INDEX($N$2:$N$9,MATCH($B17&amp;$C17,$J$2:$J$9,0))))</f>
        <v>709.69176241113678</v>
      </c>
      <c r="M17" s="641">
        <f ca="1">SUM(OFFSET('Output data (results)'!$B$10,M$15-2000+INDEX($I$2:$I$4,MATCH($B$1,$H$2:$H$4,0)),INDEX($M$2:$M$9,MATCH($B17&amp;$C17,$J$2:$J$9,0)),1,INDEX($N$2:$N$9,MATCH($B17&amp;$C17,$J$2:$J$9,0))))</f>
        <v>699.48945428018385</v>
      </c>
      <c r="N17" s="641">
        <f ca="1">SUM(OFFSET('Output data (results)'!$B$10,N$15-2000+INDEX($I$2:$I$4,MATCH($B$1,$H$2:$H$4,0)),INDEX($M$2:$M$9,MATCH($B17&amp;$C17,$J$2:$J$9,0)),1,INDEX($N$2:$N$9,MATCH($B17&amp;$C17,$J$2:$J$9,0))))</f>
        <v>688.02020479443445</v>
      </c>
      <c r="O17" s="641">
        <f ca="1">SUM(OFFSET('Output data (results)'!$B$10,O$15-2000+INDEX($I$2:$I$4,MATCH($B$1,$H$2:$H$4,0)),INDEX($M$2:$M$9,MATCH($B17&amp;$C17,$J$2:$J$9,0)),1,INDEX($N$2:$N$9,MATCH($B17&amp;$C17,$J$2:$J$9,0))))</f>
        <v>676.01620979829897</v>
      </c>
      <c r="P17" s="641">
        <f ca="1">SUM(OFFSET('Output data (results)'!$B$10,P$15-2000+INDEX($I$2:$I$4,MATCH($B$1,$H$2:$H$4,0)),INDEX($M$2:$M$9,MATCH($B17&amp;$C17,$J$2:$J$9,0)),1,INDEX($N$2:$N$9,MATCH($B17&amp;$C17,$J$2:$J$9,0))))</f>
        <v>663.40954249412562</v>
      </c>
      <c r="Q17" s="641">
        <f ca="1">SUM(OFFSET('Output data (results)'!$B$10,Q$15-2000+INDEX($I$2:$I$4,MATCH($B$1,$H$2:$H$4,0)),INDEX($M$2:$M$9,MATCH($B17&amp;$C17,$J$2:$J$9,0)),1,INDEX($N$2:$N$9,MATCH($B17&amp;$C17,$J$2:$J$9,0))))</f>
        <v>650.40320020904858</v>
      </c>
      <c r="R17" s="641">
        <f ca="1">SUM(OFFSET('Output data (results)'!$B$10,R$15-2000+INDEX($I$2:$I$4,MATCH($B$1,$H$2:$H$4,0)),INDEX($M$2:$M$9,MATCH($B17&amp;$C17,$J$2:$J$9,0)),1,INDEX($N$2:$N$9,MATCH($B17&amp;$C17,$J$2:$J$9,0))))</f>
        <v>637.38922535713368</v>
      </c>
      <c r="S17" s="641">
        <f ca="1">SUM(OFFSET('Output data (results)'!$B$10,S$15-2000+INDEX($I$2:$I$4,MATCH($B$1,$H$2:$H$4,0)),INDEX($M$2:$M$9,MATCH($B17&amp;$C17,$J$2:$J$9,0)),1,INDEX($N$2:$N$9,MATCH($B17&amp;$C17,$J$2:$J$9,0))))</f>
        <v>623.87656627668946</v>
      </c>
      <c r="T17" s="641">
        <f ca="1">SUM(OFFSET('Output data (results)'!$B$10,T$15-2000+INDEX($I$2:$I$4,MATCH($B$1,$H$2:$H$4,0)),INDEX($M$2:$M$9,MATCH($B17&amp;$C17,$J$2:$J$9,0)),1,INDEX($N$2:$N$9,MATCH($B17&amp;$C17,$J$2:$J$9,0))))</f>
        <v>609.90268338975829</v>
      </c>
      <c r="U17" s="641">
        <f ca="1">SUM(OFFSET('Output data (results)'!$B$10,U$15-2000+INDEX($I$2:$I$4,MATCH($B$1,$H$2:$H$4,0)),INDEX($M$2:$M$9,MATCH($B17&amp;$C17,$J$2:$J$9,0)),1,INDEX($N$2:$N$9,MATCH($B17&amp;$C17,$J$2:$J$9,0))))</f>
        <v>596.29492489363736</v>
      </c>
      <c r="V17" s="641">
        <f ca="1">SUM(OFFSET('Output data (results)'!$B$10,V$15-2000+INDEX($I$2:$I$4,MATCH($B$1,$H$2:$H$4,0)),INDEX($M$2:$M$9,MATCH($B17&amp;$C17,$J$2:$J$9,0)),1,INDEX($N$2:$N$9,MATCH($B17&amp;$C17,$J$2:$J$9,0))))</f>
        <v>583.07471823684727</v>
      </c>
      <c r="W17" s="641">
        <f ca="1">SUM(OFFSET('Output data (results)'!$B$10,W$15-2000+INDEX($I$2:$I$4,MATCH($B$1,$H$2:$H$4,0)),INDEX($M$2:$M$9,MATCH($B17&amp;$C17,$J$2:$J$9,0)),1,INDEX($N$2:$N$9,MATCH($B17&amp;$C17,$J$2:$J$9,0))))</f>
        <v>570.26221248649244</v>
      </c>
      <c r="X17" s="641">
        <f ca="1">SUM(OFFSET('Output data (results)'!$B$10,X$15-2000+INDEX($I$2:$I$4,MATCH($B$1,$H$2:$H$4,0)),INDEX($M$2:$M$9,MATCH($B17&amp;$C17,$J$2:$J$9,0)),1,INDEX($N$2:$N$9,MATCH($B17&amp;$C17,$J$2:$J$9,0))))</f>
        <v>557.70224395243361</v>
      </c>
      <c r="Y17" s="641">
        <f ca="1">SUM(OFFSET('Output data (results)'!$B$10,Y$15-2000+INDEX($I$2:$I$4,MATCH($B$1,$H$2:$H$4,0)),INDEX($M$2:$M$9,MATCH($B17&amp;$C17,$J$2:$J$9,0)),1,INDEX($N$2:$N$9,MATCH($B17&amp;$C17,$J$2:$J$9,0))))</f>
        <v>545.33729983731132</v>
      </c>
      <c r="Z17" s="641">
        <f ca="1">SUM(OFFSET('Output data (results)'!$B$10,Z$15-2000+INDEX($I$2:$I$4,MATCH($B$1,$H$2:$H$4,0)),INDEX($M$2:$M$9,MATCH($B17&amp;$C17,$J$2:$J$9,0)),1,INDEX($N$2:$N$9,MATCH($B17&amp;$C17,$J$2:$J$9,0))))</f>
        <v>533.18284207897466</v>
      </c>
      <c r="AA17" s="641">
        <f ca="1">SUM(OFFSET('Output data (results)'!$B$10,AA$15-2000+INDEX($I$2:$I$4,MATCH($B$1,$H$2:$H$4,0)),INDEX($M$2:$M$9,MATCH($B17&amp;$C17,$J$2:$J$9,0)),1,INDEX($N$2:$N$9,MATCH($B17&amp;$C17,$J$2:$J$9,0))))</f>
        <v>521.23585022948964</v>
      </c>
      <c r="AB17" s="641">
        <f ca="1">SUM(OFFSET('Output data (results)'!$B$10,AB$15-2000+INDEX($I$2:$I$4,MATCH($B$1,$H$2:$H$4,0)),INDEX($M$2:$M$9,MATCH($B17&amp;$C17,$J$2:$J$9,0)),1,INDEX($N$2:$N$9,MATCH($B17&amp;$C17,$J$2:$J$9,0))))</f>
        <v>509.492486813141</v>
      </c>
      <c r="AC17" s="641">
        <f ca="1">SUM(OFFSET('Output data (results)'!$B$10,AC$15-2000+INDEX($I$2:$I$4,MATCH($B$1,$H$2:$H$4,0)),INDEX($M$2:$M$9,MATCH($B17&amp;$C17,$J$2:$J$9,0)),1,INDEX($N$2:$N$9,MATCH($B17&amp;$C17,$J$2:$J$9,0))))</f>
        <v>498.79777407292994</v>
      </c>
      <c r="AD17" s="641">
        <f ca="1">SUM(OFFSET('Output data (results)'!$B$10,AD$15-2000+INDEX($I$2:$I$4,MATCH($B$1,$H$2:$H$4,0)),INDEX($M$2:$M$9,MATCH($B17&amp;$C17,$J$2:$J$9,0)),1,INDEX($N$2:$N$9,MATCH($B17&amp;$C17,$J$2:$J$9,0))))</f>
        <v>489.41547812260836</v>
      </c>
      <c r="AE17" s="641">
        <f ca="1">SUM(OFFSET('Output data (results)'!$B$10,AE$15-2000+INDEX($I$2:$I$4,MATCH($B$1,$H$2:$H$4,0)),INDEX($M$2:$M$9,MATCH($B17&amp;$C17,$J$2:$J$9,0)),1,INDEX($N$2:$N$9,MATCH($B17&amp;$C17,$J$2:$J$9,0))))</f>
        <v>481.12562079471792</v>
      </c>
      <c r="AF17" s="641">
        <f ca="1">SUM(OFFSET('Output data (results)'!$B$10,AF$15-2000+INDEX($I$2:$I$4,MATCH($B$1,$H$2:$H$4,0)),INDEX($M$2:$M$9,MATCH($B17&amp;$C17,$J$2:$J$9,0)),1,INDEX($N$2:$N$9,MATCH($B17&amp;$C17,$J$2:$J$9,0))))</f>
        <v>473.87291483264983</v>
      </c>
      <c r="AG17" s="641">
        <f ca="1">SUM(OFFSET('Output data (results)'!$B$10,AG$15-2000+INDEX($I$2:$I$4,MATCH($B$1,$H$2:$H$4,0)),INDEX($M$2:$M$9,MATCH($B17&amp;$C17,$J$2:$J$9,0)),1,INDEX($N$2:$N$9,MATCH($B17&amp;$C17,$J$2:$J$9,0))))</f>
        <v>467.6139339671563</v>
      </c>
      <c r="AH17" s="641">
        <f ca="1">SUM(OFFSET('Output data (results)'!$B$10,AH$15-2000+INDEX($I$2:$I$4,MATCH($B$1,$H$2:$H$4,0)),INDEX($M$2:$M$9,MATCH($B17&amp;$C17,$J$2:$J$9,0)),1,INDEX($N$2:$N$9,MATCH($B17&amp;$C17,$J$2:$J$9,0))))</f>
        <v>461.44354550582676</v>
      </c>
      <c r="AI17" s="641">
        <f ca="1">SUM(OFFSET('Output data (results)'!$B$10,AI$15-2000+INDEX($I$2:$I$4,MATCH($B$1,$H$2:$H$4,0)),INDEX($M$2:$M$9,MATCH($B17&amp;$C17,$J$2:$J$9,0)),1,INDEX($N$2:$N$9,MATCH($B17&amp;$C17,$J$2:$J$9,0))))</f>
        <v>455.36500950594558</v>
      </c>
      <c r="AJ17" s="641">
        <f ca="1">SUM(OFFSET('Output data (results)'!$B$10,AJ$15-2000+INDEX($I$2:$I$4,MATCH($B$1,$H$2:$H$4,0)),INDEX($M$2:$M$9,MATCH($B17&amp;$C17,$J$2:$J$9,0)),1,INDEX($N$2:$N$9,MATCH($B17&amp;$C17,$J$2:$J$9,0))))</f>
        <v>449.37870625161713</v>
      </c>
      <c r="AK17" s="641">
        <f ca="1">SUM(OFFSET('Output data (results)'!$B$10,AK$15-2000+INDEX($I$2:$I$4,MATCH($B$1,$H$2:$H$4,0)),INDEX($M$2:$M$9,MATCH($B17&amp;$C17,$J$2:$J$9,0)),1,INDEX($N$2:$N$9,MATCH($B17&amp;$C17,$J$2:$J$9,0))))</f>
        <v>443.48603742515655</v>
      </c>
      <c r="AL17" s="641">
        <f ca="1">SUM(OFFSET('Output data (results)'!$B$10,AL$15-2000+INDEX($I$2:$I$4,MATCH($B$1,$H$2:$H$4,0)),INDEX($M$2:$M$9,MATCH($B17&amp;$C17,$J$2:$J$9,0)),1,INDEX($N$2:$N$9,MATCH($B17&amp;$C17,$J$2:$J$9,0))))</f>
        <v>437.69649502116181</v>
      </c>
      <c r="AM17" s="641">
        <f ca="1">SUM(OFFSET('Output data (results)'!$B$10,AM$15-2000+INDEX($I$2:$I$4,MATCH($B$1,$H$2:$H$4,0)),INDEX($M$2:$M$9,MATCH($B17&amp;$C17,$J$2:$J$9,0)),1,INDEX($N$2:$N$9,MATCH($B17&amp;$C17,$J$2:$J$9,0))))</f>
        <v>432.00560108979408</v>
      </c>
      <c r="AN17" s="641">
        <f ca="1">SUM(OFFSET('Output data (results)'!$B$10,AN$15-2000+INDEX($I$2:$I$4,MATCH($B$1,$H$2:$H$4,0)),INDEX($M$2:$M$9,MATCH($B17&amp;$C17,$J$2:$J$9,0)),1,INDEX($N$2:$N$9,MATCH($B17&amp;$C17,$J$2:$J$9,0))))</f>
        <v>426.41456342904269</v>
      </c>
      <c r="AO17" s="641">
        <f ca="1">SUM(OFFSET('Output data (results)'!$B$10,AO$15-2000+INDEX($I$2:$I$4,MATCH($B$1,$H$2:$H$4,0)),INDEX($M$2:$M$9,MATCH($B17&amp;$C17,$J$2:$J$9,0)),1,INDEX($N$2:$N$9,MATCH($B17&amp;$C17,$J$2:$J$9,0))))</f>
        <v>421.26258753311282</v>
      </c>
      <c r="AP17" s="641">
        <f ca="1">SUM(OFFSET('Output data (results)'!$B$10,AP$15-2000+INDEX($I$2:$I$4,MATCH($B$1,$H$2:$H$4,0)),INDEX($M$2:$M$9,MATCH($B17&amp;$C17,$J$2:$J$9,0)),1,INDEX($N$2:$N$9,MATCH($B17&amp;$C17,$J$2:$J$9,0))))</f>
        <v>416.54273213077272</v>
      </c>
    </row>
    <row r="18" spans="1:42">
      <c r="A18" s="10" t="s">
        <v>795</v>
      </c>
      <c r="B18" t="s">
        <v>797</v>
      </c>
      <c r="C18" t="s">
        <v>188</v>
      </c>
      <c r="D18" s="1366">
        <f ca="1">SUM(OFFSET('Output data (results)'!$B$10,D$15-2000,INDEX($M$2:$M$9,MATCH($B18&amp;$C18,$J$2:$J$9,0)),1,INDEX($N$2:$N$9,MATCH($B18&amp;$C18,$J$2:$J$9,0))))</f>
        <v>28.983297274964613</v>
      </c>
      <c r="E18" s="1366">
        <f ca="1">SUM(OFFSET('Output data (results)'!$B$10,E$15-2000,INDEX($M$2:$M$9,MATCH($B18&amp;$C18,$J$2:$J$9,0)),1,INDEX($N$2:$N$9,MATCH($B18&amp;$C18,$J$2:$J$9,0))))</f>
        <v>30.63659154329461</v>
      </c>
      <c r="F18" s="1366">
        <f ca="1">SUM(OFFSET('Output data (results)'!$B$10,F$15-2000,INDEX($M$2:$M$9,MATCH($B18&amp;$C18,$J$2:$J$9,0)),1,INDEX($N$2:$N$9,MATCH($B18&amp;$C18,$J$2:$J$9,0))))</f>
        <v>32.106095840669589</v>
      </c>
      <c r="G18" s="1366">
        <f ca="1">SUM(OFFSET('Output data (results)'!$B$10,G$15-2000,INDEX($M$2:$M$9,MATCH($B18&amp;$C18,$J$2:$J$9,0)),1,INDEX($N$2:$N$9,MATCH($B18&amp;$C18,$J$2:$J$9,0))))</f>
        <v>33.380160441474381</v>
      </c>
      <c r="H18" s="1366">
        <f ca="1">SUM(OFFSET('Output data (results)'!$B$10,H$15-2000,INDEX($M$2:$M$9,MATCH($B18&amp;$C18,$J$2:$J$9,0)),1,INDEX($N$2:$N$9,MATCH($B18&amp;$C18,$J$2:$J$9,0))))</f>
        <v>34.478971939494286</v>
      </c>
      <c r="I18" s="1366">
        <f ca="1">SUM(OFFSET('Output data (results)'!$B$10,I$15-2000,INDEX($M$2:$M$9,MATCH($B18&amp;$C18,$J$2:$J$9,0)),1,INDEX($N$2:$N$9,MATCH($B18&amp;$C18,$J$2:$J$9,0))))</f>
        <v>35.589436730836276</v>
      </c>
      <c r="J18" s="641">
        <f ca="1">SUM(OFFSET('Output data (results)'!$B$10,J$15-2000+INDEX($I$2:$I$4,MATCH($B$1,$H$2:$H$4,0)),INDEX($M$2:$M$9,MATCH($B18&amp;$C18,$J$2:$J$9,0)),1,INDEX($N$2:$N$9,MATCH($B18&amp;$C18,$J$2:$J$9,0))))</f>
        <v>35.601941737328602</v>
      </c>
      <c r="K18" s="641">
        <f ca="1">SUM(OFFSET('Output data (results)'!$B$10,K$15-2000+INDEX($I$2:$I$4,MATCH($B$1,$H$2:$H$4,0)),INDEX($M$2:$M$9,MATCH($B18&amp;$C18,$J$2:$J$9,0)),1,INDEX($N$2:$N$9,MATCH($B18&amp;$C18,$J$2:$J$9,0))))</f>
        <v>35.735892497856327</v>
      </c>
      <c r="L18" s="641">
        <f ca="1">SUM(OFFSET('Output data (results)'!$B$10,L$15-2000+INDEX($I$2:$I$4,MATCH($B$1,$H$2:$H$4,0)),INDEX($M$2:$M$9,MATCH($B18&amp;$C18,$J$2:$J$9,0)),1,INDEX($N$2:$N$9,MATCH($B18&amp;$C18,$J$2:$J$9,0))))</f>
        <v>32.0813514875572</v>
      </c>
      <c r="M18" s="641">
        <f ca="1">SUM(OFFSET('Output data (results)'!$B$10,M$15-2000+INDEX($I$2:$I$4,MATCH($B$1,$H$2:$H$4,0)),INDEX($M$2:$M$9,MATCH($B18&amp;$C18,$J$2:$J$9,0)),1,INDEX($N$2:$N$9,MATCH($B18&amp;$C18,$J$2:$J$9,0))))</f>
        <v>32.627980142528727</v>
      </c>
      <c r="N18" s="641">
        <f ca="1">SUM(OFFSET('Output data (results)'!$B$10,N$15-2000+INDEX($I$2:$I$4,MATCH($B$1,$H$2:$H$4,0)),INDEX($M$2:$M$9,MATCH($B18&amp;$C18,$J$2:$J$9,0)),1,INDEX($N$2:$N$9,MATCH($B18&amp;$C18,$J$2:$J$9,0))))</f>
        <v>34.301271342307636</v>
      </c>
      <c r="O18" s="641">
        <f ca="1">SUM(OFFSET('Output data (results)'!$B$10,O$15-2000+INDEX($I$2:$I$4,MATCH($B$1,$H$2:$H$4,0)),INDEX($M$2:$M$9,MATCH($B18&amp;$C18,$J$2:$J$9,0)),1,INDEX($N$2:$N$9,MATCH($B18&amp;$C18,$J$2:$J$9,0))))</f>
        <v>35.887650747229422</v>
      </c>
      <c r="P18" s="641">
        <f ca="1">SUM(OFFSET('Output data (results)'!$B$10,P$15-2000+INDEX($I$2:$I$4,MATCH($B$1,$H$2:$H$4,0)),INDEX($M$2:$M$9,MATCH($B18&amp;$C18,$J$2:$J$9,0)),1,INDEX($N$2:$N$9,MATCH($B18&amp;$C18,$J$2:$J$9,0))))</f>
        <v>37.892546098522871</v>
      </c>
      <c r="Q18" s="641">
        <f ca="1">SUM(OFFSET('Output data (results)'!$B$10,Q$15-2000+INDEX($I$2:$I$4,MATCH($B$1,$H$2:$H$4,0)),INDEX($M$2:$M$9,MATCH($B18&amp;$C18,$J$2:$J$9,0)),1,INDEX($N$2:$N$9,MATCH($B18&amp;$C18,$J$2:$J$9,0))))</f>
        <v>41.106198013332374</v>
      </c>
      <c r="R18" s="641">
        <f ca="1">SUM(OFFSET('Output data (results)'!$B$10,R$15-2000+INDEX($I$2:$I$4,MATCH($B$1,$H$2:$H$4,0)),INDEX($M$2:$M$9,MATCH($B18&amp;$C18,$J$2:$J$9,0)),1,INDEX($N$2:$N$9,MATCH($B18&amp;$C18,$J$2:$J$9,0))))</f>
        <v>43.026162080352314</v>
      </c>
      <c r="S18" s="641">
        <f ca="1">SUM(OFFSET('Output data (results)'!$B$10,S$15-2000+INDEX($I$2:$I$4,MATCH($B$1,$H$2:$H$4,0)),INDEX($M$2:$M$9,MATCH($B18&amp;$C18,$J$2:$J$9,0)),1,INDEX($N$2:$N$9,MATCH($B18&amp;$C18,$J$2:$J$9,0))))</f>
        <v>45.027251133047734</v>
      </c>
      <c r="T18" s="641">
        <f ca="1">SUM(OFFSET('Output data (results)'!$B$10,T$15-2000+INDEX($I$2:$I$4,MATCH($B$1,$H$2:$H$4,0)),INDEX($M$2:$M$9,MATCH($B18&amp;$C18,$J$2:$J$9,0)),1,INDEX($N$2:$N$9,MATCH($B18&amp;$C18,$J$2:$J$9,0))))</f>
        <v>44.050058233588217</v>
      </c>
      <c r="U18" s="641">
        <f ca="1">SUM(OFFSET('Output data (results)'!$B$10,U$15-2000+INDEX($I$2:$I$4,MATCH($B$1,$H$2:$H$4,0)),INDEX($M$2:$M$9,MATCH($B18&amp;$C18,$J$2:$J$9,0)),1,INDEX($N$2:$N$9,MATCH($B18&amp;$C18,$J$2:$J$9,0))))</f>
        <v>43.236395656477264</v>
      </c>
      <c r="V18" s="641">
        <f ca="1">SUM(OFFSET('Output data (results)'!$B$10,V$15-2000+INDEX($I$2:$I$4,MATCH($B$1,$H$2:$H$4,0)),INDEX($M$2:$M$9,MATCH($B18&amp;$C18,$J$2:$J$9,0)),1,INDEX($N$2:$N$9,MATCH($B18&amp;$C18,$J$2:$J$9,0))))</f>
        <v>42.584513105257798</v>
      </c>
      <c r="W18" s="641">
        <f ca="1">SUM(OFFSET('Output data (results)'!$B$10,W$15-2000+INDEX($I$2:$I$4,MATCH($B$1,$H$2:$H$4,0)),INDEX($M$2:$M$9,MATCH($B18&amp;$C18,$J$2:$J$9,0)),1,INDEX($N$2:$N$9,MATCH($B18&amp;$C18,$J$2:$J$9,0))))</f>
        <v>41.483296361487156</v>
      </c>
      <c r="X18" s="641">
        <f ca="1">SUM(OFFSET('Output data (results)'!$B$10,X$15-2000+INDEX($I$2:$I$4,MATCH($B$1,$H$2:$H$4,0)),INDEX($M$2:$M$9,MATCH($B18&amp;$C18,$J$2:$J$9,0)),1,INDEX($N$2:$N$9,MATCH($B18&amp;$C18,$J$2:$J$9,0))))</f>
        <v>40.23629711580891</v>
      </c>
      <c r="Y18" s="641">
        <f ca="1">SUM(OFFSET('Output data (results)'!$B$10,Y$15-2000+INDEX($I$2:$I$4,MATCH($B$1,$H$2:$H$4,0)),INDEX($M$2:$M$9,MATCH($B18&amp;$C18,$J$2:$J$9,0)),1,INDEX($N$2:$N$9,MATCH($B18&amp;$C18,$J$2:$J$9,0))))</f>
        <v>39.126263161040981</v>
      </c>
      <c r="Z18" s="641">
        <f ca="1">SUM(OFFSET('Output data (results)'!$B$10,Z$15-2000+INDEX($I$2:$I$4,MATCH($B$1,$H$2:$H$4,0)),INDEX($M$2:$M$9,MATCH($B18&amp;$C18,$J$2:$J$9,0)),1,INDEX($N$2:$N$9,MATCH($B18&amp;$C18,$J$2:$J$9,0))))</f>
        <v>38.082318010285455</v>
      </c>
      <c r="AA18" s="641">
        <f ca="1">SUM(OFFSET('Output data (results)'!$B$10,AA$15-2000+INDEX($I$2:$I$4,MATCH($B$1,$H$2:$H$4,0)),INDEX($M$2:$M$9,MATCH($B18&amp;$C18,$J$2:$J$9,0)),1,INDEX($N$2:$N$9,MATCH($B18&amp;$C18,$J$2:$J$9,0))))</f>
        <v>37.102011036042299</v>
      </c>
      <c r="AB18" s="641">
        <f ca="1">SUM(OFFSET('Output data (results)'!$B$10,AB$15-2000+INDEX($I$2:$I$4,MATCH($B$1,$H$2:$H$4,0)),INDEX($M$2:$M$9,MATCH($B18&amp;$C18,$J$2:$J$9,0)),1,INDEX($N$2:$N$9,MATCH($B18&amp;$C18,$J$2:$J$9,0))))</f>
        <v>39.613045467236923</v>
      </c>
      <c r="AC18" s="641">
        <f ca="1">SUM(OFFSET('Output data (results)'!$B$10,AC$15-2000+INDEX($I$2:$I$4,MATCH($B$1,$H$2:$H$4,0)),INDEX($M$2:$M$9,MATCH($B18&amp;$C18,$J$2:$J$9,0)),1,INDEX($N$2:$N$9,MATCH($B18&amp;$C18,$J$2:$J$9,0))))</f>
        <v>42.764362283809426</v>
      </c>
      <c r="AD18" s="641">
        <f ca="1">SUM(OFFSET('Output data (results)'!$B$10,AD$15-2000+INDEX($I$2:$I$4,MATCH($B$1,$H$2:$H$4,0)),INDEX($M$2:$M$9,MATCH($B18&amp;$C18,$J$2:$J$9,0)),1,INDEX($N$2:$N$9,MATCH($B18&amp;$C18,$J$2:$J$9,0))))</f>
        <v>45.602695757081676</v>
      </c>
      <c r="AE18" s="641">
        <f ca="1">SUM(OFFSET('Output data (results)'!$B$10,AE$15-2000+INDEX($I$2:$I$4,MATCH($B$1,$H$2:$H$4,0)),INDEX($M$2:$M$9,MATCH($B18&amp;$C18,$J$2:$J$9,0)),1,INDEX($N$2:$N$9,MATCH($B18&amp;$C18,$J$2:$J$9,0))))</f>
        <v>48.456713291212374</v>
      </c>
      <c r="AF18" s="641">
        <f ca="1">SUM(OFFSET('Output data (results)'!$B$10,AF$15-2000+INDEX($I$2:$I$4,MATCH($B$1,$H$2:$H$4,0)),INDEX($M$2:$M$9,MATCH($B18&amp;$C18,$J$2:$J$9,0)),1,INDEX($N$2:$N$9,MATCH($B18&amp;$C18,$J$2:$J$9,0))))</f>
        <v>51.363659372276182</v>
      </c>
      <c r="AG18" s="641">
        <f ca="1">SUM(OFFSET('Output data (results)'!$B$10,AG$15-2000+INDEX($I$2:$I$4,MATCH($B$1,$H$2:$H$4,0)),INDEX($M$2:$M$9,MATCH($B18&amp;$C18,$J$2:$J$9,0)),1,INDEX($N$2:$N$9,MATCH($B18&amp;$C18,$J$2:$J$9,0))))</f>
        <v>50.874489994435585</v>
      </c>
      <c r="AH18" s="641">
        <f ca="1">SUM(OFFSET('Output data (results)'!$B$10,AH$15-2000+INDEX($I$2:$I$4,MATCH($B$1,$H$2:$H$4,0)),INDEX($M$2:$M$9,MATCH($B18&amp;$C18,$J$2:$J$9,0)),1,INDEX($N$2:$N$9,MATCH($B18&amp;$C18,$J$2:$J$9,0))))</f>
        <v>50.440017796826758</v>
      </c>
      <c r="AI18" s="641">
        <f ca="1">SUM(OFFSET('Output data (results)'!$B$10,AI$15-2000+INDEX($I$2:$I$4,MATCH($B$1,$H$2:$H$4,0)),INDEX($M$2:$M$9,MATCH($B18&amp;$C18,$J$2:$J$9,0)),1,INDEX($N$2:$N$9,MATCH($B18&amp;$C18,$J$2:$J$9,0))))</f>
        <v>50.049505863079915</v>
      </c>
      <c r="AJ18" s="641">
        <f ca="1">SUM(OFFSET('Output data (results)'!$B$10,AJ$15-2000+INDEX($I$2:$I$4,MATCH($B$1,$H$2:$H$4,0)),INDEX($M$2:$M$9,MATCH($B18&amp;$C18,$J$2:$J$9,0)),1,INDEX($N$2:$N$9,MATCH($B18&amp;$C18,$J$2:$J$9,0))))</f>
        <v>49.707753574340003</v>
      </c>
      <c r="AK18" s="641">
        <f ca="1">SUM(OFFSET('Output data (results)'!$B$10,AK$15-2000+INDEX($I$2:$I$4,MATCH($B$1,$H$2:$H$4,0)),INDEX($M$2:$M$9,MATCH($B18&amp;$C18,$J$2:$J$9,0)),1,INDEX($N$2:$N$9,MATCH($B18&amp;$C18,$J$2:$J$9,0))))</f>
        <v>49.447512894661813</v>
      </c>
      <c r="AL18" s="641">
        <f ca="1">SUM(OFFSET('Output data (results)'!$B$10,AL$15-2000+INDEX($I$2:$I$4,MATCH($B$1,$H$2:$H$4,0)),INDEX($M$2:$M$9,MATCH($B18&amp;$C18,$J$2:$J$9,0)),1,INDEX($N$2:$N$9,MATCH($B18&amp;$C18,$J$2:$J$9,0))))</f>
        <v>49.230923193438393</v>
      </c>
      <c r="AM18" s="641">
        <f ca="1">SUM(OFFSET('Output data (results)'!$B$10,AM$15-2000+INDEX($I$2:$I$4,MATCH($B$1,$H$2:$H$4,0)),INDEX($M$2:$M$9,MATCH($B18&amp;$C18,$J$2:$J$9,0)),1,INDEX($N$2:$N$9,MATCH($B18&amp;$C18,$J$2:$J$9,0))))</f>
        <v>49.063258427049931</v>
      </c>
      <c r="AN18" s="641">
        <f ca="1">SUM(OFFSET('Output data (results)'!$B$10,AN$15-2000+INDEX($I$2:$I$4,MATCH($B$1,$H$2:$H$4,0)),INDEX($M$2:$M$9,MATCH($B18&amp;$C18,$J$2:$J$9,0)),1,INDEX($N$2:$N$9,MATCH($B18&amp;$C18,$J$2:$J$9,0))))</f>
        <v>49.517901243341854</v>
      </c>
      <c r="AO18" s="641">
        <f ca="1">SUM(OFFSET('Output data (results)'!$B$10,AO$15-2000+INDEX($I$2:$I$4,MATCH($B$1,$H$2:$H$4,0)),INDEX($M$2:$M$9,MATCH($B18&amp;$C18,$J$2:$J$9,0)),1,INDEX($N$2:$N$9,MATCH($B18&amp;$C18,$J$2:$J$9,0))))</f>
        <v>50.028878250181378</v>
      </c>
      <c r="AP18" s="641">
        <f ca="1">SUM(OFFSET('Output data (results)'!$B$10,AP$15-2000+INDEX($I$2:$I$4,MATCH($B$1,$H$2:$H$4,0)),INDEX($M$2:$M$9,MATCH($B18&amp;$C18,$J$2:$J$9,0)),1,INDEX($N$2:$N$9,MATCH($B18&amp;$C18,$J$2:$J$9,0))))</f>
        <v>50.59584353397787</v>
      </c>
    </row>
    <row r="19" spans="1:42">
      <c r="A19" s="10" t="s">
        <v>793</v>
      </c>
      <c r="B19" t="s">
        <v>798</v>
      </c>
      <c r="C19" t="s">
        <v>188</v>
      </c>
      <c r="D19" s="1366">
        <f ca="1">SUM(OFFSET('Output data (results)'!$B$10,D$15-2000,INDEX($M$2:$M$9,MATCH($B19&amp;$C19,$J$2:$J$9,0)),1,INDEX($N$2:$N$9,MATCH($B19&amp;$C19,$J$2:$J$9,0))))</f>
        <v>10.819303086999996</v>
      </c>
      <c r="E19" s="1366">
        <f ca="1">SUM(OFFSET('Output data (results)'!$B$10,E$15-2000,INDEX($M$2:$M$9,MATCH($B19&amp;$C19,$J$2:$J$9,0)),1,INDEX($N$2:$N$9,MATCH($B19&amp;$C19,$J$2:$J$9,0))))</f>
        <v>10.981838318356312</v>
      </c>
      <c r="F19" s="1366">
        <f ca="1">SUM(OFFSET('Output data (results)'!$B$10,F$15-2000,INDEX($M$2:$M$9,MATCH($B19&amp;$C19,$J$2:$J$9,0)),1,INDEX($N$2:$N$9,MATCH($B19&amp;$C19,$J$2:$J$9,0))))</f>
        <v>11.118476305649356</v>
      </c>
      <c r="G19" s="1366">
        <f ca="1">SUM(OFFSET('Output data (results)'!$B$10,G$15-2000,INDEX($M$2:$M$9,MATCH($B19&amp;$C19,$J$2:$J$9,0)),1,INDEX($N$2:$N$9,MATCH($B19&amp;$C19,$J$2:$J$9,0))))</f>
        <v>11.22793697445876</v>
      </c>
      <c r="H19" s="1366">
        <f ca="1">SUM(OFFSET('Output data (results)'!$B$10,H$15-2000,INDEX($M$2:$M$9,MATCH($B19&amp;$C19,$J$2:$J$9,0)),1,INDEX($N$2:$N$9,MATCH($B19&amp;$C19,$J$2:$J$9,0))))</f>
        <v>11.309033498703608</v>
      </c>
      <c r="I19" s="1366">
        <f ca="1">SUM(OFFSET('Output data (results)'!$B$10,I$15-2000,INDEX($M$2:$M$9,MATCH($B19&amp;$C19,$J$2:$J$9,0)),1,INDEX($N$2:$N$9,MATCH($B19&amp;$C19,$J$2:$J$9,0))))</f>
        <v>11.360051712019837</v>
      </c>
      <c r="J19" s="641">
        <f ca="1">SUM(OFFSET('Output data (results)'!$B$10,J$15-2000+INDEX($I$2:$I$4,MATCH($B$1,$H$2:$H$4,0)),INDEX($M$2:$M$9,MATCH($B19&amp;$C19,$J$2:$J$9,0)),1,INDEX($N$2:$N$9,MATCH($B19&amp;$C19,$J$2:$J$9,0))))</f>
        <v>11.250621360044049</v>
      </c>
      <c r="K19" s="641">
        <f ca="1">SUM(OFFSET('Output data (results)'!$B$10,K$15-2000+INDEX($I$2:$I$4,MATCH($B$1,$H$2:$H$4,0)),INDEX($M$2:$M$9,MATCH($B19&amp;$C19,$J$2:$J$9,0)),1,INDEX($N$2:$N$9,MATCH($B19&amp;$C19,$J$2:$J$9,0))))</f>
        <v>11.151018561744589</v>
      </c>
      <c r="L19" s="641">
        <f ca="1">SUM(OFFSET('Output data (results)'!$B$10,L$15-2000+INDEX($I$2:$I$4,MATCH($B$1,$H$2:$H$4,0)),INDEX($M$2:$M$9,MATCH($B19&amp;$C19,$J$2:$J$9,0)),1,INDEX($N$2:$N$9,MATCH($B19&amp;$C19,$J$2:$J$9,0))))</f>
        <v>11.061459845241448</v>
      </c>
      <c r="M19" s="641">
        <f ca="1">SUM(OFFSET('Output data (results)'!$B$10,M$15-2000+INDEX($I$2:$I$4,MATCH($B$1,$H$2:$H$4,0)),INDEX($M$2:$M$9,MATCH($B19&amp;$C19,$J$2:$J$9,0)),1,INDEX($N$2:$N$9,MATCH($B19&amp;$C19,$J$2:$J$9,0))))</f>
        <v>10.931927037175978</v>
      </c>
      <c r="N19" s="641">
        <f ca="1">SUM(OFFSET('Output data (results)'!$B$10,N$15-2000+INDEX($I$2:$I$4,MATCH($B$1,$H$2:$H$4,0)),INDEX($M$2:$M$9,MATCH($B19&amp;$C19,$J$2:$J$9,0)),1,INDEX($N$2:$N$9,MATCH($B19&amp;$C19,$J$2:$J$9,0))))</f>
        <v>10.813847453694965</v>
      </c>
      <c r="O19" s="641">
        <f ca="1">SUM(OFFSET('Output data (results)'!$B$10,O$15-2000+INDEX($I$2:$I$4,MATCH($B$1,$H$2:$H$4,0)),INDEX($M$2:$M$9,MATCH($B19&amp;$C19,$J$2:$J$9,0)),1,INDEX($N$2:$N$9,MATCH($B19&amp;$C19,$J$2:$J$9,0))))</f>
        <v>10.707859816438177</v>
      </c>
      <c r="P19" s="641">
        <f ca="1">SUM(OFFSET('Output data (results)'!$B$10,P$15-2000+INDEX($I$2:$I$4,MATCH($B$1,$H$2:$H$4,0)),INDEX($M$2:$M$9,MATCH($B19&amp;$C19,$J$2:$J$9,0)),1,INDEX($N$2:$N$9,MATCH($B19&amp;$C19,$J$2:$J$9,0))))</f>
        <v>10.614137033542388</v>
      </c>
      <c r="Q19" s="641">
        <f ca="1">SUM(OFFSET('Output data (results)'!$B$10,Q$15-2000+INDEX($I$2:$I$4,MATCH($B$1,$H$2:$H$4,0)),INDEX($M$2:$M$9,MATCH($B19&amp;$C19,$J$2:$J$9,0)),1,INDEX($N$2:$N$9,MATCH($B19&amp;$C19,$J$2:$J$9,0))))</f>
        <v>10.533122180608201</v>
      </c>
      <c r="R19" s="641">
        <f ca="1">SUM(OFFSET('Output data (results)'!$B$10,R$15-2000+INDEX($I$2:$I$4,MATCH($B$1,$H$2:$H$4,0)),INDEX($M$2:$M$9,MATCH($B19&amp;$C19,$J$2:$J$9,0)),1,INDEX($N$2:$N$9,MATCH($B19&amp;$C19,$J$2:$J$9,0))))</f>
        <v>10.448062373670496</v>
      </c>
      <c r="S19" s="641">
        <f ca="1">SUM(OFFSET('Output data (results)'!$B$10,S$15-2000+INDEX($I$2:$I$4,MATCH($B$1,$H$2:$H$4,0)),INDEX($M$2:$M$9,MATCH($B19&amp;$C19,$J$2:$J$9,0)),1,INDEX($N$2:$N$9,MATCH($B19&amp;$C19,$J$2:$J$9,0))))</f>
        <v>10.377326985128654</v>
      </c>
      <c r="T19" s="641">
        <f ca="1">SUM(OFFSET('Output data (results)'!$B$10,T$15-2000+INDEX($I$2:$I$4,MATCH($B$1,$H$2:$H$4,0)),INDEX($M$2:$M$9,MATCH($B19&amp;$C19,$J$2:$J$9,0)),1,INDEX($N$2:$N$9,MATCH($B19&amp;$C19,$J$2:$J$9,0))))</f>
        <v>9.9352886506485056</v>
      </c>
      <c r="U19" s="641">
        <f ca="1">SUM(OFFSET('Output data (results)'!$B$10,U$15-2000+INDEX($I$2:$I$4,MATCH($B$1,$H$2:$H$4,0)),INDEX($M$2:$M$9,MATCH($B19&amp;$C19,$J$2:$J$9,0)),1,INDEX($N$2:$N$9,MATCH($B19&amp;$C19,$J$2:$J$9,0))))</f>
        <v>9.5121965577511993</v>
      </c>
      <c r="V19" s="641">
        <f ca="1">SUM(OFFSET('Output data (results)'!$B$10,V$15-2000+INDEX($I$2:$I$4,MATCH($B$1,$H$2:$H$4,0)),INDEX($M$2:$M$9,MATCH($B19&amp;$C19,$J$2:$J$9,0)),1,INDEX($N$2:$N$9,MATCH($B19&amp;$C19,$J$2:$J$9,0))))</f>
        <v>9.1070839331766269</v>
      </c>
      <c r="W19" s="641">
        <f ca="1">SUM(OFFSET('Output data (results)'!$B$10,W$15-2000+INDEX($I$2:$I$4,MATCH($B$1,$H$2:$H$4,0)),INDEX($M$2:$M$9,MATCH($B19&amp;$C19,$J$2:$J$9,0)),1,INDEX($N$2:$N$9,MATCH($B19&amp;$C19,$J$2:$J$9,0))))</f>
        <v>8.7499569419140375</v>
      </c>
      <c r="X19" s="641">
        <f ca="1">SUM(OFFSET('Output data (results)'!$B$10,X$15-2000+INDEX($I$2:$I$4,MATCH($B$1,$H$2:$H$4,0)),INDEX($M$2:$M$9,MATCH($B19&amp;$C19,$J$2:$J$9,0)),1,INDEX($N$2:$N$9,MATCH($B19&amp;$C19,$J$2:$J$9,0))))</f>
        <v>8.3860937920672232</v>
      </c>
      <c r="Y19" s="641">
        <f ca="1">SUM(OFFSET('Output data (results)'!$B$10,Y$15-2000+INDEX($I$2:$I$4,MATCH($B$1,$H$2:$H$4,0)),INDEX($M$2:$M$9,MATCH($B19&amp;$C19,$J$2:$J$9,0)),1,INDEX($N$2:$N$9,MATCH($B19&amp;$C19,$J$2:$J$9,0))))</f>
        <v>8.0152779559978899</v>
      </c>
      <c r="Z19" s="641">
        <f ca="1">SUM(OFFSET('Output data (results)'!$B$10,Z$15-2000+INDEX($I$2:$I$4,MATCH($B$1,$H$2:$H$4,0)),INDEX($M$2:$M$9,MATCH($B19&amp;$C19,$J$2:$J$9,0)),1,INDEX($N$2:$N$9,MATCH($B19&amp;$C19,$J$2:$J$9,0))))</f>
        <v>7.6376548409407059</v>
      </c>
      <c r="AA19" s="641">
        <f ca="1">SUM(OFFSET('Output data (results)'!$B$10,AA$15-2000+INDEX($I$2:$I$4,MATCH($B$1,$H$2:$H$4,0)),INDEX($M$2:$M$9,MATCH($B19&amp;$C19,$J$2:$J$9,0)),1,INDEX($N$2:$N$9,MATCH($B19&amp;$C19,$J$2:$J$9,0))))</f>
        <v>7.2528959909070601</v>
      </c>
      <c r="AB19" s="641">
        <f ca="1">SUM(OFFSET('Output data (results)'!$B$10,AB$15-2000+INDEX($I$2:$I$4,MATCH($B$1,$H$2:$H$4,0)),INDEX($M$2:$M$9,MATCH($B19&amp;$C19,$J$2:$J$9,0)),1,INDEX($N$2:$N$9,MATCH($B19&amp;$C19,$J$2:$J$9,0))))</f>
        <v>6.8528169744062275</v>
      </c>
      <c r="AC19" s="641">
        <f ca="1">SUM(OFFSET('Output data (results)'!$B$10,AC$15-2000+INDEX($I$2:$I$4,MATCH($B$1,$H$2:$H$4,0)),INDEX($M$2:$M$9,MATCH($B19&amp;$C19,$J$2:$J$9,0)),1,INDEX($N$2:$N$9,MATCH($B19&amp;$C19,$J$2:$J$9,0))))</f>
        <v>6.7493991409061564</v>
      </c>
      <c r="AD19" s="641">
        <f ca="1">SUM(OFFSET('Output data (results)'!$B$10,AD$15-2000+INDEX($I$2:$I$4,MATCH($B$1,$H$2:$H$4,0)),INDEX($M$2:$M$9,MATCH($B19&amp;$C19,$J$2:$J$9,0)),1,INDEX($N$2:$N$9,MATCH($B19&amp;$C19,$J$2:$J$9,0))))</f>
        <v>6.5075055139552394</v>
      </c>
      <c r="AE19" s="641">
        <f ca="1">SUM(OFFSET('Output data (results)'!$B$10,AE$15-2000+INDEX($I$2:$I$4,MATCH($B$1,$H$2:$H$4,0)),INDEX($M$2:$M$9,MATCH($B19&amp;$C19,$J$2:$J$9,0)),1,INDEX($N$2:$N$9,MATCH($B19&amp;$C19,$J$2:$J$9,0))))</f>
        <v>6.2616352356416609</v>
      </c>
      <c r="AF19" s="641">
        <f ca="1">SUM(OFFSET('Output data (results)'!$B$10,AF$15-2000+INDEX($I$2:$I$4,MATCH($B$1,$H$2:$H$4,0)),INDEX($M$2:$M$9,MATCH($B19&amp;$C19,$J$2:$J$9,0)),1,INDEX($N$2:$N$9,MATCH($B19&amp;$C19,$J$2:$J$9,0))))</f>
        <v>6.0117510248589019</v>
      </c>
      <c r="AG19" s="641">
        <f ca="1">SUM(OFFSET('Output data (results)'!$B$10,AG$15-2000+INDEX($I$2:$I$4,MATCH($B$1,$H$2:$H$4,0)),INDEX($M$2:$M$9,MATCH($B19&amp;$C19,$J$2:$J$9,0)),1,INDEX($N$2:$N$9,MATCH($B19&amp;$C19,$J$2:$J$9,0))))</f>
        <v>5.7516490293248683</v>
      </c>
      <c r="AH19" s="641">
        <f ca="1">SUM(OFFSET('Output data (results)'!$B$10,AH$15-2000+INDEX($I$2:$I$4,MATCH($B$1,$H$2:$H$4,0)),INDEX($M$2:$M$9,MATCH($B19&amp;$C19,$J$2:$J$9,0)),1,INDEX($N$2:$N$9,MATCH($B19&amp;$C19,$J$2:$J$9,0))))</f>
        <v>5.488020517269919</v>
      </c>
      <c r="AI19" s="641">
        <f ca="1">SUM(OFFSET('Output data (results)'!$B$10,AI$15-2000+INDEX($I$2:$I$4,MATCH($B$1,$H$2:$H$4,0)),INDEX($M$2:$M$9,MATCH($B19&amp;$C19,$J$2:$J$9,0)),1,INDEX($N$2:$N$9,MATCH($B19&amp;$C19,$J$2:$J$9,0))))</f>
        <v>5.2209124352726439</v>
      </c>
      <c r="AJ19" s="641">
        <f ca="1">SUM(OFFSET('Output data (results)'!$B$10,AJ$15-2000+INDEX($I$2:$I$4,MATCH($B$1,$H$2:$H$4,0)),INDEX($M$2:$M$9,MATCH($B19&amp;$C19,$J$2:$J$9,0)),1,INDEX($N$2:$N$9,MATCH($B19&amp;$C19,$J$2:$J$9,0))))</f>
        <v>4.9502198439220875</v>
      </c>
      <c r="AK19" s="641">
        <f ca="1">SUM(OFFSET('Output data (results)'!$B$10,AK$15-2000+INDEX($I$2:$I$4,MATCH($B$1,$H$2:$H$4,0)),INDEX($M$2:$M$9,MATCH($B19&amp;$C19,$J$2:$J$9,0)),1,INDEX($N$2:$N$9,MATCH($B19&amp;$C19,$J$2:$J$9,0))))</f>
        <v>4.6760449210657562</v>
      </c>
      <c r="AL19" s="641">
        <f ca="1">SUM(OFFSET('Output data (results)'!$B$10,AL$15-2000+INDEX($I$2:$I$4,MATCH($B$1,$H$2:$H$4,0)),INDEX($M$2:$M$9,MATCH($B19&amp;$C19,$J$2:$J$9,0)),1,INDEX($N$2:$N$9,MATCH($B19&amp;$C19,$J$2:$J$9,0))))</f>
        <v>4.3933505749776192</v>
      </c>
      <c r="AM19" s="641">
        <f ca="1">SUM(OFFSET('Output data (results)'!$B$10,AM$15-2000+INDEX($I$2:$I$4,MATCH($B$1,$H$2:$H$4,0)),INDEX($M$2:$M$9,MATCH($B19&amp;$C19,$J$2:$J$9,0)),1,INDEX($N$2:$N$9,MATCH($B19&amp;$C19,$J$2:$J$9,0))))</f>
        <v>4.1077151638191811</v>
      </c>
      <c r="AN19" s="641">
        <f ca="1">SUM(OFFSET('Output data (results)'!$B$10,AN$15-2000+INDEX($I$2:$I$4,MATCH($B$1,$H$2:$H$4,0)),INDEX($M$2:$M$9,MATCH($B19&amp;$C19,$J$2:$J$9,0)),1,INDEX($N$2:$N$9,MATCH($B19&amp;$C19,$J$2:$J$9,0))))</f>
        <v>4.1287030460109886</v>
      </c>
      <c r="AO19" s="641">
        <f ca="1">SUM(OFFSET('Output data (results)'!$B$10,AO$15-2000+INDEX($I$2:$I$4,MATCH($B$1,$H$2:$H$4,0)),INDEX($M$2:$M$9,MATCH($B19&amp;$C19,$J$2:$J$9,0)),1,INDEX($N$2:$N$9,MATCH($B19&amp;$C19,$J$2:$J$9,0))))</f>
        <v>4.1497461594717215</v>
      </c>
      <c r="AP19" s="641">
        <f ca="1">SUM(OFFSET('Output data (results)'!$B$10,AP$15-2000+INDEX($I$2:$I$4,MATCH($B$1,$H$2:$H$4,0)),INDEX($M$2:$M$9,MATCH($B19&amp;$C19,$J$2:$J$9,0)),1,INDEX($N$2:$N$9,MATCH($B19&amp;$C19,$J$2:$J$9,0))))</f>
        <v>4.1709549667392318</v>
      </c>
    </row>
    <row r="20" spans="1:42">
      <c r="A20" s="10" t="s">
        <v>794</v>
      </c>
      <c r="B20" t="s">
        <v>799</v>
      </c>
      <c r="C20" t="s">
        <v>188</v>
      </c>
      <c r="D20" s="1366">
        <f ca="1">SUM(OFFSET('Output data (results)'!$B$10,D$15-2000,INDEX($M$2:$M$9,MATCH($B20&amp;$C20,$J$2:$J$9,0)),1,INDEX($N$2:$N$9,MATCH($B20&amp;$C20,$J$2:$J$9,0))))</f>
        <v>121.41922272207</v>
      </c>
      <c r="E20" s="1366">
        <f ca="1">SUM(OFFSET('Output data (results)'!$B$10,E$15-2000,INDEX($M$2:$M$9,MATCH($B20&amp;$C20,$J$2:$J$9,0)),1,INDEX($N$2:$N$9,MATCH($B20&amp;$C20,$J$2:$J$9,0))))</f>
        <v>123.22687823091842</v>
      </c>
      <c r="F20" s="1366">
        <f ca="1">SUM(OFFSET('Output data (results)'!$B$10,F$15-2000,INDEX($M$2:$M$9,MATCH($B20&amp;$C20,$J$2:$J$9,0)),1,INDEX($N$2:$N$9,MATCH($B20&amp;$C20,$J$2:$J$9,0))))</f>
        <v>125.10182771891525</v>
      </c>
      <c r="G20" s="1366">
        <f ca="1">SUM(OFFSET('Output data (results)'!$B$10,G$15-2000,INDEX($M$2:$M$9,MATCH($B20&amp;$C20,$J$2:$J$9,0)),1,INDEX($N$2:$N$9,MATCH($B20&amp;$C20,$J$2:$J$9,0))))</f>
        <v>127.04639166810001</v>
      </c>
      <c r="H20" s="1366">
        <f ca="1">SUM(OFFSET('Output data (results)'!$B$10,H$15-2000,INDEX($M$2:$M$9,MATCH($B20&amp;$C20,$J$2:$J$9,0)),1,INDEX($N$2:$N$9,MATCH($B20&amp;$C20,$J$2:$J$9,0))))</f>
        <v>129.06521104255199</v>
      </c>
      <c r="I20" s="1366">
        <f ca="1">SUM(OFFSET('Output data (results)'!$B$10,I$15-2000,INDEX($M$2:$M$9,MATCH($B20&amp;$C20,$J$2:$J$9,0)),1,INDEX($N$2:$N$9,MATCH($B20&amp;$C20,$J$2:$J$9,0))))</f>
        <v>131.15828584227123</v>
      </c>
      <c r="J20" s="641">
        <f ca="1">SUM(OFFSET('Output data (results)'!$B$10,J$15-2000+INDEX($I$2:$I$4,MATCH($B$1,$H$2:$H$4,0)),INDEX($M$2:$M$9,MATCH($B20&amp;$C20,$J$2:$J$9,0)),1,INDEX($N$2:$N$9,MATCH($B20&amp;$C20,$J$2:$J$9,0))))</f>
        <v>134.80820881535828</v>
      </c>
      <c r="K20" s="641">
        <f ca="1">SUM(OFFSET('Output data (results)'!$B$10,K$15-2000+INDEX($I$2:$I$4,MATCH($B$1,$H$2:$H$4,0)),INDEX($M$2:$M$9,MATCH($B20&amp;$C20,$J$2:$J$9,0)),1,INDEX($N$2:$N$9,MATCH($B20&amp;$C20,$J$2:$J$9,0))))</f>
        <v>138.54240079281473</v>
      </c>
      <c r="L20" s="641">
        <f ca="1">SUM(OFFSET('Output data (results)'!$B$10,L$15-2000+INDEX($I$2:$I$4,MATCH($B$1,$H$2:$H$4,0)),INDEX($M$2:$M$9,MATCH($B20&amp;$C20,$J$2:$J$9,0)),1,INDEX($N$2:$N$9,MATCH($B20&amp;$C20,$J$2:$J$9,0))))</f>
        <v>142.36205971856938</v>
      </c>
      <c r="M20" s="641">
        <f ca="1">SUM(OFFSET('Output data (results)'!$B$10,M$15-2000+INDEX($I$2:$I$4,MATCH($B$1,$H$2:$H$4,0)),INDEX($M$2:$M$9,MATCH($B20&amp;$C20,$J$2:$J$9,0)),1,INDEX($N$2:$N$9,MATCH($B20&amp;$C20,$J$2:$J$9,0))))</f>
        <v>145.59854093589945</v>
      </c>
      <c r="N20" s="641">
        <f ca="1">SUM(OFFSET('Output data (results)'!$B$10,N$15-2000+INDEX($I$2:$I$4,MATCH($B$1,$H$2:$H$4,0)),INDEX($M$2:$M$9,MATCH($B20&amp;$C20,$J$2:$J$9,0)),1,INDEX($N$2:$N$9,MATCH($B20&amp;$C20,$J$2:$J$9,0))))</f>
        <v>148.88856151515967</v>
      </c>
      <c r="O20" s="641">
        <f ca="1">SUM(OFFSET('Output data (results)'!$B$10,O$15-2000+INDEX($I$2:$I$4,MATCH($B$1,$H$2:$H$4,0)),INDEX($M$2:$M$9,MATCH($B20&amp;$C20,$J$2:$J$9,0)),1,INDEX($N$2:$N$9,MATCH($B20&amp;$C20,$J$2:$J$9,0))))</f>
        <v>152.2376409126438</v>
      </c>
      <c r="P20" s="641">
        <f ca="1">SUM(OFFSET('Output data (results)'!$B$10,P$15-2000+INDEX($I$2:$I$4,MATCH($B$1,$H$2:$H$4,0)),INDEX($M$2:$M$9,MATCH($B20&amp;$C20,$J$2:$J$9,0)),1,INDEX($N$2:$N$9,MATCH($B20&amp;$C20,$J$2:$J$9,0))))</f>
        <v>155.64399106583625</v>
      </c>
      <c r="Q20" s="641">
        <f ca="1">SUM(OFFSET('Output data (results)'!$B$10,Q$15-2000+INDEX($I$2:$I$4,MATCH($B$1,$H$2:$H$4,0)),INDEX($M$2:$M$9,MATCH($B20&amp;$C20,$J$2:$J$9,0)),1,INDEX($N$2:$N$9,MATCH($B20&amp;$C20,$J$2:$J$9,0))))</f>
        <v>159.10825087816576</v>
      </c>
      <c r="R20" s="641">
        <f ca="1">SUM(OFFSET('Output data (results)'!$B$10,R$15-2000+INDEX($I$2:$I$4,MATCH($B$1,$H$2:$H$4,0)),INDEX($M$2:$M$9,MATCH($B20&amp;$C20,$J$2:$J$9,0)),1,INDEX($N$2:$N$9,MATCH($B20&amp;$C20,$J$2:$J$9,0))))</f>
        <v>162.3622518163962</v>
      </c>
      <c r="S20" s="641">
        <f ca="1">SUM(OFFSET('Output data (results)'!$B$10,S$15-2000+INDEX($I$2:$I$4,MATCH($B$1,$H$2:$H$4,0)),INDEX($M$2:$M$9,MATCH($B20&amp;$C20,$J$2:$J$9,0)),1,INDEX($N$2:$N$9,MATCH($B20&amp;$C20,$J$2:$J$9,0))))</f>
        <v>165.66726312381803</v>
      </c>
      <c r="T20" s="641">
        <f ca="1">SUM(OFFSET('Output data (results)'!$B$10,T$15-2000+INDEX($I$2:$I$4,MATCH($B$1,$H$2:$H$4,0)),INDEX($M$2:$M$9,MATCH($B20&amp;$C20,$J$2:$J$9,0)),1,INDEX($N$2:$N$9,MATCH($B20&amp;$C20,$J$2:$J$9,0))))</f>
        <v>169.01861721537597</v>
      </c>
      <c r="U20" s="641">
        <f ca="1">SUM(OFFSET('Output data (results)'!$B$10,U$15-2000+INDEX($I$2:$I$4,MATCH($B$1,$H$2:$H$4,0)),INDEX($M$2:$M$9,MATCH($B20&amp;$C20,$J$2:$J$9,0)),1,INDEX($N$2:$N$9,MATCH($B20&amp;$C20,$J$2:$J$9,0))))</f>
        <v>172.42199327322078</v>
      </c>
      <c r="V20" s="641">
        <f ca="1">SUM(OFFSET('Output data (results)'!$B$10,V$15-2000+INDEX($I$2:$I$4,MATCH($B$1,$H$2:$H$4,0)),INDEX($M$2:$M$9,MATCH($B20&amp;$C20,$J$2:$J$9,0)),1,INDEX($N$2:$N$9,MATCH($B20&amp;$C20,$J$2:$J$9,0))))</f>
        <v>175.87528378312254</v>
      </c>
      <c r="W20" s="641">
        <f ca="1">SUM(OFFSET('Output data (results)'!$B$10,W$15-2000+INDEX($I$2:$I$4,MATCH($B$1,$H$2:$H$4,0)),INDEX($M$2:$M$9,MATCH($B20&amp;$C20,$J$2:$J$9,0)),1,INDEX($N$2:$N$9,MATCH($B20&amp;$C20,$J$2:$J$9,0))))</f>
        <v>179.14735481190519</v>
      </c>
      <c r="X20" s="641">
        <f ca="1">SUM(OFFSET('Output data (results)'!$B$10,X$15-2000+INDEX($I$2:$I$4,MATCH($B$1,$H$2:$H$4,0)),INDEX($M$2:$M$9,MATCH($B20&amp;$C20,$J$2:$J$9,0)),1,INDEX($N$2:$N$9,MATCH($B20&amp;$C20,$J$2:$J$9,0))))</f>
        <v>182.46300004329916</v>
      </c>
      <c r="Y20" s="641">
        <f ca="1">SUM(OFFSET('Output data (results)'!$B$10,Y$15-2000+INDEX($I$2:$I$4,MATCH($B$1,$H$2:$H$4,0)),INDEX($M$2:$M$9,MATCH($B20&amp;$C20,$J$2:$J$9,0)),1,INDEX($N$2:$N$9,MATCH($B20&amp;$C20,$J$2:$J$9,0))))</f>
        <v>185.81987237428893</v>
      </c>
      <c r="Z20" s="641">
        <f ca="1">SUM(OFFSET('Output data (results)'!$B$10,Z$15-2000+INDEX($I$2:$I$4,MATCH($B$1,$H$2:$H$4,0)),INDEX($M$2:$M$9,MATCH($B20&amp;$C20,$J$2:$J$9,0)),1,INDEX($N$2:$N$9,MATCH($B20&amp;$C20,$J$2:$J$9,0))))</f>
        <v>189.22383733385854</v>
      </c>
      <c r="AA20" s="641">
        <f ca="1">SUM(OFFSET('Output data (results)'!$B$10,AA$15-2000+INDEX($I$2:$I$4,MATCH($B$1,$H$2:$H$4,0)),INDEX($M$2:$M$9,MATCH($B20&amp;$C20,$J$2:$J$9,0)),1,INDEX($N$2:$N$9,MATCH($B20&amp;$C20,$J$2:$J$9,0))))</f>
        <v>192.66977478035747</v>
      </c>
      <c r="AB20" s="641">
        <f ca="1">SUM(OFFSET('Output data (results)'!$B$10,AB$15-2000+INDEX($I$2:$I$4,MATCH($B$1,$H$2:$H$4,0)),INDEX($M$2:$M$9,MATCH($B20&amp;$C20,$J$2:$J$9,0)),1,INDEX($N$2:$N$9,MATCH($B20&amp;$C20,$J$2:$J$9,0))))</f>
        <v>195.92624915733671</v>
      </c>
      <c r="AC20" s="641">
        <f ca="1">SUM(OFFSET('Output data (results)'!$B$10,AC$15-2000+INDEX($I$2:$I$4,MATCH($B$1,$H$2:$H$4,0)),INDEX($M$2:$M$9,MATCH($B20&amp;$C20,$J$2:$J$9,0)),1,INDEX($N$2:$N$9,MATCH($B20&amp;$C20,$J$2:$J$9,0))))</f>
        <v>199.21811618301393</v>
      </c>
      <c r="AD20" s="641">
        <f ca="1">SUM(OFFSET('Output data (results)'!$B$10,AD$15-2000+INDEX($I$2:$I$4,MATCH($B$1,$H$2:$H$4,0)),INDEX($M$2:$M$9,MATCH($B20&amp;$C20,$J$2:$J$9,0)),1,INDEX($N$2:$N$9,MATCH($B20&amp;$C20,$J$2:$J$9,0))))</f>
        <v>202.55137449125439</v>
      </c>
      <c r="AE20" s="641">
        <f ca="1">SUM(OFFSET('Output data (results)'!$B$10,AE$15-2000+INDEX($I$2:$I$4,MATCH($B$1,$H$2:$H$4,0)),INDEX($M$2:$M$9,MATCH($B20&amp;$C20,$J$2:$J$9,0)),1,INDEX($N$2:$N$9,MATCH($B20&amp;$C20,$J$2:$J$9,0))))</f>
        <v>205.92061110966921</v>
      </c>
      <c r="AF20" s="641">
        <f ca="1">SUM(OFFSET('Output data (results)'!$B$10,AF$15-2000+INDEX($I$2:$I$4,MATCH($B$1,$H$2:$H$4,0)),INDEX($M$2:$M$9,MATCH($B20&amp;$C20,$J$2:$J$9,0)),1,INDEX($N$2:$N$9,MATCH($B20&amp;$C20,$J$2:$J$9,0))))</f>
        <v>209.32606562704407</v>
      </c>
      <c r="AG20" s="641">
        <f ca="1">SUM(OFFSET('Output data (results)'!$B$10,AG$15-2000+INDEX($I$2:$I$4,MATCH($B$1,$H$2:$H$4,0)),INDEX($M$2:$M$9,MATCH($B20&amp;$C20,$J$2:$J$9,0)),1,INDEX($N$2:$N$9,MATCH($B20&amp;$C20,$J$2:$J$9,0))))</f>
        <v>212.54010495110225</v>
      </c>
      <c r="AH20" s="641">
        <f ca="1">SUM(OFFSET('Output data (results)'!$B$10,AH$15-2000+INDEX($I$2:$I$4,MATCH($B$1,$H$2:$H$4,0)),INDEX($M$2:$M$9,MATCH($B20&amp;$C20,$J$2:$J$9,0)),1,INDEX($N$2:$N$9,MATCH($B20&amp;$C20,$J$2:$J$9,0))))</f>
        <v>215.78375571491307</v>
      </c>
      <c r="AI20" s="641">
        <f ca="1">SUM(OFFSET('Output data (results)'!$B$10,AI$15-2000+INDEX($I$2:$I$4,MATCH($B$1,$H$2:$H$4,0)),INDEX($M$2:$M$9,MATCH($B20&amp;$C20,$J$2:$J$9,0)),1,INDEX($N$2:$N$9,MATCH($B20&amp;$C20,$J$2:$J$9,0))))</f>
        <v>219.06019027175444</v>
      </c>
      <c r="AJ20" s="641">
        <f ca="1">SUM(OFFSET('Output data (results)'!$B$10,AJ$15-2000+INDEX($I$2:$I$4,MATCH($B$1,$H$2:$H$4,0)),INDEX($M$2:$M$9,MATCH($B20&amp;$C20,$J$2:$J$9,0)),1,INDEX($N$2:$N$9,MATCH($B20&amp;$C20,$J$2:$J$9,0))))</f>
        <v>222.36660896201545</v>
      </c>
      <c r="AK20" s="641">
        <f ca="1">SUM(OFFSET('Output data (results)'!$B$10,AK$15-2000+INDEX($I$2:$I$4,MATCH($B$1,$H$2:$H$4,0)),INDEX($M$2:$M$9,MATCH($B20&amp;$C20,$J$2:$J$9,0)),1,INDEX($N$2:$N$9,MATCH($B20&amp;$C20,$J$2:$J$9,0))))</f>
        <v>225.70930325029914</v>
      </c>
      <c r="AL20" s="641">
        <f ca="1">SUM(OFFSET('Output data (results)'!$B$10,AL$15-2000+INDEX($I$2:$I$4,MATCH($B$1,$H$2:$H$4,0)),INDEX($M$2:$M$9,MATCH($B20&amp;$C20,$J$2:$J$9,0)),1,INDEX($N$2:$N$9,MATCH($B20&amp;$C20,$J$2:$J$9,0))))</f>
        <v>228.82882339897614</v>
      </c>
      <c r="AM20" s="641">
        <f ca="1">SUM(OFFSET('Output data (results)'!$B$10,AM$15-2000+INDEX($I$2:$I$4,MATCH($B$1,$H$2:$H$4,0)),INDEX($M$2:$M$9,MATCH($B20&amp;$C20,$J$2:$J$9,0)),1,INDEX($N$2:$N$9,MATCH($B20&amp;$C20,$J$2:$J$9,0))))</f>
        <v>231.97766661377796</v>
      </c>
      <c r="AN20" s="641">
        <f ca="1">SUM(OFFSET('Output data (results)'!$B$10,AN$15-2000+INDEX($I$2:$I$4,MATCH($B$1,$H$2:$H$4,0)),INDEX($M$2:$M$9,MATCH($B20&amp;$C20,$J$2:$J$9,0)),1,INDEX($N$2:$N$9,MATCH($B20&amp;$C20,$J$2:$J$9,0))))</f>
        <v>235.1529267511888</v>
      </c>
      <c r="AO20" s="641">
        <f ca="1">SUM(OFFSET('Output data (results)'!$B$10,AO$15-2000+INDEX($I$2:$I$4,MATCH($B$1,$H$2:$H$4,0)),INDEX($M$2:$M$9,MATCH($B20&amp;$C20,$J$2:$J$9,0)),1,INDEX($N$2:$N$9,MATCH($B20&amp;$C20,$J$2:$J$9,0))))</f>
        <v>238.35159118378778</v>
      </c>
      <c r="AP20" s="641">
        <f ca="1">SUM(OFFSET('Output data (results)'!$B$10,AP$15-2000+INDEX($I$2:$I$4,MATCH($B$1,$H$2:$H$4,0)),INDEX($M$2:$M$9,MATCH($B20&amp;$C20,$J$2:$J$9,0)),1,INDEX($N$2:$N$9,MATCH($B20&amp;$C20,$J$2:$J$9,0))))</f>
        <v>241.58013772301177</v>
      </c>
    </row>
    <row r="21" spans="1:42">
      <c r="A21" s="10" t="s">
        <v>795</v>
      </c>
      <c r="B21" t="s">
        <v>797</v>
      </c>
      <c r="C21" t="s">
        <v>191</v>
      </c>
      <c r="D21" s="1366">
        <f ca="1">SUM(OFFSET('Output data (results)'!$B$10,D$15-2000,INDEX($M$2:$M$9,MATCH($B21&amp;$C21,$J$2:$J$9,0)),1,INDEX($N$2:$N$9,MATCH($B21&amp;$C21,$J$2:$J$9,0))))</f>
        <v>1.706567662943155</v>
      </c>
      <c r="E21" s="1366">
        <f ca="1">SUM(OFFSET('Output data (results)'!$B$10,E$15-2000,INDEX($M$2:$M$9,MATCH($B21&amp;$C21,$J$2:$J$9,0)),1,INDEX($N$2:$N$9,MATCH($B21&amp;$C21,$J$2:$J$9,0))))</f>
        <v>1.8043773331235373</v>
      </c>
      <c r="F21" s="1366">
        <f ca="1">SUM(OFFSET('Output data (results)'!$B$10,F$15-2000,INDEX($M$2:$M$9,MATCH($B21&amp;$C21,$J$2:$J$9,0)),1,INDEX($N$2:$N$9,MATCH($B21&amp;$C21,$J$2:$J$9,0))))</f>
        <v>1.891353631708824</v>
      </c>
      <c r="G21" s="1366">
        <f ca="1">SUM(OFFSET('Output data (results)'!$B$10,G$15-2000,INDEX($M$2:$M$9,MATCH($B21&amp;$C21,$J$2:$J$9,0)),1,INDEX($N$2:$N$9,MATCH($B21&amp;$C21,$J$2:$J$9,0))))</f>
        <v>1.9668107930853904</v>
      </c>
      <c r="H21" s="1366">
        <f ca="1">SUM(OFFSET('Output data (results)'!$B$10,H$15-2000,INDEX($M$2:$M$9,MATCH($B21&amp;$C21,$J$2:$J$9,0)),1,INDEX($N$2:$N$9,MATCH($B21&amp;$C21,$J$2:$J$9,0))))</f>
        <v>2.0319316636205804</v>
      </c>
      <c r="I21" s="1366">
        <f ca="1">SUM(OFFSET('Output data (results)'!$B$10,I$15-2000,INDEX($M$2:$M$9,MATCH($B21&amp;$C21,$J$2:$J$9,0)),1,INDEX($N$2:$N$9,MATCH($B21&amp;$C21,$J$2:$J$9,0))))</f>
        <v>2.0976843378934036</v>
      </c>
      <c r="J21" s="641">
        <f ca="1">SUM(OFFSET('Output data (results)'!$B$10,J$15-2000+INDEX($I$2:$I$4,MATCH($B$1,$H$2:$H$4,0)),INDEX($M$2:$M$9,MATCH($B21&amp;$C21,$J$2:$J$9,0)),1,INDEX($N$2:$N$9,MATCH($B21&amp;$C21,$J$2:$J$9,0))))</f>
        <v>2.0972301304931991</v>
      </c>
      <c r="K21" s="641">
        <f ca="1">SUM(OFFSET('Output data (results)'!$B$10,K$15-2000+INDEX($I$2:$I$4,MATCH($B$1,$H$2:$H$4,0)),INDEX($M$2:$M$9,MATCH($B21&amp;$C21,$J$2:$J$9,0)),1,INDEX($N$2:$N$9,MATCH($B21&amp;$C21,$J$2:$J$9,0))))</f>
        <v>2.1036206555283798</v>
      </c>
      <c r="L21" s="641">
        <f ca="1">SUM(OFFSET('Output data (results)'!$B$10,L$15-2000+INDEX($I$2:$I$4,MATCH($B$1,$H$2:$H$4,0)),INDEX($M$2:$M$9,MATCH($B21&amp;$C21,$J$2:$J$9,0)),1,INDEX($N$2:$N$9,MATCH($B21&amp;$C21,$J$2:$J$9,0))))</f>
        <v>1.8873642761653153</v>
      </c>
      <c r="M21" s="641">
        <f ca="1">SUM(OFFSET('Output data (results)'!$B$10,M$15-2000+INDEX($I$2:$I$4,MATCH($B$1,$H$2:$H$4,0)),INDEX($M$2:$M$9,MATCH($B21&amp;$C21,$J$2:$J$9,0)),1,INDEX($N$2:$N$9,MATCH($B21&amp;$C21,$J$2:$J$9,0))))</f>
        <v>1.9174117483123778</v>
      </c>
      <c r="N21" s="641">
        <f ca="1">SUM(OFFSET('Output data (results)'!$B$10,N$15-2000+INDEX($I$2:$I$4,MATCH($B$1,$H$2:$H$4,0)),INDEX($M$2:$M$9,MATCH($B21&amp;$C21,$J$2:$J$9,0)),1,INDEX($N$2:$N$9,MATCH($B21&amp;$C21,$J$2:$J$9,0))))</f>
        <v>2.0133354918311008</v>
      </c>
      <c r="O21" s="641">
        <f ca="1">SUM(OFFSET('Output data (results)'!$B$10,O$15-2000+INDEX($I$2:$I$4,MATCH($B$1,$H$2:$H$4,0)),INDEX($M$2:$M$9,MATCH($B21&amp;$C21,$J$2:$J$9,0)),1,INDEX($N$2:$N$9,MATCH($B21&amp;$C21,$J$2:$J$9,0))))</f>
        <v>2.1064490655982486</v>
      </c>
      <c r="P21" s="641">
        <f ca="1">SUM(OFFSET('Output data (results)'!$B$10,P$15-2000+INDEX($I$2:$I$4,MATCH($B$1,$H$2:$H$4,0)),INDEX($M$2:$M$9,MATCH($B21&amp;$C21,$J$2:$J$9,0)),1,INDEX($N$2:$N$9,MATCH($B21&amp;$C21,$J$2:$J$9,0))))</f>
        <v>2.2241277057828639</v>
      </c>
      <c r="Q21" s="641">
        <f ca="1">SUM(OFFSET('Output data (results)'!$B$10,Q$15-2000+INDEX($I$2:$I$4,MATCH($B$1,$H$2:$H$4,0)),INDEX($M$2:$M$9,MATCH($B21&amp;$C21,$J$2:$J$9,0)),1,INDEX($N$2:$N$9,MATCH($B21&amp;$C21,$J$2:$J$9,0))))</f>
        <v>2.4127551007825523</v>
      </c>
      <c r="R21" s="641">
        <f ca="1">SUM(OFFSET('Output data (results)'!$B$10,R$15-2000+INDEX($I$2:$I$4,MATCH($B$1,$H$2:$H$4,0)),INDEX($M$2:$M$9,MATCH($B21&amp;$C21,$J$2:$J$9,0)),1,INDEX($N$2:$N$9,MATCH($B21&amp;$C21,$J$2:$J$9,0))))</f>
        <v>2.525448643846766</v>
      </c>
      <c r="S21" s="641">
        <f ca="1">SUM(OFFSET('Output data (results)'!$B$10,S$15-2000+INDEX($I$2:$I$4,MATCH($B$1,$H$2:$H$4,0)),INDEX($M$2:$M$9,MATCH($B21&amp;$C21,$J$2:$J$9,0)),1,INDEX($N$2:$N$9,MATCH($B21&amp;$C21,$J$2:$J$9,0))))</f>
        <v>2.6429038708528019</v>
      </c>
      <c r="T21" s="641">
        <f ca="1">SUM(OFFSET('Output data (results)'!$B$10,T$15-2000+INDEX($I$2:$I$4,MATCH($B$1,$H$2:$H$4,0)),INDEX($M$2:$M$9,MATCH($B21&amp;$C21,$J$2:$J$9,0)),1,INDEX($N$2:$N$9,MATCH($B21&amp;$C21,$J$2:$J$9,0))))</f>
        <v>2.585546896319308</v>
      </c>
      <c r="U21" s="641">
        <f ca="1">SUM(OFFSET('Output data (results)'!$B$10,U$15-2000+INDEX($I$2:$I$4,MATCH($B$1,$H$2:$H$4,0)),INDEX($M$2:$M$9,MATCH($B21&amp;$C21,$J$2:$J$9,0)),1,INDEX($N$2:$N$9,MATCH($B21&amp;$C21,$J$2:$J$9,0))))</f>
        <v>2.5377884407062741</v>
      </c>
      <c r="V21" s="641">
        <f ca="1">SUM(OFFSET('Output data (results)'!$B$10,V$15-2000+INDEX($I$2:$I$4,MATCH($B$1,$H$2:$H$4,0)),INDEX($M$2:$M$9,MATCH($B21&amp;$C21,$J$2:$J$9,0)),1,INDEX($N$2:$N$9,MATCH($B21&amp;$C21,$J$2:$J$9,0))))</f>
        <v>2.4995257692216533</v>
      </c>
      <c r="W21" s="641">
        <f ca="1">SUM(OFFSET('Output data (results)'!$B$10,W$15-2000+INDEX($I$2:$I$4,MATCH($B$1,$H$2:$H$4,0)),INDEX($M$2:$M$9,MATCH($B21&amp;$C21,$J$2:$J$9,0)),1,INDEX($N$2:$N$9,MATCH($B21&amp;$C21,$J$2:$J$9,0))))</f>
        <v>2.4348891342612027</v>
      </c>
      <c r="X21" s="641">
        <f ca="1">SUM(OFFSET('Output data (results)'!$B$10,X$15-2000+INDEX($I$2:$I$4,MATCH($B$1,$H$2:$H$4,0)),INDEX($M$2:$M$9,MATCH($B21&amp;$C21,$J$2:$J$9,0)),1,INDEX($N$2:$N$9,MATCH($B21&amp;$C21,$J$2:$J$9,0))))</f>
        <v>2.3616957002757397</v>
      </c>
      <c r="Y21" s="641">
        <f ca="1">SUM(OFFSET('Output data (results)'!$B$10,Y$15-2000+INDEX($I$2:$I$4,MATCH($B$1,$H$2:$H$4,0)),INDEX($M$2:$M$9,MATCH($B21&amp;$C21,$J$2:$J$9,0)),1,INDEX($N$2:$N$9,MATCH($B21&amp;$C21,$J$2:$J$9,0))))</f>
        <v>2.2965415333654491</v>
      </c>
      <c r="Z21" s="641">
        <f ca="1">SUM(OFFSET('Output data (results)'!$B$10,Z$15-2000+INDEX($I$2:$I$4,MATCH($B$1,$H$2:$H$4,0)),INDEX($M$2:$M$9,MATCH($B21&amp;$C21,$J$2:$J$9,0)),1,INDEX($N$2:$N$9,MATCH($B21&amp;$C21,$J$2:$J$9,0))))</f>
        <v>2.2352664919080594</v>
      </c>
      <c r="AA21" s="641">
        <f ca="1">SUM(OFFSET('Output data (results)'!$B$10,AA$15-2000+INDEX($I$2:$I$4,MATCH($B$1,$H$2:$H$4,0)),INDEX($M$2:$M$9,MATCH($B21&amp;$C21,$J$2:$J$9,0)),1,INDEX($N$2:$N$9,MATCH($B21&amp;$C21,$J$2:$J$9,0))))</f>
        <v>2.1777267347242217</v>
      </c>
      <c r="AB21" s="641">
        <f ca="1">SUM(OFFSET('Output data (results)'!$B$10,AB$15-2000+INDEX($I$2:$I$4,MATCH($B$1,$H$2:$H$4,0)),INDEX($M$2:$M$9,MATCH($B21&amp;$C21,$J$2:$J$9,0)),1,INDEX($N$2:$N$9,MATCH($B21&amp;$C21,$J$2:$J$9,0))))</f>
        <v>2.3251135382943411</v>
      </c>
      <c r="AC21" s="641">
        <f ca="1">SUM(OFFSET('Output data (results)'!$B$10,AC$15-2000+INDEX($I$2:$I$4,MATCH($B$1,$H$2:$H$4,0)),INDEX($M$2:$M$9,MATCH($B21&amp;$C21,$J$2:$J$9,0)),1,INDEX($N$2:$N$9,MATCH($B21&amp;$C21,$J$2:$J$9,0))))</f>
        <v>2.5100821340496835</v>
      </c>
      <c r="AD21" s="641">
        <f ca="1">SUM(OFFSET('Output data (results)'!$B$10,AD$15-2000+INDEX($I$2:$I$4,MATCH($B$1,$H$2:$H$4,0)),INDEX($M$2:$M$9,MATCH($B21&amp;$C21,$J$2:$J$9,0)),1,INDEX($N$2:$N$9,MATCH($B21&amp;$C21,$J$2:$J$9,0))))</f>
        <v>2.6766799683504456</v>
      </c>
      <c r="AE21" s="641">
        <f ca="1">SUM(OFFSET('Output data (results)'!$B$10,AE$15-2000+INDEX($I$2:$I$4,MATCH($B$1,$H$2:$H$4,0)),INDEX($M$2:$M$9,MATCH($B21&amp;$C21,$J$2:$J$9,0)),1,INDEX($N$2:$N$9,MATCH($B21&amp;$C21,$J$2:$J$9,0))))</f>
        <v>2.8441983888320306</v>
      </c>
      <c r="AF21" s="641">
        <f ca="1">SUM(OFFSET('Output data (results)'!$B$10,AF$15-2000+INDEX($I$2:$I$4,MATCH($B$1,$H$2:$H$4,0)),INDEX($M$2:$M$9,MATCH($B21&amp;$C21,$J$2:$J$9,0)),1,INDEX($N$2:$N$9,MATCH($B21&amp;$C21,$J$2:$J$9,0))))</f>
        <v>3.0148234848944706</v>
      </c>
      <c r="AG21" s="641">
        <f ca="1">SUM(OFFSET('Output data (results)'!$B$10,AG$15-2000+INDEX($I$2:$I$4,MATCH($B$1,$H$2:$H$4,0)),INDEX($M$2:$M$9,MATCH($B21&amp;$C21,$J$2:$J$9,0)),1,INDEX($N$2:$N$9,MATCH($B21&amp;$C21,$J$2:$J$9,0))))</f>
        <v>2.9861113692386101</v>
      </c>
      <c r="AH21" s="641">
        <f ca="1">SUM(OFFSET('Output data (results)'!$B$10,AH$15-2000+INDEX($I$2:$I$4,MATCH($B$1,$H$2:$H$4,0)),INDEX($M$2:$M$9,MATCH($B21&amp;$C21,$J$2:$J$9,0)),1,INDEX($N$2:$N$9,MATCH($B21&amp;$C21,$J$2:$J$9,0))))</f>
        <v>2.9606097402485272</v>
      </c>
      <c r="AI21" s="641">
        <f ca="1">SUM(OFFSET('Output data (results)'!$B$10,AI$15-2000+INDEX($I$2:$I$4,MATCH($B$1,$H$2:$H$4,0)),INDEX($M$2:$M$9,MATCH($B21&amp;$C21,$J$2:$J$9,0)),1,INDEX($N$2:$N$9,MATCH($B21&amp;$C21,$J$2:$J$9,0))))</f>
        <v>2.9376883876155606</v>
      </c>
      <c r="AJ21" s="641">
        <f ca="1">SUM(OFFSET('Output data (results)'!$B$10,AJ$15-2000+INDEX($I$2:$I$4,MATCH($B$1,$H$2:$H$4,0)),INDEX($M$2:$M$9,MATCH($B21&amp;$C21,$J$2:$J$9,0)),1,INDEX($N$2:$N$9,MATCH($B21&amp;$C21,$J$2:$J$9,0))))</f>
        <v>2.9176290141460437</v>
      </c>
      <c r="AK21" s="641">
        <f ca="1">SUM(OFFSET('Output data (results)'!$B$10,AK$15-2000+INDEX($I$2:$I$4,MATCH($B$1,$H$2:$H$4,0)),INDEX($M$2:$M$9,MATCH($B21&amp;$C21,$J$2:$J$9,0)),1,INDEX($N$2:$N$9,MATCH($B21&amp;$C21,$J$2:$J$9,0))))</f>
        <v>2.9023540177301497</v>
      </c>
      <c r="AL21" s="641">
        <f ca="1">SUM(OFFSET('Output data (results)'!$B$10,AL$15-2000+INDEX($I$2:$I$4,MATCH($B$1,$H$2:$H$4,0)),INDEX($M$2:$M$9,MATCH($B21&amp;$C21,$J$2:$J$9,0)),1,INDEX($N$2:$N$9,MATCH($B21&amp;$C21,$J$2:$J$9,0))))</f>
        <v>2.8896411439626877</v>
      </c>
      <c r="AM21" s="641">
        <f ca="1">SUM(OFFSET('Output data (results)'!$B$10,AM$15-2000+INDEX($I$2:$I$4,MATCH($B$1,$H$2:$H$4,0)),INDEX($M$2:$M$9,MATCH($B21&amp;$C21,$J$2:$J$9,0)),1,INDEX($N$2:$N$9,MATCH($B21&amp;$C21,$J$2:$J$9,0))))</f>
        <v>2.8797999511529309</v>
      </c>
      <c r="AN21" s="641">
        <f ca="1">SUM(OFFSET('Output data (results)'!$B$10,AN$15-2000+INDEX($I$2:$I$4,MATCH($B$1,$H$2:$H$4,0)),INDEX($M$2:$M$9,MATCH($B21&amp;$C21,$J$2:$J$9,0)),1,INDEX($N$2:$N$9,MATCH($B21&amp;$C21,$J$2:$J$9,0))))</f>
        <v>2.9064855077613698</v>
      </c>
      <c r="AO21" s="641">
        <f ca="1">SUM(OFFSET('Output data (results)'!$B$10,AO$15-2000+INDEX($I$2:$I$4,MATCH($B$1,$H$2:$H$4,0)),INDEX($M$2:$M$9,MATCH($B21&amp;$C21,$J$2:$J$9,0)),1,INDEX($N$2:$N$9,MATCH($B21&amp;$C21,$J$2:$J$9,0))))</f>
        <v>2.9364776364236898</v>
      </c>
      <c r="AP21" s="641">
        <f ca="1">SUM(OFFSET('Output data (results)'!$B$10,AP$15-2000+INDEX($I$2:$I$4,MATCH($B$1,$H$2:$H$4,0)),INDEX($M$2:$M$9,MATCH($B21&amp;$C21,$J$2:$J$9,0)),1,INDEX($N$2:$N$9,MATCH($B21&amp;$C21,$J$2:$J$9,0))))</f>
        <v>2.9697560335160929</v>
      </c>
    </row>
    <row r="22" spans="1:42">
      <c r="A22" s="10" t="s">
        <v>793</v>
      </c>
      <c r="B22" t="s">
        <v>798</v>
      </c>
      <c r="C22" t="s">
        <v>191</v>
      </c>
      <c r="D22" s="1366">
        <f ca="1">SUM(OFFSET('Output data (results)'!$B$10,D$15-2000,INDEX($M$2:$M$9,MATCH($B22&amp;$C22,$J$2:$J$9,0)),1,INDEX($N$2:$N$9,MATCH($B22&amp;$C22,$J$2:$J$9,0))))</f>
        <v>0.15062295992382718</v>
      </c>
      <c r="E22" s="1366">
        <f ca="1">SUM(OFFSET('Output data (results)'!$B$10,E$15-2000,INDEX($M$2:$M$9,MATCH($B22&amp;$C22,$J$2:$J$9,0)),1,INDEX($N$2:$N$9,MATCH($B22&amp;$C22,$J$2:$J$9,0))))</f>
        <v>0.15288572467326916</v>
      </c>
      <c r="F22" s="1366">
        <f ca="1">SUM(OFFSET('Output data (results)'!$B$10,F$15-2000,INDEX($M$2:$M$9,MATCH($B22&amp;$C22,$J$2:$J$9,0)),1,INDEX($N$2:$N$9,MATCH($B22&amp;$C22,$J$2:$J$9,0))))</f>
        <v>0.15478795607566345</v>
      </c>
      <c r="G22" s="1366">
        <f ca="1">SUM(OFFSET('Output data (results)'!$B$10,G$15-2000,INDEX($M$2:$M$9,MATCH($B22&amp;$C22,$J$2:$J$9,0)),1,INDEX($N$2:$N$9,MATCH($B22&amp;$C22,$J$2:$J$9,0))))</f>
        <v>0.15631183333455312</v>
      </c>
      <c r="H22" s="1366">
        <f ca="1">SUM(OFFSET('Output data (results)'!$B$10,H$15-2000,INDEX($M$2:$M$9,MATCH($B22&amp;$C22,$J$2:$J$9,0)),1,INDEX($N$2:$N$9,MATCH($B22&amp;$C22,$J$2:$J$9,0))))</f>
        <v>0.1574408338277522</v>
      </c>
      <c r="I22" s="1366">
        <f ca="1">SUM(OFFSET('Output data (results)'!$B$10,I$15-2000,INDEX($M$2:$M$9,MATCH($B22&amp;$C22,$J$2:$J$9,0)),1,INDEX($N$2:$N$9,MATCH($B22&amp;$C22,$J$2:$J$9,0))))</f>
        <v>0.15815109346628189</v>
      </c>
      <c r="J22" s="641">
        <f ca="1">SUM(OFFSET('Output data (results)'!$B$10,J$15-2000+INDEX($I$2:$I$4,MATCH($B$1,$H$2:$H$4,0)),INDEX($M$2:$M$9,MATCH($B22&amp;$C22,$J$2:$J$9,0)),1,INDEX($N$2:$N$9,MATCH($B22&amp;$C22,$J$2:$J$9,0))))</f>
        <v>0.15662763826888526</v>
      </c>
      <c r="K22" s="641">
        <f ca="1">SUM(OFFSET('Output data (results)'!$B$10,K$15-2000+INDEX($I$2:$I$4,MATCH($B$1,$H$2:$H$4,0)),INDEX($M$2:$M$9,MATCH($B22&amp;$C22,$J$2:$J$9,0)),1,INDEX($N$2:$N$9,MATCH($B22&amp;$C22,$J$2:$J$9,0))))</f>
        <v>0.15524099920572906</v>
      </c>
      <c r="L22" s="641">
        <f ca="1">SUM(OFFSET('Output data (results)'!$B$10,L$15-2000+INDEX($I$2:$I$4,MATCH($B$1,$H$2:$H$4,0)),INDEX($M$2:$M$9,MATCH($B22&amp;$C22,$J$2:$J$9,0)),1,INDEX($N$2:$N$9,MATCH($B22&amp;$C22,$J$2:$J$9,0))))</f>
        <v>0.15399419071370238</v>
      </c>
      <c r="M22" s="641">
        <f ca="1">SUM(OFFSET('Output data (results)'!$B$10,M$15-2000+INDEX($I$2:$I$4,MATCH($B$1,$H$2:$H$4,0)),INDEX($M$2:$M$9,MATCH($B22&amp;$C22,$J$2:$J$9,0)),1,INDEX($N$2:$N$9,MATCH($B22&amp;$C22,$J$2:$J$9,0))))</f>
        <v>0.15219087539836484</v>
      </c>
      <c r="N22" s="641">
        <f ca="1">SUM(OFFSET('Output data (results)'!$B$10,N$15-2000+INDEX($I$2:$I$4,MATCH($B$1,$H$2:$H$4,0)),INDEX($M$2:$M$9,MATCH($B22&amp;$C22,$J$2:$J$9,0)),1,INDEX($N$2:$N$9,MATCH($B22&amp;$C22,$J$2:$J$9,0))))</f>
        <v>0.15054700830013618</v>
      </c>
      <c r="O22" s="641">
        <f ca="1">SUM(OFFSET('Output data (results)'!$B$10,O$15-2000+INDEX($I$2:$I$4,MATCH($B$1,$H$2:$H$4,0)),INDEX($M$2:$M$9,MATCH($B22&amp;$C22,$J$2:$J$9,0)),1,INDEX($N$2:$N$9,MATCH($B22&amp;$C22,$J$2:$J$9,0))))</f>
        <v>0.14907148150228428</v>
      </c>
      <c r="P22" s="641">
        <f ca="1">SUM(OFFSET('Output data (results)'!$B$10,P$15-2000+INDEX($I$2:$I$4,MATCH($B$1,$H$2:$H$4,0)),INDEX($M$2:$M$9,MATCH($B22&amp;$C22,$J$2:$J$9,0)),1,INDEX($N$2:$N$9,MATCH($B22&amp;$C22,$J$2:$J$9,0))))</f>
        <v>0.14776670217790949</v>
      </c>
      <c r="Q22" s="641">
        <f ca="1">SUM(OFFSET('Output data (results)'!$B$10,Q$15-2000+INDEX($I$2:$I$4,MATCH($B$1,$H$2:$H$4,0)),INDEX($M$2:$M$9,MATCH($B22&amp;$C22,$J$2:$J$9,0)),1,INDEX($N$2:$N$9,MATCH($B22&amp;$C22,$J$2:$J$9,0))))</f>
        <v>0.14663883868720068</v>
      </c>
      <c r="R22" s="641">
        <f ca="1">SUM(OFFSET('Output data (results)'!$B$10,R$15-2000+INDEX($I$2:$I$4,MATCH($B$1,$H$2:$H$4,0)),INDEX($M$2:$M$9,MATCH($B22&amp;$C22,$J$2:$J$9,0)),1,INDEX($N$2:$N$9,MATCH($B22&amp;$C22,$J$2:$J$9,0))))</f>
        <v>0.14545466260963971</v>
      </c>
      <c r="S22" s="641">
        <f ca="1">SUM(OFFSET('Output data (results)'!$B$10,S$15-2000+INDEX($I$2:$I$4,MATCH($B$1,$H$2:$H$4,0)),INDEX($M$2:$M$9,MATCH($B22&amp;$C22,$J$2:$J$9,0)),1,INDEX($N$2:$N$9,MATCH($B22&amp;$C22,$J$2:$J$9,0))))</f>
        <v>0.14446990661307874</v>
      </c>
      <c r="T22" s="641">
        <f ca="1">SUM(OFFSET('Output data (results)'!$B$10,T$15-2000+INDEX($I$2:$I$4,MATCH($B$1,$H$2:$H$4,0)),INDEX($M$2:$M$9,MATCH($B22&amp;$C22,$J$2:$J$9,0)),1,INDEX($N$2:$N$9,MATCH($B22&amp;$C22,$J$2:$J$9,0))))</f>
        <v>0.13831598691937869</v>
      </c>
      <c r="U22" s="641">
        <f ca="1">SUM(OFFSET('Output data (results)'!$B$10,U$15-2000+INDEX($I$2:$I$4,MATCH($B$1,$H$2:$H$4,0)),INDEX($M$2:$M$9,MATCH($B22&amp;$C22,$J$2:$J$9,0)),1,INDEX($N$2:$N$9,MATCH($B22&amp;$C22,$J$2:$J$9,0))))</f>
        <v>0.13242583088621135</v>
      </c>
      <c r="V22" s="641">
        <f ca="1">SUM(OFFSET('Output data (results)'!$B$10,V$15-2000+INDEX($I$2:$I$4,MATCH($B$1,$H$2:$H$4,0)),INDEX($M$2:$M$9,MATCH($B22&amp;$C22,$J$2:$J$9,0)),1,INDEX($N$2:$N$9,MATCH($B22&amp;$C22,$J$2:$J$9,0))))</f>
        <v>0.12678597939806416</v>
      </c>
      <c r="W22" s="641">
        <f ca="1">SUM(OFFSET('Output data (results)'!$B$10,W$15-2000+INDEX($I$2:$I$4,MATCH($B$1,$H$2:$H$4,0)),INDEX($M$2:$M$9,MATCH($B22&amp;$C22,$J$2:$J$9,0)),1,INDEX($N$2:$N$9,MATCH($B22&amp;$C22,$J$2:$J$9,0))))</f>
        <v>0.12181416891636178</v>
      </c>
      <c r="X22" s="641">
        <f ca="1">SUM(OFFSET('Output data (results)'!$B$10,X$15-2000+INDEX($I$2:$I$4,MATCH($B$1,$H$2:$H$4,0)),INDEX($M$2:$M$9,MATCH($B22&amp;$C22,$J$2:$J$9,0)),1,INDEX($N$2:$N$9,MATCH($B22&amp;$C22,$J$2:$J$9,0))))</f>
        <v>0.11674857973779565</v>
      </c>
      <c r="Y22" s="641">
        <f ca="1">SUM(OFFSET('Output data (results)'!$B$10,Y$15-2000+INDEX($I$2:$I$4,MATCH($B$1,$H$2:$H$4,0)),INDEX($M$2:$M$9,MATCH($B22&amp;$C22,$J$2:$J$9,0)),1,INDEX($N$2:$N$9,MATCH($B22&amp;$C22,$J$2:$J$9,0))))</f>
        <v>0.11158619743218276</v>
      </c>
      <c r="Z22" s="641">
        <f ca="1">SUM(OFFSET('Output data (results)'!$B$10,Z$15-2000+INDEX($I$2:$I$4,MATCH($B$1,$H$2:$H$4,0)),INDEX($M$2:$M$9,MATCH($B22&amp;$C22,$J$2:$J$9,0)),1,INDEX($N$2:$N$9,MATCH($B22&amp;$C22,$J$2:$J$9,0))))</f>
        <v>0.10632904631364978</v>
      </c>
      <c r="AA22" s="641">
        <f ca="1">SUM(OFFSET('Output data (results)'!$B$10,AA$15-2000+INDEX($I$2:$I$4,MATCH($B$1,$H$2:$H$4,0)),INDEX($M$2:$M$9,MATCH($B22&amp;$C22,$J$2:$J$9,0)),1,INDEX($N$2:$N$9,MATCH($B22&amp;$C22,$J$2:$J$9,0))))</f>
        <v>0.10097255372046327</v>
      </c>
      <c r="AB22" s="641">
        <f ca="1">SUM(OFFSET('Output data (results)'!$B$10,AB$15-2000+INDEX($I$2:$I$4,MATCH($B$1,$H$2:$H$4,0)),INDEX($M$2:$M$9,MATCH($B22&amp;$C22,$J$2:$J$9,0)),1,INDEX($N$2:$N$9,MATCH($B22&amp;$C22,$J$2:$J$9,0))))</f>
        <v>9.5402778552488132E-2</v>
      </c>
      <c r="AC22" s="641">
        <f ca="1">SUM(OFFSET('Output data (results)'!$B$10,AC$15-2000+INDEX($I$2:$I$4,MATCH($B$1,$H$2:$H$4,0)),INDEX($M$2:$M$9,MATCH($B22&amp;$C22,$J$2:$J$9,0)),1,INDEX($N$2:$N$9,MATCH($B22&amp;$C22,$J$2:$J$9,0))))</f>
        <v>9.396302776027611E-2</v>
      </c>
      <c r="AD22" s="641">
        <f ca="1">SUM(OFFSET('Output data (results)'!$B$10,AD$15-2000+INDEX($I$2:$I$4,MATCH($B$1,$H$2:$H$4,0)),INDEX($M$2:$M$9,MATCH($B22&amp;$C22,$J$2:$J$9,0)),1,INDEX($N$2:$N$9,MATCH($B22&amp;$C22,$J$2:$J$9,0))))</f>
        <v>9.0595460202081396E-2</v>
      </c>
      <c r="AE22" s="641">
        <f ca="1">SUM(OFFSET('Output data (results)'!$B$10,AE$15-2000+INDEX($I$2:$I$4,MATCH($B$1,$H$2:$H$4,0)),INDEX($M$2:$M$9,MATCH($B22&amp;$C22,$J$2:$J$9,0)),1,INDEX($N$2:$N$9,MATCH($B22&amp;$C22,$J$2:$J$9,0))))</f>
        <v>8.7172530945077376E-2</v>
      </c>
      <c r="AF22" s="641">
        <f ca="1">SUM(OFFSET('Output data (results)'!$B$10,AF$15-2000+INDEX($I$2:$I$4,MATCH($B$1,$H$2:$H$4,0)),INDEX($M$2:$M$9,MATCH($B22&amp;$C22,$J$2:$J$9,0)),1,INDEX($N$2:$N$9,MATCH($B22&amp;$C22,$J$2:$J$9,0))))</f>
        <v>8.3693720973337743E-2</v>
      </c>
      <c r="AG22" s="641">
        <f ca="1">SUM(OFFSET('Output data (results)'!$B$10,AG$15-2000+INDEX($I$2:$I$4,MATCH($B$1,$H$2:$H$4,0)),INDEX($M$2:$M$9,MATCH($B22&amp;$C22,$J$2:$J$9,0)),1,INDEX($N$2:$N$9,MATCH($B22&amp;$C22,$J$2:$J$9,0))))</f>
        <v>8.0072662192157668E-2</v>
      </c>
      <c r="AH22" s="641">
        <f ca="1">SUM(OFFSET('Output data (results)'!$B$10,AH$15-2000+INDEX($I$2:$I$4,MATCH($B$1,$H$2:$H$4,0)),INDEX($M$2:$M$9,MATCH($B22&amp;$C22,$J$2:$J$9,0)),1,INDEX($N$2:$N$9,MATCH($B22&amp;$C22,$J$2:$J$9,0))))</f>
        <v>7.6402508348908479E-2</v>
      </c>
      <c r="AI22" s="641">
        <f ca="1">SUM(OFFSET('Output data (results)'!$B$10,AI$15-2000+INDEX($I$2:$I$4,MATCH($B$1,$H$2:$H$4,0)),INDEX($M$2:$M$9,MATCH($B22&amp;$C22,$J$2:$J$9,0)),1,INDEX($N$2:$N$9,MATCH($B22&amp;$C22,$J$2:$J$9,0))))</f>
        <v>7.2683913019201185E-2</v>
      </c>
      <c r="AJ22" s="641">
        <f ca="1">SUM(OFFSET('Output data (results)'!$B$10,AJ$15-2000+INDEX($I$2:$I$4,MATCH($B$1,$H$2:$H$4,0)),INDEX($M$2:$M$9,MATCH($B22&amp;$C22,$J$2:$J$9,0)),1,INDEX($N$2:$N$9,MATCH($B22&amp;$C22,$J$2:$J$9,0))))</f>
        <v>6.8915415269317243E-2</v>
      </c>
      <c r="AK22" s="641">
        <f ca="1">SUM(OFFSET('Output data (results)'!$B$10,AK$15-2000+INDEX($I$2:$I$4,MATCH($B$1,$H$2:$H$4,0)),INDEX($M$2:$M$9,MATCH($B22&amp;$C22,$J$2:$J$9,0)),1,INDEX($N$2:$N$9,MATCH($B22&amp;$C22,$J$2:$J$9,0))))</f>
        <v>6.5098437587350996E-2</v>
      </c>
      <c r="AL22" s="641">
        <f ca="1">SUM(OFFSET('Output data (results)'!$B$10,AL$15-2000+INDEX($I$2:$I$4,MATCH($B$1,$H$2:$H$4,0)),INDEX($M$2:$M$9,MATCH($B22&amp;$C22,$J$2:$J$9,0)),1,INDEX($N$2:$N$9,MATCH($B22&amp;$C22,$J$2:$J$9,0))))</f>
        <v>6.1162855154810701E-2</v>
      </c>
      <c r="AM22" s="641">
        <f ca="1">SUM(OFFSET('Output data (results)'!$B$10,AM$15-2000+INDEX($I$2:$I$4,MATCH($B$1,$H$2:$H$4,0)),INDEX($M$2:$M$9,MATCH($B22&amp;$C22,$J$2:$J$9,0)),1,INDEX($N$2:$N$9,MATCH($B22&amp;$C22,$J$2:$J$9,0))))</f>
        <v>5.718632813252604E-2</v>
      </c>
      <c r="AN22" s="641">
        <f ca="1">SUM(OFFSET('Output data (results)'!$B$10,AN$15-2000+INDEX($I$2:$I$4,MATCH($B$1,$H$2:$H$4,0)),INDEX($M$2:$M$9,MATCH($B22&amp;$C22,$J$2:$J$9,0)),1,INDEX($N$2:$N$9,MATCH($B22&amp;$C22,$J$2:$J$9,0))))</f>
        <v>5.7478514876241629E-2</v>
      </c>
      <c r="AO22" s="641">
        <f ca="1">SUM(OFFSET('Output data (results)'!$B$10,AO$15-2000+INDEX($I$2:$I$4,MATCH($B$1,$H$2:$H$4,0)),INDEX($M$2:$M$9,MATCH($B22&amp;$C22,$J$2:$J$9,0)),1,INDEX($N$2:$N$9,MATCH($B22&amp;$C22,$J$2:$J$9,0))))</f>
        <v>5.7771470532440694E-2</v>
      </c>
      <c r="AP22" s="641">
        <f ca="1">SUM(OFFSET('Output data (results)'!$B$10,AP$15-2000+INDEX($I$2:$I$4,MATCH($B$1,$H$2:$H$4,0)),INDEX($M$2:$M$9,MATCH($B22&amp;$C22,$J$2:$J$9,0)),1,INDEX($N$2:$N$9,MATCH($B22&amp;$C22,$J$2:$J$9,0))))</f>
        <v>5.8066732926090131E-2</v>
      </c>
    </row>
    <row r="23" spans="1:42">
      <c r="A23" s="10" t="s">
        <v>794</v>
      </c>
      <c r="B23" t="s">
        <v>799</v>
      </c>
      <c r="C23" t="s">
        <v>191</v>
      </c>
      <c r="D23" s="1366">
        <f ca="1">SUM(OFFSET('Output data (results)'!$B$10,D$15-2000,INDEX($M$2:$M$9,MATCH($B23&amp;$C23,$J$2:$J$9,0)),1,INDEX($N$2:$N$9,MATCH($B23&amp;$C23,$J$2:$J$9,0))))</f>
        <v>2.6382989586250001</v>
      </c>
      <c r="E23" s="1366">
        <f ca="1">SUM(OFFSET('Output data (results)'!$B$10,E$15-2000,INDEX($M$2:$M$9,MATCH($B23&amp;$C23,$J$2:$J$9,0)),1,INDEX($N$2:$N$9,MATCH($B23&amp;$C23,$J$2:$J$9,0))))</f>
        <v>2.6775772173687913</v>
      </c>
      <c r="F23" s="1366">
        <f ca="1">SUM(OFFSET('Output data (results)'!$B$10,F$15-2000,INDEX($M$2:$M$9,MATCH($B23&amp;$C23,$J$2:$J$9,0)),1,INDEX($N$2:$N$9,MATCH($B23&amp;$C23,$J$2:$J$9,0))))</f>
        <v>2.7183176962712094</v>
      </c>
      <c r="G23" s="1366">
        <f ca="1">SUM(OFFSET('Output data (results)'!$B$10,G$15-2000,INDEX($M$2:$M$9,MATCH($B23&amp;$C23,$J$2:$J$9,0)),1,INDEX($N$2:$N$9,MATCH($B23&amp;$C23,$J$2:$J$9,0))))</f>
        <v>2.7605708167170335</v>
      </c>
      <c r="H23" s="1366">
        <f ca="1">SUM(OFFSET('Output data (results)'!$B$10,H$15-2000,INDEX($M$2:$M$9,MATCH($B23&amp;$C23,$J$2:$J$9,0)),1,INDEX($N$2:$N$9,MATCH($B23&amp;$C23,$J$2:$J$9,0))))</f>
        <v>2.8044374214758245</v>
      </c>
      <c r="I23" s="1366">
        <f ca="1">SUM(OFFSET('Output data (results)'!$B$10,I$15-2000,INDEX($M$2:$M$9,MATCH($B23&amp;$C23,$J$2:$J$9,0)),1,INDEX($N$2:$N$9,MATCH($B23&amp;$C23,$J$2:$J$9,0))))</f>
        <v>2.8499175105475834</v>
      </c>
      <c r="J23" s="641">
        <f ca="1">SUM(OFFSET('Output data (results)'!$B$10,J$15-2000+INDEX($I$2:$I$4,MATCH($B$1,$H$2:$H$4,0)),INDEX($M$2:$M$9,MATCH($B23&amp;$C23,$J$2:$J$9,0)),1,INDEX($N$2:$N$9,MATCH($B23&amp;$C23,$J$2:$J$9,0))))</f>
        <v>2.8960026562367029</v>
      </c>
      <c r="K23" s="641">
        <f ca="1">SUM(OFFSET('Output data (results)'!$B$10,K$15-2000+INDEX($I$2:$I$4,MATCH($B$1,$H$2:$H$4,0)),INDEX($M$2:$M$9,MATCH($B23&amp;$C23,$J$2:$J$9,0)),1,INDEX($N$2:$N$9,MATCH($B23&amp;$C23,$J$2:$J$9,0))))</f>
        <v>2.9428441226975277</v>
      </c>
      <c r="L23" s="641">
        <f ca="1">SUM(OFFSET('Output data (results)'!$B$10,L$15-2000+INDEX($I$2:$I$4,MATCH($B$1,$H$2:$H$4,0)),INDEX($M$2:$M$9,MATCH($B23&amp;$C23,$J$2:$J$9,0)),1,INDEX($N$2:$N$9,MATCH($B23&amp;$C23,$J$2:$J$9,0))))</f>
        <v>2.9904419099300554</v>
      </c>
      <c r="M23" s="641">
        <f ca="1">SUM(OFFSET('Output data (results)'!$B$10,M$15-2000+INDEX($I$2:$I$4,MATCH($B$1,$H$2:$H$4,0)),INDEX($M$2:$M$9,MATCH($B23&amp;$C23,$J$2:$J$9,0)),1,INDEX($N$2:$N$9,MATCH($B23&amp;$C23,$J$2:$J$9,0))))</f>
        <v>3.024879715734945</v>
      </c>
      <c r="N23" s="641">
        <f ca="1">SUM(OFFSET('Output data (results)'!$B$10,N$15-2000+INDEX($I$2:$I$4,MATCH($B$1,$H$2:$H$4,0)),INDEX($M$2:$M$9,MATCH($B23&amp;$C23,$J$2:$J$9,0)),1,INDEX($N$2:$N$9,MATCH($B23&amp;$C23,$J$2:$J$9,0))))</f>
        <v>3.0596704712332969</v>
      </c>
      <c r="O23" s="641">
        <f ca="1">SUM(OFFSET('Output data (results)'!$B$10,O$15-2000+INDEX($I$2:$I$4,MATCH($B$1,$H$2:$H$4,0)),INDEX($M$2:$M$9,MATCH($B23&amp;$C23,$J$2:$J$9,0)),1,INDEX($N$2:$N$9,MATCH($B23&amp;$C23,$J$2:$J$9,0))))</f>
        <v>3.0949150191946715</v>
      </c>
      <c r="P23" s="641">
        <f ca="1">SUM(OFFSET('Output data (results)'!$B$10,P$15-2000+INDEX($I$2:$I$4,MATCH($B$1,$H$2:$H$4,0)),INDEX($M$2:$M$9,MATCH($B23&amp;$C23,$J$2:$J$9,0)),1,INDEX($N$2:$N$9,MATCH($B23&amp;$C23,$J$2:$J$9,0))))</f>
        <v>3.1305629382342866</v>
      </c>
      <c r="Q23" s="641">
        <f ca="1">SUM(OFFSET('Output data (results)'!$B$10,Q$15-2000+INDEX($I$2:$I$4,MATCH($B$1,$H$2:$H$4,0)),INDEX($M$2:$M$9,MATCH($B23&amp;$C23,$J$2:$J$9,0)),1,INDEX($N$2:$N$9,MATCH($B23&amp;$C23,$J$2:$J$9,0))))</f>
        <v>3.166614228352143</v>
      </c>
      <c r="R23" s="641">
        <f ca="1">SUM(OFFSET('Output data (results)'!$B$10,R$15-2000+INDEX($I$2:$I$4,MATCH($B$1,$H$2:$H$4,0)),INDEX($M$2:$M$9,MATCH($B23&amp;$C23,$J$2:$J$9,0)),1,INDEX($N$2:$N$9,MATCH($B23&amp;$C23,$J$2:$J$9,0))))</f>
        <v>3.1977746441463193</v>
      </c>
      <c r="S23" s="641">
        <f ca="1">SUM(OFFSET('Output data (results)'!$B$10,S$15-2000+INDEX($I$2:$I$4,MATCH($B$1,$H$2:$H$4,0)),INDEX($M$2:$M$9,MATCH($B23&amp;$C23,$J$2:$J$9,0)),1,INDEX($N$2:$N$9,MATCH($B23&amp;$C23,$J$2:$J$9,0))))</f>
        <v>3.2292880096339567</v>
      </c>
      <c r="T23" s="641">
        <f ca="1">SUM(OFFSET('Output data (results)'!$B$10,T$15-2000+INDEX($I$2:$I$4,MATCH($B$1,$H$2:$H$4,0)),INDEX($M$2:$M$9,MATCH($B23&amp;$C23,$J$2:$J$9,0)),1,INDEX($N$2:$N$9,MATCH($B23&amp;$C23,$J$2:$J$9,0))))</f>
        <v>3.2610534820454951</v>
      </c>
      <c r="U23" s="641">
        <f ca="1">SUM(OFFSET('Output data (results)'!$B$10,U$15-2000+INDEX($I$2:$I$4,MATCH($B$1,$H$2:$H$4,0)),INDEX($M$2:$M$9,MATCH($B23&amp;$C23,$J$2:$J$9,0)),1,INDEX($N$2:$N$9,MATCH($B23&amp;$C23,$J$2:$J$9,0))))</f>
        <v>3.2931719041504954</v>
      </c>
      <c r="V23" s="641">
        <f ca="1">SUM(OFFSET('Output data (results)'!$B$10,V$15-2000+INDEX($I$2:$I$4,MATCH($B$1,$H$2:$H$4,0)),INDEX($M$2:$M$9,MATCH($B23&amp;$C23,$J$2:$J$9,0)),1,INDEX($N$2:$N$9,MATCH($B23&amp;$C23,$J$2:$J$9,0))))</f>
        <v>3.3255928545641762</v>
      </c>
      <c r="W23" s="641">
        <f ca="1">SUM(OFFSET('Output data (results)'!$B$10,W$15-2000+INDEX($I$2:$I$4,MATCH($B$1,$H$2:$H$4,0)),INDEX($M$2:$M$9,MATCH($B23&amp;$C23,$J$2:$J$9,0)),1,INDEX($N$2:$N$9,MATCH($B23&amp;$C23,$J$2:$J$9,0))))</f>
        <v>3.3539800941954407</v>
      </c>
      <c r="X23" s="641">
        <f ca="1">SUM(OFFSET('Output data (results)'!$B$10,X$15-2000+INDEX($I$2:$I$4,MATCH($B$1,$H$2:$H$4,0)),INDEX($M$2:$M$9,MATCH($B23&amp;$C23,$J$2:$J$9,0)),1,INDEX($N$2:$N$9,MATCH($B23&amp;$C23,$J$2:$J$9,0))))</f>
        <v>3.3826194407506049</v>
      </c>
      <c r="Y23" s="641">
        <f ca="1">SUM(OFFSET('Output data (results)'!$B$10,Y$15-2000+INDEX($I$2:$I$4,MATCH($B$1,$H$2:$H$4,0)),INDEX($M$2:$M$9,MATCH($B23&amp;$C23,$J$2:$J$9,0)),1,INDEX($N$2:$N$9,MATCH($B23&amp;$C23,$J$2:$J$9,0))))</f>
        <v>3.4114604728448907</v>
      </c>
      <c r="Z23" s="641">
        <f ca="1">SUM(OFFSET('Output data (results)'!$B$10,Z$15-2000+INDEX($I$2:$I$4,MATCH($B$1,$H$2:$H$4,0)),INDEX($M$2:$M$9,MATCH($B23&amp;$C23,$J$2:$J$9,0)),1,INDEX($N$2:$N$9,MATCH($B23&amp;$C23,$J$2:$J$9,0))))</f>
        <v>3.4406040332478574</v>
      </c>
      <c r="AA23" s="641">
        <f ca="1">SUM(OFFSET('Output data (results)'!$B$10,AA$15-2000+INDEX($I$2:$I$4,MATCH($B$1,$H$2:$H$4,0)),INDEX($M$2:$M$9,MATCH($B23&amp;$C23,$J$2:$J$9,0)),1,INDEX($N$2:$N$9,MATCH($B23&amp;$C23,$J$2:$J$9,0))))</f>
        <v>3.4699492791899456</v>
      </c>
      <c r="AB23" s="641">
        <f ca="1">SUM(OFFSET('Output data (results)'!$B$10,AB$15-2000+INDEX($I$2:$I$4,MATCH($B$1,$H$2:$H$4,0)),INDEX($M$2:$M$9,MATCH($B23&amp;$C23,$J$2:$J$9,0)),1,INDEX($N$2:$N$9,MATCH($B23&amp;$C23,$J$2:$J$9,0))))</f>
        <v>3.4953616571191763</v>
      </c>
      <c r="AC23" s="641">
        <f ca="1">SUM(OFFSET('Output data (results)'!$B$10,AC$15-2000+INDEX($I$2:$I$4,MATCH($B$1,$H$2:$H$4,0)),INDEX($M$2:$M$9,MATCH($B23&amp;$C23,$J$2:$J$9,0)),1,INDEX($N$2:$N$9,MATCH($B23&amp;$C23,$J$2:$J$9,0))))</f>
        <v>3.5209252992027475</v>
      </c>
      <c r="AD23" s="641">
        <f ca="1">SUM(OFFSET('Output data (results)'!$B$10,AD$15-2000+INDEX($I$2:$I$4,MATCH($B$1,$H$2:$H$4,0)),INDEX($M$2:$M$9,MATCH($B23&amp;$C23,$J$2:$J$9,0)),1,INDEX($N$2:$N$9,MATCH($B23&amp;$C23,$J$2:$J$9,0))))</f>
        <v>3.5467410482102202</v>
      </c>
      <c r="AE23" s="641">
        <f ca="1">SUM(OFFSET('Output data (results)'!$B$10,AE$15-2000+INDEX($I$2:$I$4,MATCH($B$1,$H$2:$H$4,0)),INDEX($M$2:$M$9,MATCH($B23&amp;$C23,$J$2:$J$9,0)),1,INDEX($N$2:$N$9,MATCH($B23&amp;$C23,$J$2:$J$9,0))))</f>
        <v>3.5727080613720332</v>
      </c>
      <c r="AF23" s="641">
        <f ca="1">SUM(OFFSET('Output data (results)'!$B$10,AF$15-2000+INDEX($I$2:$I$4,MATCH($B$1,$H$2:$H$4,0)),INDEX($M$2:$M$9,MATCH($B23&amp;$C23,$J$2:$J$9,0)),1,INDEX($N$2:$N$9,MATCH($B23&amp;$C23,$J$2:$J$9,0))))</f>
        <v>3.5988263386881876</v>
      </c>
      <c r="AG23" s="641">
        <f ca="1">SUM(OFFSET('Output data (results)'!$B$10,AG$15-2000+INDEX($I$2:$I$4,MATCH($B$1,$H$2:$H$4,0)),INDEX($M$2:$M$9,MATCH($B23&amp;$C23,$J$2:$J$9,0)),1,INDEX($N$2:$N$9,MATCH($B23&amp;$C23,$J$2:$J$9,0))))</f>
        <v>3.6212134335306052</v>
      </c>
      <c r="AH23" s="641">
        <f ca="1">SUM(OFFSET('Output data (results)'!$B$10,AH$15-2000+INDEX($I$2:$I$4,MATCH($B$1,$H$2:$H$4,0)),INDEX($M$2:$M$9,MATCH($B23&amp;$C23,$J$2:$J$9,0)),1,INDEX($N$2:$N$9,MATCH($B23&amp;$C23,$J$2:$J$9,0))))</f>
        <v>3.643701371142583</v>
      </c>
      <c r="AI23" s="641">
        <f ca="1">SUM(OFFSET('Output data (results)'!$B$10,AI$15-2000+INDEX($I$2:$I$4,MATCH($B$1,$H$2:$H$4,0)),INDEX($M$2:$M$9,MATCH($B23&amp;$C23,$J$2:$J$9,0)),1,INDEX($N$2:$N$9,MATCH($B23&amp;$C23,$J$2:$J$9,0))))</f>
        <v>3.6663405729089016</v>
      </c>
      <c r="AJ23" s="641">
        <f ca="1">SUM(OFFSET('Output data (results)'!$B$10,AJ$15-2000+INDEX($I$2:$I$4,MATCH($B$1,$H$2:$H$4,0)),INDEX($M$2:$M$9,MATCH($B23&amp;$C23,$J$2:$J$9,0)),1,INDEX($N$2:$N$9,MATCH($B23&amp;$C23,$J$2:$J$9,0))))</f>
        <v>3.6890806174447812</v>
      </c>
      <c r="AK23" s="641">
        <f ca="1">SUM(OFFSET('Output data (results)'!$B$10,AK$15-2000+INDEX($I$2:$I$4,MATCH($B$1,$H$2:$H$4,0)),INDEX($M$2:$M$9,MATCH($B23&amp;$C23,$J$2:$J$9,0)),1,INDEX($N$2:$N$9,MATCH($B23&amp;$C23,$J$2:$J$9,0))))</f>
        <v>3.7120223475197802</v>
      </c>
      <c r="AL23" s="641">
        <f ca="1">SUM(OFFSET('Output data (results)'!$B$10,AL$15-2000+INDEX($I$2:$I$4,MATCH($B$1,$H$2:$H$4,0)),INDEX($M$2:$M$9,MATCH($B23&amp;$C23,$J$2:$J$9,0)),1,INDEX($N$2:$N$9,MATCH($B23&amp;$C23,$J$2:$J$9,0))))</f>
        <v>3.7309303668123635</v>
      </c>
      <c r="AM23" s="641">
        <f ca="1">SUM(OFFSET('Output data (results)'!$B$10,AM$15-2000+INDEX($I$2:$I$4,MATCH($B$1,$H$2:$H$4,0)),INDEX($M$2:$M$9,MATCH($B23&amp;$C23,$J$2:$J$9,0)),1,INDEX($N$2:$N$9,MATCH($B23&amp;$C23,$J$2:$J$9,0))))</f>
        <v>3.7499896502592862</v>
      </c>
      <c r="AN23" s="641">
        <f ca="1">SUM(OFFSET('Output data (results)'!$B$10,AN$15-2000+INDEX($I$2:$I$4,MATCH($B$1,$H$2:$H$4,0)),INDEX($M$2:$M$9,MATCH($B23&amp;$C23,$J$2:$J$9,0)),1,INDEX($N$2:$N$9,MATCH($B23&amp;$C23,$J$2:$J$9,0))))</f>
        <v>3.76914977647577</v>
      </c>
      <c r="AO23" s="641">
        <f ca="1">SUM(OFFSET('Output data (results)'!$B$10,AO$15-2000+INDEX($I$2:$I$4,MATCH($B$1,$H$2:$H$4,0)),INDEX($M$2:$M$9,MATCH($B23&amp;$C23,$J$2:$J$9,0)),1,INDEX($N$2:$N$9,MATCH($B23&amp;$C23,$J$2:$J$9,0))))</f>
        <v>3.7883603240770336</v>
      </c>
      <c r="AP23" s="641">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zoomScale="47" zoomScaleNormal="60" workbookViewId="0">
      <selection activeCell="C13" sqref="C13"/>
    </sheetView>
  </sheetViews>
  <sheetFormatPr defaultColWidth="8.88671875" defaultRowHeight="15.6"/>
  <cols>
    <col min="1" max="1" width="32.6640625" style="183" customWidth="1"/>
    <col min="2" max="2" width="31" style="183" customWidth="1"/>
    <col min="3" max="3" width="71.21875" style="183" bestFit="1" customWidth="1"/>
    <col min="4" max="4" width="70.5546875" style="183" bestFit="1" customWidth="1"/>
    <col min="5" max="5" width="21.6640625" style="183" customWidth="1"/>
    <col min="6" max="6" width="24.44140625" style="183" customWidth="1"/>
    <col min="7" max="7" width="21.88671875" style="183" customWidth="1"/>
    <col min="8" max="8" width="20" style="183" customWidth="1"/>
    <col min="9" max="9" width="17.6640625" style="183" customWidth="1"/>
    <col min="10" max="10" width="16.88671875" style="183" customWidth="1"/>
    <col min="11" max="12" width="13.44140625" style="183" bestFit="1" customWidth="1"/>
    <col min="13" max="13" width="13.109375" style="183" customWidth="1"/>
    <col min="14" max="14" width="14.6640625" style="183" bestFit="1" customWidth="1"/>
    <col min="15" max="15" width="11.6640625" style="183" customWidth="1"/>
    <col min="16" max="16" width="11.33203125" style="183" customWidth="1"/>
    <col min="17" max="17" width="12.6640625" customWidth="1"/>
    <col min="18" max="18" width="11" customWidth="1"/>
    <col min="19" max="20" width="9.109375" customWidth="1"/>
    <col min="21" max="16384" width="8.88671875" style="183"/>
  </cols>
  <sheetData>
    <row r="1" spans="1:14" ht="16.2" thickBot="1">
      <c r="A1" s="182" t="s">
        <v>231</v>
      </c>
    </row>
    <row r="2" spans="1:14">
      <c r="A2" s="521"/>
      <c r="B2" s="522" t="s">
        <v>2</v>
      </c>
      <c r="C2" s="522" t="s">
        <v>4</v>
      </c>
      <c r="D2" s="523" t="s">
        <v>544</v>
      </c>
    </row>
    <row r="3" spans="1:14" ht="31.2">
      <c r="A3" s="189" t="s">
        <v>564</v>
      </c>
      <c r="B3" s="478" t="s">
        <v>227</v>
      </c>
      <c r="C3" s="467">
        <v>578.73</v>
      </c>
      <c r="D3" s="196" t="s">
        <v>563</v>
      </c>
    </row>
    <row r="4" spans="1:14" ht="31.2">
      <c r="A4" s="189" t="s">
        <v>562</v>
      </c>
      <c r="B4" s="478" t="s">
        <v>227</v>
      </c>
      <c r="C4" s="467">
        <f>'Waste Summary 2017 SASOW'!P6</f>
        <v>424.26313389388866</v>
      </c>
      <c r="D4" s="196" t="s">
        <v>545</v>
      </c>
    </row>
    <row r="5" spans="1:14">
      <c r="A5" s="189" t="s">
        <v>551</v>
      </c>
      <c r="B5" s="520" t="str">
        <f>'Waste Summary 2017 SASOW'!C34</f>
        <v>ton industrial waste/Rmill GDP</v>
      </c>
      <c r="C5" s="467">
        <f>'Waste Summary 2017 SASOW'!B34</f>
        <v>27.526054267727826</v>
      </c>
      <c r="D5" s="196" t="s">
        <v>546</v>
      </c>
    </row>
    <row r="6" spans="1:14" ht="31.2">
      <c r="A6" s="189" t="s">
        <v>648</v>
      </c>
      <c r="B6" s="520" t="str">
        <f>B5</f>
        <v>ton industrial waste/Rmill GDP</v>
      </c>
      <c r="C6" s="467">
        <f>'Waste Summary 2017 SASOW'!B36</f>
        <v>11.504772374209397</v>
      </c>
      <c r="D6" s="196" t="s">
        <v>546</v>
      </c>
    </row>
    <row r="7" spans="1:14" ht="55.95" customHeight="1">
      <c r="A7" s="189" t="s">
        <v>552</v>
      </c>
      <c r="B7" s="190" t="s">
        <v>3</v>
      </c>
      <c r="C7" s="467">
        <f>37*365/1000</f>
        <v>13.505000000000001</v>
      </c>
      <c r="D7" s="196" t="s">
        <v>547</v>
      </c>
    </row>
    <row r="8" spans="1:14" ht="31.2">
      <c r="A8" s="189" t="s">
        <v>295</v>
      </c>
      <c r="B8" s="190" t="s">
        <v>52</v>
      </c>
      <c r="C8" s="467">
        <v>29.169396153846154</v>
      </c>
      <c r="D8" s="196" t="s">
        <v>550</v>
      </c>
    </row>
    <row r="9" spans="1:14" ht="48" customHeight="1" thickBot="1">
      <c r="A9" s="191" t="s">
        <v>578</v>
      </c>
      <c r="B9" s="192" t="s">
        <v>3</v>
      </c>
      <c r="C9" s="1312">
        <f>H117*10^6/(G117*B117*10^6)</f>
        <v>30.607062306546265</v>
      </c>
      <c r="D9" s="197" t="s">
        <v>612</v>
      </c>
    </row>
    <row r="10" spans="1:14">
      <c r="A10" s="346"/>
      <c r="B10" s="347"/>
      <c r="C10" s="348"/>
      <c r="D10" s="349"/>
    </row>
    <row r="11" spans="1:14" ht="16.2" thickBot="1">
      <c r="A11" s="555" t="s">
        <v>611</v>
      </c>
      <c r="B11" s="336"/>
      <c r="C11"/>
      <c r="D11" s="3"/>
      <c r="E11" s="3"/>
      <c r="F11" s="3"/>
      <c r="G11" s="3"/>
      <c r="H11" s="3"/>
      <c r="I11" s="3"/>
      <c r="J11" s="3"/>
      <c r="K11" s="3"/>
      <c r="L11" s="3"/>
      <c r="M11" s="3"/>
      <c r="N11" s="3"/>
    </row>
    <row r="12" spans="1:14" ht="31.2">
      <c r="A12" s="489"/>
      <c r="B12" s="490" t="s">
        <v>372</v>
      </c>
      <c r="C12" s="1375" t="s">
        <v>221</v>
      </c>
      <c r="D12" s="1375" t="s">
        <v>85</v>
      </c>
      <c r="E12" s="1375" t="s">
        <v>87</v>
      </c>
      <c r="F12" s="1375" t="s">
        <v>222</v>
      </c>
      <c r="G12" s="1375" t="s">
        <v>115</v>
      </c>
      <c r="H12" s="1375" t="s">
        <v>223</v>
      </c>
      <c r="I12" s="1375" t="s">
        <v>548</v>
      </c>
      <c r="J12" s="1375" t="s">
        <v>374</v>
      </c>
      <c r="K12" s="1375" t="s">
        <v>375</v>
      </c>
      <c r="L12" s="1375" t="s">
        <v>376</v>
      </c>
      <c r="M12" s="1375" t="s">
        <v>377</v>
      </c>
      <c r="N12" s="1374" t="s">
        <v>225</v>
      </c>
    </row>
    <row r="13" spans="1:14">
      <c r="A13" s="491"/>
      <c r="B13" s="338" t="s">
        <v>378</v>
      </c>
      <c r="C13" s="1514">
        <v>1233791.4119790548</v>
      </c>
      <c r="D13" s="1514">
        <v>1138884.3802883581</v>
      </c>
      <c r="E13" s="1514">
        <v>378326.54427023319</v>
      </c>
      <c r="F13" s="1514">
        <v>0</v>
      </c>
      <c r="G13" s="1514">
        <v>0</v>
      </c>
      <c r="H13" s="1514">
        <v>0</v>
      </c>
      <c r="I13" s="1514"/>
      <c r="J13" s="1514">
        <v>381000</v>
      </c>
      <c r="K13" s="1514">
        <v>338388.97868490184</v>
      </c>
      <c r="L13" s="1514">
        <v>297470.77450579114</v>
      </c>
      <c r="M13" s="1514">
        <v>0</v>
      </c>
      <c r="N13" s="1515">
        <f t="shared" ref="N13:N21" si="0">SUM(C13:M13)</f>
        <v>3767862.0897283391</v>
      </c>
    </row>
    <row r="14" spans="1:14">
      <c r="A14" s="492" t="s">
        <v>379</v>
      </c>
      <c r="B14" s="338" t="s">
        <v>380</v>
      </c>
      <c r="C14" s="1514">
        <v>964286</v>
      </c>
      <c r="D14" s="1514">
        <v>964286</v>
      </c>
      <c r="E14" s="1514">
        <v>0</v>
      </c>
      <c r="F14" s="1514">
        <v>0</v>
      </c>
      <c r="G14" s="1514">
        <v>0</v>
      </c>
      <c r="H14" s="1514">
        <v>0</v>
      </c>
      <c r="I14" s="1514">
        <v>2892858</v>
      </c>
      <c r="J14" s="1514">
        <v>0</v>
      </c>
      <c r="K14" s="1514">
        <v>0</v>
      </c>
      <c r="L14" s="1514">
        <v>0</v>
      </c>
      <c r="M14" s="1514">
        <v>0</v>
      </c>
      <c r="N14" s="1515">
        <f t="shared" si="0"/>
        <v>4821430</v>
      </c>
    </row>
    <row r="15" spans="1:14">
      <c r="A15" s="492" t="s">
        <v>381</v>
      </c>
      <c r="B15" s="338" t="s">
        <v>382</v>
      </c>
      <c r="C15" s="1514">
        <v>72176.800000000003</v>
      </c>
      <c r="D15" s="1514">
        <v>72176.800000000003</v>
      </c>
      <c r="E15" s="1514">
        <v>0</v>
      </c>
      <c r="F15" s="1514">
        <v>0</v>
      </c>
      <c r="G15" s="1514">
        <v>0</v>
      </c>
      <c r="H15" s="1514">
        <v>0</v>
      </c>
      <c r="I15" s="1514">
        <v>216530.4</v>
      </c>
      <c r="J15" s="1514">
        <v>0</v>
      </c>
      <c r="K15" s="1514">
        <v>0</v>
      </c>
      <c r="L15" s="1514">
        <v>0</v>
      </c>
      <c r="M15" s="1514">
        <v>0</v>
      </c>
      <c r="N15" s="1515">
        <f t="shared" si="0"/>
        <v>360884</v>
      </c>
    </row>
    <row r="16" spans="1:14">
      <c r="A16" s="492" t="s">
        <v>383</v>
      </c>
      <c r="B16" s="338" t="s">
        <v>384</v>
      </c>
      <c r="C16" s="1514">
        <v>0</v>
      </c>
      <c r="D16" s="1514">
        <v>0</v>
      </c>
      <c r="E16" s="1514">
        <v>520349.97572976683</v>
      </c>
      <c r="F16" s="1514">
        <v>0</v>
      </c>
      <c r="G16" s="1514">
        <v>0</v>
      </c>
      <c r="H16" s="1514">
        <v>0</v>
      </c>
      <c r="I16" s="1514">
        <v>0</v>
      </c>
      <c r="J16" s="1514">
        <v>237880.00199999998</v>
      </c>
      <c r="K16" s="1514">
        <v>465419.88531509798</v>
      </c>
      <c r="L16" s="1514">
        <v>409141.02549420868</v>
      </c>
      <c r="M16" s="1514">
        <v>123895.58799999999</v>
      </c>
      <c r="N16" s="1515">
        <f t="shared" si="0"/>
        <v>1756686.4765390735</v>
      </c>
    </row>
    <row r="17" spans="1:16">
      <c r="A17" s="492" t="s">
        <v>383</v>
      </c>
      <c r="B17" s="338" t="s">
        <v>385</v>
      </c>
      <c r="C17" s="1514">
        <v>0</v>
      </c>
      <c r="D17" s="1514">
        <v>0</v>
      </c>
      <c r="E17" s="1514">
        <v>1241029.48</v>
      </c>
      <c r="F17" s="1514">
        <v>0</v>
      </c>
      <c r="G17" s="1514">
        <v>0</v>
      </c>
      <c r="H17" s="1514">
        <v>0</v>
      </c>
      <c r="I17" s="1514">
        <v>0</v>
      </c>
      <c r="J17" s="1514">
        <v>480373.99800000002</v>
      </c>
      <c r="K17" s="1514">
        <v>1987194.1360000002</v>
      </c>
      <c r="L17" s="1514">
        <v>2826447.2</v>
      </c>
      <c r="M17" s="1514">
        <v>38271.412000000004</v>
      </c>
      <c r="N17" s="1515">
        <f t="shared" si="0"/>
        <v>6573316.2259999998</v>
      </c>
    </row>
    <row r="18" spans="1:16">
      <c r="A18" s="492" t="s">
        <v>386</v>
      </c>
      <c r="B18" s="338" t="s">
        <v>387</v>
      </c>
      <c r="C18" s="1514">
        <v>2500000</v>
      </c>
      <c r="D18" s="1514">
        <v>4200000</v>
      </c>
      <c r="E18" s="1514">
        <v>0</v>
      </c>
      <c r="F18" s="1514">
        <v>0</v>
      </c>
      <c r="G18" s="1514">
        <v>0</v>
      </c>
      <c r="H18" s="1514">
        <v>0</v>
      </c>
      <c r="I18" s="1514">
        <v>0</v>
      </c>
      <c r="J18" s="1514">
        <v>0</v>
      </c>
      <c r="K18" s="1514">
        <v>0</v>
      </c>
      <c r="L18" s="1514">
        <v>0</v>
      </c>
      <c r="M18" s="1514">
        <v>0</v>
      </c>
      <c r="N18" s="1515">
        <f t="shared" si="0"/>
        <v>6700000</v>
      </c>
      <c r="O18" s="184"/>
    </row>
    <row r="19" spans="1:16">
      <c r="A19" s="491"/>
      <c r="B19" s="339" t="s">
        <v>560</v>
      </c>
      <c r="C19" s="340">
        <f>SUM(C13:C18)</f>
        <v>4770254.2119790548</v>
      </c>
      <c r="D19" s="340">
        <f t="shared" ref="D19:K19" si="1">SUM(D13:D18)</f>
        <v>6375347.1802883577</v>
      </c>
      <c r="E19" s="340">
        <f t="shared" si="1"/>
        <v>2139706</v>
      </c>
      <c r="F19" s="340">
        <f t="shared" si="1"/>
        <v>0</v>
      </c>
      <c r="G19" s="340">
        <f t="shared" si="1"/>
        <v>0</v>
      </c>
      <c r="H19" s="340">
        <f t="shared" si="1"/>
        <v>0</v>
      </c>
      <c r="I19" s="340">
        <f t="shared" si="1"/>
        <v>3109388.4</v>
      </c>
      <c r="J19" s="340">
        <f t="shared" si="1"/>
        <v>1099254</v>
      </c>
      <c r="K19" s="340">
        <f t="shared" si="1"/>
        <v>2791003</v>
      </c>
      <c r="L19" s="340">
        <f>SUM(L13:L18)</f>
        <v>3533059</v>
      </c>
      <c r="M19" s="340">
        <f>SUM(M13:M18)</f>
        <v>162167</v>
      </c>
      <c r="N19" s="493">
        <f t="shared" si="0"/>
        <v>23980178.792267412</v>
      </c>
      <c r="O19" s="184"/>
    </row>
    <row r="20" spans="1:16">
      <c r="A20" s="491"/>
      <c r="B20" s="339" t="s">
        <v>572</v>
      </c>
      <c r="C20" s="340">
        <f>C13*0.5+0.9*(C14+C15+C16)+0.5*C18*0.9</f>
        <v>2674712.2259895275</v>
      </c>
      <c r="D20" s="340">
        <f>D13*0.5+0.9*(D14+D15+D16)+0.5*D18*0.9</f>
        <v>3392258.7101441789</v>
      </c>
      <c r="E20" s="340">
        <f>E13*0.5+0.9*(E14+E15+E16)+0.5*E18*0.9</f>
        <v>657478.25029190676</v>
      </c>
      <c r="F20" s="340">
        <f t="shared" ref="F20:K20" si="2">F13*0.5+0.9*(F14+F15+F16)+0.5*F18*0.9</f>
        <v>0</v>
      </c>
      <c r="G20" s="340">
        <f t="shared" si="2"/>
        <v>0</v>
      </c>
      <c r="H20" s="340">
        <f t="shared" si="2"/>
        <v>0</v>
      </c>
      <c r="I20" s="340">
        <f t="shared" si="2"/>
        <v>2798449.56</v>
      </c>
      <c r="J20" s="340">
        <f t="shared" si="2"/>
        <v>404592.00179999997</v>
      </c>
      <c r="K20" s="340">
        <f t="shared" si="2"/>
        <v>588072.38612603908</v>
      </c>
      <c r="L20" s="340">
        <f>L13*0.5+0.9*(L14+L15+L16)+0.5*L18*0.9</f>
        <v>516962.3101976834</v>
      </c>
      <c r="M20" s="340">
        <f>M13*0.5+0.9*(M14+M15+M16)+0.5*M18*0.9</f>
        <v>111506.02919999999</v>
      </c>
      <c r="N20" s="493">
        <f t="shared" si="0"/>
        <v>11144031.473749338</v>
      </c>
      <c r="O20" s="488"/>
    </row>
    <row r="21" spans="1:16">
      <c r="A21" s="491"/>
      <c r="B21" s="339" t="s">
        <v>865</v>
      </c>
      <c r="C21" s="340">
        <f>C19-C20-C17-0.5*C18</f>
        <v>845541.98598952731</v>
      </c>
      <c r="D21" s="340">
        <f t="shared" ref="D21:K21" si="3">D19-D20-D17-0.5*D18</f>
        <v>883088.47014417872</v>
      </c>
      <c r="E21" s="340">
        <f t="shared" si="3"/>
        <v>241198.26970809326</v>
      </c>
      <c r="F21" s="340">
        <f t="shared" si="3"/>
        <v>0</v>
      </c>
      <c r="G21" s="340">
        <f t="shared" si="3"/>
        <v>0</v>
      </c>
      <c r="H21" s="340">
        <f t="shared" si="3"/>
        <v>0</v>
      </c>
      <c r="I21" s="340">
        <f t="shared" si="3"/>
        <v>310938.83999999985</v>
      </c>
      <c r="J21" s="340">
        <f t="shared" si="3"/>
        <v>214288.00020000001</v>
      </c>
      <c r="K21" s="340">
        <f t="shared" si="3"/>
        <v>215736.47787396074</v>
      </c>
      <c r="L21" s="340">
        <f>L19-L20-L17-0.5*L18</f>
        <v>189649.4898023163</v>
      </c>
      <c r="M21" s="340">
        <f>M19-M20-M17-0.5*M18</f>
        <v>12389.558800000006</v>
      </c>
      <c r="N21" s="493">
        <f t="shared" si="0"/>
        <v>2912831.0925180763</v>
      </c>
      <c r="O21" s="184"/>
    </row>
    <row r="22" spans="1:16">
      <c r="A22" s="491"/>
      <c r="B22" s="341" t="s">
        <v>389</v>
      </c>
      <c r="C22" s="342"/>
      <c r="D22" s="342"/>
      <c r="E22" s="342"/>
      <c r="F22" s="342"/>
      <c r="G22" s="342"/>
      <c r="H22" s="342"/>
      <c r="I22" s="342"/>
      <c r="J22" s="337"/>
      <c r="K22" s="6"/>
      <c r="L22" s="6"/>
      <c r="M22" s="6"/>
      <c r="N22" s="756"/>
      <c r="O22" s="351"/>
      <c r="P22" s="351"/>
    </row>
    <row r="23" spans="1:16">
      <c r="A23" s="491"/>
      <c r="B23" s="338" t="s">
        <v>390</v>
      </c>
      <c r="C23" s="344">
        <f t="shared" ref="C23:M23" si="4">C13/$N$13</f>
        <v>0.32745131923552184</v>
      </c>
      <c r="D23" s="344">
        <f t="shared" si="4"/>
        <v>0.30226275621740473</v>
      </c>
      <c r="E23" s="344">
        <f t="shared" si="4"/>
        <v>0.10040880883129943</v>
      </c>
      <c r="F23" s="344">
        <f t="shared" si="4"/>
        <v>0</v>
      </c>
      <c r="G23" s="344">
        <f t="shared" si="4"/>
        <v>0</v>
      </c>
      <c r="H23" s="344">
        <f t="shared" si="4"/>
        <v>0</v>
      </c>
      <c r="I23" s="344">
        <f t="shared" si="4"/>
        <v>0</v>
      </c>
      <c r="J23" s="344">
        <f t="shared" si="4"/>
        <v>0.10111835065265616</v>
      </c>
      <c r="K23" s="344">
        <f t="shared" si="4"/>
        <v>8.9809279274682671E-2</v>
      </c>
      <c r="L23" s="344">
        <f t="shared" si="4"/>
        <v>7.8949485788435164E-2</v>
      </c>
      <c r="M23" s="344">
        <f t="shared" si="4"/>
        <v>0</v>
      </c>
      <c r="N23" s="494">
        <f t="shared" ref="N23:N28" si="5">SUM(C23:M23)</f>
        <v>1</v>
      </c>
      <c r="O23" s="184"/>
      <c r="P23" s="351"/>
    </row>
    <row r="24" spans="1:16">
      <c r="A24" s="492" t="s">
        <v>379</v>
      </c>
      <c r="B24" s="338" t="s">
        <v>391</v>
      </c>
      <c r="C24" s="344">
        <f t="shared" ref="C24:M24" si="6">C14/$N$14</f>
        <v>0.2</v>
      </c>
      <c r="D24" s="344">
        <f t="shared" si="6"/>
        <v>0.2</v>
      </c>
      <c r="E24" s="344">
        <f t="shared" si="6"/>
        <v>0</v>
      </c>
      <c r="F24" s="344">
        <f t="shared" si="6"/>
        <v>0</v>
      </c>
      <c r="G24" s="344">
        <f t="shared" si="6"/>
        <v>0</v>
      </c>
      <c r="H24" s="344">
        <f t="shared" si="6"/>
        <v>0</v>
      </c>
      <c r="I24" s="344">
        <f t="shared" si="6"/>
        <v>0.6</v>
      </c>
      <c r="J24" s="344">
        <f t="shared" si="6"/>
        <v>0</v>
      </c>
      <c r="K24" s="344">
        <f t="shared" si="6"/>
        <v>0</v>
      </c>
      <c r="L24" s="344">
        <f t="shared" si="6"/>
        <v>0</v>
      </c>
      <c r="M24" s="344">
        <f t="shared" si="6"/>
        <v>0</v>
      </c>
      <c r="N24" s="494">
        <f t="shared" si="5"/>
        <v>1</v>
      </c>
      <c r="O24" s="351"/>
      <c r="P24" s="351"/>
    </row>
    <row r="25" spans="1:16">
      <c r="A25" s="492" t="s">
        <v>381</v>
      </c>
      <c r="B25" s="338" t="s">
        <v>392</v>
      </c>
      <c r="C25" s="344">
        <f t="shared" ref="C25:M25" si="7">C15/$N$15</f>
        <v>0.2</v>
      </c>
      <c r="D25" s="344">
        <f t="shared" si="7"/>
        <v>0.2</v>
      </c>
      <c r="E25" s="344">
        <f t="shared" si="7"/>
        <v>0</v>
      </c>
      <c r="F25" s="344">
        <f t="shared" si="7"/>
        <v>0</v>
      </c>
      <c r="G25" s="344">
        <f t="shared" si="7"/>
        <v>0</v>
      </c>
      <c r="H25" s="344">
        <f t="shared" si="7"/>
        <v>0</v>
      </c>
      <c r="I25" s="344">
        <f t="shared" si="7"/>
        <v>0.6</v>
      </c>
      <c r="J25" s="344">
        <f t="shared" si="7"/>
        <v>0</v>
      </c>
      <c r="K25" s="344">
        <f t="shared" si="7"/>
        <v>0</v>
      </c>
      <c r="L25" s="344">
        <f t="shared" si="7"/>
        <v>0</v>
      </c>
      <c r="M25" s="344">
        <f t="shared" si="7"/>
        <v>0</v>
      </c>
      <c r="N25" s="494">
        <f t="shared" si="5"/>
        <v>1</v>
      </c>
      <c r="O25" s="351"/>
      <c r="P25" s="351"/>
    </row>
    <row r="26" spans="1:16">
      <c r="A26" s="492" t="s">
        <v>383</v>
      </c>
      <c r="B26" s="338" t="s">
        <v>384</v>
      </c>
      <c r="C26" s="344">
        <f t="shared" ref="C26:M26" si="8">C16/$N$16</f>
        <v>0</v>
      </c>
      <c r="D26" s="344">
        <f t="shared" si="8"/>
        <v>0</v>
      </c>
      <c r="E26" s="344">
        <f t="shared" si="8"/>
        <v>0.29621106707380795</v>
      </c>
      <c r="F26" s="344">
        <f t="shared" si="8"/>
        <v>0</v>
      </c>
      <c r="G26" s="344">
        <f t="shared" si="8"/>
        <v>0</v>
      </c>
      <c r="H26" s="344">
        <f t="shared" si="8"/>
        <v>0</v>
      </c>
      <c r="I26" s="344">
        <f t="shared" si="8"/>
        <v>0</v>
      </c>
      <c r="J26" s="344">
        <f t="shared" si="8"/>
        <v>0.1354140338511958</v>
      </c>
      <c r="K26" s="344">
        <f t="shared" si="8"/>
        <v>0.26494191851015014</v>
      </c>
      <c r="L26" s="344">
        <f t="shared" si="8"/>
        <v>0.2329049781838565</v>
      </c>
      <c r="M26" s="344">
        <f t="shared" si="8"/>
        <v>7.0528002380989593E-2</v>
      </c>
      <c r="N26" s="494">
        <f t="shared" si="5"/>
        <v>0.99999999999999989</v>
      </c>
      <c r="O26" s="351"/>
      <c r="P26" s="351"/>
    </row>
    <row r="27" spans="1:16">
      <c r="A27" s="492" t="s">
        <v>383</v>
      </c>
      <c r="B27" s="338" t="s">
        <v>385</v>
      </c>
      <c r="C27" s="344">
        <f t="shared" ref="C27:M27" si="9">C17/$N$17</f>
        <v>0</v>
      </c>
      <c r="D27" s="344">
        <f t="shared" si="9"/>
        <v>0</v>
      </c>
      <c r="E27" s="344">
        <f t="shared" si="9"/>
        <v>0.188798079588998</v>
      </c>
      <c r="F27" s="344">
        <f t="shared" si="9"/>
        <v>0</v>
      </c>
      <c r="G27" s="344">
        <f t="shared" si="9"/>
        <v>0</v>
      </c>
      <c r="H27" s="344">
        <f t="shared" si="9"/>
        <v>0</v>
      </c>
      <c r="I27" s="344">
        <f t="shared" si="9"/>
        <v>0</v>
      </c>
      <c r="J27" s="344">
        <f t="shared" si="9"/>
        <v>7.3079398812419163E-2</v>
      </c>
      <c r="K27" s="344">
        <f t="shared" si="9"/>
        <v>0.30231226791431109</v>
      </c>
      <c r="L27" s="344">
        <f t="shared" si="9"/>
        <v>0.42998801561079808</v>
      </c>
      <c r="M27" s="344">
        <f t="shared" si="9"/>
        <v>5.8222380734737535E-3</v>
      </c>
      <c r="N27" s="494">
        <f t="shared" si="5"/>
        <v>1.0000000000000002</v>
      </c>
      <c r="O27" s="351"/>
      <c r="P27" s="351"/>
    </row>
    <row r="28" spans="1:16">
      <c r="A28" s="492" t="s">
        <v>386</v>
      </c>
      <c r="B28" s="338" t="s">
        <v>387</v>
      </c>
      <c r="C28" s="344">
        <f t="shared" ref="C28:M28" si="10">C18/$N$18</f>
        <v>0.37313432835820898</v>
      </c>
      <c r="D28" s="344">
        <f t="shared" si="10"/>
        <v>0.62686567164179108</v>
      </c>
      <c r="E28" s="344">
        <f t="shared" si="10"/>
        <v>0</v>
      </c>
      <c r="F28" s="344">
        <f t="shared" si="10"/>
        <v>0</v>
      </c>
      <c r="G28" s="344">
        <f t="shared" si="10"/>
        <v>0</v>
      </c>
      <c r="H28" s="344">
        <f t="shared" si="10"/>
        <v>0</v>
      </c>
      <c r="I28" s="344">
        <f t="shared" si="10"/>
        <v>0</v>
      </c>
      <c r="J28" s="344">
        <f t="shared" si="10"/>
        <v>0</v>
      </c>
      <c r="K28" s="344">
        <f t="shared" si="10"/>
        <v>0</v>
      </c>
      <c r="L28" s="344">
        <f t="shared" si="10"/>
        <v>0</v>
      </c>
      <c r="M28" s="344">
        <f t="shared" si="10"/>
        <v>0</v>
      </c>
      <c r="N28" s="494">
        <f t="shared" si="5"/>
        <v>1</v>
      </c>
      <c r="O28" s="351"/>
      <c r="P28" s="351"/>
    </row>
    <row r="29" spans="1:16">
      <c r="A29" s="491"/>
      <c r="B29" s="339" t="s">
        <v>393</v>
      </c>
      <c r="C29" s="345">
        <f t="shared" ref="C29:M29" si="11">C19/$N$19</f>
        <v>0.19892488097366726</v>
      </c>
      <c r="D29" s="345">
        <f t="shared" si="11"/>
        <v>0.26585903447659598</v>
      </c>
      <c r="E29" s="345">
        <f t="shared" si="11"/>
        <v>8.9228108703258049E-2</v>
      </c>
      <c r="F29" s="345">
        <f t="shared" si="11"/>
        <v>0</v>
      </c>
      <c r="G29" s="345">
        <f t="shared" si="11"/>
        <v>0</v>
      </c>
      <c r="H29" s="345">
        <f t="shared" si="11"/>
        <v>0</v>
      </c>
      <c r="I29" s="345">
        <f t="shared" si="11"/>
        <v>0.12966493815311525</v>
      </c>
      <c r="J29" s="345">
        <f t="shared" si="11"/>
        <v>4.5840108596457284E-2</v>
      </c>
      <c r="K29" s="345">
        <f t="shared" si="11"/>
        <v>0.1163879145429883</v>
      </c>
      <c r="L29" s="345">
        <f t="shared" si="11"/>
        <v>0.1473324711465146</v>
      </c>
      <c r="M29" s="345">
        <f t="shared" si="11"/>
        <v>6.7625434074032823E-3</v>
      </c>
      <c r="N29" s="495">
        <f>SUM(C28:M28)</f>
        <v>1</v>
      </c>
      <c r="O29" s="351"/>
      <c r="P29" s="351"/>
    </row>
    <row r="30" spans="1:16">
      <c r="A30" s="492"/>
      <c r="B30" s="339" t="s">
        <v>573</v>
      </c>
      <c r="C30" s="345">
        <f t="shared" ref="C30:M30" si="12">C20/$N$20</f>
        <v>0.24001298204245269</v>
      </c>
      <c r="D30" s="345">
        <f t="shared" si="12"/>
        <v>0.30440139352934503</v>
      </c>
      <c r="E30" s="345">
        <f t="shared" si="12"/>
        <v>5.8998240613430578E-2</v>
      </c>
      <c r="F30" s="345">
        <f t="shared" si="12"/>
        <v>0</v>
      </c>
      <c r="G30" s="345">
        <f t="shared" si="12"/>
        <v>0</v>
      </c>
      <c r="H30" s="345">
        <f t="shared" si="12"/>
        <v>0</v>
      </c>
      <c r="I30" s="345">
        <f t="shared" si="12"/>
        <v>0.25111644440272562</v>
      </c>
      <c r="J30" s="345">
        <f t="shared" si="12"/>
        <v>3.6305712412339194E-2</v>
      </c>
      <c r="K30" s="345">
        <f t="shared" si="12"/>
        <v>5.2770165582472633E-2</v>
      </c>
      <c r="L30" s="345">
        <f t="shared" si="12"/>
        <v>4.6389164586929758E-2</v>
      </c>
      <c r="M30" s="345">
        <f t="shared" si="12"/>
        <v>1.0005896830304312E-2</v>
      </c>
      <c r="N30" s="495">
        <f>SUM(C28:M28)</f>
        <v>1</v>
      </c>
      <c r="O30" s="351"/>
      <c r="P30" s="351"/>
    </row>
    <row r="31" spans="1:16" ht="16.2" thickBot="1">
      <c r="A31" s="1516"/>
      <c r="B31" s="496" t="s">
        <v>866</v>
      </c>
      <c r="C31" s="497">
        <f t="shared" ref="C31:M31" si="13">C21/$N$21</f>
        <v>0.29028184578274857</v>
      </c>
      <c r="D31" s="497">
        <f t="shared" si="13"/>
        <v>0.30317187715157518</v>
      </c>
      <c r="E31" s="497">
        <f t="shared" si="13"/>
        <v>8.2805443243048754E-2</v>
      </c>
      <c r="F31" s="497">
        <f t="shared" si="13"/>
        <v>0</v>
      </c>
      <c r="G31" s="497">
        <f t="shared" si="13"/>
        <v>0</v>
      </c>
      <c r="H31" s="497">
        <f t="shared" si="13"/>
        <v>0</v>
      </c>
      <c r="I31" s="497">
        <f t="shared" si="13"/>
        <v>0.10674798164530724</v>
      </c>
      <c r="J31" s="497">
        <f t="shared" si="13"/>
        <v>7.3566915963792778E-2</v>
      </c>
      <c r="K31" s="497">
        <f t="shared" si="13"/>
        <v>7.4064190823870071E-2</v>
      </c>
      <c r="L31" s="497">
        <f t="shared" si="13"/>
        <v>6.5108303152026786E-2</v>
      </c>
      <c r="M31" s="497">
        <f t="shared" si="13"/>
        <v>4.2534422376305772E-3</v>
      </c>
      <c r="N31" s="1517">
        <f>SUM(C28:M28)</f>
        <v>1</v>
      </c>
      <c r="O31" s="351"/>
      <c r="P31" s="351"/>
    </row>
    <row r="32" spans="1:16" ht="16.2" thickBot="1">
      <c r="A32" s="104"/>
      <c r="B32" s="350"/>
      <c r="C32" s="483"/>
      <c r="D32" s="483"/>
      <c r="E32" s="483"/>
      <c r="F32" s="483"/>
      <c r="G32" s="483"/>
      <c r="H32" s="483"/>
      <c r="I32" s="483"/>
      <c r="J32" s="483"/>
      <c r="K32" s="483"/>
      <c r="L32" s="483"/>
      <c r="M32" s="483"/>
      <c r="N32" s="351"/>
      <c r="O32" s="351"/>
      <c r="P32" s="351"/>
    </row>
    <row r="33" spans="1:29">
      <c r="A33" s="1660"/>
      <c r="B33" s="1657" t="s">
        <v>561</v>
      </c>
      <c r="C33" s="1658"/>
      <c r="D33" s="1658"/>
      <c r="E33" s="1658"/>
      <c r="F33" s="1659"/>
      <c r="G33" s="1657" t="s">
        <v>610</v>
      </c>
      <c r="H33" s="1658"/>
      <c r="I33" s="1659"/>
      <c r="J33" s="483"/>
      <c r="L33" s="483"/>
      <c r="M33" s="483"/>
      <c r="N33" s="351"/>
      <c r="O33" s="351"/>
      <c r="P33" s="351"/>
    </row>
    <row r="34" spans="1:29" ht="16.2" thickBot="1">
      <c r="A34" s="1661"/>
      <c r="B34" s="1390" t="s">
        <v>549</v>
      </c>
      <c r="C34" s="1391" t="s">
        <v>566</v>
      </c>
      <c r="D34" s="1391" t="s">
        <v>429</v>
      </c>
      <c r="E34" s="1391" t="s">
        <v>553</v>
      </c>
      <c r="F34" s="1392" t="s">
        <v>303</v>
      </c>
      <c r="G34" s="1390" t="s">
        <v>569</v>
      </c>
      <c r="H34" s="1391" t="s">
        <v>570</v>
      </c>
      <c r="I34" s="1392" t="s">
        <v>303</v>
      </c>
      <c r="J34" s="184"/>
      <c r="K34" s="184"/>
      <c r="L34" s="184"/>
    </row>
    <row r="35" spans="1:29">
      <c r="A35" s="1396" t="s">
        <v>267</v>
      </c>
      <c r="B35" s="1394">
        <f>(0.5*'Waste Summary 2017 SASOW'!M6+0.9*('Waste Summary 2017 SASOW'!L6+'Waste Summary 2017 SASOW'!N6))/'Waste Summary 2017 SASOW'!J6</f>
        <v>0.46471844811027063</v>
      </c>
      <c r="C35" s="1394">
        <f>'Waste Summary 2017 SASOW'!O22</f>
        <v>0.41381327103365251</v>
      </c>
      <c r="D35" s="1394">
        <f>(0.5*'Waste Summary 2017 SASOW'!M6+('Waste Summary 2017 SASOW'!L6+'Waste Summary 2017 SASOW'!N6)*0.1)/'Waste Summary 2017 SASOW'!J6</f>
        <v>0.12146828085607692</v>
      </c>
      <c r="E35" s="1395">
        <v>0</v>
      </c>
      <c r="F35" s="728">
        <f>SUM(B35:E35)</f>
        <v>1</v>
      </c>
      <c r="G35" s="809">
        <f>N17/(N17+N18*0.5)</f>
        <v>0.66241124199764068</v>
      </c>
      <c r="H35" s="728">
        <f>(N18*0.5)/(N18*0.5+N17)</f>
        <v>0.33758875800235938</v>
      </c>
      <c r="I35" s="825">
        <f>SUM(G35:H35)</f>
        <v>1</v>
      </c>
      <c r="J35" s="184"/>
      <c r="K35" s="483"/>
      <c r="L35" s="184"/>
    </row>
    <row r="36" spans="1:29">
      <c r="A36" s="1397" t="s">
        <v>656</v>
      </c>
      <c r="B36" s="502">
        <f>'Waste Summary 2017 SASOW'!L20+'Waste Summary 2017 SASOW'!M20+'Waste Summary 2017 SASOW'!N20</f>
        <v>0.85641924869700936</v>
      </c>
      <c r="C36" s="502">
        <f>'Waste Summary 2017 SASOW'!O20</f>
        <v>0.14268338865096522</v>
      </c>
      <c r="D36" s="502">
        <v>0</v>
      </c>
      <c r="E36" s="1393">
        <f>'Waste Summary 2017 SASOW'!K20</f>
        <v>8.973626520254116E-4</v>
      </c>
      <c r="F36" s="483">
        <f>SUM(B36:E36)</f>
        <v>1</v>
      </c>
      <c r="G36" s="730">
        <f>('Waste Summary 2017 SASOW'!O10+'Waste Summary 2017 SASOW'!O13+'Waste Summary 2017 SASOW'!O14+'Waste Summary 2017 SASOW'!O15+'Waste Summary 2017 SASOW'!O7)/'Waste Summary 2017 SASOW'!O19</f>
        <v>0.49613166950665732</v>
      </c>
      <c r="H36" s="483">
        <f>'Waste Summary 2017 SASOW'!O9/'Waste Summary 2017 SASOW'!O19</f>
        <v>0.50386833049334279</v>
      </c>
      <c r="I36" s="604">
        <f t="shared" ref="I36:I38" si="14">SUM(G36:H36)</f>
        <v>1</v>
      </c>
      <c r="J36" s="184"/>
      <c r="K36" s="184"/>
      <c r="L36" s="184"/>
      <c r="O36" s="351"/>
      <c r="P36" s="351"/>
    </row>
    <row r="37" spans="1:29">
      <c r="A37" s="1397" t="s">
        <v>657</v>
      </c>
      <c r="B37" s="502">
        <f>'Waste Summary 2017 SASOW'!L24+'Waste Summary 2017 SASOW'!M24+'Waste Summary 2017 SASOW'!N24</f>
        <v>0.74218195843015589</v>
      </c>
      <c r="C37" s="502">
        <f>'Waste Summary 2017 SASOW'!O24</f>
        <v>0.25567103228934263</v>
      </c>
      <c r="D37" s="502">
        <f>0</f>
        <v>0</v>
      </c>
      <c r="E37" s="1393">
        <f>'Waste Summary 2017 SASOW'!K24</f>
        <v>2.1470092805013948E-3</v>
      </c>
      <c r="F37" s="483">
        <f>SUM(B37:E37)</f>
        <v>0.99999999999999989</v>
      </c>
      <c r="G37" s="730">
        <f>('Waste Summary 2017 SASOW'!O23-'Waste Summary 2017 SASOW'!O9)/'Waste Summary 2017 SASOW'!O23</f>
        <v>0.32721719372829228</v>
      </c>
      <c r="H37" s="483">
        <f>'Waste Summary 2017 SASOW'!O9/'Waste Summary 2017 SASOW'!O23</f>
        <v>0.67278280627170772</v>
      </c>
      <c r="I37" s="604">
        <f t="shared" si="14"/>
        <v>1</v>
      </c>
      <c r="J37" s="184"/>
      <c r="K37" s="184"/>
      <c r="L37" s="184"/>
      <c r="O37" s="351"/>
      <c r="P37" s="351"/>
    </row>
    <row r="38" spans="1:29" ht="16.2" thickBot="1">
      <c r="A38" s="1398" t="s">
        <v>575</v>
      </c>
      <c r="B38" s="732">
        <v>0.8</v>
      </c>
      <c r="C38" s="732">
        <v>0.11</v>
      </c>
      <c r="D38" s="732">
        <v>0.09</v>
      </c>
      <c r="E38" s="732">
        <v>0</v>
      </c>
      <c r="F38" s="732">
        <f>SUM(B38:E38)</f>
        <v>1</v>
      </c>
      <c r="G38" s="731">
        <v>1</v>
      </c>
      <c r="H38" s="732">
        <v>0</v>
      </c>
      <c r="I38" s="733">
        <f t="shared" si="14"/>
        <v>1</v>
      </c>
      <c r="J38" s="184"/>
      <c r="K38" s="184"/>
      <c r="L38" s="184"/>
    </row>
    <row r="39" spans="1:29" ht="16.2" thickBot="1">
      <c r="A39" s="536"/>
      <c r="B39" s="483"/>
      <c r="C39" s="483"/>
      <c r="D39" s="483"/>
      <c r="E39" s="483"/>
      <c r="F39" s="537"/>
      <c r="G39" s="483"/>
      <c r="H39" s="483"/>
      <c r="I39" s="483"/>
      <c r="J39" s="184"/>
      <c r="K39" s="184"/>
      <c r="L39" s="184"/>
    </row>
    <row r="40" spans="1:29">
      <c r="A40" s="1662" t="s">
        <v>706</v>
      </c>
      <c r="B40" s="1663"/>
      <c r="C40" s="1664"/>
      <c r="D40" s="184"/>
      <c r="G40" s="184"/>
      <c r="H40" s="501"/>
      <c r="I40" s="184"/>
      <c r="J40" s="184"/>
      <c r="K40" s="184"/>
      <c r="L40" s="499"/>
    </row>
    <row r="41" spans="1:29" ht="28.8">
      <c r="A41" s="559" t="s">
        <v>581</v>
      </c>
      <c r="B41" s="558" t="s">
        <v>229</v>
      </c>
      <c r="C41" s="644">
        <f>Parameters!D12*(Parameters!D17+Parameters!E17)+Parameters!D13*(Parameters!D18+Parameters!E18)+Parameters!D14*(Parameters!D19+Parameters!E19)</f>
        <v>0.28959999999999997</v>
      </c>
      <c r="D41" s="184"/>
      <c r="G41" s="184"/>
      <c r="H41" s="501"/>
      <c r="I41" s="184"/>
      <c r="J41" s="184"/>
      <c r="K41" s="184"/>
      <c r="L41" s="499"/>
    </row>
    <row r="42" spans="1:29" ht="36.6" customHeight="1" thickBot="1">
      <c r="A42" s="560" t="s">
        <v>582</v>
      </c>
      <c r="B42" s="561" t="s">
        <v>229</v>
      </c>
      <c r="C42" s="645">
        <f>Parameters!D12*(SUM(Parameters!D17:H17))+Parameters!D13*(SUM(Parameters!D18:H18))+Parameters!D14*(SUM(Parameters!D19:H19))</f>
        <v>0.71479999999999999</v>
      </c>
      <c r="D42" s="184"/>
      <c r="G42" s="184"/>
      <c r="H42" s="501"/>
      <c r="I42" s="184"/>
      <c r="J42" s="184"/>
      <c r="K42" s="483"/>
      <c r="L42" s="483"/>
    </row>
    <row r="43" spans="1:29">
      <c r="A43" s="501"/>
      <c r="B43" s="483"/>
      <c r="C43" s="483"/>
      <c r="D43" s="184"/>
      <c r="G43" s="184"/>
      <c r="H43" s="184"/>
      <c r="I43" s="184"/>
      <c r="J43" s="184"/>
      <c r="K43" s="184"/>
      <c r="L43" s="184"/>
    </row>
    <row r="44" spans="1:29" ht="16.2" thickBot="1">
      <c r="A44" s="501"/>
      <c r="B44" s="184"/>
      <c r="C44" s="483"/>
      <c r="D44" s="184"/>
      <c r="F44" s="498"/>
      <c r="G44" s="500"/>
      <c r="H44" s="500"/>
      <c r="I44" s="500"/>
      <c r="J44" s="500"/>
      <c r="K44" s="500"/>
      <c r="L44" s="500"/>
      <c r="M44" s="474"/>
    </row>
    <row r="45" spans="1:29">
      <c r="A45" s="501"/>
      <c r="B45" s="184"/>
      <c r="C45" s="483"/>
      <c r="D45" s="184"/>
    </row>
    <row r="46" spans="1:29" ht="16.2" thickBot="1">
      <c r="A46" s="501"/>
      <c r="B46" s="184"/>
      <c r="C46" s="483"/>
      <c r="D46" s="184"/>
    </row>
    <row r="47" spans="1:29" ht="16.2" thickBot="1">
      <c r="A47" s="501"/>
      <c r="B47" s="1654" t="s">
        <v>605</v>
      </c>
      <c r="C47" s="1655"/>
      <c r="D47" s="1655"/>
      <c r="E47" s="1656"/>
      <c r="F47" s="1274" t="s">
        <v>607</v>
      </c>
      <c r="G47" s="1274"/>
      <c r="H47" s="1274"/>
      <c r="I47" s="1665" t="s">
        <v>723</v>
      </c>
      <c r="J47" s="1665"/>
      <c r="K47" s="1665"/>
      <c r="L47" s="1665"/>
      <c r="M47" s="1666"/>
      <c r="N47" s="1667" t="s">
        <v>608</v>
      </c>
      <c r="O47" s="1665"/>
      <c r="P47" s="1665"/>
      <c r="Q47" s="1665"/>
      <c r="R47" s="1665"/>
      <c r="S47" s="1665"/>
      <c r="T47" s="1665"/>
      <c r="U47" s="1665"/>
      <c r="V47" s="1665"/>
      <c r="W47" s="1665"/>
      <c r="X47" s="1665"/>
      <c r="Y47" s="1665"/>
      <c r="Z47" s="1665"/>
      <c r="AA47" s="1665"/>
      <c r="AB47" s="1665"/>
      <c r="AC47" s="1666"/>
    </row>
    <row r="48" spans="1:29" ht="93.6">
      <c r="A48" s="1652" t="s">
        <v>217</v>
      </c>
      <c r="B48" s="1268" t="s">
        <v>218</v>
      </c>
      <c r="C48" s="1268" t="s">
        <v>464</v>
      </c>
      <c r="D48" s="643" t="s">
        <v>721</v>
      </c>
      <c r="E48" s="535" t="s">
        <v>722</v>
      </c>
      <c r="F48" s="1275" t="s">
        <v>577</v>
      </c>
      <c r="G48" s="643" t="s">
        <v>580</v>
      </c>
      <c r="H48" s="535" t="s">
        <v>606</v>
      </c>
      <c r="I48" s="1373" t="s">
        <v>554</v>
      </c>
      <c r="J48" s="510" t="s">
        <v>551</v>
      </c>
      <c r="K48" s="510" t="s">
        <v>288</v>
      </c>
      <c r="L48" s="517" t="s">
        <v>868</v>
      </c>
      <c r="M48" s="517" t="s">
        <v>869</v>
      </c>
      <c r="N48" s="1668" t="s">
        <v>557</v>
      </c>
      <c r="O48" s="1669"/>
      <c r="P48" s="1669"/>
      <c r="Q48" s="1669"/>
      <c r="R48" s="1669"/>
      <c r="S48" s="1669"/>
      <c r="T48" s="1669"/>
      <c r="U48" s="1670"/>
      <c r="V48" s="1671" t="s">
        <v>867</v>
      </c>
      <c r="W48" s="1672"/>
      <c r="X48" s="1672"/>
      <c r="Y48" s="1672"/>
      <c r="Z48" s="1672"/>
      <c r="AA48" s="1672"/>
      <c r="AB48" s="1672"/>
      <c r="AC48" s="1673"/>
    </row>
    <row r="49" spans="1:29" ht="39" customHeight="1" thickBot="1">
      <c r="A49" s="1653"/>
      <c r="B49" s="524" t="s">
        <v>232</v>
      </c>
      <c r="C49" s="525" t="s">
        <v>558</v>
      </c>
      <c r="D49" s="525" t="s">
        <v>556</v>
      </c>
      <c r="E49" s="556" t="s">
        <v>556</v>
      </c>
      <c r="F49" s="1276" t="s">
        <v>229</v>
      </c>
      <c r="G49" s="525" t="s">
        <v>229</v>
      </c>
      <c r="H49" s="556" t="s">
        <v>228</v>
      </c>
      <c r="I49" s="642" t="s">
        <v>227</v>
      </c>
      <c r="J49" s="512" t="s">
        <v>467</v>
      </c>
      <c r="K49" s="512" t="s">
        <v>228</v>
      </c>
      <c r="L49" s="1528"/>
      <c r="M49" s="513" t="s">
        <v>228</v>
      </c>
      <c r="N49" s="482" t="s">
        <v>221</v>
      </c>
      <c r="O49" s="185" t="s">
        <v>85</v>
      </c>
      <c r="P49" s="185" t="s">
        <v>87</v>
      </c>
      <c r="Q49" s="185" t="s">
        <v>222</v>
      </c>
      <c r="R49" s="185" t="s">
        <v>115</v>
      </c>
      <c r="S49" s="185" t="s">
        <v>223</v>
      </c>
      <c r="T49" s="185" t="s">
        <v>224</v>
      </c>
      <c r="U49" s="188" t="s">
        <v>225</v>
      </c>
      <c r="V49" s="1518" t="s">
        <v>221</v>
      </c>
      <c r="W49" s="1519" t="s">
        <v>85</v>
      </c>
      <c r="X49" s="1519" t="s">
        <v>87</v>
      </c>
      <c r="Y49" s="1519" t="s">
        <v>222</v>
      </c>
      <c r="Z49" s="1519" t="s">
        <v>115</v>
      </c>
      <c r="AA49" s="1519" t="s">
        <v>223</v>
      </c>
      <c r="AB49" s="1519" t="s">
        <v>224</v>
      </c>
      <c r="AC49" s="1520" t="s">
        <v>225</v>
      </c>
    </row>
    <row r="50" spans="1:29">
      <c r="A50" s="880">
        <f>year</f>
        <v>1950</v>
      </c>
      <c r="B50" s="881">
        <v>5.3541578999999997</v>
      </c>
      <c r="C50" s="881"/>
      <c r="D50" s="1279">
        <v>0</v>
      </c>
      <c r="E50" s="882">
        <v>0</v>
      </c>
      <c r="F50" s="186">
        <f>C42</f>
        <v>0.71479999999999999</v>
      </c>
      <c r="G50" s="186">
        <f>C41</f>
        <v>0.28959999999999997</v>
      </c>
      <c r="H50" s="557">
        <v>0</v>
      </c>
      <c r="I50" s="1529">
        <f>$C$3</f>
        <v>578.73</v>
      </c>
      <c r="J50" s="1530">
        <f>'Waste Summary 2017 SASOW'!B34</f>
        <v>27.526054267727826</v>
      </c>
      <c r="K50" s="1531">
        <f t="shared" ref="K50:K110" si="15">B50*I50</f>
        <v>3098.6118014670001</v>
      </c>
      <c r="L50" s="1531">
        <f>C50*J50*1000/1000</f>
        <v>0</v>
      </c>
      <c r="M50" s="1532">
        <f t="shared" ref="M50:M113" si="16">C50*J50*1000/1000</f>
        <v>0</v>
      </c>
      <c r="N50" s="1482">
        <f t="shared" ref="N50:S50" si="17">C29</f>
        <v>0.19892488097366726</v>
      </c>
      <c r="O50" s="1482">
        <f t="shared" si="17"/>
        <v>0.26585903447659598</v>
      </c>
      <c r="P50" s="1482">
        <f t="shared" si="17"/>
        <v>8.9228108703258049E-2</v>
      </c>
      <c r="Q50" s="1482">
        <f t="shared" si="17"/>
        <v>0</v>
      </c>
      <c r="R50" s="1482">
        <f t="shared" si="17"/>
        <v>0</v>
      </c>
      <c r="S50" s="1482">
        <f t="shared" si="17"/>
        <v>0</v>
      </c>
      <c r="T50" s="1482">
        <f>SUM(I29:M29)</f>
        <v>0.4459879758464787</v>
      </c>
      <c r="U50" s="1521">
        <f t="shared" ref="U50:U81" si="18">SUM(N50:T50)</f>
        <v>1</v>
      </c>
      <c r="V50" s="1522">
        <f>C31</f>
        <v>0.29028184578274857</v>
      </c>
      <c r="W50" s="1482">
        <f>D31</f>
        <v>0.30317187715157518</v>
      </c>
      <c r="X50" s="1482">
        <f>E31</f>
        <v>8.2805443243048754E-2</v>
      </c>
      <c r="Y50" s="1482">
        <f t="shared" ref="Y50:AA50" si="19">F31</f>
        <v>0</v>
      </c>
      <c r="Z50" s="1482">
        <f t="shared" si="19"/>
        <v>0</v>
      </c>
      <c r="AA50" s="1482">
        <f t="shared" si="19"/>
        <v>0</v>
      </c>
      <c r="AB50" s="1482">
        <f>SUM(I31:M31)</f>
        <v>0.32374083382262742</v>
      </c>
      <c r="AC50" s="1521">
        <f>SUM(V50:AB50)</f>
        <v>0.99999999999999989</v>
      </c>
    </row>
    <row r="51" spans="1:29">
      <c r="A51" s="187">
        <f t="shared" ref="A51:A82" si="20">A50+1</f>
        <v>1951</v>
      </c>
      <c r="B51" s="475">
        <v>5.53942844</v>
      </c>
      <c r="C51" s="475"/>
      <c r="D51" s="184">
        <v>0</v>
      </c>
      <c r="E51" s="557">
        <v>0</v>
      </c>
      <c r="F51" s="186">
        <f>F50</f>
        <v>0.71479999999999999</v>
      </c>
      <c r="G51" s="186">
        <f>G50</f>
        <v>0.28959999999999997</v>
      </c>
      <c r="H51" s="557">
        <v>0</v>
      </c>
      <c r="I51" s="1533">
        <f t="shared" ref="I51:I109" si="21">$C$3</f>
        <v>578.73</v>
      </c>
      <c r="J51" s="1534">
        <f t="shared" ref="J51:J114" si="22">J50</f>
        <v>27.526054267727826</v>
      </c>
      <c r="K51" s="1535">
        <f t="shared" si="15"/>
        <v>3205.8334210812</v>
      </c>
      <c r="L51" s="1535">
        <f t="shared" ref="L51:L99" si="23">C51*J51*1000/1000</f>
        <v>0</v>
      </c>
      <c r="M51" s="1536">
        <f t="shared" si="16"/>
        <v>0</v>
      </c>
      <c r="N51" s="1482">
        <f t="shared" ref="N51:T66" si="24">N50</f>
        <v>0.19892488097366726</v>
      </c>
      <c r="O51" s="1482">
        <f t="shared" si="24"/>
        <v>0.26585903447659598</v>
      </c>
      <c r="P51" s="1482">
        <f t="shared" si="24"/>
        <v>8.9228108703258049E-2</v>
      </c>
      <c r="Q51" s="1482">
        <f t="shared" si="24"/>
        <v>0</v>
      </c>
      <c r="R51" s="1482">
        <f t="shared" si="24"/>
        <v>0</v>
      </c>
      <c r="S51" s="1482">
        <f t="shared" si="24"/>
        <v>0</v>
      </c>
      <c r="T51" s="1482">
        <f t="shared" si="24"/>
        <v>0.4459879758464787</v>
      </c>
      <c r="U51" s="1521">
        <f t="shared" si="18"/>
        <v>1</v>
      </c>
      <c r="V51" s="1522">
        <f>V50</f>
        <v>0.29028184578274857</v>
      </c>
      <c r="W51" s="1482">
        <f t="shared" ref="W51:AB66" si="25">W50</f>
        <v>0.30317187715157518</v>
      </c>
      <c r="X51" s="1482">
        <f t="shared" si="25"/>
        <v>8.2805443243048754E-2</v>
      </c>
      <c r="Y51" s="1482">
        <f t="shared" si="25"/>
        <v>0</v>
      </c>
      <c r="Z51" s="1482">
        <f t="shared" si="25"/>
        <v>0</v>
      </c>
      <c r="AA51" s="1482">
        <f t="shared" si="25"/>
        <v>0</v>
      </c>
      <c r="AB51" s="1482">
        <f t="shared" si="25"/>
        <v>0.32374083382262742</v>
      </c>
      <c r="AC51" s="1521">
        <f t="shared" ref="AC51:AC114" si="26">SUM(V51:AB51)</f>
        <v>0.99999999999999989</v>
      </c>
    </row>
    <row r="52" spans="1:29">
      <c r="A52" s="187">
        <f t="shared" si="20"/>
        <v>1952</v>
      </c>
      <c r="B52" s="475">
        <v>5.7129272200000001</v>
      </c>
      <c r="C52" s="475"/>
      <c r="D52" s="184">
        <v>0</v>
      </c>
      <c r="E52" s="557">
        <v>0</v>
      </c>
      <c r="F52" s="186">
        <f t="shared" ref="F52:F115" si="27">F51</f>
        <v>0.71479999999999999</v>
      </c>
      <c r="G52" s="186">
        <f t="shared" ref="G52:G115" si="28">G51</f>
        <v>0.28959999999999997</v>
      </c>
      <c r="H52" s="557">
        <v>0</v>
      </c>
      <c r="I52" s="1533">
        <f t="shared" si="21"/>
        <v>578.73</v>
      </c>
      <c r="J52" s="1534">
        <f t="shared" si="22"/>
        <v>27.526054267727826</v>
      </c>
      <c r="K52" s="1535">
        <f t="shared" si="15"/>
        <v>3306.2423700306003</v>
      </c>
      <c r="L52" s="1535">
        <f t="shared" si="23"/>
        <v>0</v>
      </c>
      <c r="M52" s="1536">
        <f t="shared" si="16"/>
        <v>0</v>
      </c>
      <c r="N52" s="1482">
        <f t="shared" si="24"/>
        <v>0.19892488097366726</v>
      </c>
      <c r="O52" s="1482">
        <f t="shared" si="24"/>
        <v>0.26585903447659598</v>
      </c>
      <c r="P52" s="1482">
        <f t="shared" si="24"/>
        <v>8.9228108703258049E-2</v>
      </c>
      <c r="Q52" s="1482">
        <f t="shared" si="24"/>
        <v>0</v>
      </c>
      <c r="R52" s="1482">
        <f t="shared" si="24"/>
        <v>0</v>
      </c>
      <c r="S52" s="1482">
        <f t="shared" si="24"/>
        <v>0</v>
      </c>
      <c r="T52" s="1482">
        <f t="shared" si="24"/>
        <v>0.4459879758464787</v>
      </c>
      <c r="U52" s="1521">
        <f t="shared" si="18"/>
        <v>1</v>
      </c>
      <c r="V52" s="1522">
        <f t="shared" ref="V52:AB67" si="29">V51</f>
        <v>0.29028184578274857</v>
      </c>
      <c r="W52" s="1482">
        <f t="shared" si="25"/>
        <v>0.30317187715157518</v>
      </c>
      <c r="X52" s="1482">
        <f t="shared" si="25"/>
        <v>8.2805443243048754E-2</v>
      </c>
      <c r="Y52" s="1482">
        <f t="shared" si="25"/>
        <v>0</v>
      </c>
      <c r="Z52" s="1482">
        <f t="shared" si="25"/>
        <v>0</v>
      </c>
      <c r="AA52" s="1482">
        <f t="shared" si="25"/>
        <v>0</v>
      </c>
      <c r="AB52" s="1482">
        <f t="shared" si="25"/>
        <v>0.32374083382262742</v>
      </c>
      <c r="AC52" s="1521">
        <f t="shared" si="26"/>
        <v>0.99999999999999989</v>
      </c>
    </row>
    <row r="53" spans="1:29">
      <c r="A53" s="187">
        <f t="shared" si="20"/>
        <v>1953</v>
      </c>
      <c r="B53" s="475">
        <v>5.9284297800000001</v>
      </c>
      <c r="C53" s="475"/>
      <c r="D53" s="184">
        <v>0</v>
      </c>
      <c r="E53" s="557">
        <v>0</v>
      </c>
      <c r="F53" s="186">
        <f t="shared" si="27"/>
        <v>0.71479999999999999</v>
      </c>
      <c r="G53" s="186">
        <f t="shared" si="28"/>
        <v>0.28959999999999997</v>
      </c>
      <c r="H53" s="557">
        <v>0</v>
      </c>
      <c r="I53" s="1533">
        <f t="shared" si="21"/>
        <v>578.73</v>
      </c>
      <c r="J53" s="1534">
        <f t="shared" si="22"/>
        <v>27.526054267727826</v>
      </c>
      <c r="K53" s="1535">
        <f t="shared" si="15"/>
        <v>3430.9601665794003</v>
      </c>
      <c r="L53" s="1535">
        <f t="shared" si="23"/>
        <v>0</v>
      </c>
      <c r="M53" s="1536">
        <f t="shared" si="16"/>
        <v>0</v>
      </c>
      <c r="N53" s="1482">
        <f t="shared" si="24"/>
        <v>0.19892488097366726</v>
      </c>
      <c r="O53" s="1482">
        <f t="shared" si="24"/>
        <v>0.26585903447659598</v>
      </c>
      <c r="P53" s="1482">
        <f t="shared" si="24"/>
        <v>8.9228108703258049E-2</v>
      </c>
      <c r="Q53" s="1482">
        <f t="shared" si="24"/>
        <v>0</v>
      </c>
      <c r="R53" s="1482">
        <f t="shared" si="24"/>
        <v>0</v>
      </c>
      <c r="S53" s="1482">
        <f t="shared" si="24"/>
        <v>0</v>
      </c>
      <c r="T53" s="1482">
        <f t="shared" si="24"/>
        <v>0.4459879758464787</v>
      </c>
      <c r="U53" s="1521">
        <f t="shared" si="18"/>
        <v>1</v>
      </c>
      <c r="V53" s="1522">
        <f t="shared" si="29"/>
        <v>0.29028184578274857</v>
      </c>
      <c r="W53" s="1482">
        <f t="shared" si="25"/>
        <v>0.30317187715157518</v>
      </c>
      <c r="X53" s="1482">
        <f t="shared" si="25"/>
        <v>8.2805443243048754E-2</v>
      </c>
      <c r="Y53" s="1482">
        <f t="shared" si="25"/>
        <v>0</v>
      </c>
      <c r="Z53" s="1482">
        <f t="shared" si="25"/>
        <v>0</v>
      </c>
      <c r="AA53" s="1482">
        <f t="shared" si="25"/>
        <v>0</v>
      </c>
      <c r="AB53" s="1482">
        <f t="shared" si="25"/>
        <v>0.32374083382262742</v>
      </c>
      <c r="AC53" s="1521">
        <f t="shared" si="26"/>
        <v>0.99999999999999989</v>
      </c>
    </row>
    <row r="54" spans="1:29">
      <c r="A54" s="187">
        <f t="shared" si="20"/>
        <v>1954</v>
      </c>
      <c r="B54" s="475">
        <v>6.1065695599999996</v>
      </c>
      <c r="C54" s="475"/>
      <c r="D54" s="184">
        <v>0</v>
      </c>
      <c r="E54" s="557">
        <v>0</v>
      </c>
      <c r="F54" s="186">
        <f t="shared" si="27"/>
        <v>0.71479999999999999</v>
      </c>
      <c r="G54" s="186">
        <f t="shared" si="28"/>
        <v>0.28959999999999997</v>
      </c>
      <c r="H54" s="557">
        <v>0</v>
      </c>
      <c r="I54" s="1533">
        <f t="shared" si="21"/>
        <v>578.73</v>
      </c>
      <c r="J54" s="1534">
        <f t="shared" si="22"/>
        <v>27.526054267727826</v>
      </c>
      <c r="K54" s="1535">
        <f t="shared" si="15"/>
        <v>3534.0550014587998</v>
      </c>
      <c r="L54" s="1535">
        <f t="shared" si="23"/>
        <v>0</v>
      </c>
      <c r="M54" s="1536">
        <f t="shared" si="16"/>
        <v>0</v>
      </c>
      <c r="N54" s="1482">
        <f t="shared" si="24"/>
        <v>0.19892488097366726</v>
      </c>
      <c r="O54" s="1482">
        <f t="shared" si="24"/>
        <v>0.26585903447659598</v>
      </c>
      <c r="P54" s="1482">
        <f t="shared" si="24"/>
        <v>8.9228108703258049E-2</v>
      </c>
      <c r="Q54" s="1482">
        <f t="shared" si="24"/>
        <v>0</v>
      </c>
      <c r="R54" s="1482">
        <f t="shared" si="24"/>
        <v>0</v>
      </c>
      <c r="S54" s="1482">
        <f t="shared" si="24"/>
        <v>0</v>
      </c>
      <c r="T54" s="1482">
        <f t="shared" si="24"/>
        <v>0.4459879758464787</v>
      </c>
      <c r="U54" s="1521">
        <f t="shared" si="18"/>
        <v>1</v>
      </c>
      <c r="V54" s="1522">
        <f t="shared" si="29"/>
        <v>0.29028184578274857</v>
      </c>
      <c r="W54" s="1482">
        <f t="shared" si="25"/>
        <v>0.30317187715157518</v>
      </c>
      <c r="X54" s="1482">
        <f t="shared" si="25"/>
        <v>8.2805443243048754E-2</v>
      </c>
      <c r="Y54" s="1482">
        <f t="shared" si="25"/>
        <v>0</v>
      </c>
      <c r="Z54" s="1482">
        <f t="shared" si="25"/>
        <v>0</v>
      </c>
      <c r="AA54" s="1482">
        <f t="shared" si="25"/>
        <v>0</v>
      </c>
      <c r="AB54" s="1482">
        <f t="shared" si="25"/>
        <v>0.32374083382262742</v>
      </c>
      <c r="AC54" s="1521">
        <f t="shared" si="26"/>
        <v>0.99999999999999989</v>
      </c>
    </row>
    <row r="55" spans="1:29">
      <c r="A55" s="187">
        <f t="shared" si="20"/>
        <v>1955</v>
      </c>
      <c r="B55" s="475">
        <v>6.2725644799999998</v>
      </c>
      <c r="C55" s="475"/>
      <c r="D55" s="184">
        <v>0</v>
      </c>
      <c r="E55" s="557">
        <v>0</v>
      </c>
      <c r="F55" s="186">
        <f t="shared" si="27"/>
        <v>0.71479999999999999</v>
      </c>
      <c r="G55" s="186">
        <f t="shared" si="28"/>
        <v>0.28959999999999997</v>
      </c>
      <c r="H55" s="557">
        <v>0</v>
      </c>
      <c r="I55" s="1533">
        <f t="shared" si="21"/>
        <v>578.73</v>
      </c>
      <c r="J55" s="1534">
        <f t="shared" si="22"/>
        <v>27.526054267727826</v>
      </c>
      <c r="K55" s="1535">
        <f t="shared" si="15"/>
        <v>3630.1212415104001</v>
      </c>
      <c r="L55" s="1535">
        <f t="shared" si="23"/>
        <v>0</v>
      </c>
      <c r="M55" s="1536">
        <f t="shared" si="16"/>
        <v>0</v>
      </c>
      <c r="N55" s="1482">
        <f t="shared" si="24"/>
        <v>0.19892488097366726</v>
      </c>
      <c r="O55" s="1482">
        <f t="shared" si="24"/>
        <v>0.26585903447659598</v>
      </c>
      <c r="P55" s="1482">
        <f t="shared" si="24"/>
        <v>8.9228108703258049E-2</v>
      </c>
      <c r="Q55" s="1482">
        <f t="shared" si="24"/>
        <v>0</v>
      </c>
      <c r="R55" s="1482">
        <f t="shared" si="24"/>
        <v>0</v>
      </c>
      <c r="S55" s="1482">
        <f t="shared" si="24"/>
        <v>0</v>
      </c>
      <c r="T55" s="1482">
        <f t="shared" si="24"/>
        <v>0.4459879758464787</v>
      </c>
      <c r="U55" s="1521">
        <f t="shared" si="18"/>
        <v>1</v>
      </c>
      <c r="V55" s="1522">
        <f t="shared" si="29"/>
        <v>0.29028184578274857</v>
      </c>
      <c r="W55" s="1482">
        <f t="shared" si="25"/>
        <v>0.30317187715157518</v>
      </c>
      <c r="X55" s="1482">
        <f t="shared" si="25"/>
        <v>8.2805443243048754E-2</v>
      </c>
      <c r="Y55" s="1482">
        <f t="shared" si="25"/>
        <v>0</v>
      </c>
      <c r="Z55" s="1482">
        <f t="shared" si="25"/>
        <v>0</v>
      </c>
      <c r="AA55" s="1482">
        <f t="shared" si="25"/>
        <v>0</v>
      </c>
      <c r="AB55" s="1482">
        <f t="shared" si="25"/>
        <v>0.32374083382262742</v>
      </c>
      <c r="AC55" s="1521">
        <f t="shared" si="26"/>
        <v>0.99999999999999989</v>
      </c>
    </row>
    <row r="56" spans="1:29">
      <c r="A56" s="187">
        <f t="shared" si="20"/>
        <v>1956</v>
      </c>
      <c r="B56" s="475">
        <v>6.4651860000000001</v>
      </c>
      <c r="C56" s="475"/>
      <c r="D56" s="184">
        <v>0</v>
      </c>
      <c r="E56" s="557">
        <v>0</v>
      </c>
      <c r="F56" s="186">
        <f t="shared" si="27"/>
        <v>0.71479999999999999</v>
      </c>
      <c r="G56" s="186">
        <f t="shared" si="28"/>
        <v>0.28959999999999997</v>
      </c>
      <c r="H56" s="557">
        <v>0</v>
      </c>
      <c r="I56" s="1533">
        <f t="shared" si="21"/>
        <v>578.73</v>
      </c>
      <c r="J56" s="1534">
        <f t="shared" si="22"/>
        <v>27.526054267727826</v>
      </c>
      <c r="K56" s="1535">
        <f t="shared" si="15"/>
        <v>3741.5970937800003</v>
      </c>
      <c r="L56" s="1535">
        <f t="shared" si="23"/>
        <v>0</v>
      </c>
      <c r="M56" s="1536">
        <f t="shared" si="16"/>
        <v>0</v>
      </c>
      <c r="N56" s="1482">
        <f t="shared" si="24"/>
        <v>0.19892488097366726</v>
      </c>
      <c r="O56" s="1482">
        <f t="shared" si="24"/>
        <v>0.26585903447659598</v>
      </c>
      <c r="P56" s="1482">
        <f t="shared" si="24"/>
        <v>8.9228108703258049E-2</v>
      </c>
      <c r="Q56" s="1482">
        <f t="shared" si="24"/>
        <v>0</v>
      </c>
      <c r="R56" s="1482">
        <f t="shared" si="24"/>
        <v>0</v>
      </c>
      <c r="S56" s="1482">
        <f t="shared" si="24"/>
        <v>0</v>
      </c>
      <c r="T56" s="1482">
        <f t="shared" si="24"/>
        <v>0.4459879758464787</v>
      </c>
      <c r="U56" s="1521">
        <f t="shared" si="18"/>
        <v>1</v>
      </c>
      <c r="V56" s="1522">
        <f t="shared" si="29"/>
        <v>0.29028184578274857</v>
      </c>
      <c r="W56" s="1482">
        <f t="shared" si="25"/>
        <v>0.30317187715157518</v>
      </c>
      <c r="X56" s="1482">
        <f t="shared" si="25"/>
        <v>8.2805443243048754E-2</v>
      </c>
      <c r="Y56" s="1482">
        <f t="shared" si="25"/>
        <v>0</v>
      </c>
      <c r="Z56" s="1482">
        <f t="shared" si="25"/>
        <v>0</v>
      </c>
      <c r="AA56" s="1482">
        <f t="shared" si="25"/>
        <v>0</v>
      </c>
      <c r="AB56" s="1482">
        <f t="shared" si="25"/>
        <v>0.32374083382262742</v>
      </c>
      <c r="AC56" s="1521">
        <f t="shared" si="26"/>
        <v>0.99999999999999989</v>
      </c>
    </row>
    <row r="57" spans="1:29">
      <c r="A57" s="187">
        <f t="shared" si="20"/>
        <v>1957</v>
      </c>
      <c r="B57" s="475">
        <v>6.6592707999999998</v>
      </c>
      <c r="C57" s="475"/>
      <c r="D57" s="184">
        <v>0</v>
      </c>
      <c r="E57" s="557">
        <v>0</v>
      </c>
      <c r="F57" s="186">
        <f t="shared" si="27"/>
        <v>0.71479999999999999</v>
      </c>
      <c r="G57" s="186">
        <f t="shared" si="28"/>
        <v>0.28959999999999997</v>
      </c>
      <c r="H57" s="557">
        <v>0</v>
      </c>
      <c r="I57" s="1533">
        <f t="shared" si="21"/>
        <v>578.73</v>
      </c>
      <c r="J57" s="1534">
        <f t="shared" si="22"/>
        <v>27.526054267727826</v>
      </c>
      <c r="K57" s="1535">
        <f t="shared" si="15"/>
        <v>3853.9197900839999</v>
      </c>
      <c r="L57" s="1535">
        <f t="shared" si="23"/>
        <v>0</v>
      </c>
      <c r="M57" s="1536">
        <f t="shared" si="16"/>
        <v>0</v>
      </c>
      <c r="N57" s="1482">
        <f t="shared" si="24"/>
        <v>0.19892488097366726</v>
      </c>
      <c r="O57" s="1482">
        <f t="shared" si="24"/>
        <v>0.26585903447659598</v>
      </c>
      <c r="P57" s="1482">
        <f t="shared" si="24"/>
        <v>8.9228108703258049E-2</v>
      </c>
      <c r="Q57" s="1482">
        <f t="shared" si="24"/>
        <v>0</v>
      </c>
      <c r="R57" s="1482">
        <f t="shared" si="24"/>
        <v>0</v>
      </c>
      <c r="S57" s="1482">
        <f t="shared" si="24"/>
        <v>0</v>
      </c>
      <c r="T57" s="1482">
        <f t="shared" si="24"/>
        <v>0.4459879758464787</v>
      </c>
      <c r="U57" s="1521">
        <f t="shared" si="18"/>
        <v>1</v>
      </c>
      <c r="V57" s="1522">
        <f t="shared" si="29"/>
        <v>0.29028184578274857</v>
      </c>
      <c r="W57" s="1482">
        <f t="shared" si="25"/>
        <v>0.30317187715157518</v>
      </c>
      <c r="X57" s="1482">
        <f t="shared" si="25"/>
        <v>8.2805443243048754E-2</v>
      </c>
      <c r="Y57" s="1482">
        <f t="shared" si="25"/>
        <v>0</v>
      </c>
      <c r="Z57" s="1482">
        <f t="shared" si="25"/>
        <v>0</v>
      </c>
      <c r="AA57" s="1482">
        <f t="shared" si="25"/>
        <v>0</v>
      </c>
      <c r="AB57" s="1482">
        <f t="shared" si="25"/>
        <v>0.32374083382262742</v>
      </c>
      <c r="AC57" s="1521">
        <f t="shared" si="26"/>
        <v>0.99999999999999989</v>
      </c>
    </row>
    <row r="58" spans="1:29">
      <c r="A58" s="187">
        <f t="shared" si="20"/>
        <v>1958</v>
      </c>
      <c r="B58" s="475">
        <v>6.8699176</v>
      </c>
      <c r="C58" s="475"/>
      <c r="D58" s="184">
        <v>0</v>
      </c>
      <c r="E58" s="557">
        <v>0</v>
      </c>
      <c r="F58" s="186">
        <f t="shared" si="27"/>
        <v>0.71479999999999999</v>
      </c>
      <c r="G58" s="186">
        <f t="shared" si="28"/>
        <v>0.28959999999999997</v>
      </c>
      <c r="H58" s="557">
        <v>0</v>
      </c>
      <c r="I58" s="1533">
        <f t="shared" si="21"/>
        <v>578.73</v>
      </c>
      <c r="J58" s="1534">
        <f t="shared" si="22"/>
        <v>27.526054267727826</v>
      </c>
      <c r="K58" s="1535">
        <f t="shared" si="15"/>
        <v>3975.8274126480001</v>
      </c>
      <c r="L58" s="1535">
        <f t="shared" si="23"/>
        <v>0</v>
      </c>
      <c r="M58" s="1536">
        <f t="shared" si="16"/>
        <v>0</v>
      </c>
      <c r="N58" s="1482">
        <f t="shared" si="24"/>
        <v>0.19892488097366726</v>
      </c>
      <c r="O58" s="1482">
        <f t="shared" si="24"/>
        <v>0.26585903447659598</v>
      </c>
      <c r="P58" s="1482">
        <f t="shared" si="24"/>
        <v>8.9228108703258049E-2</v>
      </c>
      <c r="Q58" s="1482">
        <f t="shared" si="24"/>
        <v>0</v>
      </c>
      <c r="R58" s="1482">
        <f t="shared" si="24"/>
        <v>0</v>
      </c>
      <c r="S58" s="1482">
        <f t="shared" si="24"/>
        <v>0</v>
      </c>
      <c r="T58" s="1482">
        <f t="shared" si="24"/>
        <v>0.4459879758464787</v>
      </c>
      <c r="U58" s="1521">
        <f t="shared" si="18"/>
        <v>1</v>
      </c>
      <c r="V58" s="1522">
        <f t="shared" si="29"/>
        <v>0.29028184578274857</v>
      </c>
      <c r="W58" s="1482">
        <f t="shared" si="25"/>
        <v>0.30317187715157518</v>
      </c>
      <c r="X58" s="1482">
        <f t="shared" si="25"/>
        <v>8.2805443243048754E-2</v>
      </c>
      <c r="Y58" s="1482">
        <f t="shared" si="25"/>
        <v>0</v>
      </c>
      <c r="Z58" s="1482">
        <f t="shared" si="25"/>
        <v>0</v>
      </c>
      <c r="AA58" s="1482">
        <f t="shared" si="25"/>
        <v>0</v>
      </c>
      <c r="AB58" s="1482">
        <f t="shared" si="25"/>
        <v>0.32374083382262742</v>
      </c>
      <c r="AC58" s="1521">
        <f t="shared" si="26"/>
        <v>0.99999999999999989</v>
      </c>
    </row>
    <row r="59" spans="1:29">
      <c r="A59" s="187">
        <f t="shared" si="20"/>
        <v>1959</v>
      </c>
      <c r="B59" s="475">
        <v>7.0827593200000001</v>
      </c>
      <c r="C59" s="475"/>
      <c r="D59" s="184">
        <v>0</v>
      </c>
      <c r="E59" s="557">
        <v>0</v>
      </c>
      <c r="F59" s="186">
        <f t="shared" si="27"/>
        <v>0.71479999999999999</v>
      </c>
      <c r="G59" s="186">
        <f t="shared" si="28"/>
        <v>0.28959999999999997</v>
      </c>
      <c r="H59" s="557">
        <v>0</v>
      </c>
      <c r="I59" s="1533">
        <f t="shared" si="21"/>
        <v>578.73</v>
      </c>
      <c r="J59" s="1534">
        <f t="shared" si="22"/>
        <v>27.526054267727826</v>
      </c>
      <c r="K59" s="1535">
        <f t="shared" si="15"/>
        <v>4099.0053012635999</v>
      </c>
      <c r="L59" s="1535">
        <f t="shared" si="23"/>
        <v>0</v>
      </c>
      <c r="M59" s="1536">
        <f t="shared" si="16"/>
        <v>0</v>
      </c>
      <c r="N59" s="1482">
        <f t="shared" si="24"/>
        <v>0.19892488097366726</v>
      </c>
      <c r="O59" s="1482">
        <f t="shared" si="24"/>
        <v>0.26585903447659598</v>
      </c>
      <c r="P59" s="1482">
        <f t="shared" si="24"/>
        <v>8.9228108703258049E-2</v>
      </c>
      <c r="Q59" s="1482">
        <f t="shared" si="24"/>
        <v>0</v>
      </c>
      <c r="R59" s="1482">
        <f t="shared" si="24"/>
        <v>0</v>
      </c>
      <c r="S59" s="1482">
        <f t="shared" si="24"/>
        <v>0</v>
      </c>
      <c r="T59" s="1482">
        <f t="shared" si="24"/>
        <v>0.4459879758464787</v>
      </c>
      <c r="U59" s="1521">
        <f t="shared" si="18"/>
        <v>1</v>
      </c>
      <c r="V59" s="1522">
        <f t="shared" si="29"/>
        <v>0.29028184578274857</v>
      </c>
      <c r="W59" s="1482">
        <f t="shared" si="25"/>
        <v>0.30317187715157518</v>
      </c>
      <c r="X59" s="1482">
        <f t="shared" si="25"/>
        <v>8.2805443243048754E-2</v>
      </c>
      <c r="Y59" s="1482">
        <f t="shared" si="25"/>
        <v>0</v>
      </c>
      <c r="Z59" s="1482">
        <f t="shared" si="25"/>
        <v>0</v>
      </c>
      <c r="AA59" s="1482">
        <f t="shared" si="25"/>
        <v>0</v>
      </c>
      <c r="AB59" s="1482">
        <f t="shared" si="25"/>
        <v>0.32374083382262742</v>
      </c>
      <c r="AC59" s="1521">
        <f t="shared" si="26"/>
        <v>0.99999999999999989</v>
      </c>
    </row>
    <row r="60" spans="1:29">
      <c r="A60" s="187">
        <f t="shared" si="20"/>
        <v>1960</v>
      </c>
      <c r="B60" s="475">
        <v>7.2819655999999995</v>
      </c>
      <c r="C60" s="608"/>
      <c r="D60" s="184">
        <v>0</v>
      </c>
      <c r="E60" s="557">
        <v>0</v>
      </c>
      <c r="F60" s="186">
        <f t="shared" si="27"/>
        <v>0.71479999999999999</v>
      </c>
      <c r="G60" s="186">
        <f t="shared" si="28"/>
        <v>0.28959999999999997</v>
      </c>
      <c r="H60" s="557">
        <v>0</v>
      </c>
      <c r="I60" s="1533">
        <f t="shared" si="21"/>
        <v>578.73</v>
      </c>
      <c r="J60" s="1534">
        <f t="shared" si="22"/>
        <v>27.526054267727826</v>
      </c>
      <c r="K60" s="1535">
        <f t="shared" si="15"/>
        <v>4214.2919516880002</v>
      </c>
      <c r="L60" s="1535">
        <f t="shared" si="23"/>
        <v>0</v>
      </c>
      <c r="M60" s="1536">
        <f t="shared" si="16"/>
        <v>0</v>
      </c>
      <c r="N60" s="1482">
        <f t="shared" si="24"/>
        <v>0.19892488097366726</v>
      </c>
      <c r="O60" s="1482">
        <f t="shared" si="24"/>
        <v>0.26585903447659598</v>
      </c>
      <c r="P60" s="1482">
        <f t="shared" si="24"/>
        <v>8.9228108703258049E-2</v>
      </c>
      <c r="Q60" s="1482">
        <f t="shared" si="24"/>
        <v>0</v>
      </c>
      <c r="R60" s="1482">
        <f t="shared" si="24"/>
        <v>0</v>
      </c>
      <c r="S60" s="1482">
        <f t="shared" si="24"/>
        <v>0</v>
      </c>
      <c r="T60" s="1482">
        <f t="shared" si="24"/>
        <v>0.4459879758464787</v>
      </c>
      <c r="U60" s="1521">
        <f t="shared" si="18"/>
        <v>1</v>
      </c>
      <c r="V60" s="1522">
        <f t="shared" si="29"/>
        <v>0.29028184578274857</v>
      </c>
      <c r="W60" s="1482">
        <f t="shared" si="25"/>
        <v>0.30317187715157518</v>
      </c>
      <c r="X60" s="1482">
        <f t="shared" si="25"/>
        <v>8.2805443243048754E-2</v>
      </c>
      <c r="Y60" s="1482">
        <f t="shared" si="25"/>
        <v>0</v>
      </c>
      <c r="Z60" s="1482">
        <f t="shared" si="25"/>
        <v>0</v>
      </c>
      <c r="AA60" s="1482">
        <f t="shared" si="25"/>
        <v>0</v>
      </c>
      <c r="AB60" s="1482">
        <f t="shared" si="25"/>
        <v>0.32374083382262742</v>
      </c>
      <c r="AC60" s="1521">
        <f t="shared" si="26"/>
        <v>0.99999999999999989</v>
      </c>
    </row>
    <row r="61" spans="1:29">
      <c r="A61" s="187">
        <f t="shared" si="20"/>
        <v>1961</v>
      </c>
      <c r="B61" s="475">
        <v>7.6498422000000001</v>
      </c>
      <c r="C61" s="607">
        <v>599.59447889563342</v>
      </c>
      <c r="D61" s="184">
        <v>0</v>
      </c>
      <c r="E61" s="557">
        <v>0</v>
      </c>
      <c r="F61" s="186">
        <f t="shared" si="27"/>
        <v>0.71479999999999999</v>
      </c>
      <c r="G61" s="186">
        <f t="shared" si="28"/>
        <v>0.28959999999999997</v>
      </c>
      <c r="H61" s="557">
        <v>0</v>
      </c>
      <c r="I61" s="1533">
        <f t="shared" si="21"/>
        <v>578.73</v>
      </c>
      <c r="J61" s="1534">
        <f t="shared" si="22"/>
        <v>27.526054267727826</v>
      </c>
      <c r="K61" s="1535">
        <f t="shared" si="15"/>
        <v>4427.193176406</v>
      </c>
      <c r="L61" s="1535">
        <f t="shared" si="23"/>
        <v>16504.470164711191</v>
      </c>
      <c r="M61" s="1536">
        <f t="shared" si="16"/>
        <v>16504.470164711191</v>
      </c>
      <c r="N61" s="1482">
        <f t="shared" si="24"/>
        <v>0.19892488097366726</v>
      </c>
      <c r="O61" s="1482">
        <f t="shared" si="24"/>
        <v>0.26585903447659598</v>
      </c>
      <c r="P61" s="1482">
        <f t="shared" si="24"/>
        <v>8.9228108703258049E-2</v>
      </c>
      <c r="Q61" s="1482">
        <f t="shared" si="24"/>
        <v>0</v>
      </c>
      <c r="R61" s="1482">
        <f t="shared" si="24"/>
        <v>0</v>
      </c>
      <c r="S61" s="1482">
        <f t="shared" si="24"/>
        <v>0</v>
      </c>
      <c r="T61" s="1482">
        <f t="shared" si="24"/>
        <v>0.4459879758464787</v>
      </c>
      <c r="U61" s="1521">
        <f t="shared" si="18"/>
        <v>1</v>
      </c>
      <c r="V61" s="1522">
        <f t="shared" si="29"/>
        <v>0.29028184578274857</v>
      </c>
      <c r="W61" s="1482">
        <f t="shared" si="25"/>
        <v>0.30317187715157518</v>
      </c>
      <c r="X61" s="1482">
        <f t="shared" si="25"/>
        <v>8.2805443243048754E-2</v>
      </c>
      <c r="Y61" s="1482">
        <f t="shared" si="25"/>
        <v>0</v>
      </c>
      <c r="Z61" s="1482">
        <f t="shared" si="25"/>
        <v>0</v>
      </c>
      <c r="AA61" s="1482">
        <f t="shared" si="25"/>
        <v>0</v>
      </c>
      <c r="AB61" s="1482">
        <f t="shared" si="25"/>
        <v>0.32374083382262742</v>
      </c>
      <c r="AC61" s="1521">
        <f t="shared" si="26"/>
        <v>0.99999999999999989</v>
      </c>
    </row>
    <row r="62" spans="1:29">
      <c r="A62" s="187">
        <f t="shared" si="20"/>
        <v>1962</v>
      </c>
      <c r="B62" s="475">
        <v>7.8559936000000006</v>
      </c>
      <c r="C62" s="607">
        <v>636.63672484588017</v>
      </c>
      <c r="D62" s="184">
        <v>0</v>
      </c>
      <c r="E62" s="557">
        <v>0</v>
      </c>
      <c r="F62" s="186">
        <f t="shared" si="27"/>
        <v>0.71479999999999999</v>
      </c>
      <c r="G62" s="186">
        <f t="shared" si="28"/>
        <v>0.28959999999999997</v>
      </c>
      <c r="H62" s="557">
        <v>0</v>
      </c>
      <c r="I62" s="1533">
        <f t="shared" si="21"/>
        <v>578.73</v>
      </c>
      <c r="J62" s="1534">
        <f t="shared" si="22"/>
        <v>27.526054267727826</v>
      </c>
      <c r="K62" s="1535">
        <f t="shared" si="15"/>
        <v>4546.4991761280007</v>
      </c>
      <c r="L62" s="1535">
        <f t="shared" si="23"/>
        <v>17524.097036936204</v>
      </c>
      <c r="M62" s="1536">
        <f t="shared" si="16"/>
        <v>17524.097036936204</v>
      </c>
      <c r="N62" s="1482">
        <f t="shared" si="24"/>
        <v>0.19892488097366726</v>
      </c>
      <c r="O62" s="1482">
        <f t="shared" si="24"/>
        <v>0.26585903447659598</v>
      </c>
      <c r="P62" s="1482">
        <f t="shared" si="24"/>
        <v>8.9228108703258049E-2</v>
      </c>
      <c r="Q62" s="1482">
        <f t="shared" si="24"/>
        <v>0</v>
      </c>
      <c r="R62" s="1482">
        <f t="shared" si="24"/>
        <v>0</v>
      </c>
      <c r="S62" s="1482">
        <f t="shared" si="24"/>
        <v>0</v>
      </c>
      <c r="T62" s="1482">
        <f t="shared" si="24"/>
        <v>0.4459879758464787</v>
      </c>
      <c r="U62" s="1521">
        <f t="shared" si="18"/>
        <v>1</v>
      </c>
      <c r="V62" s="1522">
        <f t="shared" si="29"/>
        <v>0.29028184578274857</v>
      </c>
      <c r="W62" s="1482">
        <f t="shared" si="25"/>
        <v>0.30317187715157518</v>
      </c>
      <c r="X62" s="1482">
        <f t="shared" si="25"/>
        <v>8.2805443243048754E-2</v>
      </c>
      <c r="Y62" s="1482">
        <f t="shared" si="25"/>
        <v>0</v>
      </c>
      <c r="Z62" s="1482">
        <f t="shared" si="25"/>
        <v>0</v>
      </c>
      <c r="AA62" s="1482">
        <f t="shared" si="25"/>
        <v>0</v>
      </c>
      <c r="AB62" s="1482">
        <f t="shared" si="25"/>
        <v>0.32374083382262742</v>
      </c>
      <c r="AC62" s="1521">
        <f t="shared" si="26"/>
        <v>0.99999999999999989</v>
      </c>
    </row>
    <row r="63" spans="1:29">
      <c r="A63" s="187">
        <f t="shared" si="20"/>
        <v>1963</v>
      </c>
      <c r="B63" s="475">
        <v>8.062145000000001</v>
      </c>
      <c r="C63" s="607">
        <v>683.57985178312117</v>
      </c>
      <c r="D63" s="184">
        <v>0</v>
      </c>
      <c r="E63" s="557">
        <v>0</v>
      </c>
      <c r="F63" s="186">
        <f t="shared" si="27"/>
        <v>0.71479999999999999</v>
      </c>
      <c r="G63" s="186">
        <f t="shared" si="28"/>
        <v>0.28959999999999997</v>
      </c>
      <c r="H63" s="557">
        <v>0</v>
      </c>
      <c r="I63" s="1533">
        <f t="shared" si="21"/>
        <v>578.73</v>
      </c>
      <c r="J63" s="1534">
        <f t="shared" si="22"/>
        <v>27.526054267727826</v>
      </c>
      <c r="K63" s="1535">
        <f t="shared" si="15"/>
        <v>4665.8051758500005</v>
      </c>
      <c r="L63" s="1535">
        <f t="shared" si="23"/>
        <v>18816.256096507535</v>
      </c>
      <c r="M63" s="1536">
        <f t="shared" si="16"/>
        <v>18816.256096507535</v>
      </c>
      <c r="N63" s="1482">
        <f t="shared" si="24"/>
        <v>0.19892488097366726</v>
      </c>
      <c r="O63" s="1482">
        <f t="shared" si="24"/>
        <v>0.26585903447659598</v>
      </c>
      <c r="P63" s="1482">
        <f t="shared" si="24"/>
        <v>8.9228108703258049E-2</v>
      </c>
      <c r="Q63" s="1482">
        <f t="shared" si="24"/>
        <v>0</v>
      </c>
      <c r="R63" s="1482">
        <f t="shared" si="24"/>
        <v>0</v>
      </c>
      <c r="S63" s="1482">
        <f t="shared" si="24"/>
        <v>0</v>
      </c>
      <c r="T63" s="1482">
        <f t="shared" si="24"/>
        <v>0.4459879758464787</v>
      </c>
      <c r="U63" s="1521">
        <f t="shared" si="18"/>
        <v>1</v>
      </c>
      <c r="V63" s="1522">
        <f t="shared" si="29"/>
        <v>0.29028184578274857</v>
      </c>
      <c r="W63" s="1482">
        <f t="shared" si="25"/>
        <v>0.30317187715157518</v>
      </c>
      <c r="X63" s="1482">
        <f t="shared" si="25"/>
        <v>8.2805443243048754E-2</v>
      </c>
      <c r="Y63" s="1482">
        <f t="shared" si="25"/>
        <v>0</v>
      </c>
      <c r="Z63" s="1482">
        <f t="shared" si="25"/>
        <v>0</v>
      </c>
      <c r="AA63" s="1482">
        <f t="shared" si="25"/>
        <v>0</v>
      </c>
      <c r="AB63" s="1482">
        <f t="shared" si="25"/>
        <v>0.32374083382262742</v>
      </c>
      <c r="AC63" s="1521">
        <f t="shared" si="26"/>
        <v>0.99999999999999989</v>
      </c>
    </row>
    <row r="64" spans="1:29">
      <c r="A64" s="187">
        <f t="shared" si="20"/>
        <v>1964</v>
      </c>
      <c r="B64" s="475">
        <v>8.2682964000000005</v>
      </c>
      <c r="C64" s="607">
        <v>737.85459954797477</v>
      </c>
      <c r="D64" s="184">
        <v>0</v>
      </c>
      <c r="E64" s="557">
        <v>0</v>
      </c>
      <c r="F64" s="186">
        <f t="shared" si="27"/>
        <v>0.71479999999999999</v>
      </c>
      <c r="G64" s="186">
        <f t="shared" si="28"/>
        <v>0.28959999999999997</v>
      </c>
      <c r="H64" s="557">
        <v>0</v>
      </c>
      <c r="I64" s="1533">
        <f t="shared" si="21"/>
        <v>578.73</v>
      </c>
      <c r="J64" s="1534">
        <f t="shared" si="22"/>
        <v>27.526054267727826</v>
      </c>
      <c r="K64" s="1535">
        <f t="shared" si="15"/>
        <v>4785.1111755720003</v>
      </c>
      <c r="L64" s="1535">
        <f t="shared" si="23"/>
        <v>20310.225748850138</v>
      </c>
      <c r="M64" s="1536">
        <f t="shared" si="16"/>
        <v>20310.225748850138</v>
      </c>
      <c r="N64" s="1482">
        <f t="shared" si="24"/>
        <v>0.19892488097366726</v>
      </c>
      <c r="O64" s="1482">
        <f t="shared" si="24"/>
        <v>0.26585903447659598</v>
      </c>
      <c r="P64" s="1482">
        <f t="shared" si="24"/>
        <v>8.9228108703258049E-2</v>
      </c>
      <c r="Q64" s="1482">
        <f t="shared" si="24"/>
        <v>0</v>
      </c>
      <c r="R64" s="1482">
        <f t="shared" si="24"/>
        <v>0</v>
      </c>
      <c r="S64" s="1482">
        <f t="shared" si="24"/>
        <v>0</v>
      </c>
      <c r="T64" s="1482">
        <f t="shared" si="24"/>
        <v>0.4459879758464787</v>
      </c>
      <c r="U64" s="1521">
        <f t="shared" si="18"/>
        <v>1</v>
      </c>
      <c r="V64" s="1522">
        <f t="shared" si="29"/>
        <v>0.29028184578274857</v>
      </c>
      <c r="W64" s="1482">
        <f t="shared" si="25"/>
        <v>0.30317187715157518</v>
      </c>
      <c r="X64" s="1482">
        <f t="shared" si="25"/>
        <v>8.2805443243048754E-2</v>
      </c>
      <c r="Y64" s="1482">
        <f t="shared" si="25"/>
        <v>0</v>
      </c>
      <c r="Z64" s="1482">
        <f t="shared" si="25"/>
        <v>0</v>
      </c>
      <c r="AA64" s="1482">
        <f t="shared" si="25"/>
        <v>0</v>
      </c>
      <c r="AB64" s="1482">
        <f t="shared" si="25"/>
        <v>0.32374083382262742</v>
      </c>
      <c r="AC64" s="1521">
        <f t="shared" si="26"/>
        <v>0.99999999999999989</v>
      </c>
    </row>
    <row r="65" spans="1:29">
      <c r="A65" s="187">
        <f t="shared" si="20"/>
        <v>1965</v>
      </c>
      <c r="B65" s="475">
        <v>8.4744478000000001</v>
      </c>
      <c r="C65" s="607">
        <v>783.03167192931596</v>
      </c>
      <c r="D65" s="184">
        <v>0</v>
      </c>
      <c r="E65" s="557">
        <v>0</v>
      </c>
      <c r="F65" s="186">
        <f t="shared" si="27"/>
        <v>0.71479999999999999</v>
      </c>
      <c r="G65" s="186">
        <f t="shared" si="28"/>
        <v>0.28959999999999997</v>
      </c>
      <c r="H65" s="557">
        <v>0</v>
      </c>
      <c r="I65" s="1533">
        <f t="shared" si="21"/>
        <v>578.73</v>
      </c>
      <c r="J65" s="1534">
        <f t="shared" si="22"/>
        <v>27.526054267727826</v>
      </c>
      <c r="K65" s="1535">
        <f t="shared" si="15"/>
        <v>4904.4171752940001</v>
      </c>
      <c r="L65" s="1535">
        <f t="shared" si="23"/>
        <v>21553.772294876002</v>
      </c>
      <c r="M65" s="1536">
        <f t="shared" si="16"/>
        <v>21553.772294876002</v>
      </c>
      <c r="N65" s="1482">
        <f t="shared" si="24"/>
        <v>0.19892488097366726</v>
      </c>
      <c r="O65" s="1482">
        <f t="shared" si="24"/>
        <v>0.26585903447659598</v>
      </c>
      <c r="P65" s="1482">
        <f t="shared" si="24"/>
        <v>8.9228108703258049E-2</v>
      </c>
      <c r="Q65" s="1482">
        <f t="shared" si="24"/>
        <v>0</v>
      </c>
      <c r="R65" s="1482">
        <f t="shared" si="24"/>
        <v>0</v>
      </c>
      <c r="S65" s="1482">
        <f t="shared" si="24"/>
        <v>0</v>
      </c>
      <c r="T65" s="1482">
        <f t="shared" si="24"/>
        <v>0.4459879758464787</v>
      </c>
      <c r="U65" s="1521">
        <f t="shared" si="18"/>
        <v>1</v>
      </c>
      <c r="V65" s="1522">
        <f t="shared" si="29"/>
        <v>0.29028184578274857</v>
      </c>
      <c r="W65" s="1482">
        <f t="shared" si="25"/>
        <v>0.30317187715157518</v>
      </c>
      <c r="X65" s="1482">
        <f t="shared" si="25"/>
        <v>8.2805443243048754E-2</v>
      </c>
      <c r="Y65" s="1482">
        <f t="shared" si="25"/>
        <v>0</v>
      </c>
      <c r="Z65" s="1482">
        <f t="shared" si="25"/>
        <v>0</v>
      </c>
      <c r="AA65" s="1482">
        <f t="shared" si="25"/>
        <v>0</v>
      </c>
      <c r="AB65" s="1482">
        <f t="shared" si="25"/>
        <v>0.32374083382262742</v>
      </c>
      <c r="AC65" s="1521">
        <f t="shared" si="26"/>
        <v>0.99999999999999989</v>
      </c>
    </row>
    <row r="66" spans="1:29">
      <c r="A66" s="187">
        <f t="shared" si="20"/>
        <v>1966</v>
      </c>
      <c r="B66" s="475">
        <v>8.7407319999999995</v>
      </c>
      <c r="C66" s="607">
        <v>817.78503135778317</v>
      </c>
      <c r="D66" s="184">
        <v>0</v>
      </c>
      <c r="E66" s="557">
        <v>0</v>
      </c>
      <c r="F66" s="186">
        <f t="shared" si="27"/>
        <v>0.71479999999999999</v>
      </c>
      <c r="G66" s="186">
        <f t="shared" si="28"/>
        <v>0.28959999999999997</v>
      </c>
      <c r="H66" s="557">
        <v>0</v>
      </c>
      <c r="I66" s="1533">
        <f t="shared" si="21"/>
        <v>578.73</v>
      </c>
      <c r="J66" s="1534">
        <f t="shared" si="22"/>
        <v>27.526054267727826</v>
      </c>
      <c r="K66" s="1535">
        <f t="shared" si="15"/>
        <v>5058.5238303599999</v>
      </c>
      <c r="L66" s="1535">
        <f t="shared" si="23"/>
        <v>22510.39515248984</v>
      </c>
      <c r="M66" s="1536">
        <f t="shared" si="16"/>
        <v>22510.39515248984</v>
      </c>
      <c r="N66" s="1482">
        <f t="shared" si="24"/>
        <v>0.19892488097366726</v>
      </c>
      <c r="O66" s="1482">
        <f t="shared" si="24"/>
        <v>0.26585903447659598</v>
      </c>
      <c r="P66" s="1482">
        <f t="shared" si="24"/>
        <v>8.9228108703258049E-2</v>
      </c>
      <c r="Q66" s="1482">
        <f t="shared" si="24"/>
        <v>0</v>
      </c>
      <c r="R66" s="1482">
        <f t="shared" si="24"/>
        <v>0</v>
      </c>
      <c r="S66" s="1482">
        <f t="shared" si="24"/>
        <v>0</v>
      </c>
      <c r="T66" s="1482">
        <f t="shared" si="24"/>
        <v>0.4459879758464787</v>
      </c>
      <c r="U66" s="1521">
        <f t="shared" si="18"/>
        <v>1</v>
      </c>
      <c r="V66" s="1522">
        <f t="shared" si="29"/>
        <v>0.29028184578274857</v>
      </c>
      <c r="W66" s="1482">
        <f t="shared" si="25"/>
        <v>0.30317187715157518</v>
      </c>
      <c r="X66" s="1482">
        <f t="shared" si="25"/>
        <v>8.2805443243048754E-2</v>
      </c>
      <c r="Y66" s="1482">
        <f t="shared" si="25"/>
        <v>0</v>
      </c>
      <c r="Z66" s="1482">
        <f t="shared" si="25"/>
        <v>0</v>
      </c>
      <c r="AA66" s="1482">
        <f t="shared" si="25"/>
        <v>0</v>
      </c>
      <c r="AB66" s="1482">
        <f t="shared" si="25"/>
        <v>0.32374083382262742</v>
      </c>
      <c r="AC66" s="1521">
        <f t="shared" si="26"/>
        <v>0.99999999999999989</v>
      </c>
    </row>
    <row r="67" spans="1:29">
      <c r="A67" s="187">
        <f t="shared" si="20"/>
        <v>1967</v>
      </c>
      <c r="B67" s="475">
        <v>9.0098299199999996</v>
      </c>
      <c r="C67" s="607">
        <v>876.63755217357675</v>
      </c>
      <c r="D67" s="184">
        <v>0</v>
      </c>
      <c r="E67" s="557">
        <v>0</v>
      </c>
      <c r="F67" s="186">
        <f t="shared" si="27"/>
        <v>0.71479999999999999</v>
      </c>
      <c r="G67" s="186">
        <f t="shared" si="28"/>
        <v>0.28959999999999997</v>
      </c>
      <c r="H67" s="557">
        <v>0</v>
      </c>
      <c r="I67" s="1533">
        <f t="shared" si="21"/>
        <v>578.73</v>
      </c>
      <c r="J67" s="1534">
        <f t="shared" si="22"/>
        <v>27.526054267727826</v>
      </c>
      <c r="K67" s="1535">
        <f t="shared" si="15"/>
        <v>5214.2588696016001</v>
      </c>
      <c r="L67" s="1535">
        <f t="shared" si="23"/>
        <v>24130.372834257956</v>
      </c>
      <c r="M67" s="1536">
        <f t="shared" si="16"/>
        <v>24130.372834257956</v>
      </c>
      <c r="N67" s="1482">
        <f t="shared" ref="N67:T82" si="30">N66</f>
        <v>0.19892488097366726</v>
      </c>
      <c r="O67" s="1482">
        <f t="shared" si="30"/>
        <v>0.26585903447659598</v>
      </c>
      <c r="P67" s="1482">
        <f t="shared" si="30"/>
        <v>8.9228108703258049E-2</v>
      </c>
      <c r="Q67" s="1482">
        <f t="shared" si="30"/>
        <v>0</v>
      </c>
      <c r="R67" s="1482">
        <f t="shared" si="30"/>
        <v>0</v>
      </c>
      <c r="S67" s="1482">
        <f t="shared" si="30"/>
        <v>0</v>
      </c>
      <c r="T67" s="1482">
        <f t="shared" si="30"/>
        <v>0.4459879758464787</v>
      </c>
      <c r="U67" s="1521">
        <f t="shared" si="18"/>
        <v>1</v>
      </c>
      <c r="V67" s="1522">
        <f t="shared" si="29"/>
        <v>0.29028184578274857</v>
      </c>
      <c r="W67" s="1482">
        <f t="shared" si="29"/>
        <v>0.30317187715157518</v>
      </c>
      <c r="X67" s="1482">
        <f t="shared" si="29"/>
        <v>8.2805443243048754E-2</v>
      </c>
      <c r="Y67" s="1482">
        <f t="shared" si="29"/>
        <v>0</v>
      </c>
      <c r="Z67" s="1482">
        <f t="shared" si="29"/>
        <v>0</v>
      </c>
      <c r="AA67" s="1482">
        <f t="shared" si="29"/>
        <v>0</v>
      </c>
      <c r="AB67" s="1482">
        <f t="shared" si="29"/>
        <v>0.32374083382262742</v>
      </c>
      <c r="AC67" s="1521">
        <f t="shared" si="26"/>
        <v>0.99999999999999989</v>
      </c>
    </row>
    <row r="68" spans="1:29">
      <c r="A68" s="187">
        <f t="shared" si="20"/>
        <v>1968</v>
      </c>
      <c r="B68" s="475">
        <v>9.2808861600000014</v>
      </c>
      <c r="C68" s="607">
        <v>913.04820912190667</v>
      </c>
      <c r="D68" s="184">
        <v>0</v>
      </c>
      <c r="E68" s="557">
        <v>0</v>
      </c>
      <c r="F68" s="186">
        <f t="shared" si="27"/>
        <v>0.71479999999999999</v>
      </c>
      <c r="G68" s="186">
        <f t="shared" si="28"/>
        <v>0.28959999999999997</v>
      </c>
      <c r="H68" s="557">
        <v>0</v>
      </c>
      <c r="I68" s="1533">
        <f t="shared" si="21"/>
        <v>578.73</v>
      </c>
      <c r="J68" s="1534">
        <f t="shared" si="22"/>
        <v>27.526054267727826</v>
      </c>
      <c r="K68" s="1535">
        <f t="shared" si="15"/>
        <v>5371.1272473768013</v>
      </c>
      <c r="L68" s="1535">
        <f t="shared" si="23"/>
        <v>25132.614553341307</v>
      </c>
      <c r="M68" s="1536">
        <f t="shared" si="16"/>
        <v>25132.614553341307</v>
      </c>
      <c r="N68" s="1482">
        <f t="shared" si="30"/>
        <v>0.19892488097366726</v>
      </c>
      <c r="O68" s="1482">
        <f t="shared" si="30"/>
        <v>0.26585903447659598</v>
      </c>
      <c r="P68" s="1482">
        <f t="shared" si="30"/>
        <v>8.9228108703258049E-2</v>
      </c>
      <c r="Q68" s="1482">
        <f t="shared" si="30"/>
        <v>0</v>
      </c>
      <c r="R68" s="1482">
        <f t="shared" si="30"/>
        <v>0</v>
      </c>
      <c r="S68" s="1482">
        <f t="shared" si="30"/>
        <v>0</v>
      </c>
      <c r="T68" s="1482">
        <f t="shared" si="30"/>
        <v>0.4459879758464787</v>
      </c>
      <c r="U68" s="1521">
        <f t="shared" si="18"/>
        <v>1</v>
      </c>
      <c r="V68" s="1522">
        <f t="shared" ref="V68:AB83" si="31">V67</f>
        <v>0.29028184578274857</v>
      </c>
      <c r="W68" s="1482">
        <f t="shared" si="31"/>
        <v>0.30317187715157518</v>
      </c>
      <c r="X68" s="1482">
        <f t="shared" si="31"/>
        <v>8.2805443243048754E-2</v>
      </c>
      <c r="Y68" s="1482">
        <f t="shared" si="31"/>
        <v>0</v>
      </c>
      <c r="Z68" s="1482">
        <f t="shared" si="31"/>
        <v>0</v>
      </c>
      <c r="AA68" s="1482">
        <f t="shared" si="31"/>
        <v>0</v>
      </c>
      <c r="AB68" s="1482">
        <f t="shared" si="31"/>
        <v>0.32374083382262742</v>
      </c>
      <c r="AC68" s="1521">
        <f t="shared" si="26"/>
        <v>0.99999999999999989</v>
      </c>
    </row>
    <row r="69" spans="1:29">
      <c r="A69" s="187">
        <f t="shared" si="20"/>
        <v>1969</v>
      </c>
      <c r="B69" s="475">
        <v>9.5539007199999997</v>
      </c>
      <c r="C69" s="607">
        <v>956.10601604260387</v>
      </c>
      <c r="D69" s="184">
        <v>0</v>
      </c>
      <c r="E69" s="557">
        <v>0</v>
      </c>
      <c r="F69" s="186">
        <f t="shared" si="27"/>
        <v>0.71479999999999999</v>
      </c>
      <c r="G69" s="186">
        <f t="shared" si="28"/>
        <v>0.28959999999999997</v>
      </c>
      <c r="H69" s="557">
        <v>0</v>
      </c>
      <c r="I69" s="1533">
        <f t="shared" si="21"/>
        <v>578.73</v>
      </c>
      <c r="J69" s="1534">
        <f t="shared" si="22"/>
        <v>27.526054267727826</v>
      </c>
      <c r="K69" s="1535">
        <f t="shared" si="15"/>
        <v>5529.1289636856</v>
      </c>
      <c r="L69" s="1535">
        <f t="shared" si="23"/>
        <v>26317.826083289765</v>
      </c>
      <c r="M69" s="1536">
        <f t="shared" si="16"/>
        <v>26317.826083289765</v>
      </c>
      <c r="N69" s="1482">
        <f t="shared" si="30"/>
        <v>0.19892488097366726</v>
      </c>
      <c r="O69" s="1482">
        <f t="shared" si="30"/>
        <v>0.26585903447659598</v>
      </c>
      <c r="P69" s="1482">
        <f t="shared" si="30"/>
        <v>8.9228108703258049E-2</v>
      </c>
      <c r="Q69" s="1482">
        <f t="shared" si="30"/>
        <v>0</v>
      </c>
      <c r="R69" s="1482">
        <f t="shared" si="30"/>
        <v>0</v>
      </c>
      <c r="S69" s="1482">
        <f t="shared" si="30"/>
        <v>0</v>
      </c>
      <c r="T69" s="1482">
        <f t="shared" si="30"/>
        <v>0.4459879758464787</v>
      </c>
      <c r="U69" s="1521">
        <f t="shared" si="18"/>
        <v>1</v>
      </c>
      <c r="V69" s="1522">
        <f t="shared" si="31"/>
        <v>0.29028184578274857</v>
      </c>
      <c r="W69" s="1482">
        <f t="shared" si="31"/>
        <v>0.30317187715157518</v>
      </c>
      <c r="X69" s="1482">
        <f t="shared" si="31"/>
        <v>8.2805443243048754E-2</v>
      </c>
      <c r="Y69" s="1482">
        <f t="shared" si="31"/>
        <v>0</v>
      </c>
      <c r="Z69" s="1482">
        <f t="shared" si="31"/>
        <v>0</v>
      </c>
      <c r="AA69" s="1482">
        <f t="shared" si="31"/>
        <v>0</v>
      </c>
      <c r="AB69" s="1482">
        <f t="shared" si="31"/>
        <v>0.32374083382262742</v>
      </c>
      <c r="AC69" s="1521">
        <f t="shared" si="26"/>
        <v>0.99999999999999989</v>
      </c>
    </row>
    <row r="70" spans="1:29">
      <c r="A70" s="187">
        <f t="shared" si="20"/>
        <v>1970</v>
      </c>
      <c r="B70" s="475">
        <v>9.8288735999999997</v>
      </c>
      <c r="C70" s="607">
        <v>1006.2889052098111</v>
      </c>
      <c r="D70" s="184">
        <v>0</v>
      </c>
      <c r="E70" s="557">
        <v>0</v>
      </c>
      <c r="F70" s="186">
        <f t="shared" si="27"/>
        <v>0.71479999999999999</v>
      </c>
      <c r="G70" s="186">
        <f t="shared" si="28"/>
        <v>0.28959999999999997</v>
      </c>
      <c r="H70" s="557">
        <v>0</v>
      </c>
      <c r="I70" s="1533">
        <f t="shared" si="21"/>
        <v>578.73</v>
      </c>
      <c r="J70" s="1534">
        <f t="shared" si="22"/>
        <v>27.526054267727826</v>
      </c>
      <c r="K70" s="1535">
        <f t="shared" si="15"/>
        <v>5688.2640185279997</v>
      </c>
      <c r="L70" s="1535">
        <f t="shared" si="23"/>
        <v>27699.163013817684</v>
      </c>
      <c r="M70" s="1536">
        <f t="shared" si="16"/>
        <v>27699.163013817684</v>
      </c>
      <c r="N70" s="1482">
        <f t="shared" si="30"/>
        <v>0.19892488097366726</v>
      </c>
      <c r="O70" s="1482">
        <f t="shared" si="30"/>
        <v>0.26585903447659598</v>
      </c>
      <c r="P70" s="1482">
        <f t="shared" si="30"/>
        <v>8.9228108703258049E-2</v>
      </c>
      <c r="Q70" s="1482">
        <f t="shared" si="30"/>
        <v>0</v>
      </c>
      <c r="R70" s="1482">
        <f t="shared" si="30"/>
        <v>0</v>
      </c>
      <c r="S70" s="1482">
        <f t="shared" si="30"/>
        <v>0</v>
      </c>
      <c r="T70" s="1482">
        <f t="shared" si="30"/>
        <v>0.4459879758464787</v>
      </c>
      <c r="U70" s="1521">
        <f t="shared" si="18"/>
        <v>1</v>
      </c>
      <c r="V70" s="1522">
        <f t="shared" si="31"/>
        <v>0.29028184578274857</v>
      </c>
      <c r="W70" s="1482">
        <f t="shared" si="31"/>
        <v>0.30317187715157518</v>
      </c>
      <c r="X70" s="1482">
        <f t="shared" si="31"/>
        <v>8.2805443243048754E-2</v>
      </c>
      <c r="Y70" s="1482">
        <f t="shared" si="31"/>
        <v>0</v>
      </c>
      <c r="Z70" s="1482">
        <f t="shared" si="31"/>
        <v>0</v>
      </c>
      <c r="AA70" s="1482">
        <f t="shared" si="31"/>
        <v>0</v>
      </c>
      <c r="AB70" s="1482">
        <f t="shared" si="31"/>
        <v>0.32374083382262742</v>
      </c>
      <c r="AC70" s="1521">
        <f t="shared" si="26"/>
        <v>0.99999999999999989</v>
      </c>
    </row>
    <row r="71" spans="1:29">
      <c r="A71" s="187">
        <f t="shared" si="20"/>
        <v>1971</v>
      </c>
      <c r="B71" s="475">
        <v>20.567820000000001</v>
      </c>
      <c r="C71" s="607">
        <v>1049.3477098940468</v>
      </c>
      <c r="D71" s="184">
        <v>0</v>
      </c>
      <c r="E71" s="557">
        <v>0</v>
      </c>
      <c r="F71" s="186">
        <f t="shared" si="27"/>
        <v>0.71479999999999999</v>
      </c>
      <c r="G71" s="186">
        <f t="shared" si="28"/>
        <v>0.28959999999999997</v>
      </c>
      <c r="H71" s="557">
        <v>0</v>
      </c>
      <c r="I71" s="1533">
        <f t="shared" si="21"/>
        <v>578.73</v>
      </c>
      <c r="J71" s="1534">
        <f t="shared" si="22"/>
        <v>27.526054267727826</v>
      </c>
      <c r="K71" s="1535">
        <f t="shared" si="15"/>
        <v>11903.214468600001</v>
      </c>
      <c r="L71" s="1535">
        <f t="shared" si="23"/>
        <v>28884.402008259447</v>
      </c>
      <c r="M71" s="1536">
        <f t="shared" si="16"/>
        <v>28884.402008259447</v>
      </c>
      <c r="N71" s="1482">
        <f t="shared" si="30"/>
        <v>0.19892488097366726</v>
      </c>
      <c r="O71" s="1482">
        <f t="shared" si="30"/>
        <v>0.26585903447659598</v>
      </c>
      <c r="P71" s="1482">
        <f t="shared" si="30"/>
        <v>8.9228108703258049E-2</v>
      </c>
      <c r="Q71" s="1482">
        <f t="shared" si="30"/>
        <v>0</v>
      </c>
      <c r="R71" s="1482">
        <f t="shared" si="30"/>
        <v>0</v>
      </c>
      <c r="S71" s="1482">
        <f t="shared" si="30"/>
        <v>0</v>
      </c>
      <c r="T71" s="1482">
        <f t="shared" si="30"/>
        <v>0.4459879758464787</v>
      </c>
      <c r="U71" s="1521">
        <f t="shared" si="18"/>
        <v>1</v>
      </c>
      <c r="V71" s="1522">
        <f t="shared" si="31"/>
        <v>0.29028184578274857</v>
      </c>
      <c r="W71" s="1482">
        <f t="shared" si="31"/>
        <v>0.30317187715157518</v>
      </c>
      <c r="X71" s="1482">
        <f t="shared" si="31"/>
        <v>8.2805443243048754E-2</v>
      </c>
      <c r="Y71" s="1482">
        <f t="shared" si="31"/>
        <v>0</v>
      </c>
      <c r="Z71" s="1482">
        <f t="shared" si="31"/>
        <v>0</v>
      </c>
      <c r="AA71" s="1482">
        <f t="shared" si="31"/>
        <v>0</v>
      </c>
      <c r="AB71" s="1482">
        <f t="shared" si="31"/>
        <v>0.32374083382262742</v>
      </c>
      <c r="AC71" s="1521">
        <f t="shared" si="26"/>
        <v>0.99999999999999989</v>
      </c>
    </row>
    <row r="72" spans="1:29">
      <c r="A72" s="187">
        <f t="shared" si="20"/>
        <v>1972</v>
      </c>
      <c r="B72" s="475">
        <v>21.04466</v>
      </c>
      <c r="C72" s="607">
        <v>1066.7119174754762</v>
      </c>
      <c r="D72" s="184">
        <v>0</v>
      </c>
      <c r="E72" s="557">
        <v>0</v>
      </c>
      <c r="F72" s="186">
        <f t="shared" si="27"/>
        <v>0.71479999999999999</v>
      </c>
      <c r="G72" s="186">
        <f t="shared" si="28"/>
        <v>0.28959999999999997</v>
      </c>
      <c r="H72" s="557">
        <v>0</v>
      </c>
      <c r="I72" s="1533">
        <f t="shared" si="21"/>
        <v>578.73</v>
      </c>
      <c r="J72" s="1534">
        <f t="shared" si="22"/>
        <v>27.526054267727826</v>
      </c>
      <c r="K72" s="1535">
        <f t="shared" si="15"/>
        <v>12179.1760818</v>
      </c>
      <c r="L72" s="1535">
        <f t="shared" si="23"/>
        <v>29362.370128461964</v>
      </c>
      <c r="M72" s="1536">
        <f t="shared" si="16"/>
        <v>29362.370128461964</v>
      </c>
      <c r="N72" s="1482">
        <f t="shared" si="30"/>
        <v>0.19892488097366726</v>
      </c>
      <c r="O72" s="1482">
        <f t="shared" si="30"/>
        <v>0.26585903447659598</v>
      </c>
      <c r="P72" s="1482">
        <f t="shared" si="30"/>
        <v>8.9228108703258049E-2</v>
      </c>
      <c r="Q72" s="1482">
        <f t="shared" si="30"/>
        <v>0</v>
      </c>
      <c r="R72" s="1482">
        <f t="shared" si="30"/>
        <v>0</v>
      </c>
      <c r="S72" s="1482">
        <f t="shared" si="30"/>
        <v>0</v>
      </c>
      <c r="T72" s="1482">
        <f t="shared" si="30"/>
        <v>0.4459879758464787</v>
      </c>
      <c r="U72" s="1521">
        <f t="shared" si="18"/>
        <v>1</v>
      </c>
      <c r="V72" s="1522">
        <f t="shared" si="31"/>
        <v>0.29028184578274857</v>
      </c>
      <c r="W72" s="1482">
        <f t="shared" si="31"/>
        <v>0.30317187715157518</v>
      </c>
      <c r="X72" s="1482">
        <f t="shared" si="31"/>
        <v>8.2805443243048754E-2</v>
      </c>
      <c r="Y72" s="1482">
        <f t="shared" si="31"/>
        <v>0</v>
      </c>
      <c r="Z72" s="1482">
        <f t="shared" si="31"/>
        <v>0</v>
      </c>
      <c r="AA72" s="1482">
        <f t="shared" si="31"/>
        <v>0</v>
      </c>
      <c r="AB72" s="1482">
        <f t="shared" si="31"/>
        <v>0.32374083382262742</v>
      </c>
      <c r="AC72" s="1521">
        <f t="shared" si="26"/>
        <v>0.99999999999999989</v>
      </c>
    </row>
    <row r="73" spans="1:29">
      <c r="A73" s="187">
        <f t="shared" si="20"/>
        <v>1973</v>
      </c>
      <c r="B73" s="475">
        <v>21.526959999999999</v>
      </c>
      <c r="C73" s="607">
        <v>1115.481962992131</v>
      </c>
      <c r="D73" s="184">
        <v>0</v>
      </c>
      <c r="E73" s="557">
        <v>0</v>
      </c>
      <c r="F73" s="186">
        <f t="shared" si="27"/>
        <v>0.71479999999999999</v>
      </c>
      <c r="G73" s="186">
        <f t="shared" si="28"/>
        <v>0.28959999999999997</v>
      </c>
      <c r="H73" s="557">
        <v>0</v>
      </c>
      <c r="I73" s="1533">
        <f t="shared" si="21"/>
        <v>578.73</v>
      </c>
      <c r="J73" s="1534">
        <f t="shared" si="22"/>
        <v>27.526054267727826</v>
      </c>
      <c r="K73" s="1535">
        <f t="shared" si="15"/>
        <v>12458.2975608</v>
      </c>
      <c r="L73" s="1535">
        <f t="shared" si="23"/>
        <v>30704.817047992961</v>
      </c>
      <c r="M73" s="1536">
        <f t="shared" si="16"/>
        <v>30704.817047992961</v>
      </c>
      <c r="N73" s="1482">
        <f t="shared" si="30"/>
        <v>0.19892488097366726</v>
      </c>
      <c r="O73" s="1482">
        <f t="shared" si="30"/>
        <v>0.26585903447659598</v>
      </c>
      <c r="P73" s="1482">
        <f t="shared" si="30"/>
        <v>8.9228108703258049E-2</v>
      </c>
      <c r="Q73" s="1482">
        <f t="shared" si="30"/>
        <v>0</v>
      </c>
      <c r="R73" s="1482">
        <f t="shared" si="30"/>
        <v>0</v>
      </c>
      <c r="S73" s="1482">
        <f t="shared" si="30"/>
        <v>0</v>
      </c>
      <c r="T73" s="1482">
        <f t="shared" si="30"/>
        <v>0.4459879758464787</v>
      </c>
      <c r="U73" s="1521">
        <f t="shared" si="18"/>
        <v>1</v>
      </c>
      <c r="V73" s="1522">
        <f t="shared" si="31"/>
        <v>0.29028184578274857</v>
      </c>
      <c r="W73" s="1482">
        <f t="shared" si="31"/>
        <v>0.30317187715157518</v>
      </c>
      <c r="X73" s="1482">
        <f t="shared" si="31"/>
        <v>8.2805443243048754E-2</v>
      </c>
      <c r="Y73" s="1482">
        <f t="shared" si="31"/>
        <v>0</v>
      </c>
      <c r="Z73" s="1482">
        <f t="shared" si="31"/>
        <v>0</v>
      </c>
      <c r="AA73" s="1482">
        <f t="shared" si="31"/>
        <v>0</v>
      </c>
      <c r="AB73" s="1482">
        <f t="shared" si="31"/>
        <v>0.32374083382262742</v>
      </c>
      <c r="AC73" s="1521">
        <f t="shared" si="26"/>
        <v>0.99999999999999989</v>
      </c>
    </row>
    <row r="74" spans="1:29">
      <c r="A74" s="187">
        <f t="shared" si="20"/>
        <v>1974</v>
      </c>
      <c r="B74" s="475">
        <v>22.012900000000002</v>
      </c>
      <c r="C74" s="607">
        <v>1183.6496732532121</v>
      </c>
      <c r="D74" s="184">
        <v>0</v>
      </c>
      <c r="E74" s="557">
        <v>0</v>
      </c>
      <c r="F74" s="186">
        <f t="shared" si="27"/>
        <v>0.71479999999999999</v>
      </c>
      <c r="G74" s="186">
        <f t="shared" si="28"/>
        <v>0.28959999999999997</v>
      </c>
      <c r="H74" s="557">
        <v>0</v>
      </c>
      <c r="I74" s="1533">
        <f t="shared" si="21"/>
        <v>578.73</v>
      </c>
      <c r="J74" s="1534">
        <f t="shared" si="22"/>
        <v>27.526054267727826</v>
      </c>
      <c r="K74" s="1535">
        <f t="shared" si="15"/>
        <v>12739.525617000001</v>
      </c>
      <c r="L74" s="1535">
        <f t="shared" si="23"/>
        <v>32581.205139946225</v>
      </c>
      <c r="M74" s="1536">
        <f t="shared" si="16"/>
        <v>32581.205139946225</v>
      </c>
      <c r="N74" s="1482">
        <f t="shared" si="30"/>
        <v>0.19892488097366726</v>
      </c>
      <c r="O74" s="1482">
        <f t="shared" si="30"/>
        <v>0.26585903447659598</v>
      </c>
      <c r="P74" s="1482">
        <f t="shared" si="30"/>
        <v>8.9228108703258049E-2</v>
      </c>
      <c r="Q74" s="1482">
        <f t="shared" si="30"/>
        <v>0</v>
      </c>
      <c r="R74" s="1482">
        <f t="shared" si="30"/>
        <v>0</v>
      </c>
      <c r="S74" s="1482">
        <f t="shared" si="30"/>
        <v>0</v>
      </c>
      <c r="T74" s="1482">
        <f t="shared" si="30"/>
        <v>0.4459879758464787</v>
      </c>
      <c r="U74" s="1521">
        <f t="shared" si="18"/>
        <v>1</v>
      </c>
      <c r="V74" s="1522">
        <f t="shared" si="31"/>
        <v>0.29028184578274857</v>
      </c>
      <c r="W74" s="1482">
        <f t="shared" si="31"/>
        <v>0.30317187715157518</v>
      </c>
      <c r="X74" s="1482">
        <f t="shared" si="31"/>
        <v>8.2805443243048754E-2</v>
      </c>
      <c r="Y74" s="1482">
        <f t="shared" si="31"/>
        <v>0</v>
      </c>
      <c r="Z74" s="1482">
        <f t="shared" si="31"/>
        <v>0</v>
      </c>
      <c r="AA74" s="1482">
        <f t="shared" si="31"/>
        <v>0</v>
      </c>
      <c r="AB74" s="1482">
        <f t="shared" si="31"/>
        <v>0.32374083382262742</v>
      </c>
      <c r="AC74" s="1521">
        <f t="shared" si="26"/>
        <v>0.99999999999999989</v>
      </c>
    </row>
    <row r="75" spans="1:29">
      <c r="A75" s="187">
        <f t="shared" si="20"/>
        <v>1975</v>
      </c>
      <c r="B75" s="475">
        <v>22.502480000000002</v>
      </c>
      <c r="C75" s="607">
        <v>1203.7178400604503</v>
      </c>
      <c r="D75" s="184">
        <v>0</v>
      </c>
      <c r="E75" s="557">
        <v>0</v>
      </c>
      <c r="F75" s="186">
        <f t="shared" si="27"/>
        <v>0.71479999999999999</v>
      </c>
      <c r="G75" s="186">
        <f t="shared" si="28"/>
        <v>0.28959999999999997</v>
      </c>
      <c r="H75" s="557">
        <v>0</v>
      </c>
      <c r="I75" s="1533">
        <f t="shared" si="21"/>
        <v>578.73</v>
      </c>
      <c r="J75" s="1534">
        <f t="shared" si="22"/>
        <v>27.526054267727826</v>
      </c>
      <c r="K75" s="1535">
        <f t="shared" si="15"/>
        <v>13022.860250400001</v>
      </c>
      <c r="L75" s="1535">
        <f t="shared" si="23"/>
        <v>33133.60258853608</v>
      </c>
      <c r="M75" s="1536">
        <f t="shared" si="16"/>
        <v>33133.60258853608</v>
      </c>
      <c r="N75" s="1482">
        <f t="shared" si="30"/>
        <v>0.19892488097366726</v>
      </c>
      <c r="O75" s="1482">
        <f t="shared" si="30"/>
        <v>0.26585903447659598</v>
      </c>
      <c r="P75" s="1482">
        <f t="shared" si="30"/>
        <v>8.9228108703258049E-2</v>
      </c>
      <c r="Q75" s="1482">
        <f t="shared" si="30"/>
        <v>0</v>
      </c>
      <c r="R75" s="1482">
        <f t="shared" si="30"/>
        <v>0</v>
      </c>
      <c r="S75" s="1482">
        <f t="shared" si="30"/>
        <v>0</v>
      </c>
      <c r="T75" s="1482">
        <f t="shared" si="30"/>
        <v>0.4459879758464787</v>
      </c>
      <c r="U75" s="1521">
        <f t="shared" si="18"/>
        <v>1</v>
      </c>
      <c r="V75" s="1522">
        <f t="shared" si="31"/>
        <v>0.29028184578274857</v>
      </c>
      <c r="W75" s="1482">
        <f t="shared" si="31"/>
        <v>0.30317187715157518</v>
      </c>
      <c r="X75" s="1482">
        <f t="shared" si="31"/>
        <v>8.2805443243048754E-2</v>
      </c>
      <c r="Y75" s="1482">
        <f t="shared" si="31"/>
        <v>0</v>
      </c>
      <c r="Z75" s="1482">
        <f t="shared" si="31"/>
        <v>0</v>
      </c>
      <c r="AA75" s="1482">
        <f t="shared" si="31"/>
        <v>0</v>
      </c>
      <c r="AB75" s="1482">
        <f t="shared" si="31"/>
        <v>0.32374083382262742</v>
      </c>
      <c r="AC75" s="1521">
        <f t="shared" si="26"/>
        <v>0.99999999999999989</v>
      </c>
    </row>
    <row r="76" spans="1:29">
      <c r="A76" s="187">
        <f t="shared" si="20"/>
        <v>1976</v>
      </c>
      <c r="B76" s="475">
        <v>22.993880000000001</v>
      </c>
      <c r="C76" s="607">
        <v>1230.8003365426916</v>
      </c>
      <c r="D76" s="184">
        <v>0</v>
      </c>
      <c r="E76" s="557">
        <v>0</v>
      </c>
      <c r="F76" s="186">
        <f t="shared" si="27"/>
        <v>0.71479999999999999</v>
      </c>
      <c r="G76" s="186">
        <f t="shared" si="28"/>
        <v>0.28959999999999997</v>
      </c>
      <c r="H76" s="557">
        <v>0</v>
      </c>
      <c r="I76" s="1533">
        <f t="shared" si="21"/>
        <v>578.73</v>
      </c>
      <c r="J76" s="1534">
        <f t="shared" si="22"/>
        <v>27.526054267727826</v>
      </c>
      <c r="K76" s="1535">
        <f t="shared" si="15"/>
        <v>13307.248172400001</v>
      </c>
      <c r="L76" s="1535">
        <f t="shared" si="23"/>
        <v>33879.076856411804</v>
      </c>
      <c r="M76" s="1536">
        <f t="shared" si="16"/>
        <v>33879.076856411804</v>
      </c>
      <c r="N76" s="1482">
        <f t="shared" si="30"/>
        <v>0.19892488097366726</v>
      </c>
      <c r="O76" s="1482">
        <f t="shared" si="30"/>
        <v>0.26585903447659598</v>
      </c>
      <c r="P76" s="1482">
        <f t="shared" si="30"/>
        <v>8.9228108703258049E-2</v>
      </c>
      <c r="Q76" s="1482">
        <f t="shared" si="30"/>
        <v>0</v>
      </c>
      <c r="R76" s="1482">
        <f t="shared" si="30"/>
        <v>0</v>
      </c>
      <c r="S76" s="1482">
        <f t="shared" si="30"/>
        <v>0</v>
      </c>
      <c r="T76" s="1482">
        <f t="shared" si="30"/>
        <v>0.4459879758464787</v>
      </c>
      <c r="U76" s="1521">
        <f t="shared" si="18"/>
        <v>1</v>
      </c>
      <c r="V76" s="1522">
        <f t="shared" si="31"/>
        <v>0.29028184578274857</v>
      </c>
      <c r="W76" s="1482">
        <f t="shared" si="31"/>
        <v>0.30317187715157518</v>
      </c>
      <c r="X76" s="1482">
        <f t="shared" si="31"/>
        <v>8.2805443243048754E-2</v>
      </c>
      <c r="Y76" s="1482">
        <f t="shared" si="31"/>
        <v>0</v>
      </c>
      <c r="Z76" s="1482">
        <f t="shared" si="31"/>
        <v>0</v>
      </c>
      <c r="AA76" s="1482">
        <f t="shared" si="31"/>
        <v>0</v>
      </c>
      <c r="AB76" s="1482">
        <f t="shared" si="31"/>
        <v>0.32374083382262742</v>
      </c>
      <c r="AC76" s="1521">
        <f t="shared" si="26"/>
        <v>0.99999999999999989</v>
      </c>
    </row>
    <row r="77" spans="1:29">
      <c r="A77" s="187">
        <f t="shared" si="20"/>
        <v>1977</v>
      </c>
      <c r="B77" s="475">
        <v>23.483460000000001</v>
      </c>
      <c r="C77" s="607">
        <v>1229.6429222577431</v>
      </c>
      <c r="D77" s="184">
        <v>0</v>
      </c>
      <c r="E77" s="557">
        <v>0</v>
      </c>
      <c r="F77" s="186">
        <f t="shared" si="27"/>
        <v>0.71479999999999999</v>
      </c>
      <c r="G77" s="186">
        <f t="shared" si="28"/>
        <v>0.28959999999999997</v>
      </c>
      <c r="H77" s="557">
        <v>0</v>
      </c>
      <c r="I77" s="1533">
        <f t="shared" si="21"/>
        <v>578.73</v>
      </c>
      <c r="J77" s="1534">
        <f t="shared" si="22"/>
        <v>27.526054267727826</v>
      </c>
      <c r="K77" s="1535">
        <f t="shared" si="15"/>
        <v>13590.582805800001</v>
      </c>
      <c r="L77" s="1535">
        <f t="shared" si="23"/>
        <v>33847.217807994064</v>
      </c>
      <c r="M77" s="1536">
        <f t="shared" si="16"/>
        <v>33847.217807994064</v>
      </c>
      <c r="N77" s="1482">
        <f t="shared" si="30"/>
        <v>0.19892488097366726</v>
      </c>
      <c r="O77" s="1482">
        <f t="shared" si="30"/>
        <v>0.26585903447659598</v>
      </c>
      <c r="P77" s="1482">
        <f t="shared" si="30"/>
        <v>8.9228108703258049E-2</v>
      </c>
      <c r="Q77" s="1482">
        <f t="shared" si="30"/>
        <v>0</v>
      </c>
      <c r="R77" s="1482">
        <f t="shared" si="30"/>
        <v>0</v>
      </c>
      <c r="S77" s="1482">
        <f t="shared" si="30"/>
        <v>0</v>
      </c>
      <c r="T77" s="1482">
        <f t="shared" si="30"/>
        <v>0.4459879758464787</v>
      </c>
      <c r="U77" s="1521">
        <f t="shared" si="18"/>
        <v>1</v>
      </c>
      <c r="V77" s="1522">
        <f t="shared" si="31"/>
        <v>0.29028184578274857</v>
      </c>
      <c r="W77" s="1482">
        <f t="shared" si="31"/>
        <v>0.30317187715157518</v>
      </c>
      <c r="X77" s="1482">
        <f t="shared" si="31"/>
        <v>8.2805443243048754E-2</v>
      </c>
      <c r="Y77" s="1482">
        <f t="shared" si="31"/>
        <v>0</v>
      </c>
      <c r="Z77" s="1482">
        <f t="shared" si="31"/>
        <v>0</v>
      </c>
      <c r="AA77" s="1482">
        <f t="shared" si="31"/>
        <v>0</v>
      </c>
      <c r="AB77" s="1482">
        <f t="shared" si="31"/>
        <v>0.32374083382262742</v>
      </c>
      <c r="AC77" s="1521">
        <f t="shared" si="26"/>
        <v>0.99999999999999989</v>
      </c>
    </row>
    <row r="78" spans="1:29">
      <c r="A78" s="187">
        <f t="shared" si="20"/>
        <v>1978</v>
      </c>
      <c r="B78" s="475">
        <v>23.983049999999999</v>
      </c>
      <c r="C78" s="607">
        <v>1266.711110256156</v>
      </c>
      <c r="D78" s="184">
        <v>0</v>
      </c>
      <c r="E78" s="557">
        <v>0</v>
      </c>
      <c r="F78" s="186">
        <f t="shared" si="27"/>
        <v>0.71479999999999999</v>
      </c>
      <c r="G78" s="186">
        <f t="shared" si="28"/>
        <v>0.28959999999999997</v>
      </c>
      <c r="H78" s="557">
        <v>0</v>
      </c>
      <c r="I78" s="1533">
        <f t="shared" si="21"/>
        <v>578.73</v>
      </c>
      <c r="J78" s="1534">
        <f t="shared" si="22"/>
        <v>27.526054267727826</v>
      </c>
      <c r="K78" s="1535">
        <f t="shared" si="15"/>
        <v>13879.710526499999</v>
      </c>
      <c r="L78" s="1535">
        <f t="shared" si="23"/>
        <v>34867.558762444714</v>
      </c>
      <c r="M78" s="1536">
        <f t="shared" si="16"/>
        <v>34867.558762444714</v>
      </c>
      <c r="N78" s="1482">
        <f t="shared" si="30"/>
        <v>0.19892488097366726</v>
      </c>
      <c r="O78" s="1482">
        <f t="shared" si="30"/>
        <v>0.26585903447659598</v>
      </c>
      <c r="P78" s="1482">
        <f t="shared" si="30"/>
        <v>8.9228108703258049E-2</v>
      </c>
      <c r="Q78" s="1482">
        <f t="shared" si="30"/>
        <v>0</v>
      </c>
      <c r="R78" s="1482">
        <f t="shared" si="30"/>
        <v>0</v>
      </c>
      <c r="S78" s="1482">
        <f t="shared" si="30"/>
        <v>0</v>
      </c>
      <c r="T78" s="1482">
        <f t="shared" si="30"/>
        <v>0.4459879758464787</v>
      </c>
      <c r="U78" s="1521">
        <f t="shared" si="18"/>
        <v>1</v>
      </c>
      <c r="V78" s="1522">
        <f t="shared" si="31"/>
        <v>0.29028184578274857</v>
      </c>
      <c r="W78" s="1482">
        <f t="shared" si="31"/>
        <v>0.30317187715157518</v>
      </c>
      <c r="X78" s="1482">
        <f t="shared" si="31"/>
        <v>8.2805443243048754E-2</v>
      </c>
      <c r="Y78" s="1482">
        <f t="shared" si="31"/>
        <v>0</v>
      </c>
      <c r="Z78" s="1482">
        <f t="shared" si="31"/>
        <v>0</v>
      </c>
      <c r="AA78" s="1482">
        <f t="shared" si="31"/>
        <v>0</v>
      </c>
      <c r="AB78" s="1482">
        <f t="shared" si="31"/>
        <v>0.32374083382262742</v>
      </c>
      <c r="AC78" s="1521">
        <f t="shared" si="26"/>
        <v>0.99999999999999989</v>
      </c>
    </row>
    <row r="79" spans="1:29">
      <c r="A79" s="187">
        <f t="shared" si="20"/>
        <v>1979</v>
      </c>
      <c r="B79" s="475">
        <v>24.516309999999997</v>
      </c>
      <c r="C79" s="607">
        <v>1314.725843177443</v>
      </c>
      <c r="D79" s="184">
        <v>0</v>
      </c>
      <c r="E79" s="557">
        <v>0</v>
      </c>
      <c r="F79" s="186">
        <f t="shared" si="27"/>
        <v>0.71479999999999999</v>
      </c>
      <c r="G79" s="186">
        <f t="shared" si="28"/>
        <v>0.28959999999999997</v>
      </c>
      <c r="H79" s="557">
        <v>0</v>
      </c>
      <c r="I79" s="1533">
        <f t="shared" si="21"/>
        <v>578.73</v>
      </c>
      <c r="J79" s="1534">
        <f t="shared" si="22"/>
        <v>27.526054267727826</v>
      </c>
      <c r="K79" s="1535">
        <f t="shared" si="15"/>
        <v>14188.324086299999</v>
      </c>
      <c r="L79" s="1535">
        <f t="shared" si="23"/>
        <v>36189.214906486523</v>
      </c>
      <c r="M79" s="1536">
        <f t="shared" si="16"/>
        <v>36189.214906486523</v>
      </c>
      <c r="N79" s="1482">
        <f t="shared" si="30"/>
        <v>0.19892488097366726</v>
      </c>
      <c r="O79" s="1482">
        <f t="shared" si="30"/>
        <v>0.26585903447659598</v>
      </c>
      <c r="P79" s="1482">
        <f t="shared" si="30"/>
        <v>8.9228108703258049E-2</v>
      </c>
      <c r="Q79" s="1482">
        <f t="shared" si="30"/>
        <v>0</v>
      </c>
      <c r="R79" s="1482">
        <f t="shared" si="30"/>
        <v>0</v>
      </c>
      <c r="S79" s="1482">
        <f t="shared" si="30"/>
        <v>0</v>
      </c>
      <c r="T79" s="1482">
        <f t="shared" si="30"/>
        <v>0.4459879758464787</v>
      </c>
      <c r="U79" s="1521">
        <f t="shared" si="18"/>
        <v>1</v>
      </c>
      <c r="V79" s="1522">
        <f t="shared" si="31"/>
        <v>0.29028184578274857</v>
      </c>
      <c r="W79" s="1482">
        <f t="shared" si="31"/>
        <v>0.30317187715157518</v>
      </c>
      <c r="X79" s="1482">
        <f t="shared" si="31"/>
        <v>8.2805443243048754E-2</v>
      </c>
      <c r="Y79" s="1482">
        <f t="shared" si="31"/>
        <v>0</v>
      </c>
      <c r="Z79" s="1482">
        <f t="shared" si="31"/>
        <v>0</v>
      </c>
      <c r="AA79" s="1482">
        <f t="shared" si="31"/>
        <v>0</v>
      </c>
      <c r="AB79" s="1482">
        <f t="shared" si="31"/>
        <v>0.32374083382262742</v>
      </c>
      <c r="AC79" s="1521">
        <f t="shared" si="26"/>
        <v>0.99999999999999989</v>
      </c>
    </row>
    <row r="80" spans="1:29">
      <c r="A80" s="187">
        <f t="shared" si="20"/>
        <v>1980</v>
      </c>
      <c r="B80" s="475">
        <v>25.094160000000002</v>
      </c>
      <c r="C80" s="607">
        <v>1401.7683862069005</v>
      </c>
      <c r="D80" s="184">
        <v>0</v>
      </c>
      <c r="E80" s="557">
        <v>0</v>
      </c>
      <c r="F80" s="186">
        <f t="shared" si="27"/>
        <v>0.71479999999999999</v>
      </c>
      <c r="G80" s="186">
        <f t="shared" si="28"/>
        <v>0.28959999999999997</v>
      </c>
      <c r="H80" s="557">
        <v>0</v>
      </c>
      <c r="I80" s="1533">
        <f t="shared" si="21"/>
        <v>578.73</v>
      </c>
      <c r="J80" s="1534">
        <f t="shared" si="22"/>
        <v>27.526054267727826</v>
      </c>
      <c r="K80" s="1535">
        <f t="shared" si="15"/>
        <v>14522.743216800001</v>
      </c>
      <c r="L80" s="1535">
        <f t="shared" si="23"/>
        <v>38585.152669516399</v>
      </c>
      <c r="M80" s="1536">
        <f t="shared" si="16"/>
        <v>38585.152669516399</v>
      </c>
      <c r="N80" s="1482">
        <f t="shared" si="30"/>
        <v>0.19892488097366726</v>
      </c>
      <c r="O80" s="1482">
        <f t="shared" si="30"/>
        <v>0.26585903447659598</v>
      </c>
      <c r="P80" s="1482">
        <f t="shared" si="30"/>
        <v>8.9228108703258049E-2</v>
      </c>
      <c r="Q80" s="1482">
        <f t="shared" si="30"/>
        <v>0</v>
      </c>
      <c r="R80" s="1482">
        <f t="shared" si="30"/>
        <v>0</v>
      </c>
      <c r="S80" s="1482">
        <f t="shared" si="30"/>
        <v>0</v>
      </c>
      <c r="T80" s="1482">
        <f t="shared" si="30"/>
        <v>0.4459879758464787</v>
      </c>
      <c r="U80" s="1521">
        <f t="shared" si="18"/>
        <v>1</v>
      </c>
      <c r="V80" s="1522">
        <f t="shared" si="31"/>
        <v>0.29028184578274857</v>
      </c>
      <c r="W80" s="1482">
        <f t="shared" si="31"/>
        <v>0.30317187715157518</v>
      </c>
      <c r="X80" s="1482">
        <f t="shared" si="31"/>
        <v>8.2805443243048754E-2</v>
      </c>
      <c r="Y80" s="1482">
        <f t="shared" si="31"/>
        <v>0</v>
      </c>
      <c r="Z80" s="1482">
        <f t="shared" si="31"/>
        <v>0</v>
      </c>
      <c r="AA80" s="1482">
        <f t="shared" si="31"/>
        <v>0</v>
      </c>
      <c r="AB80" s="1482">
        <f t="shared" si="31"/>
        <v>0.32374083382262742</v>
      </c>
      <c r="AC80" s="1521">
        <f t="shared" si="26"/>
        <v>0.99999999999999989</v>
      </c>
    </row>
    <row r="81" spans="1:29">
      <c r="A81" s="187">
        <f t="shared" si="20"/>
        <v>1981</v>
      </c>
      <c r="B81" s="475">
        <v>25.712049999999998</v>
      </c>
      <c r="C81" s="607">
        <v>1476.9135086140063</v>
      </c>
      <c r="D81" s="184">
        <v>0</v>
      </c>
      <c r="E81" s="557">
        <v>0</v>
      </c>
      <c r="F81" s="186">
        <f t="shared" si="27"/>
        <v>0.71479999999999999</v>
      </c>
      <c r="G81" s="186">
        <f t="shared" si="28"/>
        <v>0.28959999999999997</v>
      </c>
      <c r="H81" s="557">
        <v>0</v>
      </c>
      <c r="I81" s="1533">
        <f t="shared" si="21"/>
        <v>578.73</v>
      </c>
      <c r="J81" s="1534">
        <f t="shared" si="22"/>
        <v>27.526054267727826</v>
      </c>
      <c r="K81" s="1535">
        <f t="shared" si="15"/>
        <v>14880.3346965</v>
      </c>
      <c r="L81" s="1535">
        <f t="shared" si="23"/>
        <v>40653.601386849448</v>
      </c>
      <c r="M81" s="1536">
        <f t="shared" si="16"/>
        <v>40653.601386849448</v>
      </c>
      <c r="N81" s="1482">
        <f t="shared" si="30"/>
        <v>0.19892488097366726</v>
      </c>
      <c r="O81" s="1482">
        <f t="shared" si="30"/>
        <v>0.26585903447659598</v>
      </c>
      <c r="P81" s="1482">
        <f t="shared" si="30"/>
        <v>8.9228108703258049E-2</v>
      </c>
      <c r="Q81" s="1482">
        <f t="shared" si="30"/>
        <v>0</v>
      </c>
      <c r="R81" s="1482">
        <f t="shared" si="30"/>
        <v>0</v>
      </c>
      <c r="S81" s="1482">
        <f t="shared" si="30"/>
        <v>0</v>
      </c>
      <c r="T81" s="1482">
        <f t="shared" si="30"/>
        <v>0.4459879758464787</v>
      </c>
      <c r="U81" s="1521">
        <f t="shared" si="18"/>
        <v>1</v>
      </c>
      <c r="V81" s="1522">
        <f t="shared" si="31"/>
        <v>0.29028184578274857</v>
      </c>
      <c r="W81" s="1482">
        <f t="shared" si="31"/>
        <v>0.30317187715157518</v>
      </c>
      <c r="X81" s="1482">
        <f t="shared" si="31"/>
        <v>8.2805443243048754E-2</v>
      </c>
      <c r="Y81" s="1482">
        <f t="shared" si="31"/>
        <v>0</v>
      </c>
      <c r="Z81" s="1482">
        <f t="shared" si="31"/>
        <v>0</v>
      </c>
      <c r="AA81" s="1482">
        <f t="shared" si="31"/>
        <v>0</v>
      </c>
      <c r="AB81" s="1482">
        <f t="shared" si="31"/>
        <v>0.32374083382262742</v>
      </c>
      <c r="AC81" s="1521">
        <f t="shared" si="26"/>
        <v>0.99999999999999989</v>
      </c>
    </row>
    <row r="82" spans="1:29">
      <c r="A82" s="187">
        <f t="shared" si="20"/>
        <v>1982</v>
      </c>
      <c r="B82" s="475">
        <v>26.364520000000002</v>
      </c>
      <c r="C82" s="607">
        <v>1471.2511585558661</v>
      </c>
      <c r="D82" s="184">
        <v>0</v>
      </c>
      <c r="E82" s="557">
        <v>0</v>
      </c>
      <c r="F82" s="186">
        <f t="shared" si="27"/>
        <v>0.71479999999999999</v>
      </c>
      <c r="G82" s="186">
        <f t="shared" si="28"/>
        <v>0.28959999999999997</v>
      </c>
      <c r="H82" s="557">
        <v>0</v>
      </c>
      <c r="I82" s="1533">
        <f t="shared" si="21"/>
        <v>578.73</v>
      </c>
      <c r="J82" s="1534">
        <f t="shared" si="22"/>
        <v>27.526054267727826</v>
      </c>
      <c r="K82" s="1535">
        <f t="shared" si="15"/>
        <v>15257.938659600002</v>
      </c>
      <c r="L82" s="1535">
        <f t="shared" si="23"/>
        <v>40497.73923186621</v>
      </c>
      <c r="M82" s="1536">
        <f t="shared" si="16"/>
        <v>40497.73923186621</v>
      </c>
      <c r="N82" s="1482">
        <f t="shared" si="30"/>
        <v>0.19892488097366726</v>
      </c>
      <c r="O82" s="1482">
        <f t="shared" si="30"/>
        <v>0.26585903447659598</v>
      </c>
      <c r="P82" s="1482">
        <f t="shared" si="30"/>
        <v>8.9228108703258049E-2</v>
      </c>
      <c r="Q82" s="1482">
        <f t="shared" si="30"/>
        <v>0</v>
      </c>
      <c r="R82" s="1482">
        <f t="shared" si="30"/>
        <v>0</v>
      </c>
      <c r="S82" s="1482">
        <f t="shared" si="30"/>
        <v>0</v>
      </c>
      <c r="T82" s="1482">
        <f t="shared" si="30"/>
        <v>0.4459879758464787</v>
      </c>
      <c r="U82" s="1521">
        <f t="shared" ref="U82:U113" si="32">SUM(N82:T82)</f>
        <v>1</v>
      </c>
      <c r="V82" s="1522">
        <f t="shared" si="31"/>
        <v>0.29028184578274857</v>
      </c>
      <c r="W82" s="1482">
        <f t="shared" si="31"/>
        <v>0.30317187715157518</v>
      </c>
      <c r="X82" s="1482">
        <f t="shared" si="31"/>
        <v>8.2805443243048754E-2</v>
      </c>
      <c r="Y82" s="1482">
        <f t="shared" si="31"/>
        <v>0</v>
      </c>
      <c r="Z82" s="1482">
        <f t="shared" si="31"/>
        <v>0</v>
      </c>
      <c r="AA82" s="1482">
        <f t="shared" si="31"/>
        <v>0</v>
      </c>
      <c r="AB82" s="1482">
        <f t="shared" si="31"/>
        <v>0.32374083382262742</v>
      </c>
      <c r="AC82" s="1521">
        <f t="shared" si="26"/>
        <v>0.99999999999999989</v>
      </c>
    </row>
    <row r="83" spans="1:29">
      <c r="A83" s="187">
        <f t="shared" ref="A83:A114" si="33">A82+1</f>
        <v>1983</v>
      </c>
      <c r="B83" s="475">
        <v>27.048839999999998</v>
      </c>
      <c r="C83" s="607">
        <v>1444.0838515447542</v>
      </c>
      <c r="D83" s="184">
        <v>0</v>
      </c>
      <c r="E83" s="557">
        <v>0</v>
      </c>
      <c r="F83" s="186">
        <f t="shared" si="27"/>
        <v>0.71479999999999999</v>
      </c>
      <c r="G83" s="186">
        <f t="shared" si="28"/>
        <v>0.28959999999999997</v>
      </c>
      <c r="H83" s="557">
        <v>0</v>
      </c>
      <c r="I83" s="1533">
        <f t="shared" si="21"/>
        <v>578.73</v>
      </c>
      <c r="J83" s="1534">
        <f t="shared" si="22"/>
        <v>27.526054267727826</v>
      </c>
      <c r="K83" s="1535">
        <f t="shared" si="15"/>
        <v>15653.9751732</v>
      </c>
      <c r="L83" s="1535">
        <f t="shared" si="23"/>
        <v>39749.930464770317</v>
      </c>
      <c r="M83" s="1536">
        <f t="shared" si="16"/>
        <v>39749.930464770317</v>
      </c>
      <c r="N83" s="1482">
        <f t="shared" ref="N83:T98" si="34">N82</f>
        <v>0.19892488097366726</v>
      </c>
      <c r="O83" s="1482">
        <f t="shared" si="34"/>
        <v>0.26585903447659598</v>
      </c>
      <c r="P83" s="1482">
        <f t="shared" si="34"/>
        <v>8.9228108703258049E-2</v>
      </c>
      <c r="Q83" s="1482">
        <f t="shared" si="34"/>
        <v>0</v>
      </c>
      <c r="R83" s="1482">
        <f t="shared" si="34"/>
        <v>0</v>
      </c>
      <c r="S83" s="1482">
        <f t="shared" si="34"/>
        <v>0</v>
      </c>
      <c r="T83" s="1482">
        <f t="shared" si="34"/>
        <v>0.4459879758464787</v>
      </c>
      <c r="U83" s="1521">
        <f t="shared" si="32"/>
        <v>1</v>
      </c>
      <c r="V83" s="1522">
        <f t="shared" si="31"/>
        <v>0.29028184578274857</v>
      </c>
      <c r="W83" s="1482">
        <f t="shared" si="31"/>
        <v>0.30317187715157518</v>
      </c>
      <c r="X83" s="1482">
        <f t="shared" si="31"/>
        <v>8.2805443243048754E-2</v>
      </c>
      <c r="Y83" s="1482">
        <f t="shared" si="31"/>
        <v>0</v>
      </c>
      <c r="Z83" s="1482">
        <f t="shared" si="31"/>
        <v>0</v>
      </c>
      <c r="AA83" s="1482">
        <f t="shared" si="31"/>
        <v>0</v>
      </c>
      <c r="AB83" s="1482">
        <f t="shared" si="31"/>
        <v>0.32374083382262742</v>
      </c>
      <c r="AC83" s="1521">
        <f t="shared" si="26"/>
        <v>0.99999999999999989</v>
      </c>
    </row>
    <row r="84" spans="1:29">
      <c r="A84" s="187">
        <f t="shared" si="33"/>
        <v>1984</v>
      </c>
      <c r="B84" s="475">
        <v>27.759549999999997</v>
      </c>
      <c r="C84" s="607">
        <v>1517.7193465317748</v>
      </c>
      <c r="D84" s="184">
        <v>0</v>
      </c>
      <c r="E84" s="557">
        <v>0</v>
      </c>
      <c r="F84" s="186">
        <f t="shared" si="27"/>
        <v>0.71479999999999999</v>
      </c>
      <c r="G84" s="186">
        <f t="shared" si="28"/>
        <v>0.28959999999999997</v>
      </c>
      <c r="H84" s="557">
        <v>0</v>
      </c>
      <c r="I84" s="1533">
        <f t="shared" si="21"/>
        <v>578.73</v>
      </c>
      <c r="J84" s="1534">
        <f t="shared" si="22"/>
        <v>27.526054267727826</v>
      </c>
      <c r="K84" s="1535">
        <f t="shared" si="15"/>
        <v>16065.284371499998</v>
      </c>
      <c r="L84" s="1535">
        <f t="shared" si="23"/>
        <v>41776.825095814049</v>
      </c>
      <c r="M84" s="1536">
        <f t="shared" si="16"/>
        <v>41776.825095814049</v>
      </c>
      <c r="N84" s="1482">
        <f t="shared" si="34"/>
        <v>0.19892488097366726</v>
      </c>
      <c r="O84" s="1482">
        <f t="shared" si="34"/>
        <v>0.26585903447659598</v>
      </c>
      <c r="P84" s="1482">
        <f t="shared" si="34"/>
        <v>8.9228108703258049E-2</v>
      </c>
      <c r="Q84" s="1482">
        <f t="shared" si="34"/>
        <v>0</v>
      </c>
      <c r="R84" s="1482">
        <f t="shared" si="34"/>
        <v>0</v>
      </c>
      <c r="S84" s="1482">
        <f t="shared" si="34"/>
        <v>0</v>
      </c>
      <c r="T84" s="1482">
        <f t="shared" si="34"/>
        <v>0.4459879758464787</v>
      </c>
      <c r="U84" s="1521">
        <f t="shared" si="32"/>
        <v>1</v>
      </c>
      <c r="V84" s="1522">
        <f t="shared" ref="V84:AB99" si="35">V83</f>
        <v>0.29028184578274857</v>
      </c>
      <c r="W84" s="1482">
        <f t="shared" si="35"/>
        <v>0.30317187715157518</v>
      </c>
      <c r="X84" s="1482">
        <f t="shared" si="35"/>
        <v>8.2805443243048754E-2</v>
      </c>
      <c r="Y84" s="1482">
        <f t="shared" si="35"/>
        <v>0</v>
      </c>
      <c r="Z84" s="1482">
        <f t="shared" si="35"/>
        <v>0</v>
      </c>
      <c r="AA84" s="1482">
        <f t="shared" si="35"/>
        <v>0</v>
      </c>
      <c r="AB84" s="1482">
        <f t="shared" si="35"/>
        <v>0.32374083382262742</v>
      </c>
      <c r="AC84" s="1521">
        <f t="shared" si="26"/>
        <v>0.99999999999999989</v>
      </c>
    </row>
    <row r="85" spans="1:29">
      <c r="A85" s="187">
        <f t="shared" si="33"/>
        <v>1985</v>
      </c>
      <c r="B85" s="475">
        <v>28.490279999999998</v>
      </c>
      <c r="C85" s="607">
        <v>1499.3324237484292</v>
      </c>
      <c r="D85" s="1277">
        <v>0</v>
      </c>
      <c r="E85" s="557">
        <v>0</v>
      </c>
      <c r="F85" s="186">
        <f t="shared" si="27"/>
        <v>0.71479999999999999</v>
      </c>
      <c r="G85" s="186">
        <f t="shared" si="28"/>
        <v>0.28959999999999997</v>
      </c>
      <c r="H85" s="557">
        <v>0</v>
      </c>
      <c r="I85" s="1533">
        <f t="shared" si="21"/>
        <v>578.73</v>
      </c>
      <c r="J85" s="1534">
        <f t="shared" si="22"/>
        <v>27.526054267727826</v>
      </c>
      <c r="K85" s="1535">
        <f t="shared" si="15"/>
        <v>16488.1797444</v>
      </c>
      <c r="L85" s="1535">
        <f t="shared" si="23"/>
        <v>41270.705661463151</v>
      </c>
      <c r="M85" s="1536">
        <f t="shared" si="16"/>
        <v>41270.705661463151</v>
      </c>
      <c r="N85" s="1482">
        <f t="shared" si="34"/>
        <v>0.19892488097366726</v>
      </c>
      <c r="O85" s="1482">
        <f t="shared" si="34"/>
        <v>0.26585903447659598</v>
      </c>
      <c r="P85" s="1482">
        <f t="shared" si="34"/>
        <v>8.9228108703258049E-2</v>
      </c>
      <c r="Q85" s="1482">
        <f t="shared" si="34"/>
        <v>0</v>
      </c>
      <c r="R85" s="1482">
        <f t="shared" si="34"/>
        <v>0</v>
      </c>
      <c r="S85" s="1482">
        <f t="shared" si="34"/>
        <v>0</v>
      </c>
      <c r="T85" s="1482">
        <f t="shared" si="34"/>
        <v>0.4459879758464787</v>
      </c>
      <c r="U85" s="1521">
        <f t="shared" si="32"/>
        <v>1</v>
      </c>
      <c r="V85" s="1522">
        <f t="shared" si="35"/>
        <v>0.29028184578274857</v>
      </c>
      <c r="W85" s="1482">
        <f t="shared" si="35"/>
        <v>0.30317187715157518</v>
      </c>
      <c r="X85" s="1482">
        <f t="shared" si="35"/>
        <v>8.2805443243048754E-2</v>
      </c>
      <c r="Y85" s="1482">
        <f t="shared" si="35"/>
        <v>0</v>
      </c>
      <c r="Z85" s="1482">
        <f t="shared" si="35"/>
        <v>0</v>
      </c>
      <c r="AA85" s="1482">
        <f t="shared" si="35"/>
        <v>0</v>
      </c>
      <c r="AB85" s="1482">
        <f t="shared" si="35"/>
        <v>0.32374083382262742</v>
      </c>
      <c r="AC85" s="1521">
        <f t="shared" si="26"/>
        <v>0.99999999999999989</v>
      </c>
    </row>
    <row r="86" spans="1:29">
      <c r="A86" s="187">
        <f t="shared" si="33"/>
        <v>1986</v>
      </c>
      <c r="B86" s="475">
        <v>29.230110000000003</v>
      </c>
      <c r="C86" s="607">
        <v>1499.5998263576867</v>
      </c>
      <c r="D86" s="184">
        <v>0</v>
      </c>
      <c r="E86" s="557">
        <v>0</v>
      </c>
      <c r="F86" s="186">
        <f t="shared" si="27"/>
        <v>0.71479999999999999</v>
      </c>
      <c r="G86" s="186">
        <f t="shared" si="28"/>
        <v>0.28959999999999997</v>
      </c>
      <c r="H86" s="557">
        <v>0</v>
      </c>
      <c r="I86" s="1533">
        <f t="shared" si="21"/>
        <v>578.73</v>
      </c>
      <c r="J86" s="1534">
        <f t="shared" si="22"/>
        <v>27.526054267727826</v>
      </c>
      <c r="K86" s="1535">
        <f t="shared" si="15"/>
        <v>16916.341560300003</v>
      </c>
      <c r="L86" s="1535">
        <f t="shared" si="23"/>
        <v>41278.06620019691</v>
      </c>
      <c r="M86" s="1536">
        <f t="shared" si="16"/>
        <v>41278.06620019691</v>
      </c>
      <c r="N86" s="1482">
        <f t="shared" si="34"/>
        <v>0.19892488097366726</v>
      </c>
      <c r="O86" s="1482">
        <f t="shared" si="34"/>
        <v>0.26585903447659598</v>
      </c>
      <c r="P86" s="1482">
        <f t="shared" si="34"/>
        <v>8.9228108703258049E-2</v>
      </c>
      <c r="Q86" s="1482">
        <f t="shared" si="34"/>
        <v>0</v>
      </c>
      <c r="R86" s="1482">
        <f t="shared" si="34"/>
        <v>0</v>
      </c>
      <c r="S86" s="1482">
        <f t="shared" si="34"/>
        <v>0</v>
      </c>
      <c r="T86" s="1482">
        <f t="shared" si="34"/>
        <v>0.4459879758464787</v>
      </c>
      <c r="U86" s="1521">
        <f t="shared" si="32"/>
        <v>1</v>
      </c>
      <c r="V86" s="1522">
        <f t="shared" si="35"/>
        <v>0.29028184578274857</v>
      </c>
      <c r="W86" s="1482">
        <f t="shared" si="35"/>
        <v>0.30317187715157518</v>
      </c>
      <c r="X86" s="1482">
        <f t="shared" si="35"/>
        <v>8.2805443243048754E-2</v>
      </c>
      <c r="Y86" s="1482">
        <f t="shared" si="35"/>
        <v>0</v>
      </c>
      <c r="Z86" s="1482">
        <f t="shared" si="35"/>
        <v>0</v>
      </c>
      <c r="AA86" s="1482">
        <f t="shared" si="35"/>
        <v>0</v>
      </c>
      <c r="AB86" s="1482">
        <f t="shared" si="35"/>
        <v>0.32374083382262742</v>
      </c>
      <c r="AC86" s="1521">
        <f t="shared" si="26"/>
        <v>0.99999999999999989</v>
      </c>
    </row>
    <row r="87" spans="1:29">
      <c r="A87" s="187">
        <f t="shared" si="33"/>
        <v>1987</v>
      </c>
      <c r="B87" s="475">
        <v>29.96903</v>
      </c>
      <c r="C87" s="607">
        <v>1531.1024480840374</v>
      </c>
      <c r="D87" s="184">
        <v>0</v>
      </c>
      <c r="E87" s="557">
        <v>0</v>
      </c>
      <c r="F87" s="186">
        <f t="shared" si="27"/>
        <v>0.71479999999999999</v>
      </c>
      <c r="G87" s="186">
        <f t="shared" si="28"/>
        <v>0.28959999999999997</v>
      </c>
      <c r="H87" s="557">
        <v>0</v>
      </c>
      <c r="I87" s="1533">
        <f t="shared" si="21"/>
        <v>578.73</v>
      </c>
      <c r="J87" s="1534">
        <f t="shared" si="22"/>
        <v>27.526054267727826</v>
      </c>
      <c r="K87" s="1535">
        <f t="shared" si="15"/>
        <v>17343.976731900002</v>
      </c>
      <c r="L87" s="1535">
        <f t="shared" si="23"/>
        <v>42145.209075412138</v>
      </c>
      <c r="M87" s="1536">
        <f t="shared" si="16"/>
        <v>42145.209075412138</v>
      </c>
      <c r="N87" s="1482">
        <f t="shared" si="34"/>
        <v>0.19892488097366726</v>
      </c>
      <c r="O87" s="1482">
        <f t="shared" si="34"/>
        <v>0.26585903447659598</v>
      </c>
      <c r="P87" s="1482">
        <f t="shared" si="34"/>
        <v>8.9228108703258049E-2</v>
      </c>
      <c r="Q87" s="1482">
        <f t="shared" si="34"/>
        <v>0</v>
      </c>
      <c r="R87" s="1482">
        <f t="shared" si="34"/>
        <v>0</v>
      </c>
      <c r="S87" s="1482">
        <f t="shared" si="34"/>
        <v>0</v>
      </c>
      <c r="T87" s="1482">
        <f t="shared" si="34"/>
        <v>0.4459879758464787</v>
      </c>
      <c r="U87" s="1521">
        <f t="shared" si="32"/>
        <v>1</v>
      </c>
      <c r="V87" s="1522">
        <f t="shared" si="35"/>
        <v>0.29028184578274857</v>
      </c>
      <c r="W87" s="1482">
        <f t="shared" si="35"/>
        <v>0.30317187715157518</v>
      </c>
      <c r="X87" s="1482">
        <f t="shared" si="35"/>
        <v>8.2805443243048754E-2</v>
      </c>
      <c r="Y87" s="1482">
        <f t="shared" si="35"/>
        <v>0</v>
      </c>
      <c r="Z87" s="1482">
        <f t="shared" si="35"/>
        <v>0</v>
      </c>
      <c r="AA87" s="1482">
        <f t="shared" si="35"/>
        <v>0</v>
      </c>
      <c r="AB87" s="1482">
        <f t="shared" si="35"/>
        <v>0.32374083382262742</v>
      </c>
      <c r="AC87" s="1521">
        <f t="shared" si="26"/>
        <v>0.99999999999999989</v>
      </c>
    </row>
    <row r="88" spans="1:29">
      <c r="A88" s="187">
        <f t="shared" si="33"/>
        <v>1988</v>
      </c>
      <c r="B88" s="475">
        <v>30.692480000000003</v>
      </c>
      <c r="C88" s="607">
        <v>1595.4107803645509</v>
      </c>
      <c r="D88" s="184">
        <v>0</v>
      </c>
      <c r="E88" s="557">
        <v>0</v>
      </c>
      <c r="F88" s="186">
        <f t="shared" si="27"/>
        <v>0.71479999999999999</v>
      </c>
      <c r="G88" s="186">
        <f t="shared" si="28"/>
        <v>0.28959999999999997</v>
      </c>
      <c r="H88" s="557">
        <v>0</v>
      </c>
      <c r="I88" s="1533">
        <f t="shared" si="21"/>
        <v>578.73</v>
      </c>
      <c r="J88" s="1534">
        <f t="shared" si="22"/>
        <v>27.526054267727826</v>
      </c>
      <c r="K88" s="1535">
        <f t="shared" si="15"/>
        <v>17762.658950400004</v>
      </c>
      <c r="L88" s="1535">
        <f t="shared" si="23"/>
        <v>43915.363719632624</v>
      </c>
      <c r="M88" s="1536">
        <f t="shared" si="16"/>
        <v>43915.363719632624</v>
      </c>
      <c r="N88" s="1482">
        <f t="shared" si="34"/>
        <v>0.19892488097366726</v>
      </c>
      <c r="O88" s="1482">
        <f t="shared" si="34"/>
        <v>0.26585903447659598</v>
      </c>
      <c r="P88" s="1482">
        <f t="shared" si="34"/>
        <v>8.9228108703258049E-2</v>
      </c>
      <c r="Q88" s="1482">
        <f t="shared" si="34"/>
        <v>0</v>
      </c>
      <c r="R88" s="1482">
        <f t="shared" si="34"/>
        <v>0</v>
      </c>
      <c r="S88" s="1482">
        <f t="shared" si="34"/>
        <v>0</v>
      </c>
      <c r="T88" s="1482">
        <f t="shared" si="34"/>
        <v>0.4459879758464787</v>
      </c>
      <c r="U88" s="1521">
        <f t="shared" si="32"/>
        <v>1</v>
      </c>
      <c r="V88" s="1522">
        <f t="shared" si="35"/>
        <v>0.29028184578274857</v>
      </c>
      <c r="W88" s="1482">
        <f t="shared" si="35"/>
        <v>0.30317187715157518</v>
      </c>
      <c r="X88" s="1482">
        <f t="shared" si="35"/>
        <v>8.2805443243048754E-2</v>
      </c>
      <c r="Y88" s="1482">
        <f t="shared" si="35"/>
        <v>0</v>
      </c>
      <c r="Z88" s="1482">
        <f t="shared" si="35"/>
        <v>0</v>
      </c>
      <c r="AA88" s="1482">
        <f t="shared" si="35"/>
        <v>0</v>
      </c>
      <c r="AB88" s="1482">
        <f t="shared" si="35"/>
        <v>0.32374083382262742</v>
      </c>
      <c r="AC88" s="1521">
        <f t="shared" si="26"/>
        <v>0.99999999999999989</v>
      </c>
    </row>
    <row r="89" spans="1:29">
      <c r="A89" s="187">
        <f t="shared" si="33"/>
        <v>1989</v>
      </c>
      <c r="B89" s="475">
        <v>31.386810000000001</v>
      </c>
      <c r="C89" s="607">
        <v>1633.6174250036995</v>
      </c>
      <c r="D89" s="184">
        <v>0</v>
      </c>
      <c r="E89" s="557">
        <v>0</v>
      </c>
      <c r="F89" s="186">
        <f t="shared" si="27"/>
        <v>0.71479999999999999</v>
      </c>
      <c r="G89" s="186">
        <f t="shared" si="28"/>
        <v>0.28959999999999997</v>
      </c>
      <c r="H89" s="557">
        <v>0</v>
      </c>
      <c r="I89" s="1533">
        <f t="shared" si="21"/>
        <v>578.73</v>
      </c>
      <c r="J89" s="1534">
        <f t="shared" si="22"/>
        <v>27.526054267727826</v>
      </c>
      <c r="K89" s="1535">
        <f t="shared" si="15"/>
        <v>18164.488551300001</v>
      </c>
      <c r="L89" s="1535">
        <f t="shared" si="23"/>
        <v>44967.041893357622</v>
      </c>
      <c r="M89" s="1536">
        <f t="shared" si="16"/>
        <v>44967.041893357622</v>
      </c>
      <c r="N89" s="1482">
        <f t="shared" si="34"/>
        <v>0.19892488097366726</v>
      </c>
      <c r="O89" s="1482">
        <f t="shared" si="34"/>
        <v>0.26585903447659598</v>
      </c>
      <c r="P89" s="1482">
        <f t="shared" si="34"/>
        <v>8.9228108703258049E-2</v>
      </c>
      <c r="Q89" s="1482">
        <f t="shared" si="34"/>
        <v>0</v>
      </c>
      <c r="R89" s="1482">
        <f t="shared" si="34"/>
        <v>0</v>
      </c>
      <c r="S89" s="1482">
        <f t="shared" si="34"/>
        <v>0</v>
      </c>
      <c r="T89" s="1482">
        <f t="shared" si="34"/>
        <v>0.4459879758464787</v>
      </c>
      <c r="U89" s="1521">
        <f t="shared" si="32"/>
        <v>1</v>
      </c>
      <c r="V89" s="1522">
        <f t="shared" si="35"/>
        <v>0.29028184578274857</v>
      </c>
      <c r="W89" s="1482">
        <f t="shared" si="35"/>
        <v>0.30317187715157518</v>
      </c>
      <c r="X89" s="1482">
        <f t="shared" si="35"/>
        <v>8.2805443243048754E-2</v>
      </c>
      <c r="Y89" s="1482">
        <f t="shared" si="35"/>
        <v>0</v>
      </c>
      <c r="Z89" s="1482">
        <f t="shared" si="35"/>
        <v>0</v>
      </c>
      <c r="AA89" s="1482">
        <f t="shared" si="35"/>
        <v>0</v>
      </c>
      <c r="AB89" s="1482">
        <f t="shared" si="35"/>
        <v>0.32374083382262742</v>
      </c>
      <c r="AC89" s="1521">
        <f t="shared" si="26"/>
        <v>0.99999999999999989</v>
      </c>
    </row>
    <row r="90" spans="1:29">
      <c r="A90" s="187">
        <f t="shared" si="33"/>
        <v>1990</v>
      </c>
      <c r="B90" s="475">
        <v>32.032000000000004</v>
      </c>
      <c r="C90" s="607">
        <v>1628.4260228263977</v>
      </c>
      <c r="D90" s="184">
        <v>0</v>
      </c>
      <c r="E90" s="557">
        <v>0</v>
      </c>
      <c r="F90" s="186">
        <f t="shared" si="27"/>
        <v>0.71479999999999999</v>
      </c>
      <c r="G90" s="186">
        <f t="shared" si="28"/>
        <v>0.28959999999999997</v>
      </c>
      <c r="H90" s="557">
        <v>0</v>
      </c>
      <c r="I90" s="1533">
        <f t="shared" si="21"/>
        <v>578.73</v>
      </c>
      <c r="J90" s="1534">
        <f t="shared" si="22"/>
        <v>27.526054267727826</v>
      </c>
      <c r="K90" s="1535">
        <f t="shared" si="15"/>
        <v>18537.879360000003</v>
      </c>
      <c r="L90" s="1535">
        <f t="shared" si="23"/>
        <v>44824.143075299617</v>
      </c>
      <c r="M90" s="1536">
        <f t="shared" si="16"/>
        <v>44824.143075299617</v>
      </c>
      <c r="N90" s="1482">
        <f t="shared" si="34"/>
        <v>0.19892488097366726</v>
      </c>
      <c r="O90" s="1482">
        <f t="shared" si="34"/>
        <v>0.26585903447659598</v>
      </c>
      <c r="P90" s="1482">
        <f t="shared" si="34"/>
        <v>8.9228108703258049E-2</v>
      </c>
      <c r="Q90" s="1482">
        <f t="shared" si="34"/>
        <v>0</v>
      </c>
      <c r="R90" s="1482">
        <f t="shared" si="34"/>
        <v>0</v>
      </c>
      <c r="S90" s="1482">
        <f t="shared" si="34"/>
        <v>0</v>
      </c>
      <c r="T90" s="1482">
        <f t="shared" si="34"/>
        <v>0.4459879758464787</v>
      </c>
      <c r="U90" s="1521">
        <f t="shared" si="32"/>
        <v>1</v>
      </c>
      <c r="V90" s="1522">
        <f t="shared" si="35"/>
        <v>0.29028184578274857</v>
      </c>
      <c r="W90" s="1482">
        <f t="shared" si="35"/>
        <v>0.30317187715157518</v>
      </c>
      <c r="X90" s="1482">
        <f t="shared" si="35"/>
        <v>8.2805443243048754E-2</v>
      </c>
      <c r="Y90" s="1482">
        <f t="shared" si="35"/>
        <v>0</v>
      </c>
      <c r="Z90" s="1482">
        <f t="shared" si="35"/>
        <v>0</v>
      </c>
      <c r="AA90" s="1482">
        <f t="shared" si="35"/>
        <v>0</v>
      </c>
      <c r="AB90" s="1482">
        <f t="shared" si="35"/>
        <v>0.32374083382262742</v>
      </c>
      <c r="AC90" s="1521">
        <f t="shared" si="26"/>
        <v>0.99999999999999989</v>
      </c>
    </row>
    <row r="91" spans="1:29">
      <c r="A91" s="187">
        <f t="shared" si="33"/>
        <v>1991</v>
      </c>
      <c r="B91" s="475">
        <v>32.69903</v>
      </c>
      <c r="C91" s="607">
        <v>1611.8450654448757</v>
      </c>
      <c r="D91" s="184">
        <v>0</v>
      </c>
      <c r="E91" s="557">
        <v>0</v>
      </c>
      <c r="F91" s="186">
        <f t="shared" si="27"/>
        <v>0.71479999999999999</v>
      </c>
      <c r="G91" s="186">
        <f t="shared" si="28"/>
        <v>0.28959999999999997</v>
      </c>
      <c r="H91" s="557">
        <v>0</v>
      </c>
      <c r="I91" s="1533">
        <f t="shared" si="21"/>
        <v>578.73</v>
      </c>
      <c r="J91" s="1534">
        <f t="shared" si="22"/>
        <v>27.526054267727826</v>
      </c>
      <c r="K91" s="1535">
        <f t="shared" si="15"/>
        <v>18923.909631900002</v>
      </c>
      <c r="L91" s="1535">
        <f t="shared" si="23"/>
        <v>44367.73474260496</v>
      </c>
      <c r="M91" s="1536">
        <f t="shared" si="16"/>
        <v>44367.73474260496</v>
      </c>
      <c r="N91" s="1482">
        <f t="shared" si="34"/>
        <v>0.19892488097366726</v>
      </c>
      <c r="O91" s="1482">
        <f t="shared" si="34"/>
        <v>0.26585903447659598</v>
      </c>
      <c r="P91" s="1482">
        <f t="shared" si="34"/>
        <v>8.9228108703258049E-2</v>
      </c>
      <c r="Q91" s="1482">
        <f t="shared" si="34"/>
        <v>0</v>
      </c>
      <c r="R91" s="1482">
        <f t="shared" si="34"/>
        <v>0</v>
      </c>
      <c r="S91" s="1482">
        <f t="shared" si="34"/>
        <v>0</v>
      </c>
      <c r="T91" s="1482">
        <f t="shared" si="34"/>
        <v>0.4459879758464787</v>
      </c>
      <c r="U91" s="1521">
        <f t="shared" si="32"/>
        <v>1</v>
      </c>
      <c r="V91" s="1522">
        <f t="shared" si="35"/>
        <v>0.29028184578274857</v>
      </c>
      <c r="W91" s="1482">
        <f t="shared" si="35"/>
        <v>0.30317187715157518</v>
      </c>
      <c r="X91" s="1482">
        <f t="shared" si="35"/>
        <v>8.2805443243048754E-2</v>
      </c>
      <c r="Y91" s="1482">
        <f t="shared" si="35"/>
        <v>0</v>
      </c>
      <c r="Z91" s="1482">
        <f t="shared" si="35"/>
        <v>0</v>
      </c>
      <c r="AA91" s="1482">
        <f t="shared" si="35"/>
        <v>0</v>
      </c>
      <c r="AB91" s="1482">
        <f t="shared" si="35"/>
        <v>0.32374083382262742</v>
      </c>
      <c r="AC91" s="1521">
        <f t="shared" si="26"/>
        <v>0.99999999999999989</v>
      </c>
    </row>
    <row r="92" spans="1:29">
      <c r="A92" s="187">
        <f t="shared" si="33"/>
        <v>1992</v>
      </c>
      <c r="B92" s="475">
        <v>33.388809999999999</v>
      </c>
      <c r="C92" s="607">
        <v>1577.3990194337794</v>
      </c>
      <c r="D92" s="184">
        <v>0</v>
      </c>
      <c r="E92" s="557">
        <v>0</v>
      </c>
      <c r="F92" s="186">
        <f t="shared" si="27"/>
        <v>0.71479999999999999</v>
      </c>
      <c r="G92" s="186">
        <f t="shared" si="28"/>
        <v>0.28959999999999997</v>
      </c>
      <c r="H92" s="557">
        <v>0</v>
      </c>
      <c r="I92" s="1533">
        <f t="shared" si="21"/>
        <v>578.73</v>
      </c>
      <c r="J92" s="1534">
        <f t="shared" si="22"/>
        <v>27.526054267727826</v>
      </c>
      <c r="K92" s="1535">
        <f t="shared" si="15"/>
        <v>19323.106011299998</v>
      </c>
      <c r="L92" s="1535">
        <f t="shared" si="23"/>
        <v>43419.571010794869</v>
      </c>
      <c r="M92" s="1536">
        <f t="shared" si="16"/>
        <v>43419.571010794869</v>
      </c>
      <c r="N92" s="1482">
        <f t="shared" si="34"/>
        <v>0.19892488097366726</v>
      </c>
      <c r="O92" s="1482">
        <f t="shared" si="34"/>
        <v>0.26585903447659598</v>
      </c>
      <c r="P92" s="1482">
        <f t="shared" si="34"/>
        <v>8.9228108703258049E-2</v>
      </c>
      <c r="Q92" s="1482">
        <f t="shared" si="34"/>
        <v>0</v>
      </c>
      <c r="R92" s="1482">
        <f t="shared" si="34"/>
        <v>0</v>
      </c>
      <c r="S92" s="1482">
        <f t="shared" si="34"/>
        <v>0</v>
      </c>
      <c r="T92" s="1482">
        <f t="shared" si="34"/>
        <v>0.4459879758464787</v>
      </c>
      <c r="U92" s="1521">
        <f t="shared" si="32"/>
        <v>1</v>
      </c>
      <c r="V92" s="1522">
        <f t="shared" si="35"/>
        <v>0.29028184578274857</v>
      </c>
      <c r="W92" s="1482">
        <f t="shared" si="35"/>
        <v>0.30317187715157518</v>
      </c>
      <c r="X92" s="1482">
        <f t="shared" si="35"/>
        <v>8.2805443243048754E-2</v>
      </c>
      <c r="Y92" s="1482">
        <f t="shared" si="35"/>
        <v>0</v>
      </c>
      <c r="Z92" s="1482">
        <f t="shared" si="35"/>
        <v>0</v>
      </c>
      <c r="AA92" s="1482">
        <f t="shared" si="35"/>
        <v>0</v>
      </c>
      <c r="AB92" s="1482">
        <f t="shared" si="35"/>
        <v>0.32374083382262742</v>
      </c>
      <c r="AC92" s="1521">
        <f t="shared" si="26"/>
        <v>0.99999999999999989</v>
      </c>
    </row>
    <row r="93" spans="1:29">
      <c r="A93" s="187">
        <f t="shared" si="33"/>
        <v>1993</v>
      </c>
      <c r="B93" s="475">
        <v>34.101339999999993</v>
      </c>
      <c r="C93" s="607">
        <v>1596.8565504459618</v>
      </c>
      <c r="D93" s="184">
        <v>0</v>
      </c>
      <c r="E93" s="557">
        <v>0</v>
      </c>
      <c r="F93" s="186">
        <f t="shared" si="27"/>
        <v>0.71479999999999999</v>
      </c>
      <c r="G93" s="186">
        <f t="shared" si="28"/>
        <v>0.28959999999999997</v>
      </c>
      <c r="H93" s="557">
        <v>0</v>
      </c>
      <c r="I93" s="1533">
        <f t="shared" si="21"/>
        <v>578.73</v>
      </c>
      <c r="J93" s="1534">
        <f t="shared" si="22"/>
        <v>27.526054267727826</v>
      </c>
      <c r="K93" s="1535">
        <f t="shared" si="15"/>
        <v>19735.468498199996</v>
      </c>
      <c r="L93" s="1535">
        <f t="shared" si="23"/>
        <v>43955.160065352204</v>
      </c>
      <c r="M93" s="1536">
        <f t="shared" si="16"/>
        <v>43955.160065352204</v>
      </c>
      <c r="N93" s="1482">
        <f t="shared" si="34"/>
        <v>0.19892488097366726</v>
      </c>
      <c r="O93" s="1482">
        <f t="shared" si="34"/>
        <v>0.26585903447659598</v>
      </c>
      <c r="P93" s="1482">
        <f t="shared" si="34"/>
        <v>8.9228108703258049E-2</v>
      </c>
      <c r="Q93" s="1482">
        <f t="shared" si="34"/>
        <v>0</v>
      </c>
      <c r="R93" s="1482">
        <f t="shared" si="34"/>
        <v>0</v>
      </c>
      <c r="S93" s="1482">
        <f t="shared" si="34"/>
        <v>0</v>
      </c>
      <c r="T93" s="1482">
        <f t="shared" si="34"/>
        <v>0.4459879758464787</v>
      </c>
      <c r="U93" s="1521">
        <f t="shared" si="32"/>
        <v>1</v>
      </c>
      <c r="V93" s="1522">
        <f t="shared" si="35"/>
        <v>0.29028184578274857</v>
      </c>
      <c r="W93" s="1482">
        <f t="shared" si="35"/>
        <v>0.30317187715157518</v>
      </c>
      <c r="X93" s="1482">
        <f t="shared" si="35"/>
        <v>8.2805443243048754E-2</v>
      </c>
      <c r="Y93" s="1482">
        <f t="shared" si="35"/>
        <v>0</v>
      </c>
      <c r="Z93" s="1482">
        <f t="shared" si="35"/>
        <v>0</v>
      </c>
      <c r="AA93" s="1482">
        <f t="shared" si="35"/>
        <v>0</v>
      </c>
      <c r="AB93" s="1482">
        <f t="shared" si="35"/>
        <v>0.32374083382262742</v>
      </c>
      <c r="AC93" s="1521">
        <f t="shared" si="26"/>
        <v>0.99999999999999989</v>
      </c>
    </row>
    <row r="94" spans="1:29">
      <c r="A94" s="187">
        <f t="shared" si="33"/>
        <v>1994</v>
      </c>
      <c r="B94" s="475">
        <v>34.837530000000001</v>
      </c>
      <c r="C94" s="607">
        <v>1647.9559768112579</v>
      </c>
      <c r="D94" s="184">
        <v>0</v>
      </c>
      <c r="E94" s="557">
        <v>0</v>
      </c>
      <c r="F94" s="186">
        <f t="shared" si="27"/>
        <v>0.71479999999999999</v>
      </c>
      <c r="G94" s="186">
        <f t="shared" si="28"/>
        <v>0.28959999999999997</v>
      </c>
      <c r="H94" s="557">
        <v>0</v>
      </c>
      <c r="I94" s="1533">
        <f t="shared" si="21"/>
        <v>578.73</v>
      </c>
      <c r="J94" s="1534">
        <f t="shared" si="22"/>
        <v>27.526054267727826</v>
      </c>
      <c r="K94" s="1535">
        <f t="shared" si="15"/>
        <v>20161.523736900002</v>
      </c>
      <c r="L94" s="1535">
        <f t="shared" si="23"/>
        <v>45361.725648533102</v>
      </c>
      <c r="M94" s="1536">
        <f t="shared" si="16"/>
        <v>45361.725648533102</v>
      </c>
      <c r="N94" s="1482">
        <f t="shared" si="34"/>
        <v>0.19892488097366726</v>
      </c>
      <c r="O94" s="1482">
        <f t="shared" si="34"/>
        <v>0.26585903447659598</v>
      </c>
      <c r="P94" s="1482">
        <f t="shared" si="34"/>
        <v>8.9228108703258049E-2</v>
      </c>
      <c r="Q94" s="1482">
        <f t="shared" si="34"/>
        <v>0</v>
      </c>
      <c r="R94" s="1482">
        <f t="shared" si="34"/>
        <v>0</v>
      </c>
      <c r="S94" s="1482">
        <f t="shared" si="34"/>
        <v>0</v>
      </c>
      <c r="T94" s="1482">
        <f t="shared" si="34"/>
        <v>0.4459879758464787</v>
      </c>
      <c r="U94" s="1521">
        <f t="shared" si="32"/>
        <v>1</v>
      </c>
      <c r="V94" s="1522">
        <f t="shared" si="35"/>
        <v>0.29028184578274857</v>
      </c>
      <c r="W94" s="1482">
        <f t="shared" si="35"/>
        <v>0.30317187715157518</v>
      </c>
      <c r="X94" s="1482">
        <f t="shared" si="35"/>
        <v>8.2805443243048754E-2</v>
      </c>
      <c r="Y94" s="1482">
        <f t="shared" si="35"/>
        <v>0</v>
      </c>
      <c r="Z94" s="1482">
        <f t="shared" si="35"/>
        <v>0</v>
      </c>
      <c r="AA94" s="1482">
        <f t="shared" si="35"/>
        <v>0</v>
      </c>
      <c r="AB94" s="1482">
        <f t="shared" si="35"/>
        <v>0.32374083382262742</v>
      </c>
      <c r="AC94" s="1521">
        <f t="shared" si="26"/>
        <v>0.99999999999999989</v>
      </c>
    </row>
    <row r="95" spans="1:29">
      <c r="A95" s="187">
        <f t="shared" si="33"/>
        <v>1995</v>
      </c>
      <c r="B95" s="475">
        <v>35.599199999999996</v>
      </c>
      <c r="C95" s="607">
        <v>1699.0425365830638</v>
      </c>
      <c r="D95" s="184">
        <v>0</v>
      </c>
      <c r="E95" s="557">
        <v>0</v>
      </c>
      <c r="F95" s="186">
        <f t="shared" si="27"/>
        <v>0.71479999999999999</v>
      </c>
      <c r="G95" s="186">
        <f t="shared" si="28"/>
        <v>0.28959999999999997</v>
      </c>
      <c r="H95" s="557">
        <v>0</v>
      </c>
      <c r="I95" s="1533">
        <f t="shared" si="21"/>
        <v>578.73</v>
      </c>
      <c r="J95" s="1534">
        <f t="shared" si="22"/>
        <v>27.526054267727826</v>
      </c>
      <c r="K95" s="1535">
        <f t="shared" si="15"/>
        <v>20602.325015999999</v>
      </c>
      <c r="L95" s="1535">
        <f t="shared" si="23"/>
        <v>46767.937065163351</v>
      </c>
      <c r="M95" s="1536">
        <f t="shared" si="16"/>
        <v>46767.937065163351</v>
      </c>
      <c r="N95" s="1482">
        <f t="shared" si="34"/>
        <v>0.19892488097366726</v>
      </c>
      <c r="O95" s="1482">
        <f t="shared" si="34"/>
        <v>0.26585903447659598</v>
      </c>
      <c r="P95" s="1482">
        <f t="shared" si="34"/>
        <v>8.9228108703258049E-2</v>
      </c>
      <c r="Q95" s="1482">
        <f t="shared" si="34"/>
        <v>0</v>
      </c>
      <c r="R95" s="1482">
        <f t="shared" si="34"/>
        <v>0</v>
      </c>
      <c r="S95" s="1482">
        <f t="shared" si="34"/>
        <v>0</v>
      </c>
      <c r="T95" s="1482">
        <f t="shared" si="34"/>
        <v>0.4459879758464787</v>
      </c>
      <c r="U95" s="1521">
        <f t="shared" si="32"/>
        <v>1</v>
      </c>
      <c r="V95" s="1522">
        <f t="shared" si="35"/>
        <v>0.29028184578274857</v>
      </c>
      <c r="W95" s="1482">
        <f t="shared" si="35"/>
        <v>0.30317187715157518</v>
      </c>
      <c r="X95" s="1482">
        <f t="shared" si="35"/>
        <v>8.2805443243048754E-2</v>
      </c>
      <c r="Y95" s="1482">
        <f t="shared" si="35"/>
        <v>0</v>
      </c>
      <c r="Z95" s="1482">
        <f t="shared" si="35"/>
        <v>0</v>
      </c>
      <c r="AA95" s="1482">
        <f t="shared" si="35"/>
        <v>0</v>
      </c>
      <c r="AB95" s="1482">
        <f t="shared" si="35"/>
        <v>0.32374083382262742</v>
      </c>
      <c r="AC95" s="1521">
        <f t="shared" si="26"/>
        <v>0.99999999999999989</v>
      </c>
    </row>
    <row r="96" spans="1:29">
      <c r="A96" s="187">
        <f t="shared" si="33"/>
        <v>1996</v>
      </c>
      <c r="B96" s="475">
        <v>36.4</v>
      </c>
      <c r="C96" s="607">
        <v>1772.1013480030836</v>
      </c>
      <c r="D96" s="184">
        <v>0</v>
      </c>
      <c r="E96" s="557">
        <v>0</v>
      </c>
      <c r="F96" s="186">
        <f t="shared" si="27"/>
        <v>0.71479999999999999</v>
      </c>
      <c r="G96" s="186">
        <f t="shared" si="28"/>
        <v>0.28959999999999997</v>
      </c>
      <c r="H96" s="557">
        <v>0</v>
      </c>
      <c r="I96" s="1533">
        <f t="shared" si="21"/>
        <v>578.73</v>
      </c>
      <c r="J96" s="1534">
        <f t="shared" si="22"/>
        <v>27.526054267727826</v>
      </c>
      <c r="K96" s="1535">
        <f t="shared" si="15"/>
        <v>21065.772000000001</v>
      </c>
      <c r="L96" s="1535">
        <f t="shared" si="23"/>
        <v>48778.957873046515</v>
      </c>
      <c r="M96" s="1536">
        <f t="shared" si="16"/>
        <v>48778.957873046515</v>
      </c>
      <c r="N96" s="1482">
        <f t="shared" si="34"/>
        <v>0.19892488097366726</v>
      </c>
      <c r="O96" s="1482">
        <f t="shared" si="34"/>
        <v>0.26585903447659598</v>
      </c>
      <c r="P96" s="1482">
        <f t="shared" si="34"/>
        <v>8.9228108703258049E-2</v>
      </c>
      <c r="Q96" s="1482">
        <f t="shared" si="34"/>
        <v>0</v>
      </c>
      <c r="R96" s="1482">
        <f t="shared" si="34"/>
        <v>0</v>
      </c>
      <c r="S96" s="1482">
        <f t="shared" si="34"/>
        <v>0</v>
      </c>
      <c r="T96" s="1482">
        <f t="shared" si="34"/>
        <v>0.4459879758464787</v>
      </c>
      <c r="U96" s="1521">
        <f t="shared" si="32"/>
        <v>1</v>
      </c>
      <c r="V96" s="1522">
        <f t="shared" si="35"/>
        <v>0.29028184578274857</v>
      </c>
      <c r="W96" s="1482">
        <f t="shared" si="35"/>
        <v>0.30317187715157518</v>
      </c>
      <c r="X96" s="1482">
        <f t="shared" si="35"/>
        <v>8.2805443243048754E-2</v>
      </c>
      <c r="Y96" s="1482">
        <f t="shared" si="35"/>
        <v>0</v>
      </c>
      <c r="Z96" s="1482">
        <f t="shared" si="35"/>
        <v>0</v>
      </c>
      <c r="AA96" s="1482">
        <f t="shared" si="35"/>
        <v>0</v>
      </c>
      <c r="AB96" s="1482">
        <f t="shared" si="35"/>
        <v>0.32374083382262742</v>
      </c>
      <c r="AC96" s="1521">
        <f t="shared" si="26"/>
        <v>0.99999999999999989</v>
      </c>
    </row>
    <row r="97" spans="1:29">
      <c r="A97" s="187">
        <f t="shared" si="33"/>
        <v>1997</v>
      </c>
      <c r="B97" s="475">
        <v>37.242660000000001</v>
      </c>
      <c r="C97" s="607">
        <v>1818.1760205488283</v>
      </c>
      <c r="D97" s="184">
        <v>0</v>
      </c>
      <c r="E97" s="557">
        <v>0</v>
      </c>
      <c r="F97" s="186">
        <f t="shared" si="27"/>
        <v>0.71479999999999999</v>
      </c>
      <c r="G97" s="186">
        <f t="shared" si="28"/>
        <v>0.28959999999999997</v>
      </c>
      <c r="H97" s="557">
        <v>0</v>
      </c>
      <c r="I97" s="1533">
        <f t="shared" si="21"/>
        <v>578.73</v>
      </c>
      <c r="J97" s="1534">
        <f t="shared" si="22"/>
        <v>27.526054267727826</v>
      </c>
      <c r="K97" s="1535">
        <f t="shared" si="15"/>
        <v>21553.444621800001</v>
      </c>
      <c r="L97" s="1535">
        <f t="shared" si="23"/>
        <v>50047.211809908469</v>
      </c>
      <c r="M97" s="1536">
        <f t="shared" si="16"/>
        <v>50047.211809908469</v>
      </c>
      <c r="N97" s="1482">
        <f t="shared" si="34"/>
        <v>0.19892488097366726</v>
      </c>
      <c r="O97" s="1482">
        <f t="shared" si="34"/>
        <v>0.26585903447659598</v>
      </c>
      <c r="P97" s="1482">
        <f t="shared" si="34"/>
        <v>8.9228108703258049E-2</v>
      </c>
      <c r="Q97" s="1482">
        <f t="shared" si="34"/>
        <v>0</v>
      </c>
      <c r="R97" s="1482">
        <f t="shared" si="34"/>
        <v>0</v>
      </c>
      <c r="S97" s="1482">
        <f t="shared" si="34"/>
        <v>0</v>
      </c>
      <c r="T97" s="1482">
        <f t="shared" si="34"/>
        <v>0.4459879758464787</v>
      </c>
      <c r="U97" s="1521">
        <f t="shared" si="32"/>
        <v>1</v>
      </c>
      <c r="V97" s="1522">
        <f t="shared" si="35"/>
        <v>0.29028184578274857</v>
      </c>
      <c r="W97" s="1482">
        <f t="shared" si="35"/>
        <v>0.30317187715157518</v>
      </c>
      <c r="X97" s="1482">
        <f t="shared" si="35"/>
        <v>8.2805443243048754E-2</v>
      </c>
      <c r="Y97" s="1482">
        <f t="shared" si="35"/>
        <v>0</v>
      </c>
      <c r="Z97" s="1482">
        <f t="shared" si="35"/>
        <v>0</v>
      </c>
      <c r="AA97" s="1482">
        <f t="shared" si="35"/>
        <v>0</v>
      </c>
      <c r="AB97" s="1482">
        <f t="shared" si="35"/>
        <v>0.32374083382262742</v>
      </c>
      <c r="AC97" s="1521">
        <f t="shared" si="26"/>
        <v>0.99999999999999989</v>
      </c>
    </row>
    <row r="98" spans="1:29">
      <c r="A98" s="187">
        <f t="shared" si="33"/>
        <v>1998</v>
      </c>
      <c r="B98" s="475">
        <v>38.128999999999998</v>
      </c>
      <c r="C98" s="607">
        <v>1827.2669171060654</v>
      </c>
      <c r="D98" s="184">
        <v>0</v>
      </c>
      <c r="E98" s="557">
        <v>0</v>
      </c>
      <c r="F98" s="186">
        <f t="shared" si="27"/>
        <v>0.71479999999999999</v>
      </c>
      <c r="G98" s="186">
        <f t="shared" si="28"/>
        <v>0.28959999999999997</v>
      </c>
      <c r="H98" s="557">
        <v>0</v>
      </c>
      <c r="I98" s="1533">
        <f t="shared" si="21"/>
        <v>578.73</v>
      </c>
      <c r="J98" s="1534">
        <f t="shared" si="22"/>
        <v>27.526054267727826</v>
      </c>
      <c r="K98" s="1535">
        <f t="shared" si="15"/>
        <v>22066.39617</v>
      </c>
      <c r="L98" s="1535">
        <f t="shared" si="23"/>
        <v>50297.448321885269</v>
      </c>
      <c r="M98" s="1536">
        <f t="shared" si="16"/>
        <v>50297.448321885269</v>
      </c>
      <c r="N98" s="1482">
        <f t="shared" si="34"/>
        <v>0.19892488097366726</v>
      </c>
      <c r="O98" s="1482">
        <f t="shared" si="34"/>
        <v>0.26585903447659598</v>
      </c>
      <c r="P98" s="1482">
        <f t="shared" si="34"/>
        <v>8.9228108703258049E-2</v>
      </c>
      <c r="Q98" s="1482">
        <f t="shared" si="34"/>
        <v>0</v>
      </c>
      <c r="R98" s="1482">
        <f t="shared" si="34"/>
        <v>0</v>
      </c>
      <c r="S98" s="1482">
        <f t="shared" si="34"/>
        <v>0</v>
      </c>
      <c r="T98" s="1482">
        <f t="shared" si="34"/>
        <v>0.4459879758464787</v>
      </c>
      <c r="U98" s="1521">
        <f t="shared" si="32"/>
        <v>1</v>
      </c>
      <c r="V98" s="1522">
        <f t="shared" si="35"/>
        <v>0.29028184578274857</v>
      </c>
      <c r="W98" s="1482">
        <f t="shared" si="35"/>
        <v>0.30317187715157518</v>
      </c>
      <c r="X98" s="1482">
        <f t="shared" si="35"/>
        <v>8.2805443243048754E-2</v>
      </c>
      <c r="Y98" s="1482">
        <f t="shared" si="35"/>
        <v>0</v>
      </c>
      <c r="Z98" s="1482">
        <f t="shared" si="35"/>
        <v>0</v>
      </c>
      <c r="AA98" s="1482">
        <f t="shared" si="35"/>
        <v>0</v>
      </c>
      <c r="AB98" s="1482">
        <f t="shared" si="35"/>
        <v>0.32374083382262742</v>
      </c>
      <c r="AC98" s="1521">
        <f t="shared" si="26"/>
        <v>0.99999999999999989</v>
      </c>
    </row>
    <row r="99" spans="1:29" ht="13.95" customHeight="1">
      <c r="A99" s="187">
        <f t="shared" si="33"/>
        <v>1999</v>
      </c>
      <c r="B99" s="475">
        <v>39.059930000000001</v>
      </c>
      <c r="C99" s="607">
        <v>1871.1212545027383</v>
      </c>
      <c r="D99" s="184">
        <v>0</v>
      </c>
      <c r="E99" s="557">
        <v>0</v>
      </c>
      <c r="F99" s="186">
        <f t="shared" si="27"/>
        <v>0.71479999999999999</v>
      </c>
      <c r="G99" s="186">
        <f t="shared" si="28"/>
        <v>0.28959999999999997</v>
      </c>
      <c r="H99" s="557">
        <v>0</v>
      </c>
      <c r="I99" s="1533">
        <f t="shared" si="21"/>
        <v>578.73</v>
      </c>
      <c r="J99" s="1534">
        <f t="shared" si="22"/>
        <v>27.526054267727826</v>
      </c>
      <c r="K99" s="1535">
        <f t="shared" si="15"/>
        <v>22605.153288900001</v>
      </c>
      <c r="L99" s="1535">
        <f t="shared" si="23"/>
        <v>51504.585192941347</v>
      </c>
      <c r="M99" s="1536">
        <f t="shared" si="16"/>
        <v>51504.585192941347</v>
      </c>
      <c r="N99" s="1482">
        <f t="shared" ref="N99:T114" si="36">N98</f>
        <v>0.19892488097366726</v>
      </c>
      <c r="O99" s="1482">
        <f t="shared" si="36"/>
        <v>0.26585903447659598</v>
      </c>
      <c r="P99" s="1482">
        <f t="shared" si="36"/>
        <v>8.9228108703258049E-2</v>
      </c>
      <c r="Q99" s="1482">
        <f t="shared" si="36"/>
        <v>0</v>
      </c>
      <c r="R99" s="1482">
        <f t="shared" si="36"/>
        <v>0</v>
      </c>
      <c r="S99" s="1482">
        <f t="shared" si="36"/>
        <v>0</v>
      </c>
      <c r="T99" s="1482">
        <f t="shared" si="36"/>
        <v>0.4459879758464787</v>
      </c>
      <c r="U99" s="1521">
        <f t="shared" si="32"/>
        <v>1</v>
      </c>
      <c r="V99" s="1522">
        <f t="shared" si="35"/>
        <v>0.29028184578274857</v>
      </c>
      <c r="W99" s="1482">
        <f t="shared" si="35"/>
        <v>0.30317187715157518</v>
      </c>
      <c r="X99" s="1482">
        <f t="shared" si="35"/>
        <v>8.2805443243048754E-2</v>
      </c>
      <c r="Y99" s="1482">
        <f t="shared" si="35"/>
        <v>0</v>
      </c>
      <c r="Z99" s="1482">
        <f t="shared" si="35"/>
        <v>0</v>
      </c>
      <c r="AA99" s="1482">
        <f t="shared" si="35"/>
        <v>0</v>
      </c>
      <c r="AB99" s="1482">
        <f t="shared" si="35"/>
        <v>0.32374083382262742</v>
      </c>
      <c r="AC99" s="1521">
        <f t="shared" si="26"/>
        <v>0.99999999999999989</v>
      </c>
    </row>
    <row r="100" spans="1:29">
      <c r="A100" s="868">
        <f t="shared" si="33"/>
        <v>2000</v>
      </c>
      <c r="B100" s="879">
        <v>44</v>
      </c>
      <c r="C100" s="879">
        <v>1949.7084122320282</v>
      </c>
      <c r="D100" s="1278">
        <f t="shared" ref="D100:D115" si="37">D101/C101*C100</f>
        <v>31236828.082533572</v>
      </c>
      <c r="E100" s="1262">
        <f>D100</f>
        <v>31236828.082533572</v>
      </c>
      <c r="F100" s="869">
        <f t="shared" si="27"/>
        <v>0.71479999999999999</v>
      </c>
      <c r="G100" s="869">
        <f t="shared" si="28"/>
        <v>0.28959999999999997</v>
      </c>
      <c r="H100" s="870">
        <v>501</v>
      </c>
      <c r="I100" s="1537">
        <f t="shared" si="21"/>
        <v>578.73</v>
      </c>
      <c r="J100" s="1538">
        <f t="shared" si="22"/>
        <v>27.526054267727826</v>
      </c>
      <c r="K100" s="1539">
        <f t="shared" si="15"/>
        <v>25464.120000000003</v>
      </c>
      <c r="L100" s="1539">
        <f>C100*J100*1000/1000</f>
        <v>53667.779561344265</v>
      </c>
      <c r="M100" s="872">
        <f t="shared" si="16"/>
        <v>53667.779561344265</v>
      </c>
      <c r="N100" s="1523">
        <f t="shared" si="36"/>
        <v>0.19892488097366726</v>
      </c>
      <c r="O100" s="1523">
        <f t="shared" si="36"/>
        <v>0.26585903447659598</v>
      </c>
      <c r="P100" s="1523">
        <f t="shared" si="36"/>
        <v>8.9228108703258049E-2</v>
      </c>
      <c r="Q100" s="1523">
        <f t="shared" si="36"/>
        <v>0</v>
      </c>
      <c r="R100" s="1523">
        <f t="shared" si="36"/>
        <v>0</v>
      </c>
      <c r="S100" s="1523">
        <f t="shared" si="36"/>
        <v>0</v>
      </c>
      <c r="T100" s="1523">
        <f t="shared" si="36"/>
        <v>0.4459879758464787</v>
      </c>
      <c r="U100" s="873">
        <f t="shared" si="32"/>
        <v>1</v>
      </c>
      <c r="V100" s="1523">
        <f t="shared" ref="V100:AB115" si="38">V99</f>
        <v>0.29028184578274857</v>
      </c>
      <c r="W100" s="1523">
        <f t="shared" si="38"/>
        <v>0.30317187715157518</v>
      </c>
      <c r="X100" s="1523">
        <f t="shared" si="38"/>
        <v>8.2805443243048754E-2</v>
      </c>
      <c r="Y100" s="1523">
        <f t="shared" si="38"/>
        <v>0</v>
      </c>
      <c r="Z100" s="1523">
        <f t="shared" si="38"/>
        <v>0</v>
      </c>
      <c r="AA100" s="1523">
        <f t="shared" si="38"/>
        <v>0</v>
      </c>
      <c r="AB100" s="1523">
        <f t="shared" si="38"/>
        <v>0.32374083382262742</v>
      </c>
      <c r="AC100" s="873">
        <f t="shared" si="26"/>
        <v>0.99999999999999989</v>
      </c>
    </row>
    <row r="101" spans="1:29">
      <c r="A101" s="868">
        <f t="shared" si="33"/>
        <v>2001</v>
      </c>
      <c r="B101" s="879">
        <v>44.91</v>
      </c>
      <c r="C101" s="879">
        <v>2002.3504334346351</v>
      </c>
      <c r="D101" s="1278">
        <f t="shared" si="37"/>
        <v>32080220.74366511</v>
      </c>
      <c r="E101" s="1262">
        <f t="shared" ref="E101:E117" si="39">D101</f>
        <v>32080220.74366511</v>
      </c>
      <c r="F101" s="874">
        <f t="shared" si="27"/>
        <v>0.71479999999999999</v>
      </c>
      <c r="G101" s="874">
        <f t="shared" si="28"/>
        <v>0.28959999999999997</v>
      </c>
      <c r="H101" s="875">
        <v>501</v>
      </c>
      <c r="I101" s="1540">
        <f t="shared" si="21"/>
        <v>578.73</v>
      </c>
      <c r="J101" s="1541">
        <f t="shared" si="22"/>
        <v>27.526054267727826</v>
      </c>
      <c r="K101" s="1542">
        <f t="shared" si="15"/>
        <v>25990.764299999999</v>
      </c>
      <c r="L101" s="1542">
        <f t="shared" ref="L101:L116" si="40">C101*J101*1000/1000</f>
        <v>55116.806693730105</v>
      </c>
      <c r="M101" s="876">
        <f t="shared" si="16"/>
        <v>55116.806693730105</v>
      </c>
      <c r="N101" s="1524">
        <f t="shared" si="36"/>
        <v>0.19892488097366726</v>
      </c>
      <c r="O101" s="1524">
        <f t="shared" si="36"/>
        <v>0.26585903447659598</v>
      </c>
      <c r="P101" s="1524">
        <f t="shared" si="36"/>
        <v>8.9228108703258049E-2</v>
      </c>
      <c r="Q101" s="1524">
        <f t="shared" si="36"/>
        <v>0</v>
      </c>
      <c r="R101" s="1524">
        <f t="shared" si="36"/>
        <v>0</v>
      </c>
      <c r="S101" s="1524">
        <f t="shared" si="36"/>
        <v>0</v>
      </c>
      <c r="T101" s="1524">
        <f t="shared" si="36"/>
        <v>0.4459879758464787</v>
      </c>
      <c r="U101" s="877">
        <f t="shared" si="32"/>
        <v>1</v>
      </c>
      <c r="V101" s="1524">
        <f t="shared" si="38"/>
        <v>0.29028184578274857</v>
      </c>
      <c r="W101" s="1524">
        <f t="shared" si="38"/>
        <v>0.30317187715157518</v>
      </c>
      <c r="X101" s="1524">
        <f t="shared" si="38"/>
        <v>8.2805443243048754E-2</v>
      </c>
      <c r="Y101" s="1524">
        <f t="shared" si="38"/>
        <v>0</v>
      </c>
      <c r="Z101" s="1524">
        <f t="shared" si="38"/>
        <v>0</v>
      </c>
      <c r="AA101" s="1524">
        <f t="shared" si="38"/>
        <v>0</v>
      </c>
      <c r="AB101" s="1524">
        <f t="shared" si="38"/>
        <v>0.32374083382262742</v>
      </c>
      <c r="AC101" s="877">
        <f t="shared" si="26"/>
        <v>0.99999999999999989</v>
      </c>
    </row>
    <row r="102" spans="1:29">
      <c r="A102" s="868">
        <f t="shared" si="33"/>
        <v>2002</v>
      </c>
      <c r="B102" s="879">
        <v>45.533000000000001</v>
      </c>
      <c r="C102" s="879">
        <v>2076.4450554986461</v>
      </c>
      <c r="D102" s="1278">
        <f t="shared" si="37"/>
        <v>33267311.57054634</v>
      </c>
      <c r="E102" s="1262">
        <f t="shared" si="39"/>
        <v>33267311.57054634</v>
      </c>
      <c r="F102" s="874">
        <f t="shared" si="27"/>
        <v>0.71479999999999999</v>
      </c>
      <c r="G102" s="874">
        <f t="shared" si="28"/>
        <v>0.28959999999999997</v>
      </c>
      <c r="H102" s="875">
        <v>501</v>
      </c>
      <c r="I102" s="1540">
        <f t="shared" si="21"/>
        <v>578.73</v>
      </c>
      <c r="J102" s="1541">
        <f t="shared" si="22"/>
        <v>27.526054267727826</v>
      </c>
      <c r="K102" s="1542">
        <f t="shared" si="15"/>
        <v>26351.313090000003</v>
      </c>
      <c r="L102" s="1542">
        <f t="shared" si="40"/>
        <v>57156.339281610846</v>
      </c>
      <c r="M102" s="876">
        <f t="shared" si="16"/>
        <v>57156.339281610846</v>
      </c>
      <c r="N102" s="1524">
        <f t="shared" si="36"/>
        <v>0.19892488097366726</v>
      </c>
      <c r="O102" s="1524">
        <f t="shared" si="36"/>
        <v>0.26585903447659598</v>
      </c>
      <c r="P102" s="1524">
        <f t="shared" si="36"/>
        <v>8.9228108703258049E-2</v>
      </c>
      <c r="Q102" s="1524">
        <f t="shared" si="36"/>
        <v>0</v>
      </c>
      <c r="R102" s="1524">
        <f t="shared" si="36"/>
        <v>0</v>
      </c>
      <c r="S102" s="1524">
        <f t="shared" si="36"/>
        <v>0</v>
      </c>
      <c r="T102" s="1524">
        <f t="shared" si="36"/>
        <v>0.4459879758464787</v>
      </c>
      <c r="U102" s="877">
        <f t="shared" si="32"/>
        <v>1</v>
      </c>
      <c r="V102" s="1524">
        <f t="shared" si="38"/>
        <v>0.29028184578274857</v>
      </c>
      <c r="W102" s="1524">
        <f t="shared" si="38"/>
        <v>0.30317187715157518</v>
      </c>
      <c r="X102" s="1524">
        <f t="shared" si="38"/>
        <v>8.2805443243048754E-2</v>
      </c>
      <c r="Y102" s="1524">
        <f t="shared" si="38"/>
        <v>0</v>
      </c>
      <c r="Z102" s="1524">
        <f t="shared" si="38"/>
        <v>0</v>
      </c>
      <c r="AA102" s="1524">
        <f t="shared" si="38"/>
        <v>0</v>
      </c>
      <c r="AB102" s="1524">
        <f t="shared" si="38"/>
        <v>0.32374083382262742</v>
      </c>
      <c r="AC102" s="877">
        <f t="shared" si="26"/>
        <v>0.99999999999999989</v>
      </c>
    </row>
    <row r="103" spans="1:29">
      <c r="A103" s="868">
        <f t="shared" si="33"/>
        <v>2003</v>
      </c>
      <c r="B103" s="879">
        <v>46.116</v>
      </c>
      <c r="C103" s="879">
        <v>2137.6810634216249</v>
      </c>
      <c r="D103" s="1278">
        <f t="shared" si="37"/>
        <v>34248390.915514112</v>
      </c>
      <c r="E103" s="1262">
        <f t="shared" si="39"/>
        <v>34248390.915514112</v>
      </c>
      <c r="F103" s="874">
        <f t="shared" si="27"/>
        <v>0.71479999999999999</v>
      </c>
      <c r="G103" s="874">
        <f t="shared" si="28"/>
        <v>0.28959999999999997</v>
      </c>
      <c r="H103" s="875">
        <v>501</v>
      </c>
      <c r="I103" s="1540">
        <f t="shared" si="21"/>
        <v>578.73</v>
      </c>
      <c r="J103" s="1541">
        <f t="shared" si="22"/>
        <v>27.526054267727826</v>
      </c>
      <c r="K103" s="1542">
        <f t="shared" si="15"/>
        <v>26688.712680000001</v>
      </c>
      <c r="L103" s="1542">
        <f t="shared" si="40"/>
        <v>58841.924958837779</v>
      </c>
      <c r="M103" s="876">
        <f t="shared" si="16"/>
        <v>58841.924958837779</v>
      </c>
      <c r="N103" s="1524">
        <f t="shared" si="36"/>
        <v>0.19892488097366726</v>
      </c>
      <c r="O103" s="1524">
        <f t="shared" si="36"/>
        <v>0.26585903447659598</v>
      </c>
      <c r="P103" s="1524">
        <f t="shared" si="36"/>
        <v>8.9228108703258049E-2</v>
      </c>
      <c r="Q103" s="1524">
        <f t="shared" si="36"/>
        <v>0</v>
      </c>
      <c r="R103" s="1524">
        <f t="shared" si="36"/>
        <v>0</v>
      </c>
      <c r="S103" s="1524">
        <f t="shared" si="36"/>
        <v>0</v>
      </c>
      <c r="T103" s="1524">
        <f t="shared" si="36"/>
        <v>0.4459879758464787</v>
      </c>
      <c r="U103" s="877">
        <f t="shared" si="32"/>
        <v>1</v>
      </c>
      <c r="V103" s="1524">
        <f t="shared" si="38"/>
        <v>0.29028184578274857</v>
      </c>
      <c r="W103" s="1524">
        <f t="shared" si="38"/>
        <v>0.30317187715157518</v>
      </c>
      <c r="X103" s="1524">
        <f t="shared" si="38"/>
        <v>8.2805443243048754E-2</v>
      </c>
      <c r="Y103" s="1524">
        <f t="shared" si="38"/>
        <v>0</v>
      </c>
      <c r="Z103" s="1524">
        <f t="shared" si="38"/>
        <v>0</v>
      </c>
      <c r="AA103" s="1524">
        <f t="shared" si="38"/>
        <v>0</v>
      </c>
      <c r="AB103" s="1524">
        <f t="shared" si="38"/>
        <v>0.32374083382262742</v>
      </c>
      <c r="AC103" s="877">
        <f t="shared" si="26"/>
        <v>0.99999999999999989</v>
      </c>
    </row>
    <row r="104" spans="1:29">
      <c r="A104" s="868">
        <f t="shared" si="33"/>
        <v>2004</v>
      </c>
      <c r="B104" s="879">
        <v>46.664999999999999</v>
      </c>
      <c r="C104" s="879">
        <v>2235.0428749750399</v>
      </c>
      <c r="D104" s="1278">
        <f t="shared" si="37"/>
        <v>35808251.944074988</v>
      </c>
      <c r="E104" s="1262">
        <f t="shared" si="39"/>
        <v>35808251.944074988</v>
      </c>
      <c r="F104" s="874">
        <f t="shared" si="27"/>
        <v>0.71479999999999999</v>
      </c>
      <c r="G104" s="874">
        <f t="shared" si="28"/>
        <v>0.28959999999999997</v>
      </c>
      <c r="H104" s="875">
        <v>501</v>
      </c>
      <c r="I104" s="1540">
        <f t="shared" si="21"/>
        <v>578.73</v>
      </c>
      <c r="J104" s="1541">
        <f t="shared" si="22"/>
        <v>27.526054267727826</v>
      </c>
      <c r="K104" s="1542">
        <f t="shared" si="15"/>
        <v>27006.435450000001</v>
      </c>
      <c r="L104" s="1542">
        <f t="shared" si="40"/>
        <v>61521.911467261365</v>
      </c>
      <c r="M104" s="876">
        <f t="shared" si="16"/>
        <v>61521.911467261365</v>
      </c>
      <c r="N104" s="1524">
        <f t="shared" si="36"/>
        <v>0.19892488097366726</v>
      </c>
      <c r="O104" s="1524">
        <f t="shared" si="36"/>
        <v>0.26585903447659598</v>
      </c>
      <c r="P104" s="1524">
        <f t="shared" si="36"/>
        <v>8.9228108703258049E-2</v>
      </c>
      <c r="Q104" s="1524">
        <f t="shared" si="36"/>
        <v>0</v>
      </c>
      <c r="R104" s="1524">
        <f t="shared" si="36"/>
        <v>0</v>
      </c>
      <c r="S104" s="1524">
        <f t="shared" si="36"/>
        <v>0</v>
      </c>
      <c r="T104" s="1524">
        <f t="shared" si="36"/>
        <v>0.4459879758464787</v>
      </c>
      <c r="U104" s="877">
        <f t="shared" si="32"/>
        <v>1</v>
      </c>
      <c r="V104" s="1524">
        <f t="shared" si="38"/>
        <v>0.29028184578274857</v>
      </c>
      <c r="W104" s="1524">
        <f t="shared" si="38"/>
        <v>0.30317187715157518</v>
      </c>
      <c r="X104" s="1524">
        <f t="shared" si="38"/>
        <v>8.2805443243048754E-2</v>
      </c>
      <c r="Y104" s="1524">
        <f t="shared" si="38"/>
        <v>0</v>
      </c>
      <c r="Z104" s="1524">
        <f t="shared" si="38"/>
        <v>0</v>
      </c>
      <c r="AA104" s="1524">
        <f t="shared" si="38"/>
        <v>0</v>
      </c>
      <c r="AB104" s="1524">
        <f t="shared" si="38"/>
        <v>0.32374083382262742</v>
      </c>
      <c r="AC104" s="877">
        <f t="shared" si="26"/>
        <v>0.99999999999999989</v>
      </c>
    </row>
    <row r="105" spans="1:29">
      <c r="A105" s="868">
        <f t="shared" si="33"/>
        <v>2005</v>
      </c>
      <c r="B105" s="879">
        <v>47.198</v>
      </c>
      <c r="C105" s="879">
        <v>2352.9873460848162</v>
      </c>
      <c r="D105" s="1278">
        <f t="shared" si="37"/>
        <v>37697873.563506655</v>
      </c>
      <c r="E105" s="1262">
        <f t="shared" si="39"/>
        <v>37697873.563506655</v>
      </c>
      <c r="F105" s="874">
        <f t="shared" si="27"/>
        <v>0.71479999999999999</v>
      </c>
      <c r="G105" s="874">
        <f t="shared" si="28"/>
        <v>0.28959999999999997</v>
      </c>
      <c r="H105" s="875">
        <v>501</v>
      </c>
      <c r="I105" s="1540">
        <f t="shared" si="21"/>
        <v>578.73</v>
      </c>
      <c r="J105" s="1541">
        <f t="shared" si="22"/>
        <v>27.526054267727826</v>
      </c>
      <c r="K105" s="1542">
        <f t="shared" si="15"/>
        <v>27314.898540000002</v>
      </c>
      <c r="L105" s="1542">
        <f t="shared" si="40"/>
        <v>64768.457379607527</v>
      </c>
      <c r="M105" s="876">
        <f t="shared" si="16"/>
        <v>64768.457379607527</v>
      </c>
      <c r="N105" s="1524">
        <f t="shared" si="36"/>
        <v>0.19892488097366726</v>
      </c>
      <c r="O105" s="1524">
        <f t="shared" si="36"/>
        <v>0.26585903447659598</v>
      </c>
      <c r="P105" s="1524">
        <f t="shared" si="36"/>
        <v>8.9228108703258049E-2</v>
      </c>
      <c r="Q105" s="1524">
        <f t="shared" si="36"/>
        <v>0</v>
      </c>
      <c r="R105" s="1524">
        <f t="shared" si="36"/>
        <v>0</v>
      </c>
      <c r="S105" s="1524">
        <f t="shared" si="36"/>
        <v>0</v>
      </c>
      <c r="T105" s="1524">
        <f t="shared" si="36"/>
        <v>0.4459879758464787</v>
      </c>
      <c r="U105" s="877">
        <f t="shared" si="32"/>
        <v>1</v>
      </c>
      <c r="V105" s="1524">
        <f t="shared" si="38"/>
        <v>0.29028184578274857</v>
      </c>
      <c r="W105" s="1524">
        <f t="shared" si="38"/>
        <v>0.30317187715157518</v>
      </c>
      <c r="X105" s="1524">
        <f t="shared" si="38"/>
        <v>8.2805443243048754E-2</v>
      </c>
      <c r="Y105" s="1524">
        <f t="shared" si="38"/>
        <v>0</v>
      </c>
      <c r="Z105" s="1524">
        <f t="shared" si="38"/>
        <v>0</v>
      </c>
      <c r="AA105" s="1524">
        <f t="shared" si="38"/>
        <v>0</v>
      </c>
      <c r="AB105" s="1524">
        <f t="shared" si="38"/>
        <v>0.32374083382262742</v>
      </c>
      <c r="AC105" s="877">
        <f t="shared" si="26"/>
        <v>0.99999999999999989</v>
      </c>
    </row>
    <row r="106" spans="1:29">
      <c r="A106" s="868">
        <f t="shared" si="33"/>
        <v>2006</v>
      </c>
      <c r="B106" s="879">
        <v>47.731000000000002</v>
      </c>
      <c r="C106" s="879">
        <v>2484.843995854224</v>
      </c>
      <c r="D106" s="1278">
        <f t="shared" si="37"/>
        <v>39810386.118997268</v>
      </c>
      <c r="E106" s="1262">
        <f t="shared" si="39"/>
        <v>39810386.118997268</v>
      </c>
      <c r="F106" s="874">
        <f t="shared" si="27"/>
        <v>0.71479999999999999</v>
      </c>
      <c r="G106" s="874">
        <f t="shared" si="28"/>
        <v>0.28959999999999997</v>
      </c>
      <c r="H106" s="875">
        <v>501</v>
      </c>
      <c r="I106" s="1540">
        <f t="shared" si="21"/>
        <v>578.73</v>
      </c>
      <c r="J106" s="1541">
        <f t="shared" si="22"/>
        <v>27.526054267727826</v>
      </c>
      <c r="K106" s="1542">
        <f t="shared" si="15"/>
        <v>27623.361630000003</v>
      </c>
      <c r="L106" s="1542">
        <f t="shared" si="40"/>
        <v>68397.950676721026</v>
      </c>
      <c r="M106" s="876">
        <f t="shared" si="16"/>
        <v>68397.950676721026</v>
      </c>
      <c r="N106" s="1524">
        <f t="shared" si="36"/>
        <v>0.19892488097366726</v>
      </c>
      <c r="O106" s="1524">
        <f t="shared" si="36"/>
        <v>0.26585903447659598</v>
      </c>
      <c r="P106" s="1524">
        <f t="shared" si="36"/>
        <v>8.9228108703258049E-2</v>
      </c>
      <c r="Q106" s="1524">
        <f t="shared" si="36"/>
        <v>0</v>
      </c>
      <c r="R106" s="1524">
        <f t="shared" si="36"/>
        <v>0</v>
      </c>
      <c r="S106" s="1524">
        <f t="shared" si="36"/>
        <v>0</v>
      </c>
      <c r="T106" s="1524">
        <f t="shared" si="36"/>
        <v>0.4459879758464787</v>
      </c>
      <c r="U106" s="877">
        <f t="shared" si="32"/>
        <v>1</v>
      </c>
      <c r="V106" s="1524">
        <f t="shared" si="38"/>
        <v>0.29028184578274857</v>
      </c>
      <c r="W106" s="1524">
        <f t="shared" si="38"/>
        <v>0.30317187715157518</v>
      </c>
      <c r="X106" s="1524">
        <f t="shared" si="38"/>
        <v>8.2805443243048754E-2</v>
      </c>
      <c r="Y106" s="1524">
        <f t="shared" si="38"/>
        <v>0</v>
      </c>
      <c r="Z106" s="1524">
        <f t="shared" si="38"/>
        <v>0</v>
      </c>
      <c r="AA106" s="1524">
        <f t="shared" si="38"/>
        <v>0</v>
      </c>
      <c r="AB106" s="1524">
        <f t="shared" si="38"/>
        <v>0.32374083382262742</v>
      </c>
      <c r="AC106" s="877">
        <f t="shared" si="26"/>
        <v>0.99999999999999989</v>
      </c>
    </row>
    <row r="107" spans="1:29">
      <c r="A107" s="868">
        <f t="shared" si="33"/>
        <v>2007</v>
      </c>
      <c r="B107" s="879">
        <v>48.256999999999998</v>
      </c>
      <c r="C107" s="879">
        <v>2618.0434591809503</v>
      </c>
      <c r="D107" s="1278">
        <f t="shared" si="37"/>
        <v>41944412.269020118</v>
      </c>
      <c r="E107" s="1262">
        <f t="shared" si="39"/>
        <v>41944412.269020118</v>
      </c>
      <c r="F107" s="874">
        <f t="shared" si="27"/>
        <v>0.71479999999999999</v>
      </c>
      <c r="G107" s="874">
        <f t="shared" si="28"/>
        <v>0.28959999999999997</v>
      </c>
      <c r="H107" s="875">
        <v>501</v>
      </c>
      <c r="I107" s="1540">
        <f t="shared" si="21"/>
        <v>578.73</v>
      </c>
      <c r="J107" s="1541">
        <f t="shared" si="22"/>
        <v>27.526054267727826</v>
      </c>
      <c r="K107" s="1542">
        <f t="shared" si="15"/>
        <v>27927.77361</v>
      </c>
      <c r="L107" s="1542">
        <f t="shared" si="40"/>
        <v>72064.406332684724</v>
      </c>
      <c r="M107" s="876">
        <f t="shared" si="16"/>
        <v>72064.406332684724</v>
      </c>
      <c r="N107" s="1524">
        <f t="shared" si="36"/>
        <v>0.19892488097366726</v>
      </c>
      <c r="O107" s="1524">
        <f t="shared" si="36"/>
        <v>0.26585903447659598</v>
      </c>
      <c r="P107" s="1524">
        <f t="shared" si="36"/>
        <v>8.9228108703258049E-2</v>
      </c>
      <c r="Q107" s="1524">
        <f t="shared" si="36"/>
        <v>0</v>
      </c>
      <c r="R107" s="1524">
        <f t="shared" si="36"/>
        <v>0</v>
      </c>
      <c r="S107" s="1524">
        <f t="shared" si="36"/>
        <v>0</v>
      </c>
      <c r="T107" s="1524">
        <f t="shared" si="36"/>
        <v>0.4459879758464787</v>
      </c>
      <c r="U107" s="877">
        <f t="shared" si="32"/>
        <v>1</v>
      </c>
      <c r="V107" s="1524">
        <f t="shared" si="38"/>
        <v>0.29028184578274857</v>
      </c>
      <c r="W107" s="1524">
        <f t="shared" si="38"/>
        <v>0.30317187715157518</v>
      </c>
      <c r="X107" s="1524">
        <f t="shared" si="38"/>
        <v>8.2805443243048754E-2</v>
      </c>
      <c r="Y107" s="1524">
        <f t="shared" si="38"/>
        <v>0</v>
      </c>
      <c r="Z107" s="1524">
        <f t="shared" si="38"/>
        <v>0</v>
      </c>
      <c r="AA107" s="1524">
        <f t="shared" si="38"/>
        <v>0</v>
      </c>
      <c r="AB107" s="1524">
        <f t="shared" si="38"/>
        <v>0.32374083382262742</v>
      </c>
      <c r="AC107" s="877">
        <f t="shared" si="26"/>
        <v>0.99999999999999989</v>
      </c>
    </row>
    <row r="108" spans="1:29">
      <c r="A108" s="868">
        <f t="shared" si="33"/>
        <v>2008</v>
      </c>
      <c r="B108" s="879">
        <v>48.792999999999999</v>
      </c>
      <c r="C108" s="879">
        <v>2701.5864496631075</v>
      </c>
      <c r="D108" s="1278">
        <f t="shared" si="37"/>
        <v>43282878.069762282</v>
      </c>
      <c r="E108" s="1262">
        <f t="shared" si="39"/>
        <v>43282878.069762282</v>
      </c>
      <c r="F108" s="874">
        <f t="shared" si="27"/>
        <v>0.71479999999999999</v>
      </c>
      <c r="G108" s="874">
        <f t="shared" si="28"/>
        <v>0.28959999999999997</v>
      </c>
      <c r="H108" s="875">
        <v>501</v>
      </c>
      <c r="I108" s="1540">
        <f t="shared" si="21"/>
        <v>578.73</v>
      </c>
      <c r="J108" s="1541">
        <f t="shared" si="22"/>
        <v>27.526054267727826</v>
      </c>
      <c r="K108" s="1542">
        <f t="shared" si="15"/>
        <v>28237.972890000001</v>
      </c>
      <c r="L108" s="1542">
        <f t="shared" si="40"/>
        <v>74364.015222384842</v>
      </c>
      <c r="M108" s="876">
        <f t="shared" si="16"/>
        <v>74364.015222384842</v>
      </c>
      <c r="N108" s="1524">
        <f t="shared" si="36"/>
        <v>0.19892488097366726</v>
      </c>
      <c r="O108" s="1524">
        <f t="shared" si="36"/>
        <v>0.26585903447659598</v>
      </c>
      <c r="P108" s="1524">
        <f t="shared" si="36"/>
        <v>8.9228108703258049E-2</v>
      </c>
      <c r="Q108" s="1524">
        <f t="shared" si="36"/>
        <v>0</v>
      </c>
      <c r="R108" s="1524">
        <f t="shared" si="36"/>
        <v>0</v>
      </c>
      <c r="S108" s="1524">
        <f t="shared" si="36"/>
        <v>0</v>
      </c>
      <c r="T108" s="1524">
        <f t="shared" si="36"/>
        <v>0.4459879758464787</v>
      </c>
      <c r="U108" s="877">
        <f t="shared" si="32"/>
        <v>1</v>
      </c>
      <c r="V108" s="1524">
        <f t="shared" si="38"/>
        <v>0.29028184578274857</v>
      </c>
      <c r="W108" s="1524">
        <f t="shared" si="38"/>
        <v>0.30317187715157518</v>
      </c>
      <c r="X108" s="1524">
        <f t="shared" si="38"/>
        <v>8.2805443243048754E-2</v>
      </c>
      <c r="Y108" s="1524">
        <f t="shared" si="38"/>
        <v>0</v>
      </c>
      <c r="Z108" s="1524">
        <f t="shared" si="38"/>
        <v>0</v>
      </c>
      <c r="AA108" s="1524">
        <f t="shared" si="38"/>
        <v>0</v>
      </c>
      <c r="AB108" s="1524">
        <f t="shared" si="38"/>
        <v>0.32374083382262742</v>
      </c>
      <c r="AC108" s="877">
        <f t="shared" si="26"/>
        <v>0.99999999999999989</v>
      </c>
    </row>
    <row r="109" spans="1:29">
      <c r="A109" s="868">
        <f t="shared" si="33"/>
        <v>2009</v>
      </c>
      <c r="B109" s="879">
        <v>49.32</v>
      </c>
      <c r="C109" s="879">
        <v>2660.0336366320498</v>
      </c>
      <c r="D109" s="1278">
        <f t="shared" si="37"/>
        <v>42617148.73872304</v>
      </c>
      <c r="E109" s="1262">
        <f t="shared" si="39"/>
        <v>42617148.73872304</v>
      </c>
      <c r="F109" s="874">
        <f t="shared" si="27"/>
        <v>0.71479999999999999</v>
      </c>
      <c r="G109" s="874">
        <f t="shared" si="28"/>
        <v>0.28959999999999997</v>
      </c>
      <c r="H109" s="875">
        <v>501</v>
      </c>
      <c r="I109" s="1540">
        <f t="shared" si="21"/>
        <v>578.73</v>
      </c>
      <c r="J109" s="1541">
        <f t="shared" si="22"/>
        <v>27.526054267727826</v>
      </c>
      <c r="K109" s="1542">
        <f t="shared" si="15"/>
        <v>28542.963600000003</v>
      </c>
      <c r="L109" s="1542">
        <f t="shared" si="40"/>
        <v>73220.230235915209</v>
      </c>
      <c r="M109" s="876">
        <f t="shared" si="16"/>
        <v>73220.230235915209</v>
      </c>
      <c r="N109" s="1524">
        <f t="shared" si="36"/>
        <v>0.19892488097366726</v>
      </c>
      <c r="O109" s="1524">
        <f t="shared" si="36"/>
        <v>0.26585903447659598</v>
      </c>
      <c r="P109" s="1524">
        <f t="shared" si="36"/>
        <v>8.9228108703258049E-2</v>
      </c>
      <c r="Q109" s="1524">
        <f t="shared" si="36"/>
        <v>0</v>
      </c>
      <c r="R109" s="1524">
        <f t="shared" si="36"/>
        <v>0</v>
      </c>
      <c r="S109" s="1524">
        <f t="shared" si="36"/>
        <v>0</v>
      </c>
      <c r="T109" s="1524">
        <f t="shared" si="36"/>
        <v>0.4459879758464787</v>
      </c>
      <c r="U109" s="877">
        <f t="shared" si="32"/>
        <v>1</v>
      </c>
      <c r="V109" s="1524">
        <f t="shared" si="38"/>
        <v>0.29028184578274857</v>
      </c>
      <c r="W109" s="1524">
        <f t="shared" si="38"/>
        <v>0.30317187715157518</v>
      </c>
      <c r="X109" s="1524">
        <f t="shared" si="38"/>
        <v>8.2805443243048754E-2</v>
      </c>
      <c r="Y109" s="1524">
        <f t="shared" si="38"/>
        <v>0</v>
      </c>
      <c r="Z109" s="1524">
        <f t="shared" si="38"/>
        <v>0</v>
      </c>
      <c r="AA109" s="1524">
        <f t="shared" si="38"/>
        <v>0</v>
      </c>
      <c r="AB109" s="1524">
        <f t="shared" si="38"/>
        <v>0.32374083382262742</v>
      </c>
      <c r="AC109" s="877">
        <f t="shared" si="26"/>
        <v>0.99999999999999989</v>
      </c>
    </row>
    <row r="110" spans="1:29" s="352" customFormat="1">
      <c r="A110" s="868">
        <f t="shared" si="33"/>
        <v>2010</v>
      </c>
      <c r="B110" s="879">
        <v>49.87</v>
      </c>
      <c r="C110" s="879">
        <v>2740.8914987475191</v>
      </c>
      <c r="D110" s="1278">
        <f t="shared" si="37"/>
        <v>43912595.340982221</v>
      </c>
      <c r="E110" s="1262">
        <f t="shared" si="39"/>
        <v>43912595.340982221</v>
      </c>
      <c r="F110" s="869">
        <f t="shared" si="27"/>
        <v>0.71479999999999999</v>
      </c>
      <c r="G110" s="869">
        <f t="shared" si="28"/>
        <v>0.28959999999999997</v>
      </c>
      <c r="H110" s="870">
        <v>501</v>
      </c>
      <c r="I110" s="1537">
        <f t="shared" ref="I110:I116" si="41">($I$117-$I$109)/($A$117-$A$109)+I109</f>
        <v>559.42164173673609</v>
      </c>
      <c r="J110" s="1538">
        <f t="shared" si="22"/>
        <v>27.526054267727826</v>
      </c>
      <c r="K110" s="1539">
        <f t="shared" si="15"/>
        <v>27898.357273411028</v>
      </c>
      <c r="L110" s="1539">
        <f t="shared" si="40"/>
        <v>75445.928136478062</v>
      </c>
      <c r="M110" s="872">
        <f t="shared" si="16"/>
        <v>75445.928136478062</v>
      </c>
      <c r="N110" s="1523">
        <f t="shared" si="36"/>
        <v>0.19892488097366726</v>
      </c>
      <c r="O110" s="1523">
        <f t="shared" si="36"/>
        <v>0.26585903447659598</v>
      </c>
      <c r="P110" s="1523">
        <f t="shared" si="36"/>
        <v>8.9228108703258049E-2</v>
      </c>
      <c r="Q110" s="1523">
        <f t="shared" si="36"/>
        <v>0</v>
      </c>
      <c r="R110" s="1523">
        <f t="shared" si="36"/>
        <v>0</v>
      </c>
      <c r="S110" s="1523">
        <f t="shared" si="36"/>
        <v>0</v>
      </c>
      <c r="T110" s="1523">
        <f t="shared" si="36"/>
        <v>0.4459879758464787</v>
      </c>
      <c r="U110" s="873">
        <f t="shared" si="32"/>
        <v>1</v>
      </c>
      <c r="V110" s="1523">
        <f t="shared" si="38"/>
        <v>0.29028184578274857</v>
      </c>
      <c r="W110" s="1523">
        <f t="shared" si="38"/>
        <v>0.30317187715157518</v>
      </c>
      <c r="X110" s="1523">
        <f t="shared" si="38"/>
        <v>8.2805443243048754E-2</v>
      </c>
      <c r="Y110" s="1523">
        <f t="shared" si="38"/>
        <v>0</v>
      </c>
      <c r="Z110" s="1523">
        <f t="shared" si="38"/>
        <v>0</v>
      </c>
      <c r="AA110" s="1523">
        <f t="shared" si="38"/>
        <v>0</v>
      </c>
      <c r="AB110" s="1523">
        <f t="shared" si="38"/>
        <v>0.32374083382262742</v>
      </c>
      <c r="AC110" s="873">
        <f t="shared" si="26"/>
        <v>0.99999999999999989</v>
      </c>
    </row>
    <row r="111" spans="1:29">
      <c r="A111" s="868">
        <f t="shared" si="33"/>
        <v>2011</v>
      </c>
      <c r="B111" s="879">
        <v>51.771000000000001</v>
      </c>
      <c r="C111" s="879">
        <v>2830.9069841561718</v>
      </c>
      <c r="D111" s="1278">
        <f t="shared" si="37"/>
        <v>45354758.807496138</v>
      </c>
      <c r="E111" s="1262">
        <f t="shared" si="39"/>
        <v>45354758.807496138</v>
      </c>
      <c r="F111" s="874">
        <f t="shared" si="27"/>
        <v>0.71479999999999999</v>
      </c>
      <c r="G111" s="874">
        <f t="shared" si="28"/>
        <v>0.28959999999999997</v>
      </c>
      <c r="H111" s="875">
        <v>501</v>
      </c>
      <c r="I111" s="1540">
        <f t="shared" si="41"/>
        <v>540.11328347347217</v>
      </c>
      <c r="J111" s="1541">
        <f t="shared" si="22"/>
        <v>27.526054267727826</v>
      </c>
      <c r="K111" s="1542">
        <f>B111*I110</f>
        <v>28961.817814352566</v>
      </c>
      <c r="L111" s="1542">
        <f t="shared" si="40"/>
        <v>77923.699272772501</v>
      </c>
      <c r="M111" s="876">
        <f t="shared" si="16"/>
        <v>77923.699272772501</v>
      </c>
      <c r="N111" s="1524">
        <f t="shared" si="36"/>
        <v>0.19892488097366726</v>
      </c>
      <c r="O111" s="1524">
        <f t="shared" si="36"/>
        <v>0.26585903447659598</v>
      </c>
      <c r="P111" s="1524">
        <f t="shared" si="36"/>
        <v>8.9228108703258049E-2</v>
      </c>
      <c r="Q111" s="1524">
        <f t="shared" si="36"/>
        <v>0</v>
      </c>
      <c r="R111" s="1524">
        <f t="shared" si="36"/>
        <v>0</v>
      </c>
      <c r="S111" s="1524">
        <f t="shared" si="36"/>
        <v>0</v>
      </c>
      <c r="T111" s="1524">
        <f t="shared" si="36"/>
        <v>0.4459879758464787</v>
      </c>
      <c r="U111" s="877">
        <f t="shared" si="32"/>
        <v>1</v>
      </c>
      <c r="V111" s="1524">
        <f t="shared" si="38"/>
        <v>0.29028184578274857</v>
      </c>
      <c r="W111" s="1524">
        <f t="shared" si="38"/>
        <v>0.30317187715157518</v>
      </c>
      <c r="X111" s="1524">
        <f t="shared" si="38"/>
        <v>8.2805443243048754E-2</v>
      </c>
      <c r="Y111" s="1524">
        <f t="shared" si="38"/>
        <v>0</v>
      </c>
      <c r="Z111" s="1524">
        <f t="shared" si="38"/>
        <v>0</v>
      </c>
      <c r="AA111" s="1524">
        <f t="shared" si="38"/>
        <v>0</v>
      </c>
      <c r="AB111" s="1524">
        <f t="shared" si="38"/>
        <v>0.32374083382262742</v>
      </c>
      <c r="AC111" s="877">
        <f t="shared" si="26"/>
        <v>0.99999999999999989</v>
      </c>
    </row>
    <row r="112" spans="1:29">
      <c r="A112" s="868">
        <f t="shared" si="33"/>
        <v>2012</v>
      </c>
      <c r="B112" s="1369">
        <f>INDEX(Drivers!$A$8:$AM$8,1,$A112-2011)/1000</f>
        <v>52.325000000000003</v>
      </c>
      <c r="C112" s="1369">
        <f>INDEX(Drivers!$A$16:$AM$16,1,$A112-2011)</f>
        <v>2893.5800000000004</v>
      </c>
      <c r="D112" s="1278">
        <f t="shared" si="37"/>
        <v>46358860.861447066</v>
      </c>
      <c r="E112" s="1262">
        <f t="shared" si="39"/>
        <v>46358860.861447066</v>
      </c>
      <c r="F112" s="874">
        <f t="shared" si="27"/>
        <v>0.71479999999999999</v>
      </c>
      <c r="G112" s="874">
        <f t="shared" si="28"/>
        <v>0.28959999999999997</v>
      </c>
      <c r="H112" s="875">
        <v>501</v>
      </c>
      <c r="I112" s="1540">
        <f t="shared" si="41"/>
        <v>520.80492521020824</v>
      </c>
      <c r="J112" s="1541">
        <f t="shared" si="22"/>
        <v>27.526054267727826</v>
      </c>
      <c r="K112" s="1542">
        <f t="shared" ref="K112:K150" si="42">B112*I112</f>
        <v>27251.117711624149</v>
      </c>
      <c r="L112" s="1542">
        <f t="shared" si="40"/>
        <v>79648.840108011893</v>
      </c>
      <c r="M112" s="876">
        <f t="shared" si="16"/>
        <v>79648.840108011893</v>
      </c>
      <c r="N112" s="1524">
        <f t="shared" si="36"/>
        <v>0.19892488097366726</v>
      </c>
      <c r="O112" s="1524">
        <f t="shared" si="36"/>
        <v>0.26585903447659598</v>
      </c>
      <c r="P112" s="1524">
        <f t="shared" si="36"/>
        <v>8.9228108703258049E-2</v>
      </c>
      <c r="Q112" s="1524">
        <f t="shared" si="36"/>
        <v>0</v>
      </c>
      <c r="R112" s="1524">
        <f t="shared" si="36"/>
        <v>0</v>
      </c>
      <c r="S112" s="1524">
        <f t="shared" si="36"/>
        <v>0</v>
      </c>
      <c r="T112" s="1524">
        <f t="shared" si="36"/>
        <v>0.4459879758464787</v>
      </c>
      <c r="U112" s="877">
        <f t="shared" si="32"/>
        <v>1</v>
      </c>
      <c r="V112" s="1524">
        <f t="shared" si="38"/>
        <v>0.29028184578274857</v>
      </c>
      <c r="W112" s="1524">
        <f t="shared" si="38"/>
        <v>0.30317187715157518</v>
      </c>
      <c r="X112" s="1524">
        <f t="shared" si="38"/>
        <v>8.2805443243048754E-2</v>
      </c>
      <c r="Y112" s="1524">
        <f t="shared" si="38"/>
        <v>0</v>
      </c>
      <c r="Z112" s="1524">
        <f t="shared" si="38"/>
        <v>0</v>
      </c>
      <c r="AA112" s="1524">
        <f t="shared" si="38"/>
        <v>0</v>
      </c>
      <c r="AB112" s="1524">
        <f t="shared" si="38"/>
        <v>0.32374083382262742</v>
      </c>
      <c r="AC112" s="877">
        <f t="shared" si="26"/>
        <v>0.99999999999999989</v>
      </c>
    </row>
    <row r="113" spans="1:29">
      <c r="A113" s="868">
        <f t="shared" si="33"/>
        <v>2013</v>
      </c>
      <c r="B113" s="1369">
        <f>INDEX(Drivers!$A$8:$AM$8,1,$A113-2011)/1000</f>
        <v>53.103999999999999</v>
      </c>
      <c r="C113" s="1369">
        <f>INDEX(Drivers!$A$16:$AM$16,1,$A113-2011)</f>
        <v>2965.2699999999995</v>
      </c>
      <c r="D113" s="1278">
        <f t="shared" si="37"/>
        <v>47507426.560393393</v>
      </c>
      <c r="E113" s="1262">
        <f t="shared" si="39"/>
        <v>47507426.560393393</v>
      </c>
      <c r="F113" s="874">
        <f t="shared" si="27"/>
        <v>0.71479999999999999</v>
      </c>
      <c r="G113" s="874">
        <f t="shared" si="28"/>
        <v>0.28959999999999997</v>
      </c>
      <c r="H113" s="875">
        <v>501</v>
      </c>
      <c r="I113" s="1540">
        <f t="shared" si="41"/>
        <v>501.49656694694431</v>
      </c>
      <c r="J113" s="1541">
        <f t="shared" si="22"/>
        <v>27.526054267727826</v>
      </c>
      <c r="K113" s="1542">
        <f t="shared" si="42"/>
        <v>26631.473691150532</v>
      </c>
      <c r="L113" s="1542">
        <f t="shared" si="40"/>
        <v>81622.182938465281</v>
      </c>
      <c r="M113" s="876">
        <f t="shared" si="16"/>
        <v>81622.182938465281</v>
      </c>
      <c r="N113" s="1524">
        <f t="shared" si="36"/>
        <v>0.19892488097366726</v>
      </c>
      <c r="O113" s="1524">
        <f t="shared" si="36"/>
        <v>0.26585903447659598</v>
      </c>
      <c r="P113" s="1524">
        <f t="shared" si="36"/>
        <v>8.9228108703258049E-2</v>
      </c>
      <c r="Q113" s="1524">
        <f t="shared" si="36"/>
        <v>0</v>
      </c>
      <c r="R113" s="1524">
        <f t="shared" si="36"/>
        <v>0</v>
      </c>
      <c r="S113" s="1524">
        <f t="shared" si="36"/>
        <v>0</v>
      </c>
      <c r="T113" s="1524">
        <f t="shared" si="36"/>
        <v>0.4459879758464787</v>
      </c>
      <c r="U113" s="877">
        <f t="shared" si="32"/>
        <v>1</v>
      </c>
      <c r="V113" s="1524">
        <f t="shared" si="38"/>
        <v>0.29028184578274857</v>
      </c>
      <c r="W113" s="1524">
        <f t="shared" si="38"/>
        <v>0.30317187715157518</v>
      </c>
      <c r="X113" s="1524">
        <f t="shared" si="38"/>
        <v>8.2805443243048754E-2</v>
      </c>
      <c r="Y113" s="1524">
        <f t="shared" si="38"/>
        <v>0</v>
      </c>
      <c r="Z113" s="1524">
        <f t="shared" si="38"/>
        <v>0</v>
      </c>
      <c r="AA113" s="1524">
        <f t="shared" si="38"/>
        <v>0</v>
      </c>
      <c r="AB113" s="1524">
        <f t="shared" si="38"/>
        <v>0.32374083382262742</v>
      </c>
      <c r="AC113" s="877">
        <f t="shared" si="26"/>
        <v>0.99999999999999989</v>
      </c>
    </row>
    <row r="114" spans="1:29">
      <c r="A114" s="868">
        <f t="shared" si="33"/>
        <v>2014</v>
      </c>
      <c r="B114" s="1369">
        <f>INDEX(Drivers!$A$8:$AM$8,1,$A114-2011)/1000</f>
        <v>53.911999999999999</v>
      </c>
      <c r="C114" s="1369">
        <f>INDEX(Drivers!$A$16:$AM$16,1,$A114-2011)</f>
        <v>3020.9599999999996</v>
      </c>
      <c r="D114" s="1278">
        <f t="shared" si="37"/>
        <v>48399651.749043435</v>
      </c>
      <c r="E114" s="1262">
        <f t="shared" si="39"/>
        <v>48399651.749043435</v>
      </c>
      <c r="F114" s="874">
        <f t="shared" si="27"/>
        <v>0.71479999999999999</v>
      </c>
      <c r="G114" s="874">
        <f t="shared" si="28"/>
        <v>0.28959999999999997</v>
      </c>
      <c r="H114" s="875">
        <v>501</v>
      </c>
      <c r="I114" s="1540">
        <f t="shared" si="41"/>
        <v>482.18820868368039</v>
      </c>
      <c r="J114" s="1541">
        <f t="shared" si="22"/>
        <v>27.526054267727826</v>
      </c>
      <c r="K114" s="1542">
        <f t="shared" si="42"/>
        <v>25995.730706554576</v>
      </c>
      <c r="L114" s="1542">
        <f t="shared" si="40"/>
        <v>83155.108900635038</v>
      </c>
      <c r="M114" s="876">
        <f t="shared" ref="M114:M116" si="43">C114*J114*1000/1000</f>
        <v>83155.108900635038</v>
      </c>
      <c r="N114" s="1524">
        <f t="shared" si="36"/>
        <v>0.19892488097366726</v>
      </c>
      <c r="O114" s="1524">
        <f t="shared" si="36"/>
        <v>0.26585903447659598</v>
      </c>
      <c r="P114" s="1524">
        <f t="shared" si="36"/>
        <v>8.9228108703258049E-2</v>
      </c>
      <c r="Q114" s="1524">
        <f t="shared" si="36"/>
        <v>0</v>
      </c>
      <c r="R114" s="1524">
        <f t="shared" si="36"/>
        <v>0</v>
      </c>
      <c r="S114" s="1524">
        <f t="shared" si="36"/>
        <v>0</v>
      </c>
      <c r="T114" s="1524">
        <f t="shared" si="36"/>
        <v>0.4459879758464787</v>
      </c>
      <c r="U114" s="877">
        <f t="shared" ref="U114:U145" si="44">SUM(N114:T114)</f>
        <v>1</v>
      </c>
      <c r="V114" s="1524">
        <f t="shared" si="38"/>
        <v>0.29028184578274857</v>
      </c>
      <c r="W114" s="1524">
        <f t="shared" si="38"/>
        <v>0.30317187715157518</v>
      </c>
      <c r="X114" s="1524">
        <f t="shared" si="38"/>
        <v>8.2805443243048754E-2</v>
      </c>
      <c r="Y114" s="1524">
        <f t="shared" si="38"/>
        <v>0</v>
      </c>
      <c r="Z114" s="1524">
        <f t="shared" si="38"/>
        <v>0</v>
      </c>
      <c r="AA114" s="1524">
        <f t="shared" si="38"/>
        <v>0</v>
      </c>
      <c r="AB114" s="1524">
        <f t="shared" si="38"/>
        <v>0.32374083382262742</v>
      </c>
      <c r="AC114" s="877">
        <f t="shared" si="26"/>
        <v>0.99999999999999989</v>
      </c>
    </row>
    <row r="115" spans="1:29">
      <c r="A115" s="868">
        <f t="shared" ref="A115:A127" si="45">A114+1</f>
        <v>2015</v>
      </c>
      <c r="B115" s="1369">
        <f>INDEX(Drivers!$A$8:$AM$8,1,$A115-2011)/1000</f>
        <v>54.75</v>
      </c>
      <c r="C115" s="1369">
        <f>INDEX(Drivers!$A$16:$AM$16,1,$A115-2011)</f>
        <v>3059.45</v>
      </c>
      <c r="D115" s="1278">
        <f t="shared" si="37"/>
        <v>49016310.88912496</v>
      </c>
      <c r="E115" s="1262">
        <f t="shared" si="39"/>
        <v>49016310.88912496</v>
      </c>
      <c r="F115" s="874">
        <f t="shared" si="27"/>
        <v>0.71479999999999999</v>
      </c>
      <c r="G115" s="874">
        <f t="shared" si="28"/>
        <v>0.28959999999999997</v>
      </c>
      <c r="H115" s="875">
        <v>501</v>
      </c>
      <c r="I115" s="1540">
        <f t="shared" si="41"/>
        <v>462.87985042041646</v>
      </c>
      <c r="J115" s="1541">
        <f t="shared" ref="J115:J116" si="46">J114</f>
        <v>27.526054267727826</v>
      </c>
      <c r="K115" s="1542">
        <f t="shared" si="42"/>
        <v>25342.671810517801</v>
      </c>
      <c r="L115" s="1542">
        <f t="shared" si="40"/>
        <v>84214.586729399889</v>
      </c>
      <c r="M115" s="876">
        <f t="shared" si="43"/>
        <v>84214.586729399889</v>
      </c>
      <c r="N115" s="1524">
        <f t="shared" ref="N115:T130" si="47">N114</f>
        <v>0.19892488097366726</v>
      </c>
      <c r="O115" s="1524">
        <f t="shared" si="47"/>
        <v>0.26585903447659598</v>
      </c>
      <c r="P115" s="1524">
        <f t="shared" si="47"/>
        <v>8.9228108703258049E-2</v>
      </c>
      <c r="Q115" s="1524">
        <f t="shared" si="47"/>
        <v>0</v>
      </c>
      <c r="R115" s="1524">
        <f t="shared" si="47"/>
        <v>0</v>
      </c>
      <c r="S115" s="1524">
        <f t="shared" si="47"/>
        <v>0</v>
      </c>
      <c r="T115" s="1524">
        <f t="shared" si="47"/>
        <v>0.4459879758464787</v>
      </c>
      <c r="U115" s="877">
        <f t="shared" si="44"/>
        <v>1</v>
      </c>
      <c r="V115" s="1524">
        <f t="shared" si="38"/>
        <v>0.29028184578274857</v>
      </c>
      <c r="W115" s="1524">
        <f t="shared" si="38"/>
        <v>0.30317187715157518</v>
      </c>
      <c r="X115" s="1524">
        <f t="shared" si="38"/>
        <v>8.2805443243048754E-2</v>
      </c>
      <c r="Y115" s="1524">
        <f t="shared" si="38"/>
        <v>0</v>
      </c>
      <c r="Z115" s="1524">
        <f t="shared" si="38"/>
        <v>0</v>
      </c>
      <c r="AA115" s="1524">
        <f t="shared" si="38"/>
        <v>0</v>
      </c>
      <c r="AB115" s="1524">
        <f t="shared" si="38"/>
        <v>0.32374083382262742</v>
      </c>
      <c r="AC115" s="877">
        <f t="shared" ref="AC115:AC150" si="48">SUM(V115:AB115)</f>
        <v>0.99999999999999989</v>
      </c>
    </row>
    <row r="116" spans="1:29">
      <c r="A116" s="868">
        <f t="shared" si="45"/>
        <v>2016</v>
      </c>
      <c r="B116" s="1369">
        <f>INDEX(Drivers!$A$8:$AM$8,1,$A116-2011)/1000</f>
        <v>55.62</v>
      </c>
      <c r="C116" s="1369">
        <f>INDEX(Drivers!$A$16:$AM$16,1,$A116-2011)</f>
        <v>3083.9199999999996</v>
      </c>
      <c r="D116" s="1278">
        <f>D117/C117*C116</f>
        <v>49408351.657059349</v>
      </c>
      <c r="E116" s="1262">
        <f t="shared" si="39"/>
        <v>49408351.657059349</v>
      </c>
      <c r="F116" s="874">
        <f t="shared" ref="F116:F117" si="49">F115</f>
        <v>0.71479999999999999</v>
      </c>
      <c r="G116" s="874">
        <f t="shared" ref="G116:G117" si="50">G115</f>
        <v>0.28959999999999997</v>
      </c>
      <c r="H116" s="875">
        <v>501</v>
      </c>
      <c r="I116" s="1540">
        <f t="shared" si="41"/>
        <v>443.57149215715253</v>
      </c>
      <c r="J116" s="1541">
        <f t="shared" si="46"/>
        <v>27.526054267727826</v>
      </c>
      <c r="K116" s="1542">
        <f t="shared" si="42"/>
        <v>24671.446393780821</v>
      </c>
      <c r="L116" s="1542">
        <f t="shared" si="40"/>
        <v>84888.149277331191</v>
      </c>
      <c r="M116" s="876">
        <f t="shared" si="43"/>
        <v>84888.149277331191</v>
      </c>
      <c r="N116" s="1524">
        <f t="shared" si="47"/>
        <v>0.19892488097366726</v>
      </c>
      <c r="O116" s="1524">
        <f t="shared" si="47"/>
        <v>0.26585903447659598</v>
      </c>
      <c r="P116" s="1524">
        <f t="shared" si="47"/>
        <v>8.9228108703258049E-2</v>
      </c>
      <c r="Q116" s="1524">
        <f t="shared" si="47"/>
        <v>0</v>
      </c>
      <c r="R116" s="1524">
        <f t="shared" si="47"/>
        <v>0</v>
      </c>
      <c r="S116" s="1524">
        <f t="shared" si="47"/>
        <v>0</v>
      </c>
      <c r="T116" s="1524">
        <f t="shared" si="47"/>
        <v>0.4459879758464787</v>
      </c>
      <c r="U116" s="877">
        <f t="shared" si="44"/>
        <v>1</v>
      </c>
      <c r="V116" s="1524">
        <f t="shared" ref="V116:AB131" si="51">V115</f>
        <v>0.29028184578274857</v>
      </c>
      <c r="W116" s="1524">
        <f t="shared" si="51"/>
        <v>0.30317187715157518</v>
      </c>
      <c r="X116" s="1524">
        <f t="shared" si="51"/>
        <v>8.2805443243048754E-2</v>
      </c>
      <c r="Y116" s="1524">
        <f t="shared" si="51"/>
        <v>0</v>
      </c>
      <c r="Z116" s="1524">
        <f t="shared" si="51"/>
        <v>0</v>
      </c>
      <c r="AA116" s="1524">
        <f t="shared" si="51"/>
        <v>0</v>
      </c>
      <c r="AB116" s="1524">
        <f t="shared" si="51"/>
        <v>0.32374083382262742</v>
      </c>
      <c r="AC116" s="877">
        <f t="shared" si="48"/>
        <v>0.99999999999999989</v>
      </c>
    </row>
    <row r="117" spans="1:29">
      <c r="A117" s="868">
        <f>A116+1</f>
        <v>2017</v>
      </c>
      <c r="B117" s="1369">
        <f>INDEX(Drivers!$A$8:$AM$8,1,$A117-2011)/1000</f>
        <v>56.521999999999998</v>
      </c>
      <c r="C117" s="1369">
        <f>INDEX(Drivers!$A$16:$AM$16,1,$A117-2011)</f>
        <v>3120.54</v>
      </c>
      <c r="D117" s="871">
        <f>'Waste Summary 2017 SASOW'!J10+'Waste Summary 2017 SASOW'!J13</f>
        <v>49995051</v>
      </c>
      <c r="E117" s="1262">
        <f t="shared" si="39"/>
        <v>49995051</v>
      </c>
      <c r="F117" s="869">
        <f t="shared" si="49"/>
        <v>0.71479999999999999</v>
      </c>
      <c r="G117" s="869">
        <f t="shared" si="50"/>
        <v>0.28959999999999997</v>
      </c>
      <c r="H117" s="870">
        <v>501</v>
      </c>
      <c r="I117" s="1537">
        <f>C4</f>
        <v>424.26313389388866</v>
      </c>
      <c r="J117" s="1543">
        <f>$C$6</f>
        <v>11.504772374209397</v>
      </c>
      <c r="K117" s="1539">
        <f t="shared" si="42"/>
        <v>23980.200853950373</v>
      </c>
      <c r="L117" s="1539">
        <f>C117*J117*1000/1000+D117/1000</f>
        <v>85896.153384615391</v>
      </c>
      <c r="M117" s="872">
        <f>C117*J117*1000/1000+E117/1000</f>
        <v>85896.153384615391</v>
      </c>
      <c r="N117" s="1523">
        <f t="shared" si="47"/>
        <v>0.19892488097366726</v>
      </c>
      <c r="O117" s="1523">
        <f t="shared" si="47"/>
        <v>0.26585903447659598</v>
      </c>
      <c r="P117" s="1523">
        <f t="shared" si="47"/>
        <v>8.9228108703258049E-2</v>
      </c>
      <c r="Q117" s="1523">
        <f t="shared" si="47"/>
        <v>0</v>
      </c>
      <c r="R117" s="1523">
        <f t="shared" si="47"/>
        <v>0</v>
      </c>
      <c r="S117" s="1523">
        <f t="shared" si="47"/>
        <v>0</v>
      </c>
      <c r="T117" s="1523">
        <f t="shared" si="47"/>
        <v>0.4459879758464787</v>
      </c>
      <c r="U117" s="873">
        <f t="shared" si="44"/>
        <v>1</v>
      </c>
      <c r="V117" s="1523">
        <f t="shared" si="51"/>
        <v>0.29028184578274857</v>
      </c>
      <c r="W117" s="1523">
        <f t="shared" si="51"/>
        <v>0.30317187715157518</v>
      </c>
      <c r="X117" s="1523">
        <f t="shared" si="51"/>
        <v>8.2805443243048754E-2</v>
      </c>
      <c r="Y117" s="1523">
        <f t="shared" si="51"/>
        <v>0</v>
      </c>
      <c r="Z117" s="1523">
        <f t="shared" si="51"/>
        <v>0</v>
      </c>
      <c r="AA117" s="1523">
        <f t="shared" si="51"/>
        <v>0</v>
      </c>
      <c r="AB117" s="1523">
        <f t="shared" si="51"/>
        <v>0.32374083382262742</v>
      </c>
      <c r="AC117" s="873">
        <f t="shared" si="48"/>
        <v>0.99999999999999989</v>
      </c>
    </row>
    <row r="118" spans="1:29">
      <c r="A118" s="187">
        <f t="shared" si="45"/>
        <v>2018</v>
      </c>
      <c r="B118" s="1369">
        <f>INDEX(Drivers!$A$8:$AM$8,1,$A118-2011)/1000</f>
        <v>57.436</v>
      </c>
      <c r="C118" s="1369">
        <f>INDEX(Drivers!$A$16:$AM$16,1,$A118-2011)</f>
        <v>3152.24</v>
      </c>
      <c r="D118" s="1368">
        <f>INDEX(Drivers!$A$25:$AM$25,1,$A118-2011)/INDEX(Drivers!$A$25:$AM$25,1,$A118-2012)*D117</f>
        <v>50172070.130067617</v>
      </c>
      <c r="E118" s="883">
        <f>D118</f>
        <v>50172070.130067617</v>
      </c>
      <c r="F118" s="1297"/>
      <c r="G118" s="1297"/>
      <c r="H118" s="1298"/>
      <c r="I118" s="1533">
        <f t="shared" ref="I118:I150" si="52">I117</f>
        <v>424.26313389388866</v>
      </c>
      <c r="J118" s="1534">
        <f>$C$6</f>
        <v>11.504772374209397</v>
      </c>
      <c r="K118" s="1535">
        <f>B118*I118</f>
        <v>24367.97735832939</v>
      </c>
      <c r="L118" s="1535">
        <f t="shared" ref="L118:L150" si="53">C118*J118*1000/1000+D118/1000</f>
        <v>86437.873798945438</v>
      </c>
      <c r="M118" s="1536">
        <f t="shared" ref="M118:M150" si="54">C118*J118*1000/1000+E118/1000</f>
        <v>86437.873798945438</v>
      </c>
      <c r="N118" s="1482">
        <f t="shared" si="47"/>
        <v>0.19892488097366726</v>
      </c>
      <c r="O118" s="1482">
        <f t="shared" si="47"/>
        <v>0.26585903447659598</v>
      </c>
      <c r="P118" s="1482">
        <f t="shared" si="47"/>
        <v>8.9228108703258049E-2</v>
      </c>
      <c r="Q118" s="1482">
        <f t="shared" si="47"/>
        <v>0</v>
      </c>
      <c r="R118" s="1482">
        <f t="shared" si="47"/>
        <v>0</v>
      </c>
      <c r="S118" s="1482">
        <f t="shared" si="47"/>
        <v>0</v>
      </c>
      <c r="T118" s="1482">
        <f t="shared" si="47"/>
        <v>0.4459879758464787</v>
      </c>
      <c r="U118" s="1521">
        <f t="shared" si="44"/>
        <v>1</v>
      </c>
      <c r="V118" s="1522">
        <f t="shared" si="51"/>
        <v>0.29028184578274857</v>
      </c>
      <c r="W118" s="1482">
        <f t="shared" si="51"/>
        <v>0.30317187715157518</v>
      </c>
      <c r="X118" s="1482">
        <f t="shared" si="51"/>
        <v>8.2805443243048754E-2</v>
      </c>
      <c r="Y118" s="1482">
        <f t="shared" si="51"/>
        <v>0</v>
      </c>
      <c r="Z118" s="1482">
        <f t="shared" si="51"/>
        <v>0</v>
      </c>
      <c r="AA118" s="1482">
        <f t="shared" si="51"/>
        <v>0</v>
      </c>
      <c r="AB118" s="1482">
        <f t="shared" si="51"/>
        <v>0.32374083382262742</v>
      </c>
      <c r="AC118" s="1521">
        <f t="shared" si="48"/>
        <v>0.99999999999999989</v>
      </c>
    </row>
    <row r="119" spans="1:29">
      <c r="A119" s="187">
        <f t="shared" si="45"/>
        <v>2019</v>
      </c>
      <c r="B119" s="1369">
        <f>INDEX(Drivers!$A$8:$AM$8,1,$A119-2011)/1000</f>
        <v>58.365000000000002</v>
      </c>
      <c r="C119" s="1369">
        <f>INDEX(Drivers!$A$16:$AM$16,1,$A119-2011)</f>
        <v>3179.2899999999995</v>
      </c>
      <c r="D119" s="1368">
        <f>INDEX(Drivers!$A$25:$AM$25,1,$A119-2011)/INDEX(Drivers!$A$25:$AM$25,1,$A119-2012)*D118</f>
        <v>49847473.41597119</v>
      </c>
      <c r="E119" s="883">
        <f>E118</f>
        <v>50172070.130067617</v>
      </c>
      <c r="F119" s="1299"/>
      <c r="G119" s="1299"/>
      <c r="H119" s="1300"/>
      <c r="I119" s="1533">
        <f t="shared" si="52"/>
        <v>424.26313389388866</v>
      </c>
      <c r="J119" s="1534">
        <f t="shared" ref="J119:J150" si="55">$C$6</f>
        <v>11.504772374209397</v>
      </c>
      <c r="K119" s="1535">
        <f t="shared" si="42"/>
        <v>24762.117809716812</v>
      </c>
      <c r="L119" s="1535">
        <f t="shared" si="53"/>
        <v>86424.481177571375</v>
      </c>
      <c r="M119" s="1536">
        <f t="shared" si="54"/>
        <v>86749.07789166781</v>
      </c>
      <c r="N119" s="1482">
        <f t="shared" si="47"/>
        <v>0.19892488097366726</v>
      </c>
      <c r="O119" s="1482">
        <f t="shared" si="47"/>
        <v>0.26585903447659598</v>
      </c>
      <c r="P119" s="1482">
        <f t="shared" si="47"/>
        <v>8.9228108703258049E-2</v>
      </c>
      <c r="Q119" s="1482">
        <f t="shared" si="47"/>
        <v>0</v>
      </c>
      <c r="R119" s="1482">
        <f t="shared" si="47"/>
        <v>0</v>
      </c>
      <c r="S119" s="1482">
        <f t="shared" si="47"/>
        <v>0</v>
      </c>
      <c r="T119" s="1482">
        <f t="shared" si="47"/>
        <v>0.4459879758464787</v>
      </c>
      <c r="U119" s="1521">
        <f t="shared" si="44"/>
        <v>1</v>
      </c>
      <c r="V119" s="1522">
        <f t="shared" si="51"/>
        <v>0.29028184578274857</v>
      </c>
      <c r="W119" s="1482">
        <f t="shared" si="51"/>
        <v>0.30317187715157518</v>
      </c>
      <c r="X119" s="1482">
        <f t="shared" si="51"/>
        <v>8.2805443243048754E-2</v>
      </c>
      <c r="Y119" s="1482">
        <f t="shared" si="51"/>
        <v>0</v>
      </c>
      <c r="Z119" s="1482">
        <f t="shared" si="51"/>
        <v>0</v>
      </c>
      <c r="AA119" s="1482">
        <f t="shared" si="51"/>
        <v>0</v>
      </c>
      <c r="AB119" s="1482">
        <f t="shared" si="51"/>
        <v>0.32374083382262742</v>
      </c>
      <c r="AC119" s="1521">
        <f t="shared" si="48"/>
        <v>0.99999999999999989</v>
      </c>
    </row>
    <row r="120" spans="1:29">
      <c r="A120" s="187">
        <f t="shared" si="45"/>
        <v>2020</v>
      </c>
      <c r="B120" s="1369">
        <f>INDEX(Drivers!$A$8:$AM$8,1,$A120-2011)/1000</f>
        <v>59.308999999999997</v>
      </c>
      <c r="C120" s="1369">
        <f>INDEX(Drivers!$A$16:$AM$16,1,$A120-2011)</f>
        <v>2948.9199999999987</v>
      </c>
      <c r="D120" s="1368">
        <f>INDEX(Drivers!$A$25:$AM$25,1,$A120-2011)/INDEX(Drivers!$A$25:$AM$25,1,$A120-2012)*D119</f>
        <v>47586944.933914557</v>
      </c>
      <c r="E120" s="883">
        <f t="shared" ref="E120:E150" si="56">E119</f>
        <v>50172070.130067617</v>
      </c>
      <c r="F120" s="1299"/>
      <c r="G120" s="1299"/>
      <c r="H120" s="1300"/>
      <c r="I120" s="1533">
        <f t="shared" si="52"/>
        <v>424.26313389388866</v>
      </c>
      <c r="J120" s="1534">
        <f t="shared" si="55"/>
        <v>11.504772374209397</v>
      </c>
      <c r="K120" s="1535">
        <f t="shared" si="42"/>
        <v>25162.622208112643</v>
      </c>
      <c r="L120" s="1535">
        <f t="shared" si="53"/>
        <v>81513.598283668107</v>
      </c>
      <c r="M120" s="1536">
        <f t="shared" si="54"/>
        <v>84098.723479821172</v>
      </c>
      <c r="N120" s="1482">
        <f t="shared" si="47"/>
        <v>0.19892488097366726</v>
      </c>
      <c r="O120" s="1482">
        <f t="shared" si="47"/>
        <v>0.26585903447659598</v>
      </c>
      <c r="P120" s="1482">
        <f t="shared" si="47"/>
        <v>8.9228108703258049E-2</v>
      </c>
      <c r="Q120" s="1482">
        <f t="shared" si="47"/>
        <v>0</v>
      </c>
      <c r="R120" s="1482">
        <f t="shared" si="47"/>
        <v>0</v>
      </c>
      <c r="S120" s="1482">
        <f t="shared" si="47"/>
        <v>0</v>
      </c>
      <c r="T120" s="1482">
        <f t="shared" si="47"/>
        <v>0.4459879758464787</v>
      </c>
      <c r="U120" s="1521">
        <f t="shared" si="44"/>
        <v>1</v>
      </c>
      <c r="V120" s="1522">
        <f t="shared" si="51"/>
        <v>0.29028184578274857</v>
      </c>
      <c r="W120" s="1482">
        <f t="shared" si="51"/>
        <v>0.30317187715157518</v>
      </c>
      <c r="X120" s="1482">
        <f t="shared" si="51"/>
        <v>8.2805443243048754E-2</v>
      </c>
      <c r="Y120" s="1482">
        <f t="shared" si="51"/>
        <v>0</v>
      </c>
      <c r="Z120" s="1482">
        <f t="shared" si="51"/>
        <v>0</v>
      </c>
      <c r="AA120" s="1482">
        <f t="shared" si="51"/>
        <v>0</v>
      </c>
      <c r="AB120" s="1482">
        <f t="shared" si="51"/>
        <v>0.32374083382262742</v>
      </c>
      <c r="AC120" s="1521">
        <f t="shared" si="48"/>
        <v>0.99999999999999989</v>
      </c>
    </row>
    <row r="121" spans="1:29">
      <c r="A121" s="187">
        <f t="shared" si="45"/>
        <v>2021</v>
      </c>
      <c r="B121" s="1369">
        <f>INDEX(Drivers!$A$8:$AM$8,1,$A121-2011)/1000</f>
        <v>59.991999999999997</v>
      </c>
      <c r="C121" s="1369">
        <f>INDEX(Drivers!$A$16:$AM$16,1,$A121-2011)</f>
        <v>3014.38</v>
      </c>
      <c r="D121" s="1368">
        <f>INDEX(Drivers!$A$25:$AM$25,1,$A121-2011)/INDEX(Drivers!$A$25:$AM$25,1,$A121-2012)*D120</f>
        <v>47328556.831579238</v>
      </c>
      <c r="E121" s="883">
        <f t="shared" si="56"/>
        <v>50172070.130067617</v>
      </c>
      <c r="F121" s="1299"/>
      <c r="G121" s="1299"/>
      <c r="H121" s="1300"/>
      <c r="I121" s="1533">
        <f t="shared" si="52"/>
        <v>424.26313389388866</v>
      </c>
      <c r="J121" s="1534">
        <f t="shared" si="55"/>
        <v>11.504772374209397</v>
      </c>
      <c r="K121" s="1535">
        <f t="shared" si="42"/>
        <v>25452.393928562167</v>
      </c>
      <c r="L121" s="1535">
        <f t="shared" si="53"/>
        <v>82008.312580948565</v>
      </c>
      <c r="M121" s="1536">
        <f t="shared" si="54"/>
        <v>84851.825879436947</v>
      </c>
      <c r="N121" s="1482">
        <f t="shared" si="47"/>
        <v>0.19892488097366726</v>
      </c>
      <c r="O121" s="1482">
        <f t="shared" si="47"/>
        <v>0.26585903447659598</v>
      </c>
      <c r="P121" s="1482">
        <f t="shared" si="47"/>
        <v>8.9228108703258049E-2</v>
      </c>
      <c r="Q121" s="1482">
        <f t="shared" si="47"/>
        <v>0</v>
      </c>
      <c r="R121" s="1482">
        <f t="shared" si="47"/>
        <v>0</v>
      </c>
      <c r="S121" s="1482">
        <f t="shared" si="47"/>
        <v>0</v>
      </c>
      <c r="T121" s="1482">
        <f t="shared" si="47"/>
        <v>0.4459879758464787</v>
      </c>
      <c r="U121" s="1521">
        <f t="shared" si="44"/>
        <v>1</v>
      </c>
      <c r="V121" s="1522">
        <f t="shared" si="51"/>
        <v>0.29028184578274857</v>
      </c>
      <c r="W121" s="1482">
        <f t="shared" si="51"/>
        <v>0.30317187715157518</v>
      </c>
      <c r="X121" s="1482">
        <f t="shared" si="51"/>
        <v>8.2805443243048754E-2</v>
      </c>
      <c r="Y121" s="1482">
        <f t="shared" si="51"/>
        <v>0</v>
      </c>
      <c r="Z121" s="1482">
        <f t="shared" si="51"/>
        <v>0</v>
      </c>
      <c r="AA121" s="1482">
        <f t="shared" si="51"/>
        <v>0</v>
      </c>
      <c r="AB121" s="1482">
        <f t="shared" si="51"/>
        <v>0.32374083382262742</v>
      </c>
      <c r="AC121" s="1521">
        <f t="shared" si="48"/>
        <v>0.99999999999999989</v>
      </c>
    </row>
    <row r="122" spans="1:29">
      <c r="A122" s="187">
        <f t="shared" si="45"/>
        <v>2022</v>
      </c>
      <c r="B122" s="1369">
        <f>INDEX(Drivers!$A$8:$AM$8,1,$A122-2011)/1000</f>
        <v>60.682000000000002</v>
      </c>
      <c r="C122" s="1369">
        <f>INDEX(Drivers!$A$16:$AM$16,1,$A122-2011)</f>
        <v>3077.2</v>
      </c>
      <c r="D122" s="1368">
        <f>INDEX(Drivers!$A$25:$AM$25,1,$A122-2011)/INDEX(Drivers!$A$25:$AM$25,1,$A122-2012)*D121</f>
        <v>45903210.392984279</v>
      </c>
      <c r="E122" s="883">
        <f t="shared" si="56"/>
        <v>50172070.130067617</v>
      </c>
      <c r="F122" s="1299"/>
      <c r="G122" s="1299"/>
      <c r="H122" s="1300"/>
      <c r="I122" s="1533">
        <f t="shared" si="52"/>
        <v>424.26313389388866</v>
      </c>
      <c r="J122" s="1534">
        <f t="shared" si="55"/>
        <v>11.504772374209397</v>
      </c>
      <c r="K122" s="1535">
        <f t="shared" si="42"/>
        <v>25745.135490948953</v>
      </c>
      <c r="L122" s="1535">
        <f t="shared" si="53"/>
        <v>81305.695942901424</v>
      </c>
      <c r="M122" s="1536">
        <f t="shared" si="54"/>
        <v>85574.555679984769</v>
      </c>
      <c r="N122" s="1482">
        <f t="shared" si="47"/>
        <v>0.19892488097366726</v>
      </c>
      <c r="O122" s="1482">
        <f t="shared" si="47"/>
        <v>0.26585903447659598</v>
      </c>
      <c r="P122" s="1482">
        <f t="shared" si="47"/>
        <v>8.9228108703258049E-2</v>
      </c>
      <c r="Q122" s="1482">
        <f t="shared" si="47"/>
        <v>0</v>
      </c>
      <c r="R122" s="1482">
        <f t="shared" si="47"/>
        <v>0</v>
      </c>
      <c r="S122" s="1482">
        <f t="shared" si="47"/>
        <v>0</v>
      </c>
      <c r="T122" s="1482">
        <f t="shared" si="47"/>
        <v>0.4459879758464787</v>
      </c>
      <c r="U122" s="1521">
        <f t="shared" si="44"/>
        <v>1</v>
      </c>
      <c r="V122" s="1522">
        <f t="shared" si="51"/>
        <v>0.29028184578274857</v>
      </c>
      <c r="W122" s="1482">
        <f t="shared" si="51"/>
        <v>0.30317187715157518</v>
      </c>
      <c r="X122" s="1482">
        <f t="shared" si="51"/>
        <v>8.2805443243048754E-2</v>
      </c>
      <c r="Y122" s="1482">
        <f t="shared" si="51"/>
        <v>0</v>
      </c>
      <c r="Z122" s="1482">
        <f t="shared" si="51"/>
        <v>0</v>
      </c>
      <c r="AA122" s="1482">
        <f t="shared" si="51"/>
        <v>0</v>
      </c>
      <c r="AB122" s="1482">
        <f t="shared" si="51"/>
        <v>0.32374083382262742</v>
      </c>
      <c r="AC122" s="1521">
        <f t="shared" si="48"/>
        <v>0.99999999999999989</v>
      </c>
    </row>
    <row r="123" spans="1:29">
      <c r="A123" s="187">
        <f t="shared" si="45"/>
        <v>2023</v>
      </c>
      <c r="B123" s="1369">
        <f>INDEX(Drivers!$A$8:$AM$8,1,$A123-2011)/1000</f>
        <v>61.381</v>
      </c>
      <c r="C123" s="1369">
        <f>INDEX(Drivers!$A$16:$AM$16,1,$A123-2011)</f>
        <v>3140.61</v>
      </c>
      <c r="D123" s="1368">
        <f>INDEX(Drivers!$A$25:$AM$25,1,$A123-2011)/INDEX(Drivers!$A$25:$AM$25,1,$A123-2012)*D122</f>
        <v>44745286.877069645</v>
      </c>
      <c r="E123" s="883">
        <f t="shared" si="56"/>
        <v>50172070.130067617</v>
      </c>
      <c r="F123" s="1299"/>
      <c r="G123" s="1299"/>
      <c r="H123" s="1300"/>
      <c r="I123" s="1533">
        <f t="shared" si="52"/>
        <v>424.26313389388866</v>
      </c>
      <c r="J123" s="1534">
        <f t="shared" si="55"/>
        <v>11.504772374209397</v>
      </c>
      <c r="K123" s="1535">
        <f t="shared" si="42"/>
        <v>26041.695421540779</v>
      </c>
      <c r="L123" s="1535">
        <f t="shared" si="53"/>
        <v>80877.290043235422</v>
      </c>
      <c r="M123" s="1536">
        <f t="shared" si="54"/>
        <v>86304.0732962334</v>
      </c>
      <c r="N123" s="1482">
        <f t="shared" si="47"/>
        <v>0.19892488097366726</v>
      </c>
      <c r="O123" s="1482">
        <f t="shared" si="47"/>
        <v>0.26585903447659598</v>
      </c>
      <c r="P123" s="1482">
        <f t="shared" si="47"/>
        <v>8.9228108703258049E-2</v>
      </c>
      <c r="Q123" s="1482">
        <f t="shared" si="47"/>
        <v>0</v>
      </c>
      <c r="R123" s="1482">
        <f t="shared" si="47"/>
        <v>0</v>
      </c>
      <c r="S123" s="1482">
        <f t="shared" si="47"/>
        <v>0</v>
      </c>
      <c r="T123" s="1482">
        <f t="shared" si="47"/>
        <v>0.4459879758464787</v>
      </c>
      <c r="U123" s="1521">
        <f t="shared" si="44"/>
        <v>1</v>
      </c>
      <c r="V123" s="1522">
        <f t="shared" si="51"/>
        <v>0.29028184578274857</v>
      </c>
      <c r="W123" s="1482">
        <f t="shared" si="51"/>
        <v>0.30317187715157518</v>
      </c>
      <c r="X123" s="1482">
        <f t="shared" si="51"/>
        <v>8.2805443243048754E-2</v>
      </c>
      <c r="Y123" s="1482">
        <f t="shared" si="51"/>
        <v>0</v>
      </c>
      <c r="Z123" s="1482">
        <f t="shared" si="51"/>
        <v>0</v>
      </c>
      <c r="AA123" s="1482">
        <f t="shared" si="51"/>
        <v>0</v>
      </c>
      <c r="AB123" s="1482">
        <f t="shared" si="51"/>
        <v>0.32374083382262742</v>
      </c>
      <c r="AC123" s="1521">
        <f t="shared" si="48"/>
        <v>0.99999999999999989</v>
      </c>
    </row>
    <row r="124" spans="1:29">
      <c r="A124" s="187">
        <f t="shared" si="45"/>
        <v>2024</v>
      </c>
      <c r="B124" s="1369">
        <f>INDEX(Drivers!$A$8:$AM$8,1,$A124-2011)/1000</f>
        <v>62.088000000000001</v>
      </c>
      <c r="C124" s="1369">
        <f>INDEX(Drivers!$A$16:$AM$16,1,$A124-2011)</f>
        <v>3201.77</v>
      </c>
      <c r="D124" s="1368">
        <f>INDEX(Drivers!$A$25:$AM$25,1,$A124-2011)/INDEX(Drivers!$A$25:$AM$25,1,$A124-2012)*D123</f>
        <v>43251251.992583826</v>
      </c>
      <c r="E124" s="883">
        <f t="shared" si="56"/>
        <v>50172070.130067617</v>
      </c>
      <c r="F124" s="1299"/>
      <c r="G124" s="1299"/>
      <c r="H124" s="1300"/>
      <c r="I124" s="1533">
        <f t="shared" si="52"/>
        <v>424.26313389388866</v>
      </c>
      <c r="J124" s="1534">
        <f t="shared" si="55"/>
        <v>11.504772374209397</v>
      </c>
      <c r="K124" s="1535">
        <f t="shared" si="42"/>
        <v>26341.649457203759</v>
      </c>
      <c r="L124" s="1535">
        <f t="shared" si="53"/>
        <v>80086.887037156252</v>
      </c>
      <c r="M124" s="1536">
        <f t="shared" si="54"/>
        <v>87007.705174640039</v>
      </c>
      <c r="N124" s="1482">
        <f t="shared" si="47"/>
        <v>0.19892488097366726</v>
      </c>
      <c r="O124" s="1482">
        <f t="shared" si="47"/>
        <v>0.26585903447659598</v>
      </c>
      <c r="P124" s="1482">
        <f t="shared" si="47"/>
        <v>8.9228108703258049E-2</v>
      </c>
      <c r="Q124" s="1482">
        <f t="shared" si="47"/>
        <v>0</v>
      </c>
      <c r="R124" s="1482">
        <f t="shared" si="47"/>
        <v>0</v>
      </c>
      <c r="S124" s="1482">
        <f t="shared" si="47"/>
        <v>0</v>
      </c>
      <c r="T124" s="1482">
        <f t="shared" si="47"/>
        <v>0.4459879758464787</v>
      </c>
      <c r="U124" s="1521">
        <f t="shared" si="44"/>
        <v>1</v>
      </c>
      <c r="V124" s="1522">
        <f t="shared" si="51"/>
        <v>0.29028184578274857</v>
      </c>
      <c r="W124" s="1482">
        <f t="shared" si="51"/>
        <v>0.30317187715157518</v>
      </c>
      <c r="X124" s="1482">
        <f t="shared" si="51"/>
        <v>8.2805443243048754E-2</v>
      </c>
      <c r="Y124" s="1482">
        <f t="shared" si="51"/>
        <v>0</v>
      </c>
      <c r="Z124" s="1482">
        <f t="shared" si="51"/>
        <v>0</v>
      </c>
      <c r="AA124" s="1482">
        <f t="shared" si="51"/>
        <v>0</v>
      </c>
      <c r="AB124" s="1482">
        <f t="shared" si="51"/>
        <v>0.32374083382262742</v>
      </c>
      <c r="AC124" s="1521">
        <f t="shared" si="48"/>
        <v>0.99999999999999989</v>
      </c>
    </row>
    <row r="125" spans="1:29">
      <c r="A125" s="187">
        <f t="shared" si="45"/>
        <v>2025</v>
      </c>
      <c r="B125" s="1369">
        <f>INDEX(Drivers!$A$8:$AM$8,1,$A125-2011)/1000</f>
        <v>62.802999999999997</v>
      </c>
      <c r="C125" s="1369">
        <f>INDEX(Drivers!$A$16:$AM$16,1,$A125-2011)</f>
        <v>3265.54</v>
      </c>
      <c r="D125" s="1368">
        <f>INDEX(Drivers!$A$25:$AM$25,1,$A125-2011)/INDEX(Drivers!$A$25:$AM$25,1,$A125-2012)*D124</f>
        <v>40955103.194912732</v>
      </c>
      <c r="E125" s="883">
        <f t="shared" si="56"/>
        <v>50172070.130067617</v>
      </c>
      <c r="F125" s="1299"/>
      <c r="G125" s="1299"/>
      <c r="H125" s="1300"/>
      <c r="I125" s="1533">
        <f t="shared" si="52"/>
        <v>424.26313389388866</v>
      </c>
      <c r="J125" s="1534">
        <f t="shared" si="55"/>
        <v>11.504772374209397</v>
      </c>
      <c r="K125" s="1535">
        <f t="shared" si="42"/>
        <v>26644.997597937887</v>
      </c>
      <c r="L125" s="1535">
        <f t="shared" si="53"/>
        <v>78524.397573788476</v>
      </c>
      <c r="M125" s="1536">
        <f t="shared" si="54"/>
        <v>87741.36450894337</v>
      </c>
      <c r="N125" s="1482">
        <f t="shared" si="47"/>
        <v>0.19892488097366726</v>
      </c>
      <c r="O125" s="1482">
        <f t="shared" si="47"/>
        <v>0.26585903447659598</v>
      </c>
      <c r="P125" s="1482">
        <f t="shared" si="47"/>
        <v>8.9228108703258049E-2</v>
      </c>
      <c r="Q125" s="1482">
        <f t="shared" si="47"/>
        <v>0</v>
      </c>
      <c r="R125" s="1482">
        <f t="shared" si="47"/>
        <v>0</v>
      </c>
      <c r="S125" s="1482">
        <f t="shared" si="47"/>
        <v>0</v>
      </c>
      <c r="T125" s="1482">
        <f t="shared" si="47"/>
        <v>0.4459879758464787</v>
      </c>
      <c r="U125" s="1521">
        <f t="shared" si="44"/>
        <v>1</v>
      </c>
      <c r="V125" s="1522">
        <f t="shared" si="51"/>
        <v>0.29028184578274857</v>
      </c>
      <c r="W125" s="1482">
        <f t="shared" si="51"/>
        <v>0.30317187715157518</v>
      </c>
      <c r="X125" s="1482">
        <f t="shared" si="51"/>
        <v>8.2805443243048754E-2</v>
      </c>
      <c r="Y125" s="1482">
        <f t="shared" si="51"/>
        <v>0</v>
      </c>
      <c r="Z125" s="1482">
        <f t="shared" si="51"/>
        <v>0</v>
      </c>
      <c r="AA125" s="1482">
        <f t="shared" si="51"/>
        <v>0</v>
      </c>
      <c r="AB125" s="1482">
        <f t="shared" si="51"/>
        <v>0.32374083382262742</v>
      </c>
      <c r="AC125" s="1521">
        <f t="shared" si="48"/>
        <v>0.99999999999999989</v>
      </c>
    </row>
    <row r="126" spans="1:29">
      <c r="A126" s="187">
        <f t="shared" si="45"/>
        <v>2026</v>
      </c>
      <c r="B126" s="1369">
        <f>INDEX(Drivers!$A$8:$AM$8,1,$A126-2011)/1000</f>
        <v>63.420999999999999</v>
      </c>
      <c r="C126" s="1369">
        <f>INDEX(Drivers!$A$16:$AM$16,1,$A126-2011)</f>
        <v>3341.28</v>
      </c>
      <c r="D126" s="1368">
        <f>INDEX(Drivers!$A$25:$AM$25,1,$A126-2011)/INDEX(Drivers!$A$25:$AM$25,1,$A126-2012)*D125</f>
        <v>39969673.998818383</v>
      </c>
      <c r="E126" s="883">
        <f t="shared" si="56"/>
        <v>50172070.130067617</v>
      </c>
      <c r="F126" s="1299"/>
      <c r="G126" s="1299"/>
      <c r="H126" s="1300"/>
      <c r="I126" s="1533">
        <f t="shared" si="52"/>
        <v>424.26313389388866</v>
      </c>
      <c r="J126" s="1534">
        <f t="shared" si="55"/>
        <v>11.504772374209397</v>
      </c>
      <c r="K126" s="1535">
        <f t="shared" si="42"/>
        <v>26907.192214684314</v>
      </c>
      <c r="L126" s="1535">
        <f t="shared" si="53"/>
        <v>78410.339837316758</v>
      </c>
      <c r="M126" s="1536">
        <f t="shared" si="54"/>
        <v>88612.73596856599</v>
      </c>
      <c r="N126" s="1482">
        <f t="shared" si="47"/>
        <v>0.19892488097366726</v>
      </c>
      <c r="O126" s="1482">
        <f t="shared" si="47"/>
        <v>0.26585903447659598</v>
      </c>
      <c r="P126" s="1482">
        <f t="shared" si="47"/>
        <v>8.9228108703258049E-2</v>
      </c>
      <c r="Q126" s="1482">
        <f t="shared" si="47"/>
        <v>0</v>
      </c>
      <c r="R126" s="1482">
        <f t="shared" si="47"/>
        <v>0</v>
      </c>
      <c r="S126" s="1482">
        <f t="shared" si="47"/>
        <v>0</v>
      </c>
      <c r="T126" s="1482">
        <f t="shared" si="47"/>
        <v>0.4459879758464787</v>
      </c>
      <c r="U126" s="1521">
        <f t="shared" si="44"/>
        <v>1</v>
      </c>
      <c r="V126" s="1522">
        <f t="shared" si="51"/>
        <v>0.29028184578274857</v>
      </c>
      <c r="W126" s="1482">
        <f t="shared" si="51"/>
        <v>0.30317187715157518</v>
      </c>
      <c r="X126" s="1482">
        <f t="shared" si="51"/>
        <v>8.2805443243048754E-2</v>
      </c>
      <c r="Y126" s="1482">
        <f t="shared" si="51"/>
        <v>0</v>
      </c>
      <c r="Z126" s="1482">
        <f t="shared" si="51"/>
        <v>0</v>
      </c>
      <c r="AA126" s="1482">
        <f t="shared" si="51"/>
        <v>0</v>
      </c>
      <c r="AB126" s="1482">
        <f t="shared" si="51"/>
        <v>0.32374083382262742</v>
      </c>
      <c r="AC126" s="1521">
        <f t="shared" si="48"/>
        <v>0.99999999999999989</v>
      </c>
    </row>
    <row r="127" spans="1:29">
      <c r="A127" s="187">
        <f t="shared" si="45"/>
        <v>2027</v>
      </c>
      <c r="B127" s="1369">
        <f>INDEX(Drivers!$A$8:$AM$8,1,$A127-2011)/1000</f>
        <v>64.046000000000006</v>
      </c>
      <c r="C127" s="1369">
        <f>INDEX(Drivers!$A$16:$AM$16,1,$A127-2011)</f>
        <v>3416.2799999999997</v>
      </c>
      <c r="D127" s="1368">
        <f>INDEX(Drivers!$A$25:$AM$25,1,$A127-2011)/INDEX(Drivers!$A$25:$AM$25,1,$A127-2012)*D126</f>
        <v>38984244.802724026</v>
      </c>
      <c r="E127" s="883">
        <f t="shared" si="56"/>
        <v>50172070.130067617</v>
      </c>
      <c r="F127" s="1299"/>
      <c r="G127" s="1299"/>
      <c r="H127" s="1300"/>
      <c r="I127" s="1533">
        <f t="shared" si="52"/>
        <v>424.26313389388866</v>
      </c>
      <c r="J127" s="1534">
        <f t="shared" si="55"/>
        <v>11.504772374209397</v>
      </c>
      <c r="K127" s="1535">
        <f t="shared" si="42"/>
        <v>27172.356673367995</v>
      </c>
      <c r="L127" s="1535">
        <f t="shared" si="53"/>
        <v>78287.768569288106</v>
      </c>
      <c r="M127" s="1536">
        <f t="shared" si="54"/>
        <v>89475.59389663169</v>
      </c>
      <c r="N127" s="1482">
        <f t="shared" si="47"/>
        <v>0.19892488097366726</v>
      </c>
      <c r="O127" s="1482">
        <f t="shared" si="47"/>
        <v>0.26585903447659598</v>
      </c>
      <c r="P127" s="1482">
        <f t="shared" si="47"/>
        <v>8.9228108703258049E-2</v>
      </c>
      <c r="Q127" s="1482">
        <f t="shared" si="47"/>
        <v>0</v>
      </c>
      <c r="R127" s="1482">
        <f t="shared" si="47"/>
        <v>0</v>
      </c>
      <c r="S127" s="1482">
        <f t="shared" si="47"/>
        <v>0</v>
      </c>
      <c r="T127" s="1482">
        <f t="shared" si="47"/>
        <v>0.4459879758464787</v>
      </c>
      <c r="U127" s="1521">
        <f t="shared" si="44"/>
        <v>1</v>
      </c>
      <c r="V127" s="1522">
        <f t="shared" si="51"/>
        <v>0.29028184578274857</v>
      </c>
      <c r="W127" s="1482">
        <f t="shared" si="51"/>
        <v>0.30317187715157518</v>
      </c>
      <c r="X127" s="1482">
        <f t="shared" si="51"/>
        <v>8.2805443243048754E-2</v>
      </c>
      <c r="Y127" s="1482">
        <f t="shared" si="51"/>
        <v>0</v>
      </c>
      <c r="Z127" s="1482">
        <f t="shared" si="51"/>
        <v>0</v>
      </c>
      <c r="AA127" s="1482">
        <f t="shared" si="51"/>
        <v>0</v>
      </c>
      <c r="AB127" s="1482">
        <f t="shared" si="51"/>
        <v>0.32374083382262742</v>
      </c>
      <c r="AC127" s="1521">
        <f t="shared" si="48"/>
        <v>0.99999999999999989</v>
      </c>
    </row>
    <row r="128" spans="1:29">
      <c r="A128" s="187">
        <f t="shared" ref="A128:A150" si="57">A127+1</f>
        <v>2028</v>
      </c>
      <c r="B128" s="1369">
        <f>INDEX(Drivers!$A$8:$AM$8,1,$A128-2011)/1000</f>
        <v>64.676000000000002</v>
      </c>
      <c r="C128" s="1369">
        <f>INDEX(Drivers!$A$16:$AM$16,1,$A128-2011)</f>
        <v>3494.8800000000006</v>
      </c>
      <c r="D128" s="1368">
        <f>INDEX(Drivers!$A$25:$AM$25,1,$A128-2011)/INDEX(Drivers!$A$25:$AM$25,1,$A128-2012)*D127</f>
        <v>37998815.60662967</v>
      </c>
      <c r="E128" s="883">
        <f t="shared" si="56"/>
        <v>50172070.130067617</v>
      </c>
      <c r="F128" s="1299"/>
      <c r="G128" s="1299"/>
      <c r="H128" s="1300"/>
      <c r="I128" s="1533">
        <f t="shared" si="52"/>
        <v>424.26313389388866</v>
      </c>
      <c r="J128" s="1534">
        <f t="shared" si="55"/>
        <v>11.504772374209397</v>
      </c>
      <c r="K128" s="1535">
        <f t="shared" si="42"/>
        <v>27439.642447721144</v>
      </c>
      <c r="L128" s="1535">
        <f t="shared" si="53"/>
        <v>78206.61448180661</v>
      </c>
      <c r="M128" s="1536">
        <f t="shared" si="54"/>
        <v>90379.86900524456</v>
      </c>
      <c r="N128" s="1482">
        <f t="shared" si="47"/>
        <v>0.19892488097366726</v>
      </c>
      <c r="O128" s="1482">
        <f t="shared" si="47"/>
        <v>0.26585903447659598</v>
      </c>
      <c r="P128" s="1482">
        <f t="shared" si="47"/>
        <v>8.9228108703258049E-2</v>
      </c>
      <c r="Q128" s="1482">
        <f t="shared" si="47"/>
        <v>0</v>
      </c>
      <c r="R128" s="1482">
        <f t="shared" si="47"/>
        <v>0</v>
      </c>
      <c r="S128" s="1482">
        <f t="shared" si="47"/>
        <v>0</v>
      </c>
      <c r="T128" s="1482">
        <f t="shared" si="47"/>
        <v>0.4459879758464787</v>
      </c>
      <c r="U128" s="1521">
        <f t="shared" si="44"/>
        <v>1</v>
      </c>
      <c r="V128" s="1522">
        <f t="shared" si="51"/>
        <v>0.29028184578274857</v>
      </c>
      <c r="W128" s="1482">
        <f t="shared" si="51"/>
        <v>0.30317187715157518</v>
      </c>
      <c r="X128" s="1482">
        <f t="shared" si="51"/>
        <v>8.2805443243048754E-2</v>
      </c>
      <c r="Y128" s="1482">
        <f t="shared" si="51"/>
        <v>0</v>
      </c>
      <c r="Z128" s="1482">
        <f t="shared" si="51"/>
        <v>0</v>
      </c>
      <c r="AA128" s="1482">
        <f t="shared" si="51"/>
        <v>0</v>
      </c>
      <c r="AB128" s="1482">
        <f t="shared" si="51"/>
        <v>0.32374083382262742</v>
      </c>
      <c r="AC128" s="1521">
        <f t="shared" si="48"/>
        <v>0.99999999999999989</v>
      </c>
    </row>
    <row r="129" spans="1:29">
      <c r="A129" s="187">
        <f t="shared" si="57"/>
        <v>2029</v>
      </c>
      <c r="B129" s="1369">
        <f>INDEX(Drivers!$A$8:$AM$8,1,$A129-2011)/1000</f>
        <v>65.313000000000002</v>
      </c>
      <c r="C129" s="1369">
        <f>INDEX(Drivers!$A$16:$AM$16,1,$A129-2011)</f>
        <v>3576.08</v>
      </c>
      <c r="D129" s="1368">
        <f>INDEX(Drivers!$A$25:$AM$25,1,$A129-2011)/INDEX(Drivers!$A$25:$AM$25,1,$A129-2012)*D128</f>
        <v>37013386.410535313</v>
      </c>
      <c r="E129" s="883">
        <f t="shared" si="56"/>
        <v>50172070.130067617</v>
      </c>
      <c r="F129" s="1299"/>
      <c r="G129" s="1299"/>
      <c r="H129" s="1300"/>
      <c r="I129" s="1533">
        <f t="shared" si="52"/>
        <v>424.26313389388866</v>
      </c>
      <c r="J129" s="1534">
        <f t="shared" si="55"/>
        <v>11.504772374209397</v>
      </c>
      <c r="K129" s="1535">
        <f t="shared" si="42"/>
        <v>27709.898064011551</v>
      </c>
      <c r="L129" s="1535">
        <f t="shared" si="53"/>
        <v>78155.372802498052</v>
      </c>
      <c r="M129" s="1536">
        <f t="shared" si="54"/>
        <v>91314.056522030354</v>
      </c>
      <c r="N129" s="1482">
        <f t="shared" si="47"/>
        <v>0.19892488097366726</v>
      </c>
      <c r="O129" s="1482">
        <f t="shared" si="47"/>
        <v>0.26585903447659598</v>
      </c>
      <c r="P129" s="1482">
        <f t="shared" si="47"/>
        <v>8.9228108703258049E-2</v>
      </c>
      <c r="Q129" s="1482">
        <f t="shared" si="47"/>
        <v>0</v>
      </c>
      <c r="R129" s="1482">
        <f t="shared" si="47"/>
        <v>0</v>
      </c>
      <c r="S129" s="1482">
        <f t="shared" si="47"/>
        <v>0</v>
      </c>
      <c r="T129" s="1482">
        <f t="shared" si="47"/>
        <v>0.4459879758464787</v>
      </c>
      <c r="U129" s="1521">
        <f t="shared" si="44"/>
        <v>1</v>
      </c>
      <c r="V129" s="1522">
        <f t="shared" si="51"/>
        <v>0.29028184578274857</v>
      </c>
      <c r="W129" s="1482">
        <f t="shared" si="51"/>
        <v>0.30317187715157518</v>
      </c>
      <c r="X129" s="1482">
        <f t="shared" si="51"/>
        <v>8.2805443243048754E-2</v>
      </c>
      <c r="Y129" s="1482">
        <f t="shared" si="51"/>
        <v>0</v>
      </c>
      <c r="Z129" s="1482">
        <f t="shared" si="51"/>
        <v>0</v>
      </c>
      <c r="AA129" s="1482">
        <f t="shared" si="51"/>
        <v>0</v>
      </c>
      <c r="AB129" s="1482">
        <f t="shared" si="51"/>
        <v>0.32374083382262742</v>
      </c>
      <c r="AC129" s="1521">
        <f t="shared" si="48"/>
        <v>0.99999999999999989</v>
      </c>
    </row>
    <row r="130" spans="1:29">
      <c r="A130" s="187">
        <f t="shared" si="57"/>
        <v>2030</v>
      </c>
      <c r="B130" s="1369">
        <f>INDEX(Drivers!$A$8:$AM$8,1,$A130-2011)/1000</f>
        <v>65.956000000000003</v>
      </c>
      <c r="C130" s="1369">
        <f>INDEX(Drivers!$A$16:$AM$16,1,$A130-2011)</f>
        <v>3660.12</v>
      </c>
      <c r="D130" s="1368">
        <f>INDEX(Drivers!$A$25:$AM$25,1,$A130-2011)/INDEX(Drivers!$A$25:$AM$25,1,$A130-2012)*D129</f>
        <v>36027957.214440949</v>
      </c>
      <c r="E130" s="883">
        <f t="shared" si="56"/>
        <v>50172070.130067617</v>
      </c>
      <c r="F130" s="1299"/>
      <c r="G130" s="1299"/>
      <c r="H130" s="1300"/>
      <c r="I130" s="1533">
        <f t="shared" si="52"/>
        <v>424.26313389388866</v>
      </c>
      <c r="J130" s="1534">
        <f t="shared" si="55"/>
        <v>11.504772374209397</v>
      </c>
      <c r="K130" s="1535">
        <f t="shared" si="42"/>
        <v>27982.69925910532</v>
      </c>
      <c r="L130" s="1535">
        <f t="shared" si="53"/>
        <v>78136.804676732252</v>
      </c>
      <c r="M130" s="1536">
        <f t="shared" si="54"/>
        <v>92280.917592358921</v>
      </c>
      <c r="N130" s="1482">
        <f t="shared" si="47"/>
        <v>0.19892488097366726</v>
      </c>
      <c r="O130" s="1482">
        <f t="shared" si="47"/>
        <v>0.26585903447659598</v>
      </c>
      <c r="P130" s="1482">
        <f t="shared" si="47"/>
        <v>8.9228108703258049E-2</v>
      </c>
      <c r="Q130" s="1482">
        <f t="shared" si="47"/>
        <v>0</v>
      </c>
      <c r="R130" s="1482">
        <f t="shared" si="47"/>
        <v>0</v>
      </c>
      <c r="S130" s="1482">
        <f t="shared" si="47"/>
        <v>0</v>
      </c>
      <c r="T130" s="1482">
        <f t="shared" si="47"/>
        <v>0.4459879758464787</v>
      </c>
      <c r="U130" s="1521">
        <f t="shared" si="44"/>
        <v>1</v>
      </c>
      <c r="V130" s="1522">
        <f t="shared" si="51"/>
        <v>0.29028184578274857</v>
      </c>
      <c r="W130" s="1482">
        <f t="shared" si="51"/>
        <v>0.30317187715157518</v>
      </c>
      <c r="X130" s="1482">
        <f t="shared" si="51"/>
        <v>8.2805443243048754E-2</v>
      </c>
      <c r="Y130" s="1482">
        <f t="shared" si="51"/>
        <v>0</v>
      </c>
      <c r="Z130" s="1482">
        <f t="shared" si="51"/>
        <v>0</v>
      </c>
      <c r="AA130" s="1482">
        <f t="shared" si="51"/>
        <v>0</v>
      </c>
      <c r="AB130" s="1482">
        <f t="shared" si="51"/>
        <v>0.32374083382262742</v>
      </c>
      <c r="AC130" s="1521">
        <f t="shared" si="48"/>
        <v>0.99999999999999989</v>
      </c>
    </row>
    <row r="131" spans="1:29">
      <c r="A131" s="187">
        <f t="shared" si="57"/>
        <v>2031</v>
      </c>
      <c r="B131" s="1369">
        <f>INDEX(Drivers!$A$8:$AM$8,1,$A131-2011)/1000</f>
        <v>66.519000000000005</v>
      </c>
      <c r="C131" s="1369">
        <f>INDEX(Drivers!$A$16:$AM$16,1,$A131-2011)</f>
        <v>3761.03</v>
      </c>
      <c r="D131" s="1368">
        <f>INDEX(Drivers!$A$25:$AM$25,1,$A131-2011)/INDEX(Drivers!$A$25:$AM$25,1,$A131-2012)*D130</f>
        <v>35846430.699385166</v>
      </c>
      <c r="E131" s="883">
        <f t="shared" si="56"/>
        <v>50172070.130067617</v>
      </c>
      <c r="F131" s="1299"/>
      <c r="G131" s="1299"/>
      <c r="H131" s="1300"/>
      <c r="I131" s="1533">
        <f t="shared" si="52"/>
        <v>424.26313389388866</v>
      </c>
      <c r="J131" s="1534">
        <f t="shared" si="55"/>
        <v>11.504772374209397</v>
      </c>
      <c r="K131" s="1535">
        <f t="shared" si="42"/>
        <v>28221.559403487583</v>
      </c>
      <c r="L131" s="1535">
        <f t="shared" si="53"/>
        <v>79116.224741957936</v>
      </c>
      <c r="M131" s="1536">
        <f t="shared" si="54"/>
        <v>93441.864172640388</v>
      </c>
      <c r="N131" s="1482">
        <f t="shared" ref="N131:T146" si="58">N130</f>
        <v>0.19892488097366726</v>
      </c>
      <c r="O131" s="1482">
        <f t="shared" si="58"/>
        <v>0.26585903447659598</v>
      </c>
      <c r="P131" s="1482">
        <f t="shared" si="58"/>
        <v>8.9228108703258049E-2</v>
      </c>
      <c r="Q131" s="1482">
        <f t="shared" si="58"/>
        <v>0</v>
      </c>
      <c r="R131" s="1482">
        <f t="shared" si="58"/>
        <v>0</v>
      </c>
      <c r="S131" s="1482">
        <f t="shared" si="58"/>
        <v>0</v>
      </c>
      <c r="T131" s="1482">
        <f t="shared" si="58"/>
        <v>0.4459879758464787</v>
      </c>
      <c r="U131" s="1521">
        <f t="shared" si="44"/>
        <v>1</v>
      </c>
      <c r="V131" s="1522">
        <f t="shared" si="51"/>
        <v>0.29028184578274857</v>
      </c>
      <c r="W131" s="1482">
        <f t="shared" si="51"/>
        <v>0.30317187715157518</v>
      </c>
      <c r="X131" s="1482">
        <f t="shared" si="51"/>
        <v>8.2805443243048754E-2</v>
      </c>
      <c r="Y131" s="1482">
        <f t="shared" si="51"/>
        <v>0</v>
      </c>
      <c r="Z131" s="1482">
        <f t="shared" si="51"/>
        <v>0</v>
      </c>
      <c r="AA131" s="1482">
        <f t="shared" si="51"/>
        <v>0</v>
      </c>
      <c r="AB131" s="1482">
        <f t="shared" si="51"/>
        <v>0.32374083382262742</v>
      </c>
      <c r="AC131" s="1521">
        <f t="shared" si="48"/>
        <v>0.99999999999999989</v>
      </c>
    </row>
    <row r="132" spans="1:29">
      <c r="A132" s="187">
        <f t="shared" si="57"/>
        <v>2032</v>
      </c>
      <c r="B132" s="1369">
        <f>INDEX(Drivers!$A$8:$AM$8,1,$A132-2011)/1000</f>
        <v>67.087000000000003</v>
      </c>
      <c r="C132" s="1369">
        <f>INDEX(Drivers!$A$16:$AM$16,1,$A132-2011)</f>
        <v>3857.2</v>
      </c>
      <c r="D132" s="1368">
        <f>INDEX(Drivers!$A$25:$AM$25,1,$A132-2011)/INDEX(Drivers!$A$25:$AM$25,1,$A132-2012)*D131</f>
        <v>35664904.184329376</v>
      </c>
      <c r="E132" s="883">
        <f t="shared" si="56"/>
        <v>50172070.130067617</v>
      </c>
      <c r="F132" s="1299"/>
      <c r="G132" s="1299"/>
      <c r="H132" s="1300"/>
      <c r="I132" s="1533">
        <f t="shared" si="52"/>
        <v>424.26313389388866</v>
      </c>
      <c r="J132" s="1534">
        <f t="shared" si="55"/>
        <v>11.504772374209397</v>
      </c>
      <c r="K132" s="1535">
        <f t="shared" si="42"/>
        <v>28462.540863539311</v>
      </c>
      <c r="L132" s="1535">
        <f t="shared" si="53"/>
        <v>80041.11218612986</v>
      </c>
      <c r="M132" s="1536">
        <f t="shared" si="54"/>
        <v>94548.278131868108</v>
      </c>
      <c r="N132" s="1482">
        <f t="shared" si="58"/>
        <v>0.19892488097366726</v>
      </c>
      <c r="O132" s="1482">
        <f t="shared" si="58"/>
        <v>0.26585903447659598</v>
      </c>
      <c r="P132" s="1482">
        <f t="shared" si="58"/>
        <v>8.9228108703258049E-2</v>
      </c>
      <c r="Q132" s="1482">
        <f t="shared" si="58"/>
        <v>0</v>
      </c>
      <c r="R132" s="1482">
        <f t="shared" si="58"/>
        <v>0</v>
      </c>
      <c r="S132" s="1482">
        <f t="shared" si="58"/>
        <v>0</v>
      </c>
      <c r="T132" s="1482">
        <f t="shared" si="58"/>
        <v>0.4459879758464787</v>
      </c>
      <c r="U132" s="1521">
        <f t="shared" si="44"/>
        <v>1</v>
      </c>
      <c r="V132" s="1522">
        <f t="shared" ref="V132:AB147" si="59">V131</f>
        <v>0.29028184578274857</v>
      </c>
      <c r="W132" s="1482">
        <f t="shared" si="59"/>
        <v>0.30317187715157518</v>
      </c>
      <c r="X132" s="1482">
        <f t="shared" si="59"/>
        <v>8.2805443243048754E-2</v>
      </c>
      <c r="Y132" s="1482">
        <f t="shared" si="59"/>
        <v>0</v>
      </c>
      <c r="Z132" s="1482">
        <f t="shared" si="59"/>
        <v>0</v>
      </c>
      <c r="AA132" s="1482">
        <f t="shared" si="59"/>
        <v>0</v>
      </c>
      <c r="AB132" s="1482">
        <f t="shared" si="59"/>
        <v>0.32374083382262742</v>
      </c>
      <c r="AC132" s="1521">
        <f t="shared" si="48"/>
        <v>0.99999999999999989</v>
      </c>
    </row>
    <row r="133" spans="1:29">
      <c r="A133" s="187">
        <f t="shared" si="57"/>
        <v>2033</v>
      </c>
      <c r="B133" s="1369">
        <f>INDEX(Drivers!$A$8:$AM$8,1,$A133-2011)/1000</f>
        <v>67.659000000000006</v>
      </c>
      <c r="C133" s="1369">
        <f>INDEX(Drivers!$A$16:$AM$16,1,$A133-2011)</f>
        <v>3964.01</v>
      </c>
      <c r="D133" s="1368">
        <f>INDEX(Drivers!$A$25:$AM$25,1,$A133-2011)/INDEX(Drivers!$A$25:$AM$25,1,$A133-2012)*D132</f>
        <v>35483377.6692736</v>
      </c>
      <c r="E133" s="883">
        <f t="shared" si="56"/>
        <v>50172070.130067617</v>
      </c>
      <c r="F133" s="1299"/>
      <c r="G133" s="1299"/>
      <c r="H133" s="1300"/>
      <c r="I133" s="1533">
        <f t="shared" si="52"/>
        <v>424.26313389388866</v>
      </c>
      <c r="J133" s="1534">
        <f t="shared" si="55"/>
        <v>11.504772374209397</v>
      </c>
      <c r="K133" s="1535">
        <f t="shared" si="42"/>
        <v>28705.219376126617</v>
      </c>
      <c r="L133" s="1535">
        <f t="shared" si="53"/>
        <v>81088.410408363387</v>
      </c>
      <c r="M133" s="1536">
        <f t="shared" si="54"/>
        <v>95777.102869157417</v>
      </c>
      <c r="N133" s="1482">
        <f t="shared" si="58"/>
        <v>0.19892488097366726</v>
      </c>
      <c r="O133" s="1482">
        <f t="shared" si="58"/>
        <v>0.26585903447659598</v>
      </c>
      <c r="P133" s="1482">
        <f t="shared" si="58"/>
        <v>8.9228108703258049E-2</v>
      </c>
      <c r="Q133" s="1482">
        <f t="shared" si="58"/>
        <v>0</v>
      </c>
      <c r="R133" s="1482">
        <f t="shared" si="58"/>
        <v>0</v>
      </c>
      <c r="S133" s="1482">
        <f t="shared" si="58"/>
        <v>0</v>
      </c>
      <c r="T133" s="1482">
        <f t="shared" si="58"/>
        <v>0.4459879758464787</v>
      </c>
      <c r="U133" s="1521">
        <f t="shared" si="44"/>
        <v>1</v>
      </c>
      <c r="V133" s="1522">
        <f t="shared" si="59"/>
        <v>0.29028184578274857</v>
      </c>
      <c r="W133" s="1482">
        <f t="shared" si="59"/>
        <v>0.30317187715157518</v>
      </c>
      <c r="X133" s="1482">
        <f t="shared" si="59"/>
        <v>8.2805443243048754E-2</v>
      </c>
      <c r="Y133" s="1482">
        <f t="shared" si="59"/>
        <v>0</v>
      </c>
      <c r="Z133" s="1482">
        <f t="shared" si="59"/>
        <v>0</v>
      </c>
      <c r="AA133" s="1482">
        <f t="shared" si="59"/>
        <v>0</v>
      </c>
      <c r="AB133" s="1482">
        <f t="shared" si="59"/>
        <v>0.32374083382262742</v>
      </c>
      <c r="AC133" s="1521">
        <f t="shared" si="48"/>
        <v>0.99999999999999989</v>
      </c>
    </row>
    <row r="134" spans="1:29">
      <c r="A134" s="187">
        <f t="shared" si="57"/>
        <v>2034</v>
      </c>
      <c r="B134" s="1369">
        <f>INDEX(Drivers!$A$8:$AM$8,1,$A134-2011)/1000</f>
        <v>68.236999999999995</v>
      </c>
      <c r="C134" s="1369">
        <f>INDEX(Drivers!$A$16:$AM$16,1,$A134-2011)</f>
        <v>4078.22</v>
      </c>
      <c r="D134" s="1368">
        <f>INDEX(Drivers!$A$25:$AM$25,1,$A134-2011)/INDEX(Drivers!$A$25:$AM$25,1,$A134-2012)*D133</f>
        <v>35301851.154217809</v>
      </c>
      <c r="E134" s="883">
        <f t="shared" si="56"/>
        <v>50172070.130067617</v>
      </c>
      <c r="F134" s="1299"/>
      <c r="G134" s="1299"/>
      <c r="H134" s="1300"/>
      <c r="I134" s="1533">
        <f t="shared" si="52"/>
        <v>424.26313389388866</v>
      </c>
      <c r="J134" s="1534">
        <f t="shared" si="55"/>
        <v>11.504772374209397</v>
      </c>
      <c r="K134" s="1535">
        <f t="shared" si="42"/>
        <v>28950.443467517278</v>
      </c>
      <c r="L134" s="1535">
        <f t="shared" si="53"/>
        <v>82220.843946166045</v>
      </c>
      <c r="M134" s="1536">
        <f t="shared" si="54"/>
        <v>97091.062922015859</v>
      </c>
      <c r="N134" s="1482">
        <f t="shared" si="58"/>
        <v>0.19892488097366726</v>
      </c>
      <c r="O134" s="1482">
        <f t="shared" si="58"/>
        <v>0.26585903447659598</v>
      </c>
      <c r="P134" s="1482">
        <f t="shared" si="58"/>
        <v>8.9228108703258049E-2</v>
      </c>
      <c r="Q134" s="1482">
        <f t="shared" si="58"/>
        <v>0</v>
      </c>
      <c r="R134" s="1482">
        <f t="shared" si="58"/>
        <v>0</v>
      </c>
      <c r="S134" s="1482">
        <f t="shared" si="58"/>
        <v>0</v>
      </c>
      <c r="T134" s="1482">
        <f t="shared" si="58"/>
        <v>0.4459879758464787</v>
      </c>
      <c r="U134" s="1521">
        <f t="shared" si="44"/>
        <v>1</v>
      </c>
      <c r="V134" s="1522">
        <f t="shared" si="59"/>
        <v>0.29028184578274857</v>
      </c>
      <c r="W134" s="1482">
        <f t="shared" si="59"/>
        <v>0.30317187715157518</v>
      </c>
      <c r="X134" s="1482">
        <f t="shared" si="59"/>
        <v>8.2805443243048754E-2</v>
      </c>
      <c r="Y134" s="1482">
        <f t="shared" si="59"/>
        <v>0</v>
      </c>
      <c r="Z134" s="1482">
        <f t="shared" si="59"/>
        <v>0</v>
      </c>
      <c r="AA134" s="1482">
        <f t="shared" si="59"/>
        <v>0</v>
      </c>
      <c r="AB134" s="1482">
        <f t="shared" si="59"/>
        <v>0.32374083382262742</v>
      </c>
      <c r="AC134" s="1521">
        <f t="shared" si="48"/>
        <v>0.99999999999999989</v>
      </c>
    </row>
    <row r="135" spans="1:29">
      <c r="A135" s="187">
        <f t="shared" si="57"/>
        <v>2035</v>
      </c>
      <c r="B135" s="1369">
        <f>INDEX(Drivers!$A$8:$AM$8,1,$A135-2011)/1000</f>
        <v>68.819000000000003</v>
      </c>
      <c r="C135" s="1369">
        <f>INDEX(Drivers!$A$16:$AM$16,1,$A135-2011)</f>
        <v>4200.2899999999991</v>
      </c>
      <c r="D135" s="1368">
        <f>INDEX(Drivers!$A$25:$AM$25,1,$A135-2011)/INDEX(Drivers!$A$25:$AM$25,1,$A135-2012)*D134</f>
        <v>35120324.639162026</v>
      </c>
      <c r="E135" s="883">
        <f t="shared" si="56"/>
        <v>50172070.130067617</v>
      </c>
      <c r="F135" s="1299"/>
      <c r="G135" s="1299"/>
      <c r="H135" s="1300"/>
      <c r="I135" s="1533">
        <f t="shared" si="52"/>
        <v>424.26313389388866</v>
      </c>
      <c r="J135" s="1534">
        <f t="shared" si="55"/>
        <v>11.504772374209397</v>
      </c>
      <c r="K135" s="1535">
        <f t="shared" si="42"/>
        <v>29197.364611443525</v>
      </c>
      <c r="L135" s="1535">
        <f t="shared" si="53"/>
        <v>83443.704994830012</v>
      </c>
      <c r="M135" s="1536">
        <f t="shared" si="54"/>
        <v>98495.450485735593</v>
      </c>
      <c r="N135" s="1482">
        <f t="shared" si="58"/>
        <v>0.19892488097366726</v>
      </c>
      <c r="O135" s="1482">
        <f t="shared" si="58"/>
        <v>0.26585903447659598</v>
      </c>
      <c r="P135" s="1482">
        <f t="shared" si="58"/>
        <v>8.9228108703258049E-2</v>
      </c>
      <c r="Q135" s="1482">
        <f t="shared" si="58"/>
        <v>0</v>
      </c>
      <c r="R135" s="1482">
        <f t="shared" si="58"/>
        <v>0</v>
      </c>
      <c r="S135" s="1482">
        <f t="shared" si="58"/>
        <v>0</v>
      </c>
      <c r="T135" s="1482">
        <f t="shared" si="58"/>
        <v>0.4459879758464787</v>
      </c>
      <c r="U135" s="1521">
        <f t="shared" si="44"/>
        <v>1</v>
      </c>
      <c r="V135" s="1522">
        <f t="shared" si="59"/>
        <v>0.29028184578274857</v>
      </c>
      <c r="W135" s="1482">
        <f t="shared" si="59"/>
        <v>0.30317187715157518</v>
      </c>
      <c r="X135" s="1482">
        <f t="shared" si="59"/>
        <v>8.2805443243048754E-2</v>
      </c>
      <c r="Y135" s="1482">
        <f t="shared" si="59"/>
        <v>0</v>
      </c>
      <c r="Z135" s="1482">
        <f t="shared" si="59"/>
        <v>0</v>
      </c>
      <c r="AA135" s="1482">
        <f t="shared" si="59"/>
        <v>0</v>
      </c>
      <c r="AB135" s="1482">
        <f t="shared" si="59"/>
        <v>0.32374083382262742</v>
      </c>
      <c r="AC135" s="1521">
        <f t="shared" si="48"/>
        <v>0.99999999999999989</v>
      </c>
    </row>
    <row r="136" spans="1:29">
      <c r="A136" s="187">
        <f t="shared" si="57"/>
        <v>2036</v>
      </c>
      <c r="B136" s="1369">
        <f>INDEX(Drivers!$A$8:$AM$8,1,$A136-2011)/1000</f>
        <v>69.322999999999993</v>
      </c>
      <c r="C136" s="1369">
        <f>INDEX(Drivers!$A$16:$AM$16,1,$A136-2011)</f>
        <v>4325.9699999999993</v>
      </c>
      <c r="D136" s="1368">
        <f>INDEX(Drivers!$A$25:$AM$25,1,$A136-2011)/INDEX(Drivers!$A$25:$AM$25,1,$A136-2012)*D135</f>
        <v>32285395.803631678</v>
      </c>
      <c r="E136" s="883">
        <f t="shared" si="56"/>
        <v>50172070.130067617</v>
      </c>
      <c r="F136" s="1299"/>
      <c r="G136" s="1299"/>
      <c r="H136" s="1300"/>
      <c r="I136" s="1533">
        <f t="shared" si="52"/>
        <v>424.26313389388866</v>
      </c>
      <c r="J136" s="1534">
        <f t="shared" si="55"/>
        <v>11.504772374209397</v>
      </c>
      <c r="K136" s="1535">
        <f t="shared" si="42"/>
        <v>29411.193230926041</v>
      </c>
      <c r="L136" s="1535">
        <f t="shared" si="53"/>
        <v>82054.695951290298</v>
      </c>
      <c r="M136" s="1536">
        <f t="shared" si="54"/>
        <v>99941.370277726237</v>
      </c>
      <c r="N136" s="1482">
        <f t="shared" si="58"/>
        <v>0.19892488097366726</v>
      </c>
      <c r="O136" s="1482">
        <f t="shared" si="58"/>
        <v>0.26585903447659598</v>
      </c>
      <c r="P136" s="1482">
        <f t="shared" si="58"/>
        <v>8.9228108703258049E-2</v>
      </c>
      <c r="Q136" s="1482">
        <f t="shared" si="58"/>
        <v>0</v>
      </c>
      <c r="R136" s="1482">
        <f t="shared" si="58"/>
        <v>0</v>
      </c>
      <c r="S136" s="1482">
        <f t="shared" si="58"/>
        <v>0</v>
      </c>
      <c r="T136" s="1482">
        <f t="shared" si="58"/>
        <v>0.4459879758464787</v>
      </c>
      <c r="U136" s="1521">
        <f t="shared" si="44"/>
        <v>1</v>
      </c>
      <c r="V136" s="1522">
        <f t="shared" si="59"/>
        <v>0.29028184578274857</v>
      </c>
      <c r="W136" s="1482">
        <f t="shared" si="59"/>
        <v>0.30317187715157518</v>
      </c>
      <c r="X136" s="1482">
        <f t="shared" si="59"/>
        <v>8.2805443243048754E-2</v>
      </c>
      <c r="Y136" s="1482">
        <f t="shared" si="59"/>
        <v>0</v>
      </c>
      <c r="Z136" s="1482">
        <f t="shared" si="59"/>
        <v>0</v>
      </c>
      <c r="AA136" s="1482">
        <f t="shared" si="59"/>
        <v>0</v>
      </c>
      <c r="AB136" s="1482">
        <f t="shared" si="59"/>
        <v>0.32374083382262742</v>
      </c>
      <c r="AC136" s="1521">
        <f t="shared" si="48"/>
        <v>0.99999999999999989</v>
      </c>
    </row>
    <row r="137" spans="1:29">
      <c r="A137" s="187">
        <f t="shared" si="57"/>
        <v>2037</v>
      </c>
      <c r="B137" s="1369">
        <f>INDEX(Drivers!$A$8:$AM$8,1,$A137-2011)/1000</f>
        <v>69.83</v>
      </c>
      <c r="C137" s="1369">
        <f>INDEX(Drivers!$A$16:$AM$16,1,$A137-2011)</f>
        <v>4457.0000000000018</v>
      </c>
      <c r="D137" s="1368">
        <f>INDEX(Drivers!$A$25:$AM$25,1,$A137-2011)/INDEX(Drivers!$A$25:$AM$25,1,$A137-2012)*D136</f>
        <v>29450466.968101323</v>
      </c>
      <c r="E137" s="883">
        <f t="shared" si="56"/>
        <v>50172070.130067617</v>
      </c>
      <c r="F137" s="1299"/>
      <c r="G137" s="1299"/>
      <c r="H137" s="1300"/>
      <c r="I137" s="1533">
        <f t="shared" si="52"/>
        <v>424.26313389388866</v>
      </c>
      <c r="J137" s="1534">
        <f t="shared" si="55"/>
        <v>11.504772374209397</v>
      </c>
      <c r="K137" s="1535">
        <f t="shared" si="42"/>
        <v>29626.294639810243</v>
      </c>
      <c r="L137" s="1535">
        <f t="shared" si="53"/>
        <v>80727.237439952631</v>
      </c>
      <c r="M137" s="1536">
        <f t="shared" si="54"/>
        <v>101448.84060191893</v>
      </c>
      <c r="N137" s="1482">
        <f t="shared" si="58"/>
        <v>0.19892488097366726</v>
      </c>
      <c r="O137" s="1482">
        <f t="shared" si="58"/>
        <v>0.26585903447659598</v>
      </c>
      <c r="P137" s="1482">
        <f t="shared" si="58"/>
        <v>8.9228108703258049E-2</v>
      </c>
      <c r="Q137" s="1482">
        <f t="shared" si="58"/>
        <v>0</v>
      </c>
      <c r="R137" s="1482">
        <f t="shared" si="58"/>
        <v>0</v>
      </c>
      <c r="S137" s="1482">
        <f t="shared" si="58"/>
        <v>0</v>
      </c>
      <c r="T137" s="1482">
        <f t="shared" si="58"/>
        <v>0.4459879758464787</v>
      </c>
      <c r="U137" s="1521">
        <f t="shared" si="44"/>
        <v>1</v>
      </c>
      <c r="V137" s="1522">
        <f t="shared" si="59"/>
        <v>0.29028184578274857</v>
      </c>
      <c r="W137" s="1482">
        <f t="shared" si="59"/>
        <v>0.30317187715157518</v>
      </c>
      <c r="X137" s="1482">
        <f t="shared" si="59"/>
        <v>8.2805443243048754E-2</v>
      </c>
      <c r="Y137" s="1482">
        <f t="shared" si="59"/>
        <v>0</v>
      </c>
      <c r="Z137" s="1482">
        <f t="shared" si="59"/>
        <v>0</v>
      </c>
      <c r="AA137" s="1482">
        <f t="shared" si="59"/>
        <v>0</v>
      </c>
      <c r="AB137" s="1482">
        <f t="shared" si="59"/>
        <v>0.32374083382262742</v>
      </c>
      <c r="AC137" s="1521">
        <f t="shared" si="48"/>
        <v>0.99999999999999989</v>
      </c>
    </row>
    <row r="138" spans="1:29">
      <c r="A138" s="187">
        <f t="shared" si="57"/>
        <v>2038</v>
      </c>
      <c r="B138" s="1369">
        <f>INDEX(Drivers!$A$8:$AM$8,1,$A138-2011)/1000</f>
        <v>70.341999999999999</v>
      </c>
      <c r="C138" s="1369">
        <f>INDEX(Drivers!$A$16:$AM$16,1,$A138-2011)</f>
        <v>4590.03</v>
      </c>
      <c r="D138" s="1368">
        <f>INDEX(Drivers!$A$25:$AM$25,1,$A138-2011)/INDEX(Drivers!$A$25:$AM$25,1,$A138-2012)*D137</f>
        <v>26615538.132570967</v>
      </c>
      <c r="E138" s="883">
        <f t="shared" si="56"/>
        <v>50172070.130067617</v>
      </c>
      <c r="F138" s="1299"/>
      <c r="G138" s="1299"/>
      <c r="H138" s="1300"/>
      <c r="I138" s="1533">
        <f t="shared" si="52"/>
        <v>424.26313389388866</v>
      </c>
      <c r="J138" s="1534">
        <f t="shared" si="55"/>
        <v>11.504772374209397</v>
      </c>
      <c r="K138" s="1535">
        <f t="shared" si="42"/>
        <v>29843.517364363917</v>
      </c>
      <c r="L138" s="1535">
        <f t="shared" si="53"/>
        <v>79422.788473363325</v>
      </c>
      <c r="M138" s="1536">
        <f t="shared" si="54"/>
        <v>102979.32047085997</v>
      </c>
      <c r="N138" s="1482">
        <f t="shared" si="58"/>
        <v>0.19892488097366726</v>
      </c>
      <c r="O138" s="1482">
        <f t="shared" si="58"/>
        <v>0.26585903447659598</v>
      </c>
      <c r="P138" s="1482">
        <f t="shared" si="58"/>
        <v>8.9228108703258049E-2</v>
      </c>
      <c r="Q138" s="1482">
        <f t="shared" si="58"/>
        <v>0</v>
      </c>
      <c r="R138" s="1482">
        <f t="shared" si="58"/>
        <v>0</v>
      </c>
      <c r="S138" s="1482">
        <f t="shared" si="58"/>
        <v>0</v>
      </c>
      <c r="T138" s="1482">
        <f t="shared" si="58"/>
        <v>0.4459879758464787</v>
      </c>
      <c r="U138" s="1521">
        <f t="shared" si="44"/>
        <v>1</v>
      </c>
      <c r="V138" s="1522">
        <f t="shared" si="59"/>
        <v>0.29028184578274857</v>
      </c>
      <c r="W138" s="1482">
        <f t="shared" si="59"/>
        <v>0.30317187715157518</v>
      </c>
      <c r="X138" s="1482">
        <f t="shared" si="59"/>
        <v>8.2805443243048754E-2</v>
      </c>
      <c r="Y138" s="1482">
        <f t="shared" si="59"/>
        <v>0</v>
      </c>
      <c r="Z138" s="1482">
        <f t="shared" si="59"/>
        <v>0</v>
      </c>
      <c r="AA138" s="1482">
        <f t="shared" si="59"/>
        <v>0</v>
      </c>
      <c r="AB138" s="1482">
        <f t="shared" si="59"/>
        <v>0.32374083382262742</v>
      </c>
      <c r="AC138" s="1521">
        <f t="shared" si="48"/>
        <v>0.99999999999999989</v>
      </c>
    </row>
    <row r="139" spans="1:29">
      <c r="A139" s="187">
        <f t="shared" si="57"/>
        <v>2039</v>
      </c>
      <c r="B139" s="1369">
        <f>INDEX(Drivers!$A$8:$AM$8,1,$A139-2011)/1000</f>
        <v>70.856999999999999</v>
      </c>
      <c r="C139" s="1369">
        <f>INDEX(Drivers!$A$16:$AM$16,1,$A139-2011)</f>
        <v>4728.5300000000007</v>
      </c>
      <c r="D139" s="1368">
        <f>INDEX(Drivers!$A$25:$AM$25,1,$A139-2011)/INDEX(Drivers!$A$25:$AM$25,1,$A139-2012)*D138</f>
        <v>23780609.297040608</v>
      </c>
      <c r="E139" s="883">
        <f t="shared" si="56"/>
        <v>50172070.130067617</v>
      </c>
      <c r="F139" s="1299"/>
      <c r="G139" s="1299"/>
      <c r="H139" s="1300"/>
      <c r="I139" s="1533">
        <f t="shared" si="52"/>
        <v>424.26313389388866</v>
      </c>
      <c r="J139" s="1534">
        <f t="shared" si="55"/>
        <v>11.504772374209397</v>
      </c>
      <c r="K139" s="1535">
        <f t="shared" si="42"/>
        <v>30062.01287831927</v>
      </c>
      <c r="L139" s="1535">
        <f t="shared" si="53"/>
        <v>78181.270611660977</v>
      </c>
      <c r="M139" s="1536">
        <f t="shared" si="54"/>
        <v>104572.73144468799</v>
      </c>
      <c r="N139" s="1482">
        <f t="shared" si="58"/>
        <v>0.19892488097366726</v>
      </c>
      <c r="O139" s="1482">
        <f t="shared" si="58"/>
        <v>0.26585903447659598</v>
      </c>
      <c r="P139" s="1482">
        <f t="shared" si="58"/>
        <v>8.9228108703258049E-2</v>
      </c>
      <c r="Q139" s="1482">
        <f t="shared" si="58"/>
        <v>0</v>
      </c>
      <c r="R139" s="1482">
        <f t="shared" si="58"/>
        <v>0</v>
      </c>
      <c r="S139" s="1482">
        <f t="shared" si="58"/>
        <v>0</v>
      </c>
      <c r="T139" s="1482">
        <f t="shared" si="58"/>
        <v>0.4459879758464787</v>
      </c>
      <c r="U139" s="1521">
        <f t="shared" si="44"/>
        <v>1</v>
      </c>
      <c r="V139" s="1522">
        <f t="shared" si="59"/>
        <v>0.29028184578274857</v>
      </c>
      <c r="W139" s="1482">
        <f t="shared" si="59"/>
        <v>0.30317187715157518</v>
      </c>
      <c r="X139" s="1482">
        <f t="shared" si="59"/>
        <v>8.2805443243048754E-2</v>
      </c>
      <c r="Y139" s="1482">
        <f t="shared" si="59"/>
        <v>0</v>
      </c>
      <c r="Z139" s="1482">
        <f t="shared" si="59"/>
        <v>0</v>
      </c>
      <c r="AA139" s="1482">
        <f t="shared" si="59"/>
        <v>0</v>
      </c>
      <c r="AB139" s="1482">
        <f t="shared" si="59"/>
        <v>0.32374083382262742</v>
      </c>
      <c r="AC139" s="1521">
        <f t="shared" si="48"/>
        <v>0.99999999999999989</v>
      </c>
    </row>
    <row r="140" spans="1:29">
      <c r="A140" s="187">
        <f t="shared" si="57"/>
        <v>2040</v>
      </c>
      <c r="B140" s="1369">
        <f>INDEX(Drivers!$A$8:$AM$8,1,$A140-2011)/1000</f>
        <v>71.375</v>
      </c>
      <c r="C140" s="1369">
        <f>INDEX(Drivers!$A$16:$AM$16,1,$A140-2011)</f>
        <v>4875.51</v>
      </c>
      <c r="D140" s="1368">
        <f>INDEX(Drivers!$A$25:$AM$25,1,$A140-2011)/INDEX(Drivers!$A$25:$AM$25,1,$A140-2012)*D139</f>
        <v>20945680.461510252</v>
      </c>
      <c r="E140" s="883">
        <f t="shared" si="56"/>
        <v>50172070.130067617</v>
      </c>
      <c r="F140" s="1299"/>
      <c r="G140" s="1299"/>
      <c r="H140" s="1300"/>
      <c r="I140" s="1533">
        <f t="shared" si="52"/>
        <v>424.26313389388866</v>
      </c>
      <c r="J140" s="1534">
        <f t="shared" si="55"/>
        <v>11.504772374209397</v>
      </c>
      <c r="K140" s="1535">
        <f t="shared" si="42"/>
        <v>30281.781181676302</v>
      </c>
      <c r="L140" s="1535">
        <f t="shared" si="53"/>
        <v>77037.313219691918</v>
      </c>
      <c r="M140" s="1536">
        <f t="shared" si="54"/>
        <v>106263.70288824927</v>
      </c>
      <c r="N140" s="1482">
        <f t="shared" si="58"/>
        <v>0.19892488097366726</v>
      </c>
      <c r="O140" s="1482">
        <f t="shared" si="58"/>
        <v>0.26585903447659598</v>
      </c>
      <c r="P140" s="1482">
        <f t="shared" si="58"/>
        <v>8.9228108703258049E-2</v>
      </c>
      <c r="Q140" s="1482">
        <f t="shared" si="58"/>
        <v>0</v>
      </c>
      <c r="R140" s="1482">
        <f t="shared" si="58"/>
        <v>0</v>
      </c>
      <c r="S140" s="1482">
        <f t="shared" si="58"/>
        <v>0</v>
      </c>
      <c r="T140" s="1482">
        <f t="shared" si="58"/>
        <v>0.4459879758464787</v>
      </c>
      <c r="U140" s="1521">
        <f t="shared" si="44"/>
        <v>1</v>
      </c>
      <c r="V140" s="1522">
        <f t="shared" si="59"/>
        <v>0.29028184578274857</v>
      </c>
      <c r="W140" s="1482">
        <f t="shared" si="59"/>
        <v>0.30317187715157518</v>
      </c>
      <c r="X140" s="1482">
        <f t="shared" si="59"/>
        <v>8.2805443243048754E-2</v>
      </c>
      <c r="Y140" s="1482">
        <f t="shared" si="59"/>
        <v>0</v>
      </c>
      <c r="Z140" s="1482">
        <f t="shared" si="59"/>
        <v>0</v>
      </c>
      <c r="AA140" s="1482">
        <f t="shared" si="59"/>
        <v>0</v>
      </c>
      <c r="AB140" s="1482">
        <f t="shared" si="59"/>
        <v>0.32374083382262742</v>
      </c>
      <c r="AC140" s="1521">
        <f t="shared" si="48"/>
        <v>0.99999999999999989</v>
      </c>
    </row>
    <row r="141" spans="1:29">
      <c r="A141" s="187">
        <f t="shared" si="57"/>
        <v>2041</v>
      </c>
      <c r="B141" s="1369">
        <f>INDEX(Drivers!$A$8:$AM$8,1,$A141-2011)/1000</f>
        <v>71.819000000000003</v>
      </c>
      <c r="C141" s="1369">
        <f>INDEX(Drivers!$A$16:$AM$16,1,$A141-2011)</f>
        <v>5028.54</v>
      </c>
      <c r="D141" s="1368">
        <f>INDEX(Drivers!$A$25:$AM$25,1,$A141-2011)/INDEX(Drivers!$A$25:$AM$25,1,$A141-2012)*D140</f>
        <v>19664699.523913871</v>
      </c>
      <c r="E141" s="883">
        <f t="shared" si="56"/>
        <v>50172070.130067617</v>
      </c>
      <c r="F141" s="1299"/>
      <c r="G141" s="1299"/>
      <c r="H141" s="1300"/>
      <c r="I141" s="1533">
        <f t="shared" si="52"/>
        <v>424.26313389388866</v>
      </c>
      <c r="J141" s="1534">
        <f t="shared" si="55"/>
        <v>11.504772374209397</v>
      </c>
      <c r="K141" s="1535">
        <f t="shared" si="42"/>
        <v>30470.15401312519</v>
      </c>
      <c r="L141" s="1535">
        <f t="shared" si="53"/>
        <v>77516.907598520789</v>
      </c>
      <c r="M141" s="1536">
        <f t="shared" si="54"/>
        <v>108024.27820467454</v>
      </c>
      <c r="N141" s="1482">
        <f t="shared" si="58"/>
        <v>0.19892488097366726</v>
      </c>
      <c r="O141" s="1482">
        <f t="shared" si="58"/>
        <v>0.26585903447659598</v>
      </c>
      <c r="P141" s="1482">
        <f t="shared" si="58"/>
        <v>8.9228108703258049E-2</v>
      </c>
      <c r="Q141" s="1482">
        <f t="shared" si="58"/>
        <v>0</v>
      </c>
      <c r="R141" s="1482">
        <f t="shared" si="58"/>
        <v>0</v>
      </c>
      <c r="S141" s="1482">
        <f t="shared" si="58"/>
        <v>0</v>
      </c>
      <c r="T141" s="1482">
        <f t="shared" si="58"/>
        <v>0.4459879758464787</v>
      </c>
      <c r="U141" s="1521">
        <f t="shared" si="44"/>
        <v>1</v>
      </c>
      <c r="V141" s="1522">
        <f t="shared" si="59"/>
        <v>0.29028184578274857</v>
      </c>
      <c r="W141" s="1482">
        <f t="shared" si="59"/>
        <v>0.30317187715157518</v>
      </c>
      <c r="X141" s="1482">
        <f t="shared" si="59"/>
        <v>8.2805443243048754E-2</v>
      </c>
      <c r="Y141" s="1482">
        <f t="shared" si="59"/>
        <v>0</v>
      </c>
      <c r="Z141" s="1482">
        <f t="shared" si="59"/>
        <v>0</v>
      </c>
      <c r="AA141" s="1482">
        <f t="shared" si="59"/>
        <v>0</v>
      </c>
      <c r="AB141" s="1482">
        <f t="shared" si="59"/>
        <v>0.32374083382262742</v>
      </c>
      <c r="AC141" s="1521">
        <f t="shared" si="48"/>
        <v>0.99999999999999989</v>
      </c>
    </row>
    <row r="142" spans="1:29">
      <c r="A142" s="187">
        <f t="shared" si="57"/>
        <v>2042</v>
      </c>
      <c r="B142" s="1369">
        <f>INDEX(Drivers!$A$8:$AM$8,1,$A142-2011)/1000</f>
        <v>72.265000000000001</v>
      </c>
      <c r="C142" s="1369">
        <f>INDEX(Drivers!$A$16:$AM$16,1,$A142-2011)</f>
        <v>5188.1000000000004</v>
      </c>
      <c r="D142" s="1368">
        <f>INDEX(Drivers!$A$25:$AM$25,1,$A142-2011)/INDEX(Drivers!$A$25:$AM$25,1,$A142-2012)*D141</f>
        <v>18383718.586317491</v>
      </c>
      <c r="E142" s="883">
        <f t="shared" si="56"/>
        <v>50172070.130067617</v>
      </c>
      <c r="F142" s="1299"/>
      <c r="G142" s="1299"/>
      <c r="H142" s="1300"/>
      <c r="I142" s="1533">
        <f t="shared" si="52"/>
        <v>424.26313389388866</v>
      </c>
      <c r="J142" s="1534">
        <f t="shared" si="55"/>
        <v>11.504772374209397</v>
      </c>
      <c r="K142" s="1535">
        <f t="shared" si="42"/>
        <v>30659.375370841866</v>
      </c>
      <c r="L142" s="1535">
        <f t="shared" si="53"/>
        <v>78071.628140953268</v>
      </c>
      <c r="M142" s="1536">
        <f t="shared" si="54"/>
        <v>109859.9796847034</v>
      </c>
      <c r="N142" s="1482">
        <f t="shared" si="58"/>
        <v>0.19892488097366726</v>
      </c>
      <c r="O142" s="1482">
        <f t="shared" si="58"/>
        <v>0.26585903447659598</v>
      </c>
      <c r="P142" s="1482">
        <f t="shared" si="58"/>
        <v>8.9228108703258049E-2</v>
      </c>
      <c r="Q142" s="1482">
        <f t="shared" si="58"/>
        <v>0</v>
      </c>
      <c r="R142" s="1482">
        <f t="shared" si="58"/>
        <v>0</v>
      </c>
      <c r="S142" s="1482">
        <f t="shared" si="58"/>
        <v>0</v>
      </c>
      <c r="T142" s="1482">
        <f t="shared" si="58"/>
        <v>0.4459879758464787</v>
      </c>
      <c r="U142" s="1521">
        <f t="shared" si="44"/>
        <v>1</v>
      </c>
      <c r="V142" s="1522">
        <f t="shared" si="59"/>
        <v>0.29028184578274857</v>
      </c>
      <c r="W142" s="1482">
        <f t="shared" si="59"/>
        <v>0.30317187715157518</v>
      </c>
      <c r="X142" s="1482">
        <f t="shared" si="59"/>
        <v>8.2805443243048754E-2</v>
      </c>
      <c r="Y142" s="1482">
        <f t="shared" si="59"/>
        <v>0</v>
      </c>
      <c r="Z142" s="1482">
        <f t="shared" si="59"/>
        <v>0</v>
      </c>
      <c r="AA142" s="1482">
        <f t="shared" si="59"/>
        <v>0</v>
      </c>
      <c r="AB142" s="1482">
        <f t="shared" si="59"/>
        <v>0.32374083382262742</v>
      </c>
      <c r="AC142" s="1521">
        <f t="shared" si="48"/>
        <v>0.99999999999999989</v>
      </c>
    </row>
    <row r="143" spans="1:29">
      <c r="A143" s="187">
        <f t="shared" si="57"/>
        <v>2043</v>
      </c>
      <c r="B143" s="1369">
        <f>INDEX(Drivers!$A$8:$AM$8,1,$A143-2011)/1000</f>
        <v>72.713999999999999</v>
      </c>
      <c r="C143" s="1369">
        <f>INDEX(Drivers!$A$16:$AM$16,1,$A143-2011)</f>
        <v>5353.7899999999991</v>
      </c>
      <c r="D143" s="1368">
        <f>INDEX(Drivers!$A$25:$AM$25,1,$A143-2011)/INDEX(Drivers!$A$25:$AM$25,1,$A143-2012)*D142</f>
        <v>17102737.64872111</v>
      </c>
      <c r="E143" s="883">
        <f t="shared" si="56"/>
        <v>50172070.130067617</v>
      </c>
      <c r="F143" s="1299"/>
      <c r="G143" s="1299"/>
      <c r="H143" s="1300"/>
      <c r="I143" s="1533">
        <f t="shared" si="52"/>
        <v>424.26313389388866</v>
      </c>
      <c r="J143" s="1534">
        <f t="shared" si="55"/>
        <v>11.504772374209397</v>
      </c>
      <c r="K143" s="1535">
        <f t="shared" si="42"/>
        <v>30849.869517960218</v>
      </c>
      <c r="L143" s="1535">
        <f t="shared" si="53"/>
        <v>78696.872938039625</v>
      </c>
      <c r="M143" s="1536">
        <f t="shared" si="54"/>
        <v>111766.20541938613</v>
      </c>
      <c r="N143" s="1482">
        <f t="shared" si="58"/>
        <v>0.19892488097366726</v>
      </c>
      <c r="O143" s="1482">
        <f t="shared" si="58"/>
        <v>0.26585903447659598</v>
      </c>
      <c r="P143" s="1482">
        <f t="shared" si="58"/>
        <v>8.9228108703258049E-2</v>
      </c>
      <c r="Q143" s="1482">
        <f t="shared" si="58"/>
        <v>0</v>
      </c>
      <c r="R143" s="1482">
        <f t="shared" si="58"/>
        <v>0</v>
      </c>
      <c r="S143" s="1482">
        <f t="shared" si="58"/>
        <v>0</v>
      </c>
      <c r="T143" s="1482">
        <f t="shared" si="58"/>
        <v>0.4459879758464787</v>
      </c>
      <c r="U143" s="1521">
        <f t="shared" si="44"/>
        <v>1</v>
      </c>
      <c r="V143" s="1522">
        <f t="shared" si="59"/>
        <v>0.29028184578274857</v>
      </c>
      <c r="W143" s="1482">
        <f t="shared" si="59"/>
        <v>0.30317187715157518</v>
      </c>
      <c r="X143" s="1482">
        <f t="shared" si="59"/>
        <v>8.2805443243048754E-2</v>
      </c>
      <c r="Y143" s="1482">
        <f t="shared" si="59"/>
        <v>0</v>
      </c>
      <c r="Z143" s="1482">
        <f t="shared" si="59"/>
        <v>0</v>
      </c>
      <c r="AA143" s="1482">
        <f t="shared" si="59"/>
        <v>0</v>
      </c>
      <c r="AB143" s="1482">
        <f t="shared" si="59"/>
        <v>0.32374083382262742</v>
      </c>
      <c r="AC143" s="1521">
        <f t="shared" si="48"/>
        <v>0.99999999999999989</v>
      </c>
    </row>
    <row r="144" spans="1:29">
      <c r="A144" s="187">
        <f t="shared" si="57"/>
        <v>2044</v>
      </c>
      <c r="B144" s="1369">
        <f>INDEX(Drivers!$A$8:$AM$8,1,$A144-2011)/1000</f>
        <v>73.165000000000006</v>
      </c>
      <c r="C144" s="1369">
        <f>INDEX(Drivers!$A$16:$AM$16,1,$A144-2011)</f>
        <v>5526.5000000000018</v>
      </c>
      <c r="D144" s="1368">
        <f>INDEX(Drivers!$A$25:$AM$25,1,$A144-2011)/INDEX(Drivers!$A$25:$AM$25,1,$A144-2012)*D143</f>
        <v>15821756.711124728</v>
      </c>
      <c r="E144" s="883">
        <f t="shared" si="56"/>
        <v>50172070.130067617</v>
      </c>
      <c r="F144" s="1299"/>
      <c r="G144" s="1299"/>
      <c r="H144" s="1300"/>
      <c r="I144" s="1533">
        <f t="shared" si="52"/>
        <v>424.26313389388866</v>
      </c>
      <c r="J144" s="1534">
        <f t="shared" si="55"/>
        <v>11.504772374209397</v>
      </c>
      <c r="K144" s="1535">
        <f t="shared" si="42"/>
        <v>31041.212191346367</v>
      </c>
      <c r="L144" s="1535">
        <f t="shared" si="53"/>
        <v>79402.881237192982</v>
      </c>
      <c r="M144" s="1536">
        <f t="shared" si="54"/>
        <v>113753.19465613586</v>
      </c>
      <c r="N144" s="1482">
        <f t="shared" si="58"/>
        <v>0.19892488097366726</v>
      </c>
      <c r="O144" s="1482">
        <f t="shared" si="58"/>
        <v>0.26585903447659598</v>
      </c>
      <c r="P144" s="1482">
        <f t="shared" si="58"/>
        <v>8.9228108703258049E-2</v>
      </c>
      <c r="Q144" s="1482">
        <f t="shared" si="58"/>
        <v>0</v>
      </c>
      <c r="R144" s="1482">
        <f t="shared" si="58"/>
        <v>0</v>
      </c>
      <c r="S144" s="1482">
        <f t="shared" si="58"/>
        <v>0</v>
      </c>
      <c r="T144" s="1482">
        <f t="shared" si="58"/>
        <v>0.4459879758464787</v>
      </c>
      <c r="U144" s="1521">
        <f t="shared" si="44"/>
        <v>1</v>
      </c>
      <c r="V144" s="1522">
        <f t="shared" si="59"/>
        <v>0.29028184578274857</v>
      </c>
      <c r="W144" s="1482">
        <f t="shared" si="59"/>
        <v>0.30317187715157518</v>
      </c>
      <c r="X144" s="1482">
        <f t="shared" si="59"/>
        <v>8.2805443243048754E-2</v>
      </c>
      <c r="Y144" s="1482">
        <f t="shared" si="59"/>
        <v>0</v>
      </c>
      <c r="Z144" s="1482">
        <f t="shared" si="59"/>
        <v>0</v>
      </c>
      <c r="AA144" s="1482">
        <f t="shared" si="59"/>
        <v>0</v>
      </c>
      <c r="AB144" s="1482">
        <f t="shared" si="59"/>
        <v>0.32374083382262742</v>
      </c>
      <c r="AC144" s="1521">
        <f t="shared" si="48"/>
        <v>0.99999999999999989</v>
      </c>
    </row>
    <row r="145" spans="1:29">
      <c r="A145" s="187">
        <f t="shared" si="57"/>
        <v>2045</v>
      </c>
      <c r="B145" s="1369">
        <f>INDEX(Drivers!$A$8:$AM$8,1,$A145-2011)/1000</f>
        <v>73.62</v>
      </c>
      <c r="C145" s="1369">
        <f>INDEX(Drivers!$A$16:$AM$16,1,$A145-2011)</f>
        <v>5709.93</v>
      </c>
      <c r="D145" s="1368">
        <f>INDEX(Drivers!$A$25:$AM$25,1,$A145-2011)/INDEX(Drivers!$A$25:$AM$25,1,$A145-2012)*D144</f>
        <v>14540775.773528345</v>
      </c>
      <c r="E145" s="883">
        <f t="shared" si="56"/>
        <v>50172070.130067617</v>
      </c>
      <c r="F145" s="1299"/>
      <c r="G145" s="1299"/>
      <c r="H145" s="1300"/>
      <c r="I145" s="1533">
        <f t="shared" si="52"/>
        <v>424.26313389388866</v>
      </c>
      <c r="J145" s="1534">
        <f t="shared" si="55"/>
        <v>11.504772374209397</v>
      </c>
      <c r="K145" s="1535">
        <f t="shared" si="42"/>
        <v>31234.251917268084</v>
      </c>
      <c r="L145" s="1535">
        <f t="shared" si="53"/>
        <v>80232.220696197823</v>
      </c>
      <c r="M145" s="1536">
        <f t="shared" si="54"/>
        <v>115863.51505273709</v>
      </c>
      <c r="N145" s="1482">
        <f t="shared" si="58"/>
        <v>0.19892488097366726</v>
      </c>
      <c r="O145" s="1482">
        <f t="shared" si="58"/>
        <v>0.26585903447659598</v>
      </c>
      <c r="P145" s="1482">
        <f t="shared" si="58"/>
        <v>8.9228108703258049E-2</v>
      </c>
      <c r="Q145" s="1482">
        <f t="shared" si="58"/>
        <v>0</v>
      </c>
      <c r="R145" s="1482">
        <f t="shared" si="58"/>
        <v>0</v>
      </c>
      <c r="S145" s="1482">
        <f t="shared" si="58"/>
        <v>0</v>
      </c>
      <c r="T145" s="1482">
        <f t="shared" si="58"/>
        <v>0.4459879758464787</v>
      </c>
      <c r="U145" s="1521">
        <f t="shared" si="44"/>
        <v>1</v>
      </c>
      <c r="V145" s="1522">
        <f t="shared" si="59"/>
        <v>0.29028184578274857</v>
      </c>
      <c r="W145" s="1482">
        <f t="shared" si="59"/>
        <v>0.30317187715157518</v>
      </c>
      <c r="X145" s="1482">
        <f t="shared" si="59"/>
        <v>8.2805443243048754E-2</v>
      </c>
      <c r="Y145" s="1482">
        <f t="shared" si="59"/>
        <v>0</v>
      </c>
      <c r="Z145" s="1482">
        <f t="shared" si="59"/>
        <v>0</v>
      </c>
      <c r="AA145" s="1482">
        <f t="shared" si="59"/>
        <v>0</v>
      </c>
      <c r="AB145" s="1482">
        <f t="shared" si="59"/>
        <v>0.32374083382262742</v>
      </c>
      <c r="AC145" s="1521">
        <f t="shared" si="48"/>
        <v>0.99999999999999989</v>
      </c>
    </row>
    <row r="146" spans="1:29">
      <c r="A146" s="187">
        <f t="shared" si="57"/>
        <v>2046</v>
      </c>
      <c r="B146" s="1369">
        <f>INDEX(Drivers!$A$8:$AM$8,1,$A146-2011)/1000</f>
        <v>73.995000000000005</v>
      </c>
      <c r="C146" s="1369">
        <f>INDEX(Drivers!$A$16:$AM$16,1,$A146-2011)</f>
        <v>5902.43</v>
      </c>
      <c r="D146" s="1368">
        <f>INDEX(Drivers!$A$25:$AM$25,1,$A146-2011)/INDEX(Drivers!$A$25:$AM$25,1,$A146-2012)*D145</f>
        <v>13259794.835931966</v>
      </c>
      <c r="E146" s="883">
        <f t="shared" si="56"/>
        <v>50172070.130067617</v>
      </c>
      <c r="F146" s="1299"/>
      <c r="G146" s="1299"/>
      <c r="H146" s="1300"/>
      <c r="I146" s="1533">
        <f t="shared" si="52"/>
        <v>424.26313389388866</v>
      </c>
      <c r="J146" s="1534">
        <f t="shared" si="55"/>
        <v>11.504772374209397</v>
      </c>
      <c r="K146" s="1535">
        <f t="shared" si="42"/>
        <v>31393.350592478295</v>
      </c>
      <c r="L146" s="1535">
        <f t="shared" si="53"/>
        <v>81165.908440636747</v>
      </c>
      <c r="M146" s="1536">
        <f t="shared" si="54"/>
        <v>118078.18373477239</v>
      </c>
      <c r="N146" s="1482">
        <f t="shared" si="58"/>
        <v>0.19892488097366726</v>
      </c>
      <c r="O146" s="1482">
        <f t="shared" si="58"/>
        <v>0.26585903447659598</v>
      </c>
      <c r="P146" s="1482">
        <f t="shared" si="58"/>
        <v>8.9228108703258049E-2</v>
      </c>
      <c r="Q146" s="1482">
        <f t="shared" si="58"/>
        <v>0</v>
      </c>
      <c r="R146" s="1482">
        <f t="shared" si="58"/>
        <v>0</v>
      </c>
      <c r="S146" s="1482">
        <f t="shared" si="58"/>
        <v>0</v>
      </c>
      <c r="T146" s="1482">
        <f t="shared" si="58"/>
        <v>0.4459879758464787</v>
      </c>
      <c r="U146" s="1521">
        <f t="shared" ref="U146:U150" si="60">SUM(N146:T146)</f>
        <v>1</v>
      </c>
      <c r="V146" s="1522">
        <f t="shared" si="59"/>
        <v>0.29028184578274857</v>
      </c>
      <c r="W146" s="1482">
        <f t="shared" si="59"/>
        <v>0.30317187715157518</v>
      </c>
      <c r="X146" s="1482">
        <f t="shared" si="59"/>
        <v>8.2805443243048754E-2</v>
      </c>
      <c r="Y146" s="1482">
        <f t="shared" si="59"/>
        <v>0</v>
      </c>
      <c r="Z146" s="1482">
        <f t="shared" si="59"/>
        <v>0</v>
      </c>
      <c r="AA146" s="1482">
        <f t="shared" si="59"/>
        <v>0</v>
      </c>
      <c r="AB146" s="1482">
        <f t="shared" si="59"/>
        <v>0.32374083382262742</v>
      </c>
      <c r="AC146" s="1521">
        <f t="shared" si="48"/>
        <v>0.99999999999999989</v>
      </c>
    </row>
    <row r="147" spans="1:29">
      <c r="A147" s="187">
        <f t="shared" si="57"/>
        <v>2047</v>
      </c>
      <c r="B147" s="1369">
        <f>INDEX(Drivers!$A$8:$AM$8,1,$A147-2011)/1000</f>
        <v>74.373000000000005</v>
      </c>
      <c r="C147" s="1369">
        <f>INDEX(Drivers!$A$16:$AM$16,1,$A147-2011)</f>
        <v>6104.119999999999</v>
      </c>
      <c r="D147" s="1368">
        <f>INDEX(Drivers!$A$25:$AM$25,1,$A147-2011)/INDEX(Drivers!$A$25:$AM$25,1,$A147-2012)*D146</f>
        <v>11978813.898335585</v>
      </c>
      <c r="E147" s="883">
        <f t="shared" si="56"/>
        <v>50172070.130067617</v>
      </c>
      <c r="F147" s="1299"/>
      <c r="G147" s="1299"/>
      <c r="H147" s="1300"/>
      <c r="I147" s="1533">
        <f t="shared" si="52"/>
        <v>424.26313389388866</v>
      </c>
      <c r="J147" s="1534">
        <f t="shared" si="55"/>
        <v>11.504772374209397</v>
      </c>
      <c r="K147" s="1535">
        <f t="shared" si="42"/>
        <v>31553.722057090185</v>
      </c>
      <c r="L147" s="1535">
        <f t="shared" si="53"/>
        <v>82205.325043194636</v>
      </c>
      <c r="M147" s="1536">
        <f t="shared" si="54"/>
        <v>120398.58127492666</v>
      </c>
      <c r="N147" s="1482">
        <f t="shared" ref="N147:T150" si="61">N146</f>
        <v>0.19892488097366726</v>
      </c>
      <c r="O147" s="1482">
        <f t="shared" si="61"/>
        <v>0.26585903447659598</v>
      </c>
      <c r="P147" s="1482">
        <f t="shared" si="61"/>
        <v>8.9228108703258049E-2</v>
      </c>
      <c r="Q147" s="1482">
        <f t="shared" si="61"/>
        <v>0</v>
      </c>
      <c r="R147" s="1482">
        <f t="shared" si="61"/>
        <v>0</v>
      </c>
      <c r="S147" s="1482">
        <f t="shared" si="61"/>
        <v>0</v>
      </c>
      <c r="T147" s="1482">
        <f t="shared" si="61"/>
        <v>0.4459879758464787</v>
      </c>
      <c r="U147" s="1521">
        <f t="shared" si="60"/>
        <v>1</v>
      </c>
      <c r="V147" s="1522">
        <f t="shared" si="59"/>
        <v>0.29028184578274857</v>
      </c>
      <c r="W147" s="1482">
        <f t="shared" si="59"/>
        <v>0.30317187715157518</v>
      </c>
      <c r="X147" s="1482">
        <f t="shared" si="59"/>
        <v>8.2805443243048754E-2</v>
      </c>
      <c r="Y147" s="1482">
        <f t="shared" si="59"/>
        <v>0</v>
      </c>
      <c r="Z147" s="1482">
        <f t="shared" si="59"/>
        <v>0</v>
      </c>
      <c r="AA147" s="1482">
        <f t="shared" si="59"/>
        <v>0</v>
      </c>
      <c r="AB147" s="1482">
        <f t="shared" si="59"/>
        <v>0.32374083382262742</v>
      </c>
      <c r="AC147" s="1521">
        <f t="shared" si="48"/>
        <v>0.99999999999999989</v>
      </c>
    </row>
    <row r="148" spans="1:29">
      <c r="A148" s="187">
        <f t="shared" si="57"/>
        <v>2048</v>
      </c>
      <c r="B148" s="1369">
        <f>INDEX(Drivers!$A$8:$AM$8,1,$A148-2011)/1000</f>
        <v>74.753</v>
      </c>
      <c r="C148" s="1369">
        <f>INDEX(Drivers!$A$16:$AM$16,1,$A148-2011)</f>
        <v>6308.13</v>
      </c>
      <c r="D148" s="1368">
        <f>INDEX(Drivers!$A$25:$AM$25,1,$A148-2011)/INDEX(Drivers!$A$25:$AM$25,1,$A148-2012)*D147</f>
        <v>10697832.960739207</v>
      </c>
      <c r="E148" s="883">
        <f t="shared" si="56"/>
        <v>50172070.130067617</v>
      </c>
      <c r="F148" s="1299"/>
      <c r="G148" s="1299"/>
      <c r="H148" s="1300"/>
      <c r="I148" s="1533">
        <f t="shared" si="52"/>
        <v>424.26313389388866</v>
      </c>
      <c r="J148" s="1534">
        <f t="shared" si="55"/>
        <v>11.504772374209397</v>
      </c>
      <c r="K148" s="1535">
        <f t="shared" si="42"/>
        <v>31714.94204796986</v>
      </c>
      <c r="L148" s="1535">
        <f t="shared" si="53"/>
        <v>83271.432717660733</v>
      </c>
      <c r="M148" s="1536">
        <f t="shared" si="54"/>
        <v>122745.66988698914</v>
      </c>
      <c r="N148" s="1482">
        <f t="shared" si="61"/>
        <v>0.19892488097366726</v>
      </c>
      <c r="O148" s="1482">
        <f t="shared" si="61"/>
        <v>0.26585903447659598</v>
      </c>
      <c r="P148" s="1482">
        <f t="shared" si="61"/>
        <v>8.9228108703258049E-2</v>
      </c>
      <c r="Q148" s="1482">
        <f t="shared" si="61"/>
        <v>0</v>
      </c>
      <c r="R148" s="1482">
        <f t="shared" si="61"/>
        <v>0</v>
      </c>
      <c r="S148" s="1482">
        <f t="shared" si="61"/>
        <v>0</v>
      </c>
      <c r="T148" s="1482">
        <f t="shared" si="61"/>
        <v>0.4459879758464787</v>
      </c>
      <c r="U148" s="1521">
        <f t="shared" si="60"/>
        <v>1</v>
      </c>
      <c r="V148" s="1522">
        <f t="shared" ref="V148:AB150" si="62">V147</f>
        <v>0.29028184578274857</v>
      </c>
      <c r="W148" s="1482">
        <f t="shared" si="62"/>
        <v>0.30317187715157518</v>
      </c>
      <c r="X148" s="1482">
        <f t="shared" si="62"/>
        <v>8.2805443243048754E-2</v>
      </c>
      <c r="Y148" s="1482">
        <f t="shared" si="62"/>
        <v>0</v>
      </c>
      <c r="Z148" s="1482">
        <f t="shared" si="62"/>
        <v>0</v>
      </c>
      <c r="AA148" s="1482">
        <f t="shared" si="62"/>
        <v>0</v>
      </c>
      <c r="AB148" s="1482">
        <f t="shared" si="62"/>
        <v>0.32374083382262742</v>
      </c>
      <c r="AC148" s="1521">
        <f t="shared" si="48"/>
        <v>0.99999999999999989</v>
      </c>
    </row>
    <row r="149" spans="1:29">
      <c r="A149" s="187">
        <f t="shared" si="57"/>
        <v>2049</v>
      </c>
      <c r="B149" s="1369">
        <f>INDEX(Drivers!$A$8:$AM$8,1,$A149-2011)/1000</f>
        <v>75.134</v>
      </c>
      <c r="C149" s="1369">
        <f>INDEX(Drivers!$A$16:$AM$16,1,$A149-2011)</f>
        <v>6522.2000000000007</v>
      </c>
      <c r="D149" s="1368">
        <f>INDEX(Drivers!$A$25:$AM$25,1,$A149-2011)/INDEX(Drivers!$A$25:$AM$25,1,$A149-2012)*D148</f>
        <v>9416852.0231428221</v>
      </c>
      <c r="E149" s="883">
        <f t="shared" si="56"/>
        <v>50172070.130067617</v>
      </c>
      <c r="F149" s="1299"/>
      <c r="G149" s="1299"/>
      <c r="H149" s="1300"/>
      <c r="I149" s="1533">
        <f t="shared" si="52"/>
        <v>424.26313389388866</v>
      </c>
      <c r="J149" s="1534">
        <f t="shared" si="55"/>
        <v>11.504772374209397</v>
      </c>
      <c r="K149" s="1535">
        <f t="shared" si="42"/>
        <v>31876.586301983432</v>
      </c>
      <c r="L149" s="1535">
        <f t="shared" si="53"/>
        <v>84453.278402211363</v>
      </c>
      <c r="M149" s="1536">
        <f t="shared" si="54"/>
        <v>125208.49650913615</v>
      </c>
      <c r="N149" s="1482">
        <f t="shared" si="61"/>
        <v>0.19892488097366726</v>
      </c>
      <c r="O149" s="1482">
        <f t="shared" si="61"/>
        <v>0.26585903447659598</v>
      </c>
      <c r="P149" s="1482">
        <f t="shared" si="61"/>
        <v>8.9228108703258049E-2</v>
      </c>
      <c r="Q149" s="1482">
        <f t="shared" si="61"/>
        <v>0</v>
      </c>
      <c r="R149" s="1482">
        <f t="shared" si="61"/>
        <v>0</v>
      </c>
      <c r="S149" s="1482">
        <f t="shared" si="61"/>
        <v>0</v>
      </c>
      <c r="T149" s="1482">
        <f t="shared" si="61"/>
        <v>0.4459879758464787</v>
      </c>
      <c r="U149" s="1521">
        <f t="shared" si="60"/>
        <v>1</v>
      </c>
      <c r="V149" s="1522">
        <f t="shared" si="62"/>
        <v>0.29028184578274857</v>
      </c>
      <c r="W149" s="1482">
        <f t="shared" si="62"/>
        <v>0.30317187715157518</v>
      </c>
      <c r="X149" s="1482">
        <f t="shared" si="62"/>
        <v>8.2805443243048754E-2</v>
      </c>
      <c r="Y149" s="1482">
        <f t="shared" si="62"/>
        <v>0</v>
      </c>
      <c r="Z149" s="1482">
        <f t="shared" si="62"/>
        <v>0</v>
      </c>
      <c r="AA149" s="1482">
        <f t="shared" si="62"/>
        <v>0</v>
      </c>
      <c r="AB149" s="1482">
        <f t="shared" si="62"/>
        <v>0.32374083382262742</v>
      </c>
      <c r="AC149" s="1521">
        <f t="shared" si="48"/>
        <v>0.99999999999999989</v>
      </c>
    </row>
    <row r="150" spans="1:29" ht="16.2" thickBot="1">
      <c r="A150" s="878">
        <f t="shared" si="57"/>
        <v>2050</v>
      </c>
      <c r="B150" s="1369">
        <f>INDEX(Drivers!$A$8:$AM$8,1,$A150-2011)/1000</f>
        <v>75.518000000000001</v>
      </c>
      <c r="C150" s="1369">
        <f>INDEX(Drivers!$A$16:$AM$16,1,$A150-2011)</f>
        <v>6747.1300000000019</v>
      </c>
      <c r="D150" s="1368">
        <f>INDEX(Drivers!$A$25:$AM$25,1,$A150-2011)/INDEX(Drivers!$A$25:$AM$25,1,$A150-2012)*D149</f>
        <v>8135871.0855464395</v>
      </c>
      <c r="E150" s="883">
        <f t="shared" si="56"/>
        <v>50172070.130067617</v>
      </c>
      <c r="F150" s="1301"/>
      <c r="G150" s="1301"/>
      <c r="H150" s="1302"/>
      <c r="I150" s="1544">
        <f t="shared" si="52"/>
        <v>424.26313389388866</v>
      </c>
      <c r="J150" s="1545">
        <f t="shared" si="55"/>
        <v>11.504772374209397</v>
      </c>
      <c r="K150" s="1546">
        <f t="shared" si="42"/>
        <v>32039.503345398683</v>
      </c>
      <c r="L150" s="1546">
        <f t="shared" si="53"/>
        <v>85760.065914745908</v>
      </c>
      <c r="M150" s="1547">
        <f t="shared" si="54"/>
        <v>127796.26495926708</v>
      </c>
      <c r="N150" s="1525">
        <f t="shared" si="61"/>
        <v>0.19892488097366726</v>
      </c>
      <c r="O150" s="1525">
        <f t="shared" si="61"/>
        <v>0.26585903447659598</v>
      </c>
      <c r="P150" s="1525">
        <f t="shared" si="61"/>
        <v>8.9228108703258049E-2</v>
      </c>
      <c r="Q150" s="1525">
        <f t="shared" si="61"/>
        <v>0</v>
      </c>
      <c r="R150" s="1525">
        <f t="shared" si="61"/>
        <v>0</v>
      </c>
      <c r="S150" s="1525">
        <f t="shared" si="61"/>
        <v>0</v>
      </c>
      <c r="T150" s="1525">
        <f t="shared" si="61"/>
        <v>0.4459879758464787</v>
      </c>
      <c r="U150" s="1526">
        <f t="shared" si="60"/>
        <v>1</v>
      </c>
      <c r="V150" s="1527">
        <f t="shared" si="62"/>
        <v>0.29028184578274857</v>
      </c>
      <c r="W150" s="1525">
        <f t="shared" si="62"/>
        <v>0.30317187715157518</v>
      </c>
      <c r="X150" s="1525">
        <f t="shared" si="62"/>
        <v>8.2805443243048754E-2</v>
      </c>
      <c r="Y150" s="1525">
        <f t="shared" si="62"/>
        <v>0</v>
      </c>
      <c r="Z150" s="1525">
        <f t="shared" si="62"/>
        <v>0</v>
      </c>
      <c r="AA150" s="1525">
        <f t="shared" si="62"/>
        <v>0</v>
      </c>
      <c r="AB150" s="1525">
        <f t="shared" si="62"/>
        <v>0.32374083382262742</v>
      </c>
      <c r="AC150" s="1526">
        <f t="shared" si="48"/>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0:C40"/>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abSelected="1" topLeftCell="K82" zoomScale="54" zoomScaleNormal="60" workbookViewId="0">
      <selection activeCell="R63" sqref="R63"/>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335"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2.44140625" customWidth="1"/>
    <col min="24" max="24" width="10.6640625" customWidth="1"/>
    <col min="25" max="25" width="11.66406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customWidth="1"/>
    <col min="36" max="37" width="14.6640625" customWidth="1"/>
    <col min="38" max="38" width="12.5546875" customWidth="1"/>
    <col min="39" max="39" width="12.6640625" customWidth="1"/>
    <col min="40" max="40" width="14.44140625" customWidth="1"/>
    <col min="41" max="41" width="18.44140625" customWidth="1"/>
    <col min="42" max="43" width="14.6640625" customWidth="1"/>
    <col min="44" max="44" width="12.5546875" customWidth="1"/>
    <col min="45" max="45" width="12.33203125" customWidth="1"/>
    <col min="47" max="47" width="16.44140625" customWidth="1"/>
    <col min="48" max="48" width="12.6640625" customWidth="1"/>
    <col min="50" max="50" width="13.44140625" customWidth="1"/>
    <col min="51" max="51" width="11.33203125" customWidth="1"/>
    <col min="52" max="52" width="12.6640625" customWidth="1"/>
    <col min="53" max="53" width="21.6640625" customWidth="1"/>
    <col min="54" max="54" width="11.44140625" customWidth="1"/>
    <col min="58" max="58" width="12.6640625" customWidth="1"/>
    <col min="59" max="59" width="20.6640625"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596</v>
      </c>
      <c r="B3">
        <v>21</v>
      </c>
      <c r="C3">
        <v>310</v>
      </c>
      <c r="W3" s="1674" t="s">
        <v>784</v>
      </c>
      <c r="X3" s="1675"/>
      <c r="Y3" s="1675"/>
      <c r="Z3" s="1675"/>
      <c r="AA3" s="1675"/>
      <c r="AB3" s="1675"/>
      <c r="AC3" s="1675"/>
      <c r="AD3" s="1676"/>
      <c r="AE3" t="s">
        <v>782</v>
      </c>
    </row>
    <row r="4" spans="1:16381" ht="15" thickBot="1"/>
    <row r="5" spans="1:16381" ht="16.2" customHeight="1" thickBot="1">
      <c r="C5" s="1677" t="s">
        <v>294</v>
      </c>
      <c r="D5" s="1678"/>
      <c r="E5" s="1678"/>
      <c r="F5" s="1678"/>
      <c r="G5" s="1678"/>
      <c r="H5" s="1678"/>
      <c r="I5" s="1678"/>
      <c r="J5" s="1678"/>
      <c r="K5" s="1679"/>
      <c r="L5" s="1707" t="s">
        <v>593</v>
      </c>
      <c r="M5" s="1708"/>
      <c r="N5" s="1708"/>
      <c r="O5" s="1708"/>
      <c r="P5" s="1709"/>
      <c r="Q5" s="1713" t="s">
        <v>595</v>
      </c>
      <c r="R5" s="1714"/>
      <c r="S5" s="1714"/>
      <c r="T5" s="1714"/>
      <c r="U5" s="1715"/>
      <c r="W5" s="852"/>
      <c r="X5" s="1682" t="s">
        <v>744</v>
      </c>
      <c r="Y5" s="1683"/>
      <c r="Z5" s="1683"/>
      <c r="AA5" s="1683"/>
      <c r="AB5" s="1684"/>
      <c r="AC5" s="115"/>
      <c r="AD5" s="1682" t="s">
        <v>739</v>
      </c>
      <c r="AE5" s="1683"/>
      <c r="AF5" s="1683"/>
      <c r="AG5" s="1683"/>
      <c r="AH5" s="1684"/>
      <c r="AI5" s="115"/>
      <c r="AJ5" s="1682" t="s">
        <v>749</v>
      </c>
      <c r="AK5" s="1683"/>
      <c r="AL5" s="1683"/>
      <c r="AM5" s="1683"/>
      <c r="AN5" s="1684"/>
      <c r="AO5" s="115"/>
      <c r="AP5" s="1682" t="s">
        <v>756</v>
      </c>
      <c r="AQ5" s="1683"/>
      <c r="AR5" s="1683"/>
      <c r="AS5" s="1683"/>
      <c r="AT5" s="1684"/>
      <c r="AU5" s="115"/>
      <c r="AV5" s="1682" t="s">
        <v>772</v>
      </c>
      <c r="AW5" s="1683"/>
      <c r="AX5" s="1683"/>
      <c r="AY5" s="1683"/>
      <c r="AZ5" s="1684"/>
      <c r="BA5" s="115"/>
      <c r="BB5" s="1682" t="s">
        <v>765</v>
      </c>
      <c r="BC5" s="1683"/>
      <c r="BD5" s="1683"/>
      <c r="BE5" s="1683"/>
      <c r="BF5" s="1684"/>
      <c r="BH5" s="1718" t="s">
        <v>217</v>
      </c>
      <c r="BI5" s="1698" t="s">
        <v>733</v>
      </c>
      <c r="BJ5" s="1699"/>
      <c r="BK5" s="1700"/>
      <c r="BL5" s="1699" t="s">
        <v>736</v>
      </c>
      <c r="BM5" s="1699"/>
      <c r="BN5" s="1700"/>
      <c r="BO5" s="1698" t="s">
        <v>750</v>
      </c>
      <c r="BP5" s="1699"/>
      <c r="BQ5" s="1699"/>
      <c r="BR5" s="1698" t="s">
        <v>757</v>
      </c>
      <c r="BS5" s="1699"/>
      <c r="BT5" s="1700"/>
      <c r="BU5" s="1698" t="s">
        <v>773</v>
      </c>
      <c r="BV5" s="1699"/>
      <c r="BW5" s="1700"/>
      <c r="BX5" s="1698" t="s">
        <v>766</v>
      </c>
      <c r="BY5" s="1699"/>
      <c r="BZ5" s="1700"/>
      <c r="CB5" s="1698" t="s">
        <v>781</v>
      </c>
      <c r="CC5" s="1699"/>
      <c r="CD5" s="1698" t="s">
        <v>781</v>
      </c>
      <c r="CE5" s="1699"/>
      <c r="CF5" s="1698" t="s">
        <v>781</v>
      </c>
      <c r="CG5" s="1699"/>
      <c r="CH5" s="1698" t="s">
        <v>781</v>
      </c>
      <c r="CI5" s="1699"/>
      <c r="CJ5" s="1698" t="s">
        <v>781</v>
      </c>
      <c r="CK5" s="1699"/>
      <c r="CL5" s="1698" t="s">
        <v>781</v>
      </c>
      <c r="CM5" s="1699"/>
    </row>
    <row r="6" spans="1:16381" ht="16.2" customHeight="1" thickBot="1">
      <c r="A6" s="1685" t="s">
        <v>217</v>
      </c>
      <c r="B6" s="1693" t="s">
        <v>292</v>
      </c>
      <c r="C6" s="324" t="s">
        <v>187</v>
      </c>
      <c r="D6" s="1695" t="s">
        <v>194</v>
      </c>
      <c r="E6" s="1696"/>
      <c r="F6" s="1697"/>
      <c r="G6" s="1695" t="s">
        <v>189</v>
      </c>
      <c r="H6" s="1696"/>
      <c r="I6" s="1697"/>
      <c r="J6" s="1695" t="s">
        <v>192</v>
      </c>
      <c r="K6" s="1697"/>
      <c r="L6" s="586" t="s">
        <v>187</v>
      </c>
      <c r="M6" s="1716" t="s">
        <v>194</v>
      </c>
      <c r="N6" s="1717"/>
      <c r="O6" s="584" t="s">
        <v>189</v>
      </c>
      <c r="P6" s="589" t="s">
        <v>591</v>
      </c>
      <c r="Q6" s="588" t="s">
        <v>187</v>
      </c>
      <c r="R6" s="591" t="s">
        <v>194</v>
      </c>
      <c r="S6" s="591" t="s">
        <v>590</v>
      </c>
      <c r="T6" s="591" t="s">
        <v>594</v>
      </c>
      <c r="U6" s="592">
        <v>4</v>
      </c>
      <c r="W6" s="1680" t="s">
        <v>217</v>
      </c>
      <c r="X6" s="1318" t="s">
        <v>187</v>
      </c>
      <c r="Y6" s="1319" t="s">
        <v>194</v>
      </c>
      <c r="Z6" s="1319" t="s">
        <v>590</v>
      </c>
      <c r="AA6" s="1319" t="s">
        <v>594</v>
      </c>
      <c r="AB6" s="1320">
        <v>4</v>
      </c>
      <c r="AC6" s="104"/>
      <c r="AD6" s="1318" t="s">
        <v>187</v>
      </c>
      <c r="AE6" s="1319" t="s">
        <v>194</v>
      </c>
      <c r="AF6" s="1319" t="s">
        <v>590</v>
      </c>
      <c r="AG6" s="1319" t="s">
        <v>594</v>
      </c>
      <c r="AH6" s="1320">
        <v>4</v>
      </c>
      <c r="AI6" s="104"/>
      <c r="AJ6" s="588" t="s">
        <v>187</v>
      </c>
      <c r="AK6" s="591" t="s">
        <v>194</v>
      </c>
      <c r="AL6" s="591" t="s">
        <v>590</v>
      </c>
      <c r="AM6" s="591" t="s">
        <v>594</v>
      </c>
      <c r="AN6" s="592">
        <v>4</v>
      </c>
      <c r="AO6" s="104"/>
      <c r="AP6" s="588" t="s">
        <v>187</v>
      </c>
      <c r="AQ6" s="591" t="s">
        <v>194</v>
      </c>
      <c r="AR6" s="591" t="s">
        <v>590</v>
      </c>
      <c r="AS6" s="591" t="s">
        <v>594</v>
      </c>
      <c r="AT6" s="592">
        <v>4</v>
      </c>
      <c r="AU6" s="104"/>
      <c r="AV6" s="588" t="s">
        <v>187</v>
      </c>
      <c r="AW6" s="591" t="s">
        <v>194</v>
      </c>
      <c r="AX6" s="591" t="s">
        <v>590</v>
      </c>
      <c r="AY6" s="591" t="s">
        <v>594</v>
      </c>
      <c r="AZ6" s="592">
        <v>4</v>
      </c>
      <c r="BA6" s="104"/>
      <c r="BB6" s="588" t="s">
        <v>187</v>
      </c>
      <c r="BC6" s="591" t="s">
        <v>194</v>
      </c>
      <c r="BD6" s="591" t="s">
        <v>590</v>
      </c>
      <c r="BE6" s="591" t="s">
        <v>594</v>
      </c>
      <c r="BF6" s="592">
        <v>4</v>
      </c>
      <c r="BH6" s="1719"/>
      <c r="BI6" s="1701"/>
      <c r="BJ6" s="1702"/>
      <c r="BK6" s="1703"/>
      <c r="BL6" s="1702"/>
      <c r="BM6" s="1702"/>
      <c r="BN6" s="1703"/>
      <c r="BO6" s="1701"/>
      <c r="BP6" s="1702"/>
      <c r="BQ6" s="1702"/>
      <c r="BR6" s="1701"/>
      <c r="BS6" s="1702"/>
      <c r="BT6" s="1703"/>
      <c r="BU6" s="1701"/>
      <c r="BV6" s="1702"/>
      <c r="BW6" s="1703"/>
      <c r="BX6" s="1701"/>
      <c r="BY6" s="1702"/>
      <c r="BZ6" s="1703"/>
      <c r="CB6" s="1721"/>
      <c r="CC6" s="1722"/>
      <c r="CD6" s="1721"/>
      <c r="CE6" s="1722"/>
      <c r="CF6" s="1721"/>
      <c r="CG6" s="1722"/>
      <c r="CH6" s="1721"/>
      <c r="CI6" s="1722"/>
      <c r="CJ6" s="1721"/>
      <c r="CK6" s="1722"/>
      <c r="CL6" s="1721"/>
      <c r="CM6" s="1722"/>
    </row>
    <row r="7" spans="1:16381" ht="87" thickBot="1">
      <c r="A7" s="1686"/>
      <c r="B7" s="1694"/>
      <c r="C7" s="581" t="s">
        <v>233</v>
      </c>
      <c r="D7" s="582" t="s">
        <v>234</v>
      </c>
      <c r="E7" s="1689" t="s">
        <v>176</v>
      </c>
      <c r="F7" s="1690"/>
      <c r="G7" s="1688" t="s">
        <v>284</v>
      </c>
      <c r="H7" s="1689"/>
      <c r="I7" s="1690"/>
      <c r="J7" s="1691" t="s">
        <v>193</v>
      </c>
      <c r="K7" s="1692"/>
      <c r="L7" s="587" t="s">
        <v>233</v>
      </c>
      <c r="M7" s="585" t="s">
        <v>234</v>
      </c>
      <c r="N7" s="585" t="s">
        <v>176</v>
      </c>
      <c r="O7" s="585" t="s">
        <v>284</v>
      </c>
      <c r="P7" s="590" t="s">
        <v>193</v>
      </c>
      <c r="Q7" s="588" t="s">
        <v>233</v>
      </c>
      <c r="R7" s="591" t="s">
        <v>589</v>
      </c>
      <c r="S7" s="591" t="s">
        <v>38</v>
      </c>
      <c r="T7" s="591" t="s">
        <v>193</v>
      </c>
      <c r="U7" s="592" t="s">
        <v>719</v>
      </c>
      <c r="W7" s="1681"/>
      <c r="X7" s="1324" t="s">
        <v>233</v>
      </c>
      <c r="Y7" s="1325" t="s">
        <v>589</v>
      </c>
      <c r="Z7" s="1325" t="s">
        <v>38</v>
      </c>
      <c r="AA7" s="1325" t="s">
        <v>193</v>
      </c>
      <c r="AB7" s="1326" t="s">
        <v>719</v>
      </c>
      <c r="AC7" s="1364" t="s">
        <v>783</v>
      </c>
      <c r="AD7" s="1321" t="s">
        <v>233</v>
      </c>
      <c r="AE7" s="1322" t="s">
        <v>589</v>
      </c>
      <c r="AF7" s="1322" t="s">
        <v>38</v>
      </c>
      <c r="AG7" s="1322" t="s">
        <v>193</v>
      </c>
      <c r="AH7" s="1323" t="s">
        <v>719</v>
      </c>
      <c r="AI7" s="1364" t="s">
        <v>783</v>
      </c>
      <c r="AJ7" s="588" t="s">
        <v>233</v>
      </c>
      <c r="AK7" s="591" t="s">
        <v>589</v>
      </c>
      <c r="AL7" s="591" t="s">
        <v>38</v>
      </c>
      <c r="AM7" s="591" t="s">
        <v>193</v>
      </c>
      <c r="AN7" s="592" t="s">
        <v>719</v>
      </c>
      <c r="AO7" s="1364" t="s">
        <v>783</v>
      </c>
      <c r="AP7" s="588" t="s">
        <v>233</v>
      </c>
      <c r="AQ7" s="591" t="s">
        <v>589</v>
      </c>
      <c r="AR7" s="591" t="s">
        <v>38</v>
      </c>
      <c r="AS7" s="591" t="s">
        <v>193</v>
      </c>
      <c r="AT7" s="592" t="s">
        <v>719</v>
      </c>
      <c r="AU7" s="1364" t="s">
        <v>783</v>
      </c>
      <c r="AV7" s="588" t="s">
        <v>233</v>
      </c>
      <c r="AW7" s="591" t="s">
        <v>589</v>
      </c>
      <c r="AX7" s="591" t="s">
        <v>38</v>
      </c>
      <c r="AY7" s="591" t="s">
        <v>193</v>
      </c>
      <c r="AZ7" s="592" t="s">
        <v>719</v>
      </c>
      <c r="BA7" s="1364" t="s">
        <v>783</v>
      </c>
      <c r="BB7" s="588" t="s">
        <v>233</v>
      </c>
      <c r="BC7" s="591" t="s">
        <v>589</v>
      </c>
      <c r="BD7" s="591" t="s">
        <v>38</v>
      </c>
      <c r="BE7" s="591" t="s">
        <v>193</v>
      </c>
      <c r="BF7" s="592" t="s">
        <v>719</v>
      </c>
      <c r="BG7" s="1364" t="s">
        <v>783</v>
      </c>
      <c r="BH7" s="1719"/>
      <c r="BI7" s="1260" t="s">
        <v>745</v>
      </c>
      <c r="BJ7" s="40" t="s">
        <v>746</v>
      </c>
      <c r="BK7" s="1261" t="s">
        <v>747</v>
      </c>
      <c r="BL7" s="1649" t="s">
        <v>740</v>
      </c>
      <c r="BM7" s="1650" t="s">
        <v>741</v>
      </c>
      <c r="BN7" s="1651" t="s">
        <v>742</v>
      </c>
      <c r="BO7" s="1360" t="s">
        <v>752</v>
      </c>
      <c r="BP7" s="40" t="s">
        <v>753</v>
      </c>
      <c r="BQ7" s="592" t="s">
        <v>754</v>
      </c>
      <c r="BR7" s="1260" t="s">
        <v>759</v>
      </c>
      <c r="BS7" s="40" t="s">
        <v>760</v>
      </c>
      <c r="BT7" s="1261" t="s">
        <v>761</v>
      </c>
      <c r="BU7" s="1260" t="s">
        <v>775</v>
      </c>
      <c r="BV7" s="40" t="s">
        <v>776</v>
      </c>
      <c r="BW7" s="592" t="s">
        <v>777</v>
      </c>
      <c r="BX7" s="1260" t="s">
        <v>768</v>
      </c>
      <c r="BY7" s="40" t="s">
        <v>769</v>
      </c>
      <c r="BZ7" s="592" t="s">
        <v>770</v>
      </c>
      <c r="CB7" s="1260" t="s">
        <v>267</v>
      </c>
      <c r="CC7" s="1261" t="s">
        <v>748</v>
      </c>
      <c r="CD7" s="40" t="s">
        <v>267</v>
      </c>
      <c r="CE7" s="1261" t="s">
        <v>743</v>
      </c>
      <c r="CF7" s="40" t="s">
        <v>267</v>
      </c>
      <c r="CG7" s="1261" t="s">
        <v>755</v>
      </c>
      <c r="CH7" s="40" t="s">
        <v>267</v>
      </c>
      <c r="CI7" s="1362" t="s">
        <v>762</v>
      </c>
      <c r="CJ7" s="1260" t="s">
        <v>267</v>
      </c>
      <c r="CK7" s="40" t="s">
        <v>778</v>
      </c>
      <c r="CL7" s="40" t="s">
        <v>267</v>
      </c>
      <c r="CM7" s="1261" t="s">
        <v>771</v>
      </c>
    </row>
    <row r="8" spans="1:16381" ht="15" thickBot="1">
      <c r="A8" s="1687"/>
      <c r="B8" s="325" t="s">
        <v>293</v>
      </c>
      <c r="C8" s="325" t="s">
        <v>188</v>
      </c>
      <c r="D8" s="326" t="s">
        <v>188</v>
      </c>
      <c r="E8" s="327" t="s">
        <v>188</v>
      </c>
      <c r="F8" s="328" t="s">
        <v>191</v>
      </c>
      <c r="G8" s="329" t="s">
        <v>190</v>
      </c>
      <c r="H8" s="327" t="s">
        <v>188</v>
      </c>
      <c r="I8" s="328" t="s">
        <v>191</v>
      </c>
      <c r="J8" s="1109" t="s">
        <v>188</v>
      </c>
      <c r="K8" s="583" t="s">
        <v>191</v>
      </c>
      <c r="L8" s="1704" t="s">
        <v>592</v>
      </c>
      <c r="M8" s="1705"/>
      <c r="N8" s="1705"/>
      <c r="O8" s="1705"/>
      <c r="P8" s="1706"/>
      <c r="Q8" s="1710" t="s">
        <v>592</v>
      </c>
      <c r="R8" s="1711"/>
      <c r="S8" s="1711"/>
      <c r="T8" s="1711"/>
      <c r="U8" s="1712"/>
      <c r="W8" s="127"/>
      <c r="X8" s="1337" t="s">
        <v>744</v>
      </c>
      <c r="Y8" s="354" t="s">
        <v>744</v>
      </c>
      <c r="Z8" s="354" t="s">
        <v>744</v>
      </c>
      <c r="AA8" s="354" t="s">
        <v>744</v>
      </c>
      <c r="AB8" s="1338" t="s">
        <v>744</v>
      </c>
      <c r="AC8" s="104"/>
      <c r="AD8" s="1335" t="s">
        <v>739</v>
      </c>
      <c r="AE8" s="1327" t="s">
        <v>739</v>
      </c>
      <c r="AF8" s="1327" t="s">
        <v>739</v>
      </c>
      <c r="AG8" s="1327" t="s">
        <v>739</v>
      </c>
      <c r="AH8" s="1328" t="s">
        <v>739</v>
      </c>
      <c r="AI8" s="169"/>
      <c r="AJ8" s="1335" t="s">
        <v>749</v>
      </c>
      <c r="AK8" s="1327" t="s">
        <v>749</v>
      </c>
      <c r="AL8" s="1327" t="s">
        <v>749</v>
      </c>
      <c r="AM8" s="1327" t="s">
        <v>749</v>
      </c>
      <c r="AN8" s="1328" t="s">
        <v>749</v>
      </c>
      <c r="AO8" s="169"/>
      <c r="AP8" s="1335" t="s">
        <v>756</v>
      </c>
      <c r="AQ8" s="1327" t="s">
        <v>756</v>
      </c>
      <c r="AR8" s="1327" t="s">
        <v>756</v>
      </c>
      <c r="AS8" s="1327" t="s">
        <v>756</v>
      </c>
      <c r="AT8" s="1328" t="s">
        <v>756</v>
      </c>
      <c r="AU8" s="104"/>
      <c r="AV8" s="1335" t="s">
        <v>772</v>
      </c>
      <c r="AW8" s="1327" t="s">
        <v>772</v>
      </c>
      <c r="AX8" s="1327" t="s">
        <v>772</v>
      </c>
      <c r="AY8" s="1327" t="s">
        <v>772</v>
      </c>
      <c r="AZ8" s="1328" t="s">
        <v>772</v>
      </c>
      <c r="BA8" s="104"/>
      <c r="BB8" s="1335" t="s">
        <v>765</v>
      </c>
      <c r="BC8" s="1327" t="s">
        <v>765</v>
      </c>
      <c r="BD8" s="1327" t="s">
        <v>765</v>
      </c>
      <c r="BE8" s="1327" t="s">
        <v>765</v>
      </c>
      <c r="BF8" s="1328" t="s">
        <v>765</v>
      </c>
      <c r="BH8" s="1720"/>
      <c r="BI8" s="1345" t="s">
        <v>717</v>
      </c>
      <c r="BJ8" s="1346" t="s">
        <v>229</v>
      </c>
      <c r="BK8" s="1347" t="s">
        <v>717</v>
      </c>
      <c r="BL8" s="1345" t="s">
        <v>717</v>
      </c>
      <c r="BM8" s="1346" t="s">
        <v>229</v>
      </c>
      <c r="BN8" s="1347" t="s">
        <v>717</v>
      </c>
      <c r="BO8" s="1548" t="s">
        <v>717</v>
      </c>
      <c r="BP8" s="1346" t="s">
        <v>229</v>
      </c>
      <c r="BQ8" s="1347" t="s">
        <v>717</v>
      </c>
      <c r="BR8" s="1345" t="s">
        <v>717</v>
      </c>
      <c r="BS8" s="1346" t="s">
        <v>229</v>
      </c>
      <c r="BT8" s="1347" t="s">
        <v>717</v>
      </c>
      <c r="BU8" s="1345" t="s">
        <v>717</v>
      </c>
      <c r="BV8" s="1346" t="s">
        <v>229</v>
      </c>
      <c r="BW8" s="1347" t="s">
        <v>717</v>
      </c>
      <c r="BX8" s="1345" t="s">
        <v>717</v>
      </c>
      <c r="BY8" s="1346" t="s">
        <v>229</v>
      </c>
      <c r="BZ8" s="1347" t="s">
        <v>717</v>
      </c>
      <c r="CB8" s="1345" t="s">
        <v>229</v>
      </c>
      <c r="CC8" s="1347" t="s">
        <v>229</v>
      </c>
      <c r="CD8" s="1346" t="s">
        <v>229</v>
      </c>
      <c r="CE8" s="1347" t="s">
        <v>229</v>
      </c>
      <c r="CF8" s="1359" t="s">
        <v>229</v>
      </c>
      <c r="CG8" s="68" t="s">
        <v>229</v>
      </c>
      <c r="CH8" s="1359" t="s">
        <v>229</v>
      </c>
      <c r="CI8" s="1363" t="s">
        <v>229</v>
      </c>
      <c r="CJ8" s="67" t="s">
        <v>229</v>
      </c>
      <c r="CK8" s="1359" t="s">
        <v>229</v>
      </c>
      <c r="CL8" s="1359" t="s">
        <v>229</v>
      </c>
      <c r="CM8" s="68" t="s">
        <v>229</v>
      </c>
    </row>
    <row r="9" spans="1:16381">
      <c r="W9" s="127"/>
      <c r="X9" s="127"/>
      <c r="Y9" s="104"/>
      <c r="Z9" s="104"/>
      <c r="AA9" s="104"/>
      <c r="AB9" s="130"/>
      <c r="AC9" s="104"/>
      <c r="AD9" s="127"/>
      <c r="AE9" s="104"/>
      <c r="AF9" s="104"/>
      <c r="AG9" s="104"/>
      <c r="AH9" s="130"/>
      <c r="AI9" s="104"/>
      <c r="AJ9" s="127"/>
      <c r="AK9" s="104"/>
      <c r="AL9" s="104"/>
      <c r="AM9" s="104"/>
      <c r="AN9" s="130"/>
      <c r="AO9" s="104"/>
      <c r="AP9" s="1263"/>
      <c r="AQ9" s="104"/>
      <c r="AR9" s="104"/>
      <c r="AS9" s="104"/>
      <c r="AT9" s="130"/>
      <c r="AU9" s="104"/>
      <c r="AV9" s="127"/>
      <c r="AW9" s="104"/>
      <c r="AX9" s="104"/>
      <c r="AY9" s="104"/>
      <c r="AZ9" s="130"/>
      <c r="BA9" s="104"/>
      <c r="BB9" s="127"/>
      <c r="BC9" s="104"/>
      <c r="BD9" s="104"/>
      <c r="BE9" s="104"/>
      <c r="BF9" s="130"/>
      <c r="BH9" s="852"/>
      <c r="BI9" s="115"/>
      <c r="BJ9" s="115"/>
      <c r="BK9" s="116"/>
      <c r="BL9" s="852"/>
      <c r="BM9" s="115"/>
      <c r="BN9" s="116"/>
      <c r="BO9" s="115"/>
      <c r="BP9" s="115"/>
      <c r="BQ9" s="116"/>
      <c r="BR9" s="852"/>
      <c r="BS9" s="115"/>
      <c r="BT9" s="116"/>
      <c r="BU9" s="115"/>
      <c r="BV9" s="115"/>
      <c r="BW9" s="116"/>
      <c r="BX9" s="852"/>
      <c r="BY9" s="115"/>
      <c r="BZ9" s="116"/>
      <c r="CB9" s="809">
        <v>0</v>
      </c>
      <c r="CC9" s="728">
        <v>0</v>
      </c>
      <c r="CD9" s="728">
        <v>0</v>
      </c>
      <c r="CE9" s="825">
        <v>0</v>
      </c>
      <c r="CF9" s="809">
        <v>0</v>
      </c>
      <c r="CG9" s="728">
        <v>0</v>
      </c>
      <c r="CH9" s="728">
        <v>0</v>
      </c>
      <c r="CI9" s="825">
        <v>0</v>
      </c>
      <c r="CJ9" s="809">
        <v>0</v>
      </c>
      <c r="CK9" s="728">
        <v>0</v>
      </c>
      <c r="CL9" s="728">
        <v>0</v>
      </c>
      <c r="CM9" s="825">
        <v>0</v>
      </c>
    </row>
    <row r="10" spans="1:16381">
      <c r="A10" s="479">
        <f>'Input data'!A100</f>
        <v>2000</v>
      </c>
      <c r="B10" s="479"/>
      <c r="C10" s="538">
        <f>'4A SWD Case 1'!BG69</f>
        <v>491.35357973617863</v>
      </c>
      <c r="D10" s="594">
        <f>'4B Biological treatment '!T63</f>
        <v>0</v>
      </c>
      <c r="E10" s="539">
        <f>'4B Biological treatment '!U63</f>
        <v>19.215904554973509</v>
      </c>
      <c r="F10" s="539">
        <f>'4B Biological treatment '!W63</f>
        <v>1.1529542732984104</v>
      </c>
      <c r="G10" s="594">
        <f>'4C2 Open-burning '!R70</f>
        <v>26.563802022871144</v>
      </c>
      <c r="H10" s="594">
        <f>'4C2 Open-burning '!Z70</f>
        <v>8.9379061199999992</v>
      </c>
      <c r="I10" s="594">
        <f>'4C2 Open-burning '!AH70</f>
        <v>0.12443073869825218</v>
      </c>
      <c r="J10" s="1110">
        <f>'4D Wastewater treatment and dis'!AV107</f>
        <v>102.10120974240002</v>
      </c>
      <c r="K10" s="594">
        <f>'4D Wastewater treatment and dis'!AW107</f>
        <v>2.2185409303296706</v>
      </c>
      <c r="L10" s="538">
        <f>C10*$B$3</f>
        <v>10318.425174459751</v>
      </c>
      <c r="M10" s="594">
        <f t="shared" ref="M10:M25" si="0">D10*$B$3</f>
        <v>0</v>
      </c>
      <c r="N10" s="538">
        <f>E10*$B$3+F10*$C$3</f>
        <v>760.94982037695092</v>
      </c>
      <c r="O10" s="593">
        <f>G10+H10*$B$3+I10*$C$3</f>
        <v>252.83335953932928</v>
      </c>
      <c r="P10" s="538">
        <f>J10*$B$3+K10*$C$3</f>
        <v>2831.8730929925982</v>
      </c>
      <c r="Q10" s="538">
        <f>L10</f>
        <v>10318.425174459751</v>
      </c>
      <c r="R10" s="595">
        <f>M10+N10</f>
        <v>760.94982037695092</v>
      </c>
      <c r="S10" s="593">
        <f>O10</f>
        <v>252.83335953932928</v>
      </c>
      <c r="T10" s="538">
        <f>P10</f>
        <v>2831.8730929925982</v>
      </c>
      <c r="U10" s="538">
        <f>SUM(Q10:T10)</f>
        <v>14164.08144736863</v>
      </c>
      <c r="V10" s="594"/>
      <c r="W10" s="677">
        <f>A10</f>
        <v>2000</v>
      </c>
      <c r="X10" s="1263">
        <f>Q10</f>
        <v>10318.425174459751</v>
      </c>
      <c r="Y10" s="1264">
        <f t="shared" ref="Y10:AA10" si="1">R10</f>
        <v>760.94982037695092</v>
      </c>
      <c r="Z10" s="1264">
        <f t="shared" si="1"/>
        <v>252.83335953932928</v>
      </c>
      <c r="AA10" s="1264">
        <f t="shared" si="1"/>
        <v>2831.8730929925982</v>
      </c>
      <c r="AB10" s="1331">
        <f>SUM(X10:AA10)</f>
        <v>14164.08144736863</v>
      </c>
      <c r="AC10" s="1264"/>
      <c r="AD10" s="1263">
        <f>Q10</f>
        <v>10318.425174459751</v>
      </c>
      <c r="AE10" s="1264">
        <f t="shared" ref="AE10:AG10" si="2">R10</f>
        <v>760.94982037695092</v>
      </c>
      <c r="AF10" s="1264">
        <f t="shared" si="2"/>
        <v>252.83335953932928</v>
      </c>
      <c r="AG10" s="1264">
        <f t="shared" si="2"/>
        <v>2831.8730929925982</v>
      </c>
      <c r="AH10" s="1331">
        <f>SUM(AD10:AG10)</f>
        <v>14164.08144736863</v>
      </c>
      <c r="AI10" s="1329"/>
      <c r="AJ10" s="1263">
        <f>Q10</f>
        <v>10318.425174459751</v>
      </c>
      <c r="AK10" s="1264">
        <f t="shared" ref="AK10:AM10" si="3">R10</f>
        <v>760.94982037695092</v>
      </c>
      <c r="AL10" s="1264">
        <f t="shared" si="3"/>
        <v>252.83335953932928</v>
      </c>
      <c r="AM10" s="1264">
        <f t="shared" si="3"/>
        <v>2831.8730929925982</v>
      </c>
      <c r="AN10" s="1331">
        <f>SUM(AJ10:AM10)</f>
        <v>14164.08144736863</v>
      </c>
      <c r="AO10" s="1329"/>
      <c r="AP10" s="1263">
        <f>Q10</f>
        <v>10318.425174459751</v>
      </c>
      <c r="AQ10" s="1264">
        <f t="shared" ref="AQ10:AS10" si="4">R10</f>
        <v>760.94982037695092</v>
      </c>
      <c r="AR10" s="1264">
        <f t="shared" si="4"/>
        <v>252.83335953932928</v>
      </c>
      <c r="AS10" s="1264">
        <f t="shared" si="4"/>
        <v>2831.8730929925982</v>
      </c>
      <c r="AT10" s="1331">
        <f>SUM(AP10:AS10)</f>
        <v>14164.08144736863</v>
      </c>
      <c r="AU10" s="1330"/>
      <c r="AV10" s="1263">
        <f>X10</f>
        <v>10318.425174459751</v>
      </c>
      <c r="AW10" s="1264">
        <f>Y10</f>
        <v>760.94982037695092</v>
      </c>
      <c r="AX10" s="1264">
        <f>Z10</f>
        <v>252.83335953932928</v>
      </c>
      <c r="AY10" s="1264">
        <f>AA10</f>
        <v>2831.8730929925982</v>
      </c>
      <c r="AZ10" s="1331">
        <f>SUM(AV10:AY10)</f>
        <v>14164.08144736863</v>
      </c>
      <c r="BA10" s="1330"/>
      <c r="BB10" s="1263">
        <f>Q10</f>
        <v>10318.425174459751</v>
      </c>
      <c r="BC10" s="1264">
        <f t="shared" ref="BC10:BE10" si="5">R10</f>
        <v>760.94982037695092</v>
      </c>
      <c r="BD10" s="1264">
        <f t="shared" si="5"/>
        <v>252.83335953932928</v>
      </c>
      <c r="BE10" s="1264">
        <f t="shared" si="5"/>
        <v>2831.8730929925982</v>
      </c>
      <c r="BF10" s="1331">
        <f>SUM(BB10:BE10)</f>
        <v>14164.08144736863</v>
      </c>
      <c r="BG10" s="594"/>
      <c r="BH10" s="677">
        <f>W10</f>
        <v>2000</v>
      </c>
      <c r="BI10" s="1264">
        <f>'Baseline data (from input)'!AZ56</f>
        <v>79.13189956134427</v>
      </c>
      <c r="BJ10" s="483">
        <f>'Baseline data (from input)'!BA57</f>
        <v>0.19283372758765369</v>
      </c>
      <c r="BK10" s="1265">
        <f>'Baseline data (from input)'!BB57</f>
        <v>32.080220743665109</v>
      </c>
      <c r="BL10" s="1263">
        <f>'Baseline data (from input)'!AZ56</f>
        <v>79.13189956134427</v>
      </c>
      <c r="BM10" s="483">
        <f>'Baseline data (from input)'!BA56</f>
        <v>0.19294173265665418</v>
      </c>
      <c r="BN10" s="1265">
        <f>'Baseline data (from input)'!BB56</f>
        <v>31.23682808253357</v>
      </c>
      <c r="BO10" s="1264">
        <f t="shared" ref="BO10:BQ26" si="6">BI10</f>
        <v>79.13189956134427</v>
      </c>
      <c r="BP10" s="483">
        <f t="shared" si="6"/>
        <v>0.19283372758765369</v>
      </c>
      <c r="BQ10" s="1265">
        <f t="shared" si="6"/>
        <v>32.080220743665109</v>
      </c>
      <c r="BR10" s="1263">
        <f>'Baseline data (from input)'!AZ57</f>
        <v>81.107570993730093</v>
      </c>
      <c r="BS10" s="483">
        <f>'Baseline data (from input)'!BA57</f>
        <v>0.19283372758765369</v>
      </c>
      <c r="BT10" s="1265">
        <f>'Baseline data (from input)'!BB57</f>
        <v>32.080220743665109</v>
      </c>
      <c r="BU10" s="1264">
        <f t="shared" ref="BU10:BW26" si="7">BI10</f>
        <v>79.13189956134427</v>
      </c>
      <c r="BV10" s="483">
        <f t="shared" si="7"/>
        <v>0.19283372758765369</v>
      </c>
      <c r="BW10" s="1265">
        <f t="shared" si="7"/>
        <v>32.080220743665109</v>
      </c>
      <c r="BX10" s="1263">
        <f>'Baseline data (from input)'!AZ57</f>
        <v>81.107570993730093</v>
      </c>
      <c r="BY10" s="483">
        <f>'Baseline data (from input)'!BA57</f>
        <v>0.19283372758765369</v>
      </c>
      <c r="BZ10" s="1265">
        <f>'Baseline data (from input)'!BB57</f>
        <v>32.080220743665109</v>
      </c>
      <c r="CA10" s="677">
        <v>2000</v>
      </c>
      <c r="CB10" s="730">
        <v>0</v>
      </c>
      <c r="CC10" s="483">
        <v>0</v>
      </c>
      <c r="CD10" s="483">
        <v>0</v>
      </c>
      <c r="CE10" s="604">
        <v>0</v>
      </c>
      <c r="CF10" s="730">
        <v>0</v>
      </c>
      <c r="CG10" s="483">
        <v>0</v>
      </c>
      <c r="CH10" s="483">
        <v>0</v>
      </c>
      <c r="CI10" s="604">
        <v>0</v>
      </c>
      <c r="CJ10" s="730">
        <v>0</v>
      </c>
      <c r="CK10" s="483">
        <v>0</v>
      </c>
      <c r="CL10" s="483">
        <v>0</v>
      </c>
      <c r="CM10" s="604">
        <v>0</v>
      </c>
      <c r="CN10" s="594"/>
      <c r="CO10" s="594"/>
      <c r="CP10" s="594"/>
      <c r="CQ10" s="594"/>
      <c r="CR10" s="479"/>
      <c r="CS10" s="479"/>
      <c r="CT10" s="479"/>
      <c r="CU10" s="479"/>
      <c r="CV10" s="479"/>
      <c r="CW10" s="479"/>
      <c r="CX10" s="479"/>
      <c r="CY10" s="479"/>
      <c r="CZ10" s="479"/>
      <c r="DA10" s="479"/>
      <c r="DB10" s="479"/>
      <c r="DC10" s="593"/>
      <c r="DD10" s="594"/>
      <c r="DE10" s="594"/>
      <c r="DF10" s="594"/>
      <c r="DG10" s="594"/>
      <c r="DH10" s="594"/>
      <c r="DI10" s="594"/>
      <c r="DJ10" s="594"/>
      <c r="DK10" s="594"/>
      <c r="DL10" s="594"/>
      <c r="DM10" s="479"/>
      <c r="DN10" s="479"/>
      <c r="DO10" s="479"/>
      <c r="DP10" s="479"/>
      <c r="DQ10" s="479"/>
      <c r="DR10" s="479"/>
      <c r="DS10" s="479"/>
      <c r="DT10" s="479"/>
      <c r="DU10" s="479"/>
      <c r="DV10" s="479"/>
      <c r="DW10" s="479"/>
      <c r="DX10" s="593"/>
      <c r="DY10" s="594"/>
      <c r="DZ10" s="594"/>
      <c r="EA10" s="594"/>
      <c r="EB10" s="594"/>
      <c r="EC10" s="594"/>
      <c r="ED10" s="594"/>
      <c r="EE10" s="594"/>
      <c r="EF10" s="594"/>
      <c r="EG10" s="594"/>
      <c r="EH10" s="479"/>
      <c r="EI10" s="479"/>
      <c r="EJ10" s="479"/>
      <c r="EK10" s="479"/>
      <c r="EL10" s="479"/>
      <c r="EM10" s="479"/>
      <c r="EN10" s="479"/>
      <c r="EO10" s="479"/>
      <c r="EP10" s="479"/>
      <c r="EQ10" s="479"/>
      <c r="ER10" s="479"/>
      <c r="ES10" s="593"/>
      <c r="ET10" s="594"/>
      <c r="EU10" s="594"/>
      <c r="EV10" s="594"/>
      <c r="EW10" s="594"/>
      <c r="EX10" s="594"/>
      <c r="EY10" s="594"/>
      <c r="EZ10" s="594"/>
      <c r="FA10" s="594"/>
      <c r="FB10" s="594"/>
      <c r="FC10" s="479"/>
      <c r="FD10" s="479"/>
      <c r="FE10" s="479"/>
      <c r="FF10" s="479"/>
      <c r="FG10" s="479"/>
      <c r="FH10" s="479"/>
      <c r="FI10" s="479"/>
      <c r="FJ10" s="479"/>
      <c r="FK10" s="479"/>
      <c r="FL10" s="479"/>
      <c r="FM10" s="479"/>
      <c r="FN10" s="593"/>
      <c r="FO10" s="594"/>
      <c r="FP10" s="594"/>
      <c r="FQ10" s="594"/>
      <c r="FR10" s="594"/>
      <c r="FS10" s="594"/>
      <c r="FT10" s="594"/>
      <c r="FU10" s="594"/>
      <c r="FV10" s="594"/>
      <c r="FW10" s="594"/>
      <c r="FX10" s="479"/>
      <c r="FY10" s="479"/>
      <c r="FZ10" s="479"/>
      <c r="GA10" s="479"/>
      <c r="GB10" s="479"/>
      <c r="GC10" s="479"/>
      <c r="GD10" s="479"/>
      <c r="GE10" s="479"/>
      <c r="GF10" s="479"/>
      <c r="GG10" s="479"/>
      <c r="GH10" s="479"/>
      <c r="GI10" s="593"/>
      <c r="GJ10" s="594"/>
      <c r="GK10" s="594"/>
      <c r="GL10" s="594"/>
      <c r="GM10" s="594"/>
      <c r="GN10" s="594"/>
      <c r="GO10" s="594"/>
      <c r="GP10" s="594"/>
      <c r="GQ10" s="594"/>
      <c r="GR10" s="594"/>
      <c r="GS10" s="479"/>
      <c r="GT10" s="479"/>
      <c r="GU10" s="479"/>
      <c r="GV10" s="479"/>
      <c r="GW10" s="479"/>
      <c r="GX10" s="479"/>
      <c r="GY10" s="479"/>
      <c r="GZ10" s="479"/>
      <c r="HA10" s="479"/>
      <c r="HB10" s="479"/>
      <c r="HC10" s="479"/>
      <c r="HD10" s="593"/>
      <c r="HE10" s="594"/>
      <c r="HF10" s="594"/>
      <c r="HG10" s="594"/>
      <c r="HH10" s="594"/>
      <c r="HI10" s="594"/>
      <c r="HJ10" s="594"/>
      <c r="HK10" s="594"/>
      <c r="HL10" s="594"/>
      <c r="HM10" s="594"/>
      <c r="HN10" s="479"/>
      <c r="HO10" s="479"/>
      <c r="HP10" s="479"/>
      <c r="HQ10" s="479"/>
      <c r="HR10" s="479"/>
      <c r="HS10" s="479"/>
      <c r="HT10" s="479"/>
      <c r="HU10" s="479"/>
      <c r="HV10" s="479"/>
      <c r="HW10" s="479"/>
      <c r="HX10" s="479"/>
      <c r="HY10" s="593"/>
      <c r="HZ10" s="594"/>
      <c r="IA10" s="594"/>
      <c r="IB10" s="594"/>
      <c r="IC10" s="594"/>
      <c r="ID10" s="594"/>
      <c r="IE10" s="594"/>
      <c r="IF10" s="594"/>
      <c r="IG10" s="594"/>
      <c r="IH10" s="594"/>
      <c r="II10" s="479"/>
      <c r="IJ10" s="479"/>
      <c r="IK10" s="479"/>
      <c r="IL10" s="479"/>
      <c r="IM10" s="479"/>
      <c r="IN10" s="479"/>
      <c r="IO10" s="479"/>
      <c r="IP10" s="479"/>
      <c r="IQ10" s="479"/>
      <c r="IR10" s="479"/>
      <c r="IS10" s="479"/>
      <c r="IT10" s="593"/>
      <c r="IU10" s="594"/>
      <c r="IV10" s="594"/>
      <c r="IW10" s="594"/>
      <c r="IX10" s="594"/>
      <c r="IY10" s="594"/>
      <c r="IZ10" s="594"/>
      <c r="JA10" s="594"/>
      <c r="JB10" s="594"/>
      <c r="JC10" s="594"/>
      <c r="JD10" s="479"/>
      <c r="JE10" s="479"/>
      <c r="JF10" s="479"/>
      <c r="JG10" s="479"/>
      <c r="JH10" s="479"/>
      <c r="JI10" s="479"/>
      <c r="JJ10" s="479"/>
      <c r="JK10" s="479"/>
      <c r="JL10" s="479"/>
      <c r="JM10" s="479"/>
      <c r="JN10" s="479"/>
      <c r="JO10" s="593"/>
      <c r="JP10" s="594"/>
      <c r="JQ10" s="594"/>
      <c r="JR10" s="594"/>
      <c r="JS10" s="594"/>
      <c r="JT10" s="594"/>
      <c r="JU10" s="594"/>
      <c r="JV10" s="594"/>
      <c r="JW10" s="594"/>
      <c r="JX10" s="594"/>
      <c r="JY10" s="479"/>
      <c r="JZ10" s="479"/>
      <c r="KA10" s="479"/>
      <c r="KB10" s="479"/>
      <c r="KC10" s="479"/>
      <c r="KD10" s="479"/>
      <c r="KE10" s="479"/>
      <c r="KF10" s="479"/>
      <c r="KG10" s="479"/>
      <c r="KH10" s="479"/>
      <c r="KI10" s="479"/>
      <c r="KJ10" s="593"/>
      <c r="KK10" s="594"/>
      <c r="KL10" s="594"/>
      <c r="KM10" s="594"/>
      <c r="KN10" s="594"/>
      <c r="KO10" s="594"/>
      <c r="KP10" s="594"/>
      <c r="KQ10" s="594"/>
      <c r="KR10" s="594"/>
      <c r="KS10" s="594"/>
      <c r="KT10" s="479"/>
      <c r="KU10" s="479"/>
      <c r="KV10" s="479"/>
      <c r="KW10" s="479"/>
      <c r="KX10" s="479"/>
      <c r="KY10" s="479"/>
      <c r="KZ10" s="479"/>
      <c r="LA10" s="479"/>
      <c r="LB10" s="479"/>
      <c r="LC10" s="479"/>
      <c r="LD10" s="479"/>
      <c r="LE10" s="593"/>
      <c r="LF10" s="594"/>
      <c r="LG10" s="594"/>
      <c r="LH10" s="594"/>
      <c r="LI10" s="594"/>
      <c r="LJ10" s="594"/>
      <c r="LK10" s="594"/>
      <c r="LL10" s="594"/>
      <c r="LM10" s="594"/>
      <c r="LN10" s="594"/>
      <c r="LO10" s="479"/>
      <c r="LP10" s="479"/>
      <c r="LQ10" s="479"/>
      <c r="LR10" s="479"/>
      <c r="LS10" s="479"/>
      <c r="LT10" s="479"/>
      <c r="LU10" s="479"/>
      <c r="LV10" s="479"/>
      <c r="LW10" s="479"/>
      <c r="LX10" s="479"/>
      <c r="LY10" s="479"/>
      <c r="LZ10" s="593"/>
      <c r="MA10" s="594"/>
      <c r="MB10" s="594"/>
      <c r="MC10" s="594"/>
      <c r="MD10" s="594"/>
      <c r="ME10" s="594"/>
      <c r="MF10" s="594"/>
      <c r="MG10" s="594"/>
      <c r="MH10" s="594"/>
      <c r="MI10" s="594"/>
      <c r="MJ10" s="479"/>
      <c r="MK10" s="479"/>
      <c r="ML10" s="479"/>
      <c r="MM10" s="479"/>
      <c r="MN10" s="479"/>
      <c r="MO10" s="479"/>
      <c r="MP10" s="479"/>
      <c r="MQ10" s="479"/>
      <c r="MR10" s="479"/>
      <c r="MS10" s="479"/>
      <c r="MT10" s="479"/>
      <c r="MU10" s="593"/>
      <c r="MV10" s="594"/>
      <c r="MW10" s="594"/>
      <c r="MX10" s="594"/>
      <c r="MY10" s="594"/>
      <c r="MZ10" s="594"/>
      <c r="NA10" s="594"/>
      <c r="NB10" s="594"/>
      <c r="NC10" s="594"/>
      <c r="ND10" s="594"/>
      <c r="NE10" s="479"/>
      <c r="NF10" s="479"/>
      <c r="NG10" s="479"/>
      <c r="NH10" s="479"/>
      <c r="NI10" s="479"/>
      <c r="NJ10" s="479"/>
      <c r="NK10" s="479"/>
      <c r="NL10" s="479"/>
      <c r="NM10" s="479"/>
      <c r="NN10" s="479"/>
      <c r="NO10" s="479"/>
      <c r="NP10" s="593"/>
      <c r="NQ10" s="594"/>
      <c r="NR10" s="594"/>
      <c r="NS10" s="594"/>
      <c r="NT10" s="594"/>
      <c r="NU10" s="594"/>
      <c r="NV10" s="594"/>
      <c r="NW10" s="594"/>
      <c r="NX10" s="594"/>
      <c r="NY10" s="594"/>
      <c r="NZ10" s="479"/>
      <c r="OA10" s="479"/>
      <c r="OB10" s="479"/>
      <c r="OC10" s="479"/>
      <c r="OD10" s="479"/>
      <c r="OE10" s="479"/>
      <c r="OF10" s="479"/>
      <c r="OG10" s="479"/>
      <c r="OH10" s="479"/>
      <c r="OI10" s="479"/>
      <c r="OJ10" s="479"/>
      <c r="OK10" s="593"/>
      <c r="OL10" s="594"/>
      <c r="OM10" s="594"/>
      <c r="ON10" s="594"/>
      <c r="OO10" s="594"/>
      <c r="OP10" s="594"/>
      <c r="OQ10" s="594"/>
      <c r="OR10" s="594"/>
      <c r="OS10" s="594"/>
      <c r="OT10" s="594"/>
      <c r="OU10" s="479"/>
      <c r="OV10" s="479"/>
      <c r="OW10" s="479"/>
      <c r="OX10" s="479"/>
      <c r="OY10" s="479"/>
      <c r="OZ10" s="479"/>
      <c r="PA10" s="479"/>
      <c r="PB10" s="479"/>
      <c r="PC10" s="479"/>
      <c r="PD10" s="479"/>
      <c r="PE10" s="479"/>
      <c r="PF10" s="593"/>
      <c r="PG10" s="594"/>
      <c r="PH10" s="594"/>
      <c r="PI10" s="594"/>
      <c r="PJ10" s="594"/>
      <c r="PK10" s="594"/>
      <c r="PL10" s="594"/>
      <c r="PM10" s="594"/>
      <c r="PN10" s="594"/>
      <c r="PO10" s="594"/>
      <c r="PP10" s="479"/>
      <c r="PQ10" s="479"/>
      <c r="PR10" s="479"/>
      <c r="PS10" s="479"/>
      <c r="PT10" s="479"/>
      <c r="PU10" s="479"/>
      <c r="PV10" s="479"/>
      <c r="PW10" s="479"/>
      <c r="PX10" s="479"/>
      <c r="PY10" s="479"/>
      <c r="PZ10" s="479"/>
      <c r="QA10" s="593"/>
      <c r="QB10" s="594"/>
      <c r="QC10" s="594"/>
      <c r="QD10" s="594"/>
      <c r="QE10" s="594"/>
      <c r="QF10" s="594"/>
      <c r="QG10" s="594"/>
      <c r="QH10" s="594"/>
      <c r="QI10" s="594"/>
      <c r="QJ10" s="594"/>
      <c r="QK10" s="479"/>
      <c r="QL10" s="479"/>
      <c r="QM10" s="479"/>
      <c r="QN10" s="479"/>
      <c r="QO10" s="479"/>
      <c r="QP10" s="479"/>
      <c r="QQ10" s="479"/>
      <c r="QR10" s="479"/>
      <c r="QS10" s="479"/>
      <c r="QT10" s="479"/>
      <c r="QU10" s="479"/>
      <c r="QV10" s="593"/>
      <c r="QW10" s="594"/>
      <c r="QX10" s="594"/>
      <c r="QY10" s="594"/>
      <c r="QZ10" s="594"/>
      <c r="RA10" s="594"/>
      <c r="RB10" s="594"/>
      <c r="RC10" s="594"/>
      <c r="RD10" s="594"/>
      <c r="RE10" s="594"/>
      <c r="RF10" s="479"/>
      <c r="RG10" s="479"/>
      <c r="RH10" s="479"/>
      <c r="RI10" s="479"/>
      <c r="RJ10" s="479"/>
      <c r="RK10" s="479"/>
      <c r="RL10" s="479"/>
      <c r="RM10" s="479"/>
      <c r="RN10" s="479"/>
      <c r="RO10" s="479"/>
      <c r="RP10" s="479"/>
      <c r="RQ10" s="593"/>
      <c r="RR10" s="594"/>
      <c r="RS10" s="594"/>
      <c r="RT10" s="594"/>
      <c r="RU10" s="594"/>
      <c r="RV10" s="594"/>
      <c r="RW10" s="594"/>
      <c r="RX10" s="594"/>
      <c r="RY10" s="594"/>
      <c r="RZ10" s="594"/>
      <c r="SA10" s="479"/>
      <c r="SB10" s="479"/>
      <c r="SC10" s="479"/>
      <c r="SD10" s="479"/>
      <c r="SE10" s="479"/>
      <c r="SF10" s="479"/>
      <c r="SG10" s="479"/>
      <c r="SH10" s="479"/>
      <c r="SI10" s="479"/>
      <c r="SJ10" s="479"/>
      <c r="SK10" s="479"/>
      <c r="SL10" s="593"/>
      <c r="SM10" s="594"/>
      <c r="SN10" s="594"/>
      <c r="SO10" s="594"/>
      <c r="SP10" s="594"/>
      <c r="SQ10" s="594"/>
      <c r="SR10" s="594"/>
      <c r="SS10" s="594"/>
      <c r="ST10" s="594"/>
      <c r="SU10" s="594"/>
      <c r="SV10" s="479"/>
      <c r="SW10" s="479"/>
      <c r="SX10" s="479"/>
      <c r="SY10" s="479"/>
      <c r="SZ10" s="479"/>
      <c r="TA10" s="479"/>
      <c r="TB10" s="479"/>
      <c r="TC10" s="479"/>
      <c r="TD10" s="479"/>
      <c r="TE10" s="479"/>
      <c r="TF10" s="479"/>
      <c r="TG10" s="593"/>
      <c r="TH10" s="594"/>
      <c r="TI10" s="594"/>
      <c r="TJ10" s="594"/>
      <c r="TK10" s="594"/>
      <c r="TL10" s="594"/>
      <c r="TM10" s="594"/>
      <c r="TN10" s="594"/>
      <c r="TO10" s="594"/>
      <c r="TP10" s="594"/>
      <c r="TQ10" s="479"/>
      <c r="TR10" s="479"/>
      <c r="TS10" s="479"/>
      <c r="TT10" s="479"/>
      <c r="TU10" s="479"/>
      <c r="TV10" s="479"/>
      <c r="TW10" s="479"/>
      <c r="TX10" s="479"/>
      <c r="TY10" s="479"/>
      <c r="TZ10" s="479"/>
      <c r="UA10" s="479"/>
      <c r="UB10" s="593"/>
      <c r="UC10" s="594"/>
      <c r="UD10" s="594"/>
      <c r="UE10" s="594"/>
      <c r="UF10" s="594"/>
      <c r="UG10" s="594"/>
      <c r="UH10" s="594"/>
      <c r="UI10" s="594"/>
      <c r="UJ10" s="594"/>
      <c r="UK10" s="594"/>
      <c r="UL10" s="479"/>
      <c r="UM10" s="479"/>
      <c r="UN10" s="479"/>
      <c r="UO10" s="479"/>
      <c r="UP10" s="479"/>
      <c r="UQ10" s="479"/>
      <c r="UR10" s="479"/>
      <c r="US10" s="479"/>
      <c r="UT10" s="479"/>
      <c r="UU10" s="479"/>
      <c r="UV10" s="479"/>
      <c r="UW10" s="593"/>
      <c r="UX10" s="594"/>
      <c r="UY10" s="594"/>
      <c r="UZ10" s="594"/>
      <c r="VA10" s="594"/>
      <c r="VB10" s="594"/>
      <c r="VC10" s="594"/>
      <c r="VD10" s="594"/>
      <c r="VE10" s="594"/>
      <c r="VF10" s="594"/>
      <c r="VG10" s="479"/>
      <c r="VH10" s="479"/>
      <c r="VI10" s="479"/>
      <c r="VJ10" s="479"/>
      <c r="VK10" s="479"/>
      <c r="VL10" s="479"/>
      <c r="VM10" s="479"/>
      <c r="VN10" s="479"/>
      <c r="VO10" s="479"/>
      <c r="VP10" s="479"/>
      <c r="VQ10" s="479"/>
      <c r="VR10" s="593"/>
      <c r="VS10" s="594"/>
      <c r="VT10" s="594"/>
      <c r="VU10" s="594"/>
      <c r="VV10" s="594"/>
      <c r="VW10" s="594"/>
      <c r="VX10" s="594"/>
      <c r="VY10" s="594"/>
      <c r="VZ10" s="594"/>
      <c r="WA10" s="594"/>
      <c r="WB10" s="479"/>
      <c r="WC10" s="479"/>
      <c r="WD10" s="479"/>
      <c r="WE10" s="479"/>
      <c r="WF10" s="479"/>
      <c r="WG10" s="479"/>
      <c r="WH10" s="479"/>
      <c r="WI10" s="479"/>
      <c r="WJ10" s="479"/>
      <c r="WK10" s="479"/>
      <c r="WL10" s="479"/>
      <c r="WM10" s="593"/>
      <c r="WN10" s="594"/>
      <c r="WO10" s="594"/>
      <c r="WP10" s="594"/>
      <c r="WQ10" s="594"/>
      <c r="WR10" s="594"/>
      <c r="WS10" s="594"/>
      <c r="WT10" s="594"/>
      <c r="WU10" s="594"/>
      <c r="WV10" s="594"/>
      <c r="WW10" s="479"/>
      <c r="WX10" s="479"/>
      <c r="WY10" s="479"/>
      <c r="WZ10" s="479"/>
      <c r="XA10" s="479"/>
      <c r="XB10" s="479"/>
      <c r="XC10" s="479"/>
      <c r="XD10" s="479"/>
      <c r="XE10" s="479"/>
      <c r="XF10" s="479"/>
      <c r="XG10" s="479"/>
      <c r="XH10" s="593"/>
      <c r="XI10" s="594"/>
      <c r="XJ10" s="594"/>
      <c r="XK10" s="594"/>
      <c r="XL10" s="594"/>
      <c r="XM10" s="594"/>
      <c r="XN10" s="594"/>
      <c r="XO10" s="594"/>
      <c r="XP10" s="594"/>
      <c r="XQ10" s="594"/>
      <c r="XR10" s="479"/>
      <c r="XS10" s="479"/>
      <c r="XT10" s="479"/>
      <c r="XU10" s="479"/>
      <c r="XV10" s="479"/>
      <c r="XW10" s="479"/>
      <c r="XX10" s="479"/>
      <c r="XY10" s="479"/>
      <c r="XZ10" s="479"/>
      <c r="YA10" s="479"/>
      <c r="YB10" s="479"/>
      <c r="YC10" s="593"/>
      <c r="YD10" s="594"/>
      <c r="YE10" s="594"/>
      <c r="YF10" s="594"/>
      <c r="YG10" s="594"/>
      <c r="YH10" s="594"/>
      <c r="YI10" s="594"/>
      <c r="YJ10" s="594"/>
      <c r="YK10" s="594"/>
      <c r="YL10" s="594"/>
      <c r="YM10" s="479"/>
      <c r="YN10" s="479"/>
      <c r="YO10" s="479"/>
      <c r="YP10" s="479"/>
      <c r="YQ10" s="479"/>
      <c r="YR10" s="479"/>
      <c r="YS10" s="479"/>
      <c r="YT10" s="479"/>
      <c r="YU10" s="479"/>
      <c r="YV10" s="479"/>
      <c r="YW10" s="479"/>
      <c r="YX10" s="593"/>
      <c r="YY10" s="594"/>
      <c r="YZ10" s="594"/>
      <c r="ZA10" s="594"/>
      <c r="ZB10" s="594"/>
      <c r="ZC10" s="594"/>
      <c r="ZD10" s="594"/>
      <c r="ZE10" s="594"/>
      <c r="ZF10" s="594"/>
      <c r="ZG10" s="594"/>
      <c r="ZH10" s="479"/>
      <c r="ZI10" s="479"/>
      <c r="ZJ10" s="479"/>
      <c r="ZK10" s="479"/>
      <c r="ZL10" s="479"/>
      <c r="ZM10" s="479"/>
      <c r="ZN10" s="479"/>
      <c r="ZO10" s="479"/>
      <c r="ZP10" s="479"/>
      <c r="ZQ10" s="479"/>
      <c r="ZR10" s="479"/>
      <c r="ZS10" s="593"/>
      <c r="ZT10" s="594"/>
      <c r="ZU10" s="594"/>
      <c r="ZV10" s="594"/>
      <c r="ZW10" s="594"/>
      <c r="ZX10" s="594"/>
      <c r="ZY10" s="594"/>
      <c r="ZZ10" s="594"/>
      <c r="AAA10" s="594"/>
      <c r="AAB10" s="594"/>
      <c r="AAC10" s="479"/>
      <c r="AAD10" s="479"/>
      <c r="AAE10" s="479"/>
      <c r="AAF10" s="479"/>
      <c r="AAG10" s="479"/>
      <c r="AAH10" s="479"/>
      <c r="AAI10" s="479"/>
      <c r="AAJ10" s="479"/>
      <c r="AAK10" s="479"/>
      <c r="AAL10" s="479"/>
      <c r="AAM10" s="479"/>
      <c r="AAN10" s="593"/>
      <c r="AAO10" s="594"/>
      <c r="AAP10" s="594"/>
      <c r="AAQ10" s="594"/>
      <c r="AAR10" s="594"/>
      <c r="AAS10" s="594"/>
      <c r="AAT10" s="594"/>
      <c r="AAU10" s="594"/>
      <c r="AAV10" s="594"/>
      <c r="AAW10" s="594"/>
      <c r="AAX10" s="479"/>
      <c r="AAY10" s="479"/>
      <c r="AAZ10" s="479"/>
      <c r="ABA10" s="479"/>
      <c r="ABB10" s="479"/>
      <c r="ABC10" s="479"/>
      <c r="ABD10" s="479"/>
      <c r="ABE10" s="479"/>
      <c r="ABF10" s="479"/>
      <c r="ABG10" s="479"/>
      <c r="ABH10" s="479"/>
      <c r="ABI10" s="593"/>
      <c r="ABJ10" s="594"/>
      <c r="ABK10" s="594"/>
      <c r="ABL10" s="594"/>
      <c r="ABM10" s="594"/>
      <c r="ABN10" s="594"/>
      <c r="ABO10" s="594"/>
      <c r="ABP10" s="594"/>
      <c r="ABQ10" s="594"/>
      <c r="ABR10" s="594"/>
      <c r="ABS10" s="479"/>
      <c r="ABT10" s="479"/>
      <c r="ABU10" s="479"/>
      <c r="ABV10" s="479"/>
      <c r="ABW10" s="479"/>
      <c r="ABX10" s="479"/>
      <c r="ABY10" s="479"/>
      <c r="ABZ10" s="479"/>
      <c r="ACA10" s="479"/>
      <c r="ACB10" s="479"/>
      <c r="ACC10" s="479"/>
      <c r="ACD10" s="593"/>
      <c r="ACE10" s="594"/>
      <c r="ACF10" s="594"/>
      <c r="ACG10" s="594"/>
      <c r="ACH10" s="594"/>
      <c r="ACI10" s="594"/>
      <c r="ACJ10" s="594"/>
      <c r="ACK10" s="594"/>
      <c r="ACL10" s="594"/>
      <c r="ACM10" s="594"/>
      <c r="ACN10" s="479"/>
      <c r="ACO10" s="479"/>
      <c r="ACP10" s="479"/>
      <c r="ACQ10" s="479"/>
      <c r="ACR10" s="479"/>
      <c r="ACS10" s="479"/>
      <c r="ACT10" s="479"/>
      <c r="ACU10" s="479"/>
      <c r="ACV10" s="479"/>
      <c r="ACW10" s="479"/>
      <c r="ACX10" s="479"/>
      <c r="ACY10" s="593"/>
      <c r="ACZ10" s="594"/>
      <c r="ADA10" s="594"/>
      <c r="ADB10" s="594"/>
      <c r="ADC10" s="594"/>
      <c r="ADD10" s="594"/>
      <c r="ADE10" s="594"/>
      <c r="ADF10" s="594"/>
      <c r="ADG10" s="594"/>
      <c r="ADH10" s="594"/>
      <c r="ADI10" s="479"/>
      <c r="ADJ10" s="479"/>
      <c r="ADK10" s="479"/>
      <c r="ADL10" s="479"/>
      <c r="ADM10" s="479"/>
      <c r="ADN10" s="479"/>
      <c r="ADO10" s="479"/>
      <c r="ADP10" s="479"/>
      <c r="ADQ10" s="479"/>
      <c r="ADR10" s="479"/>
      <c r="ADS10" s="479"/>
      <c r="ADT10" s="593"/>
      <c r="ADU10" s="594"/>
      <c r="ADV10" s="594"/>
      <c r="ADW10" s="594"/>
      <c r="ADX10" s="594"/>
      <c r="ADY10" s="594"/>
      <c r="ADZ10" s="594"/>
      <c r="AEA10" s="594"/>
      <c r="AEB10" s="594"/>
      <c r="AEC10" s="594"/>
      <c r="AED10" s="479"/>
      <c r="AEE10" s="479"/>
      <c r="AEF10" s="479"/>
      <c r="AEG10" s="479"/>
      <c r="AEH10" s="479"/>
      <c r="AEI10" s="479"/>
      <c r="AEJ10" s="479"/>
      <c r="AEK10" s="479"/>
      <c r="AEL10" s="479"/>
      <c r="AEM10" s="479"/>
      <c r="AEN10" s="479"/>
      <c r="AEO10" s="593"/>
      <c r="AEP10" s="594"/>
      <c r="AEQ10" s="594"/>
      <c r="AER10" s="594"/>
      <c r="AES10" s="594"/>
      <c r="AET10" s="594"/>
      <c r="AEU10" s="594"/>
      <c r="AEV10" s="594"/>
      <c r="AEW10" s="594"/>
      <c r="AEX10" s="594"/>
      <c r="AEY10" s="479"/>
      <c r="AEZ10" s="479"/>
      <c r="AFA10" s="479"/>
      <c r="AFB10" s="479"/>
      <c r="AFC10" s="479"/>
      <c r="AFD10" s="479"/>
      <c r="AFE10" s="479"/>
      <c r="AFF10" s="479"/>
      <c r="AFG10" s="479"/>
      <c r="AFH10" s="479"/>
      <c r="AFI10" s="479"/>
      <c r="AFJ10" s="593"/>
      <c r="AFK10" s="594"/>
      <c r="AFL10" s="594"/>
      <c r="AFM10" s="594"/>
      <c r="AFN10" s="594"/>
      <c r="AFO10" s="594"/>
      <c r="AFP10" s="594"/>
      <c r="AFQ10" s="594"/>
      <c r="AFR10" s="594"/>
      <c r="AFS10" s="594"/>
      <c r="AFT10" s="479"/>
      <c r="AFU10" s="479"/>
      <c r="AFV10" s="479"/>
      <c r="AFW10" s="479"/>
      <c r="AFX10" s="479"/>
      <c r="AFY10" s="479"/>
      <c r="AFZ10" s="479"/>
      <c r="AGA10" s="479"/>
      <c r="AGB10" s="479"/>
      <c r="AGC10" s="479"/>
      <c r="AGD10" s="479"/>
      <c r="AGE10" s="593"/>
      <c r="AGF10" s="594"/>
      <c r="AGG10" s="594"/>
      <c r="AGH10" s="594"/>
      <c r="AGI10" s="594"/>
      <c r="AGJ10" s="594"/>
      <c r="AGK10" s="594"/>
      <c r="AGL10" s="594"/>
      <c r="AGM10" s="594"/>
      <c r="AGN10" s="594"/>
      <c r="AGO10" s="479"/>
      <c r="AGP10" s="479"/>
      <c r="AGQ10" s="479"/>
      <c r="AGR10" s="479"/>
      <c r="AGS10" s="479"/>
      <c r="AGT10" s="479"/>
      <c r="AGU10" s="479"/>
      <c r="AGV10" s="479"/>
      <c r="AGW10" s="479"/>
      <c r="AGX10" s="479"/>
      <c r="AGY10" s="479"/>
      <c r="AGZ10" s="593"/>
      <c r="AHA10" s="594"/>
      <c r="AHB10" s="594"/>
      <c r="AHC10" s="594"/>
      <c r="AHD10" s="594"/>
      <c r="AHE10" s="594"/>
      <c r="AHF10" s="594"/>
      <c r="AHG10" s="594"/>
      <c r="AHH10" s="594"/>
      <c r="AHI10" s="594"/>
      <c r="AHJ10" s="479"/>
      <c r="AHK10" s="479"/>
      <c r="AHL10" s="479"/>
      <c r="AHM10" s="479"/>
      <c r="AHN10" s="479"/>
      <c r="AHO10" s="479"/>
      <c r="AHP10" s="479"/>
      <c r="AHQ10" s="479"/>
      <c r="AHR10" s="479"/>
      <c r="AHS10" s="479"/>
      <c r="AHT10" s="479"/>
      <c r="AHU10" s="593"/>
      <c r="AHV10" s="594"/>
      <c r="AHW10" s="594"/>
      <c r="AHX10" s="594"/>
      <c r="AHY10" s="594"/>
      <c r="AHZ10" s="594"/>
      <c r="AIA10" s="594"/>
      <c r="AIB10" s="594"/>
      <c r="AIC10" s="594"/>
      <c r="AID10" s="594"/>
      <c r="AIE10" s="479"/>
      <c r="AIF10" s="479"/>
      <c r="AIG10" s="479"/>
      <c r="AIH10" s="479"/>
      <c r="AII10" s="479"/>
      <c r="AIJ10" s="479"/>
      <c r="AIK10" s="479"/>
      <c r="AIL10" s="479"/>
      <c r="AIM10" s="479"/>
      <c r="AIN10" s="479"/>
      <c r="AIO10" s="479"/>
      <c r="AIP10" s="593"/>
      <c r="AIQ10" s="594"/>
      <c r="AIR10" s="594"/>
      <c r="AIS10" s="594"/>
      <c r="AIT10" s="594"/>
      <c r="AIU10" s="594"/>
      <c r="AIV10" s="594"/>
      <c r="AIW10" s="594"/>
      <c r="AIX10" s="594"/>
      <c r="AIY10" s="594"/>
      <c r="AIZ10" s="479"/>
      <c r="AJA10" s="479"/>
      <c r="AJB10" s="479"/>
      <c r="AJC10" s="479"/>
      <c r="AJD10" s="479"/>
      <c r="AJE10" s="479"/>
      <c r="AJF10" s="479"/>
      <c r="AJG10" s="479"/>
      <c r="AJH10" s="479"/>
      <c r="AJI10" s="479"/>
      <c r="AJJ10" s="479"/>
      <c r="AJK10" s="593"/>
      <c r="AJL10" s="594"/>
      <c r="AJM10" s="594"/>
      <c r="AJN10" s="594"/>
      <c r="AJO10" s="594"/>
      <c r="AJP10" s="594"/>
      <c r="AJQ10" s="594"/>
      <c r="AJR10" s="594"/>
      <c r="AJS10" s="594"/>
      <c r="AJT10" s="594"/>
      <c r="AJU10" s="479"/>
      <c r="AJV10" s="479"/>
      <c r="AJW10" s="479"/>
      <c r="AJX10" s="479"/>
      <c r="AJY10" s="479"/>
      <c r="AJZ10" s="479"/>
      <c r="AKA10" s="479"/>
      <c r="AKB10" s="479"/>
      <c r="AKC10" s="479"/>
      <c r="AKD10" s="479"/>
      <c r="AKE10" s="479"/>
      <c r="AKF10" s="593"/>
      <c r="AKG10" s="594"/>
      <c r="AKH10" s="594"/>
      <c r="AKI10" s="594"/>
      <c r="AKJ10" s="594"/>
      <c r="AKK10" s="594"/>
      <c r="AKL10" s="594"/>
      <c r="AKM10" s="594"/>
      <c r="AKN10" s="594"/>
      <c r="AKO10" s="594"/>
      <c r="AKP10" s="479"/>
      <c r="AKQ10" s="479"/>
      <c r="AKR10" s="479"/>
      <c r="AKS10" s="479"/>
      <c r="AKT10" s="479"/>
      <c r="AKU10" s="479"/>
      <c r="AKV10" s="479"/>
      <c r="AKW10" s="479"/>
      <c r="AKX10" s="479"/>
      <c r="AKY10" s="479"/>
      <c r="AKZ10" s="479"/>
      <c r="ALA10" s="593"/>
      <c r="ALB10" s="594"/>
      <c r="ALC10" s="594"/>
      <c r="ALD10" s="594"/>
      <c r="ALE10" s="594"/>
      <c r="ALF10" s="594"/>
      <c r="ALG10" s="594"/>
      <c r="ALH10" s="594"/>
      <c r="ALI10" s="594"/>
      <c r="ALJ10" s="594"/>
      <c r="ALK10" s="479"/>
      <c r="ALL10" s="479"/>
      <c r="ALM10" s="479"/>
      <c r="ALN10" s="479"/>
      <c r="ALO10" s="479"/>
      <c r="ALP10" s="479"/>
      <c r="ALQ10" s="479"/>
      <c r="ALR10" s="479"/>
      <c r="ALS10" s="479"/>
      <c r="ALT10" s="479"/>
      <c r="ALU10" s="479"/>
      <c r="ALV10" s="593"/>
      <c r="ALW10" s="594"/>
      <c r="ALX10" s="594"/>
      <c r="ALY10" s="594"/>
      <c r="ALZ10" s="594"/>
      <c r="AMA10" s="594"/>
      <c r="AMB10" s="594"/>
      <c r="AMC10" s="594"/>
      <c r="AMD10" s="594"/>
      <c r="AME10" s="594"/>
      <c r="AMF10" s="479"/>
      <c r="AMG10" s="479"/>
      <c r="AMH10" s="479"/>
      <c r="AMI10" s="479"/>
      <c r="AMJ10" s="479"/>
      <c r="AMK10" s="479"/>
      <c r="AML10" s="479"/>
      <c r="AMM10" s="479"/>
      <c r="AMN10" s="479"/>
      <c r="AMO10" s="479"/>
      <c r="AMP10" s="479"/>
      <c r="AMQ10" s="593"/>
      <c r="AMR10" s="594"/>
      <c r="AMS10" s="594"/>
      <c r="AMT10" s="594"/>
      <c r="AMU10" s="594"/>
      <c r="AMV10" s="594"/>
      <c r="AMW10" s="594"/>
      <c r="AMX10" s="594"/>
      <c r="AMY10" s="594"/>
      <c r="AMZ10" s="594"/>
      <c r="ANA10" s="479"/>
      <c r="ANB10" s="479"/>
      <c r="ANC10" s="479"/>
      <c r="AND10" s="479"/>
      <c r="ANE10" s="479"/>
      <c r="ANF10" s="479"/>
      <c r="ANG10" s="479"/>
      <c r="ANH10" s="479"/>
      <c r="ANI10" s="479"/>
      <c r="ANJ10" s="479"/>
      <c r="ANK10" s="479"/>
      <c r="ANL10" s="593"/>
      <c r="ANM10" s="594"/>
      <c r="ANN10" s="594"/>
      <c r="ANO10" s="594"/>
      <c r="ANP10" s="594"/>
      <c r="ANQ10" s="594"/>
      <c r="ANR10" s="594"/>
      <c r="ANS10" s="594"/>
      <c r="ANT10" s="594"/>
      <c r="ANU10" s="594"/>
      <c r="ANV10" s="479"/>
      <c r="ANW10" s="479"/>
      <c r="ANX10" s="479"/>
      <c r="ANY10" s="479"/>
      <c r="ANZ10" s="479"/>
      <c r="AOA10" s="479"/>
      <c r="AOB10" s="479"/>
      <c r="AOC10" s="479"/>
      <c r="AOD10" s="479"/>
      <c r="AOE10" s="479"/>
      <c r="AOF10" s="479"/>
      <c r="AOG10" s="593"/>
      <c r="AOH10" s="594"/>
      <c r="AOI10" s="594"/>
      <c r="AOJ10" s="594"/>
      <c r="AOK10" s="594"/>
      <c r="AOL10" s="594"/>
      <c r="AOM10" s="594"/>
      <c r="AON10" s="594"/>
      <c r="AOO10" s="594"/>
      <c r="AOP10" s="594"/>
      <c r="AOQ10" s="479"/>
      <c r="AOR10" s="479"/>
      <c r="AOS10" s="479"/>
      <c r="AOT10" s="479"/>
      <c r="AOU10" s="479"/>
      <c r="AOV10" s="479"/>
      <c r="AOW10" s="479"/>
      <c r="AOX10" s="479"/>
      <c r="AOY10" s="479"/>
      <c r="AOZ10" s="479"/>
      <c r="APA10" s="479"/>
      <c r="APB10" s="593"/>
      <c r="APC10" s="594"/>
      <c r="APD10" s="594"/>
      <c r="APE10" s="594"/>
      <c r="APF10" s="594"/>
      <c r="APG10" s="594"/>
      <c r="APH10" s="594"/>
      <c r="API10" s="594"/>
      <c r="APJ10" s="594"/>
      <c r="APK10" s="594"/>
      <c r="APL10" s="479"/>
      <c r="APM10" s="479"/>
      <c r="APN10" s="479"/>
      <c r="APO10" s="479"/>
      <c r="APP10" s="479"/>
      <c r="APQ10" s="479"/>
      <c r="APR10" s="479"/>
      <c r="APS10" s="479"/>
      <c r="APT10" s="479"/>
      <c r="APU10" s="479"/>
      <c r="APV10" s="479"/>
      <c r="APW10" s="593"/>
      <c r="APX10" s="594"/>
      <c r="APY10" s="594"/>
      <c r="APZ10" s="594"/>
      <c r="AQA10" s="594"/>
      <c r="AQB10" s="594"/>
      <c r="AQC10" s="594"/>
      <c r="AQD10" s="594"/>
      <c r="AQE10" s="594"/>
      <c r="AQF10" s="594"/>
      <c r="AQG10" s="479"/>
      <c r="AQH10" s="479"/>
      <c r="AQI10" s="479"/>
      <c r="AQJ10" s="479"/>
      <c r="AQK10" s="479"/>
      <c r="AQL10" s="479"/>
      <c r="AQM10" s="479"/>
      <c r="AQN10" s="479"/>
      <c r="AQO10" s="479"/>
      <c r="AQP10" s="479"/>
      <c r="AQQ10" s="479"/>
      <c r="AQR10" s="593"/>
      <c r="AQS10" s="594"/>
      <c r="AQT10" s="594"/>
      <c r="AQU10" s="594"/>
      <c r="AQV10" s="594"/>
      <c r="AQW10" s="594"/>
      <c r="AQX10" s="594"/>
      <c r="AQY10" s="594"/>
      <c r="AQZ10" s="594"/>
      <c r="ARA10" s="594"/>
      <c r="ARB10" s="479"/>
      <c r="ARC10" s="479"/>
      <c r="ARD10" s="479"/>
      <c r="ARE10" s="479"/>
      <c r="ARF10" s="479"/>
      <c r="ARG10" s="479"/>
      <c r="ARH10" s="479"/>
      <c r="ARI10" s="479"/>
      <c r="ARJ10" s="479"/>
      <c r="ARK10" s="479"/>
      <c r="ARL10" s="479"/>
      <c r="ARM10" s="593"/>
      <c r="ARN10" s="594"/>
      <c r="ARO10" s="594"/>
      <c r="ARP10" s="594"/>
      <c r="ARQ10" s="594"/>
      <c r="ARR10" s="594"/>
      <c r="ARS10" s="594"/>
      <c r="ART10" s="594"/>
      <c r="ARU10" s="594"/>
      <c r="ARV10" s="594"/>
      <c r="ARW10" s="479"/>
      <c r="ARX10" s="479"/>
      <c r="ARY10" s="479"/>
      <c r="ARZ10" s="479"/>
      <c r="ASA10" s="479"/>
      <c r="ASB10" s="479"/>
      <c r="ASC10" s="479"/>
      <c r="ASD10" s="479"/>
      <c r="ASE10" s="479"/>
      <c r="ASF10" s="479"/>
      <c r="ASG10" s="479"/>
      <c r="ASH10" s="593"/>
      <c r="ASI10" s="594"/>
      <c r="ASJ10" s="594"/>
      <c r="ASK10" s="594"/>
      <c r="ASL10" s="594"/>
      <c r="ASM10" s="594"/>
      <c r="ASN10" s="594"/>
      <c r="ASO10" s="594"/>
      <c r="ASP10" s="594"/>
      <c r="ASQ10" s="594"/>
      <c r="ASR10" s="479"/>
      <c r="ASS10" s="479"/>
      <c r="AST10" s="479"/>
      <c r="ASU10" s="479"/>
      <c r="ASV10" s="479"/>
      <c r="ASW10" s="479"/>
      <c r="ASX10" s="479"/>
      <c r="ASY10" s="479"/>
      <c r="ASZ10" s="479"/>
      <c r="ATA10" s="479"/>
      <c r="ATB10" s="479"/>
      <c r="ATC10" s="593"/>
      <c r="ATD10" s="594"/>
      <c r="ATE10" s="594"/>
      <c r="ATF10" s="594"/>
      <c r="ATG10" s="594"/>
      <c r="ATH10" s="594"/>
      <c r="ATI10" s="594"/>
      <c r="ATJ10" s="594"/>
      <c r="ATK10" s="594"/>
      <c r="ATL10" s="594"/>
      <c r="ATM10" s="479"/>
      <c r="ATN10" s="479"/>
      <c r="ATO10" s="479"/>
      <c r="ATP10" s="479"/>
      <c r="ATQ10" s="479"/>
      <c r="ATR10" s="479"/>
      <c r="ATS10" s="479"/>
      <c r="ATT10" s="479"/>
      <c r="ATU10" s="479"/>
      <c r="ATV10" s="479"/>
      <c r="ATW10" s="479"/>
      <c r="ATX10" s="593"/>
      <c r="ATY10" s="594"/>
      <c r="ATZ10" s="594"/>
      <c r="AUA10" s="594"/>
      <c r="AUB10" s="594"/>
      <c r="AUC10" s="594"/>
      <c r="AUD10" s="594"/>
      <c r="AUE10" s="594"/>
      <c r="AUF10" s="594"/>
      <c r="AUG10" s="594"/>
      <c r="AUH10" s="479"/>
      <c r="AUI10" s="479"/>
      <c r="AUJ10" s="479"/>
      <c r="AUK10" s="479"/>
      <c r="AUL10" s="479"/>
      <c r="AUM10" s="479"/>
      <c r="AUN10" s="479"/>
      <c r="AUO10" s="479"/>
      <c r="AUP10" s="479"/>
      <c r="AUQ10" s="479"/>
      <c r="AUR10" s="479"/>
      <c r="AUS10" s="593"/>
      <c r="AUT10" s="594"/>
      <c r="AUU10" s="594"/>
      <c r="AUV10" s="594"/>
      <c r="AUW10" s="594"/>
      <c r="AUX10" s="594"/>
      <c r="AUY10" s="594"/>
      <c r="AUZ10" s="594"/>
      <c r="AVA10" s="594"/>
      <c r="AVB10" s="594"/>
      <c r="AVC10" s="479"/>
      <c r="AVD10" s="479"/>
      <c r="AVE10" s="479"/>
      <c r="AVF10" s="479"/>
      <c r="AVG10" s="479"/>
      <c r="AVH10" s="479"/>
      <c r="AVI10" s="479"/>
      <c r="AVJ10" s="479"/>
      <c r="AVK10" s="479"/>
      <c r="AVL10" s="479"/>
      <c r="AVM10" s="479"/>
      <c r="AVN10" s="593"/>
      <c r="AVO10" s="594"/>
      <c r="AVP10" s="594"/>
      <c r="AVQ10" s="594"/>
      <c r="AVR10" s="594"/>
      <c r="AVS10" s="594"/>
      <c r="AVT10" s="594"/>
      <c r="AVU10" s="594"/>
      <c r="AVV10" s="594"/>
      <c r="AVW10" s="594"/>
      <c r="AVX10" s="479"/>
      <c r="AVY10" s="479"/>
      <c r="AVZ10" s="479"/>
      <c r="AWA10" s="479"/>
      <c r="AWB10" s="479"/>
      <c r="AWC10" s="479"/>
      <c r="AWD10" s="479"/>
      <c r="AWE10" s="479"/>
      <c r="AWF10" s="479"/>
      <c r="AWG10" s="479"/>
      <c r="AWH10" s="479"/>
      <c r="AWI10" s="593"/>
      <c r="AWJ10" s="594"/>
      <c r="AWK10" s="594"/>
      <c r="AWL10" s="594"/>
      <c r="AWM10" s="594"/>
      <c r="AWN10" s="594"/>
      <c r="AWO10" s="594"/>
      <c r="AWP10" s="594"/>
      <c r="AWQ10" s="594"/>
      <c r="AWR10" s="594"/>
      <c r="AWS10" s="479"/>
      <c r="AWT10" s="479"/>
      <c r="AWU10" s="479"/>
      <c r="AWV10" s="479"/>
      <c r="AWW10" s="479"/>
      <c r="AWX10" s="479"/>
      <c r="AWY10" s="479"/>
      <c r="AWZ10" s="479"/>
      <c r="AXA10" s="479"/>
      <c r="AXB10" s="479"/>
      <c r="AXC10" s="479"/>
      <c r="AXD10" s="593"/>
      <c r="AXE10" s="594"/>
      <c r="AXF10" s="594"/>
      <c r="AXG10" s="594"/>
      <c r="AXH10" s="594"/>
      <c r="AXI10" s="594"/>
      <c r="AXJ10" s="594"/>
      <c r="AXK10" s="594"/>
      <c r="AXL10" s="594"/>
      <c r="AXM10" s="594"/>
      <c r="AXN10" s="479"/>
      <c r="AXO10" s="479"/>
      <c r="AXP10" s="479"/>
      <c r="AXQ10" s="479"/>
      <c r="AXR10" s="479"/>
      <c r="AXS10" s="479"/>
      <c r="AXT10" s="479"/>
      <c r="AXU10" s="479"/>
      <c r="AXV10" s="479"/>
      <c r="AXW10" s="479"/>
      <c r="AXX10" s="479"/>
      <c r="AXY10" s="593"/>
      <c r="AXZ10" s="594"/>
      <c r="AYA10" s="594"/>
      <c r="AYB10" s="594"/>
      <c r="AYC10" s="594"/>
      <c r="AYD10" s="594"/>
      <c r="AYE10" s="594"/>
      <c r="AYF10" s="594"/>
      <c r="AYG10" s="594"/>
      <c r="AYH10" s="594"/>
      <c r="AYI10" s="479"/>
      <c r="AYJ10" s="479"/>
      <c r="AYK10" s="479"/>
      <c r="AYL10" s="479"/>
      <c r="AYM10" s="479"/>
      <c r="AYN10" s="479"/>
      <c r="AYO10" s="479"/>
      <c r="AYP10" s="479"/>
      <c r="AYQ10" s="479"/>
      <c r="AYR10" s="479"/>
      <c r="AYS10" s="479"/>
      <c r="AYT10" s="593"/>
      <c r="AYU10" s="594"/>
      <c r="AYV10" s="594"/>
      <c r="AYW10" s="594"/>
      <c r="AYX10" s="594"/>
      <c r="AYY10" s="594"/>
      <c r="AYZ10" s="594"/>
      <c r="AZA10" s="594"/>
      <c r="AZB10" s="594"/>
      <c r="AZC10" s="594"/>
      <c r="AZD10" s="479"/>
      <c r="AZE10" s="479"/>
      <c r="AZF10" s="479"/>
      <c r="AZG10" s="479"/>
      <c r="AZH10" s="479"/>
      <c r="AZI10" s="479"/>
      <c r="AZJ10" s="479"/>
      <c r="AZK10" s="479"/>
      <c r="AZL10" s="479"/>
      <c r="AZM10" s="479"/>
      <c r="AZN10" s="479"/>
      <c r="AZO10" s="593"/>
      <c r="AZP10" s="594"/>
      <c r="AZQ10" s="594"/>
      <c r="AZR10" s="594"/>
      <c r="AZS10" s="594"/>
      <c r="AZT10" s="594"/>
      <c r="AZU10" s="594"/>
      <c r="AZV10" s="594"/>
      <c r="AZW10" s="594"/>
      <c r="AZX10" s="594"/>
      <c r="AZY10" s="479"/>
      <c r="AZZ10" s="479"/>
      <c r="BAA10" s="479"/>
      <c r="BAB10" s="479"/>
      <c r="BAC10" s="479"/>
      <c r="BAD10" s="479"/>
      <c r="BAE10" s="479"/>
      <c r="BAF10" s="479"/>
      <c r="BAG10" s="479"/>
      <c r="BAH10" s="479"/>
      <c r="BAI10" s="479"/>
      <c r="BAJ10" s="593"/>
      <c r="BAK10" s="594"/>
      <c r="BAL10" s="594"/>
      <c r="BAM10" s="594"/>
      <c r="BAN10" s="594"/>
      <c r="BAO10" s="594"/>
      <c r="BAP10" s="594"/>
      <c r="BAQ10" s="594"/>
      <c r="BAR10" s="594"/>
      <c r="BAS10" s="594"/>
      <c r="BAT10" s="479"/>
      <c r="BAU10" s="479"/>
      <c r="BAV10" s="479"/>
      <c r="BAW10" s="479"/>
      <c r="BAX10" s="479"/>
      <c r="BAY10" s="479"/>
      <c r="BAZ10" s="479"/>
      <c r="BBA10" s="479"/>
      <c r="BBB10" s="479"/>
      <c r="BBC10" s="479"/>
      <c r="BBD10" s="479"/>
      <c r="BBE10" s="593"/>
      <c r="BBF10" s="594"/>
      <c r="BBG10" s="594"/>
      <c r="BBH10" s="594"/>
      <c r="BBI10" s="594"/>
      <c r="BBJ10" s="594"/>
      <c r="BBK10" s="594"/>
      <c r="BBL10" s="594"/>
      <c r="BBM10" s="594"/>
      <c r="BBN10" s="594"/>
      <c r="BBO10" s="479"/>
      <c r="BBP10" s="479"/>
      <c r="BBQ10" s="479"/>
      <c r="BBR10" s="479"/>
      <c r="BBS10" s="479"/>
      <c r="BBT10" s="479"/>
      <c r="BBU10" s="479"/>
      <c r="BBV10" s="479"/>
      <c r="BBW10" s="479"/>
      <c r="BBX10" s="479"/>
      <c r="BBY10" s="479"/>
      <c r="BBZ10" s="593"/>
      <c r="BCA10" s="594"/>
      <c r="BCB10" s="594"/>
      <c r="BCC10" s="594"/>
      <c r="BCD10" s="594"/>
      <c r="BCE10" s="594"/>
      <c r="BCF10" s="594"/>
      <c r="BCG10" s="594"/>
      <c r="BCH10" s="594"/>
      <c r="BCI10" s="594"/>
      <c r="BCJ10" s="479"/>
      <c r="BCK10" s="479"/>
      <c r="BCL10" s="479"/>
      <c r="BCM10" s="479"/>
      <c r="BCN10" s="479"/>
      <c r="BCO10" s="479"/>
      <c r="BCP10" s="479"/>
      <c r="BCQ10" s="479"/>
      <c r="BCR10" s="479"/>
      <c r="BCS10" s="479"/>
      <c r="BCT10" s="479"/>
      <c r="BCU10" s="593"/>
      <c r="BCV10" s="594"/>
      <c r="BCW10" s="594"/>
      <c r="BCX10" s="594"/>
      <c r="BCY10" s="594"/>
      <c r="BCZ10" s="594"/>
      <c r="BDA10" s="594"/>
      <c r="BDB10" s="594"/>
      <c r="BDC10" s="594"/>
      <c r="BDD10" s="594"/>
      <c r="BDE10" s="479"/>
      <c r="BDF10" s="479"/>
      <c r="BDG10" s="479"/>
      <c r="BDH10" s="479"/>
      <c r="BDI10" s="479"/>
      <c r="BDJ10" s="479"/>
      <c r="BDK10" s="479"/>
      <c r="BDL10" s="479"/>
      <c r="BDM10" s="479"/>
      <c r="BDN10" s="479"/>
      <c r="BDO10" s="479"/>
      <c r="BDP10" s="593"/>
      <c r="BDQ10" s="594"/>
      <c r="BDR10" s="594"/>
      <c r="BDS10" s="594"/>
      <c r="BDT10" s="594"/>
      <c r="BDU10" s="594"/>
      <c r="BDV10" s="594"/>
      <c r="BDW10" s="594"/>
      <c r="BDX10" s="594"/>
      <c r="BDY10" s="594"/>
      <c r="BDZ10" s="479"/>
      <c r="BEA10" s="479"/>
      <c r="BEB10" s="479"/>
      <c r="BEC10" s="479"/>
      <c r="BED10" s="479"/>
      <c r="BEE10" s="479"/>
      <c r="BEF10" s="479"/>
      <c r="BEG10" s="479"/>
      <c r="BEH10" s="479"/>
      <c r="BEI10" s="479"/>
      <c r="BEJ10" s="479"/>
      <c r="BEK10" s="593"/>
      <c r="BEL10" s="594"/>
      <c r="BEM10" s="594"/>
      <c r="BEN10" s="594"/>
      <c r="BEO10" s="594"/>
      <c r="BEP10" s="594"/>
      <c r="BEQ10" s="594"/>
      <c r="BER10" s="594"/>
      <c r="BES10" s="594"/>
      <c r="BET10" s="594"/>
      <c r="BEU10" s="479"/>
      <c r="BEV10" s="479"/>
      <c r="BEW10" s="479"/>
      <c r="BEX10" s="479"/>
      <c r="BEY10" s="479"/>
      <c r="BEZ10" s="479"/>
      <c r="BFA10" s="479"/>
      <c r="BFB10" s="479"/>
      <c r="BFC10" s="479"/>
      <c r="BFD10" s="479"/>
      <c r="BFE10" s="479"/>
      <c r="BFF10" s="593"/>
      <c r="BFG10" s="594"/>
      <c r="BFH10" s="594"/>
      <c r="BFI10" s="594"/>
      <c r="BFJ10" s="594"/>
      <c r="BFK10" s="594"/>
      <c r="BFL10" s="594"/>
      <c r="BFM10" s="594"/>
      <c r="BFN10" s="594"/>
      <c r="BFO10" s="594"/>
      <c r="BFP10" s="479"/>
      <c r="BFQ10" s="479"/>
      <c r="BFR10" s="479"/>
      <c r="BFS10" s="479"/>
      <c r="BFT10" s="479"/>
      <c r="BFU10" s="479"/>
      <c r="BFV10" s="479"/>
      <c r="BFW10" s="479"/>
      <c r="BFX10" s="479"/>
      <c r="BFY10" s="479"/>
      <c r="BFZ10" s="479"/>
      <c r="BGA10" s="593"/>
      <c r="BGB10" s="594"/>
      <c r="BGC10" s="594"/>
      <c r="BGD10" s="594"/>
      <c r="BGE10" s="594"/>
      <c r="BGF10" s="594"/>
      <c r="BGG10" s="594"/>
      <c r="BGH10" s="594"/>
      <c r="BGI10" s="594"/>
      <c r="BGJ10" s="594"/>
      <c r="BGK10" s="479"/>
      <c r="BGL10" s="479"/>
      <c r="BGM10" s="479"/>
      <c r="BGN10" s="479"/>
      <c r="BGO10" s="479"/>
      <c r="BGP10" s="479"/>
      <c r="BGQ10" s="479"/>
      <c r="BGR10" s="479"/>
      <c r="BGS10" s="479"/>
      <c r="BGT10" s="479"/>
      <c r="BGU10" s="479"/>
      <c r="BGV10" s="593"/>
      <c r="BGW10" s="594"/>
      <c r="BGX10" s="594"/>
      <c r="BGY10" s="594"/>
      <c r="BGZ10" s="594"/>
      <c r="BHA10" s="594"/>
      <c r="BHB10" s="594"/>
      <c r="BHC10" s="594"/>
      <c r="BHD10" s="594"/>
      <c r="BHE10" s="594"/>
      <c r="BHF10" s="479"/>
      <c r="BHG10" s="479"/>
      <c r="BHH10" s="479"/>
      <c r="BHI10" s="479"/>
      <c r="BHJ10" s="479"/>
      <c r="BHK10" s="479"/>
      <c r="BHL10" s="479"/>
      <c r="BHM10" s="479"/>
      <c r="BHN10" s="479"/>
      <c r="BHO10" s="479"/>
      <c r="BHP10" s="479"/>
      <c r="BHQ10" s="593"/>
      <c r="BHR10" s="594"/>
      <c r="BHS10" s="594"/>
      <c r="BHT10" s="594"/>
      <c r="BHU10" s="594"/>
      <c r="BHV10" s="594"/>
      <c r="BHW10" s="594"/>
      <c r="BHX10" s="594"/>
      <c r="BHY10" s="594"/>
      <c r="BHZ10" s="594"/>
      <c r="BIA10" s="479"/>
      <c r="BIB10" s="479"/>
      <c r="BIC10" s="479"/>
      <c r="BID10" s="479"/>
      <c r="BIE10" s="479"/>
      <c r="BIF10" s="479"/>
      <c r="BIG10" s="479"/>
      <c r="BIH10" s="479"/>
      <c r="BII10" s="479"/>
      <c r="BIJ10" s="479"/>
      <c r="BIK10" s="479"/>
      <c r="BIL10" s="593"/>
      <c r="BIM10" s="594"/>
      <c r="BIN10" s="594"/>
      <c r="BIO10" s="594"/>
      <c r="BIP10" s="594"/>
      <c r="BIQ10" s="594"/>
      <c r="BIR10" s="594"/>
      <c r="BIS10" s="594"/>
      <c r="BIT10" s="594"/>
      <c r="BIU10" s="594"/>
      <c r="BIV10" s="479"/>
      <c r="BIW10" s="479"/>
      <c r="BIX10" s="479"/>
      <c r="BIY10" s="479"/>
      <c r="BIZ10" s="479"/>
      <c r="BJA10" s="479"/>
      <c r="BJB10" s="479"/>
      <c r="BJC10" s="479"/>
      <c r="BJD10" s="479"/>
      <c r="BJE10" s="479"/>
      <c r="BJF10" s="479"/>
      <c r="BJG10" s="593"/>
      <c r="BJH10" s="594"/>
      <c r="BJI10" s="594"/>
      <c r="BJJ10" s="594"/>
      <c r="BJK10" s="594"/>
      <c r="BJL10" s="594"/>
      <c r="BJM10" s="594"/>
      <c r="BJN10" s="594"/>
      <c r="BJO10" s="594"/>
      <c r="BJP10" s="594"/>
      <c r="BJQ10" s="479"/>
      <c r="BJR10" s="479"/>
      <c r="BJS10" s="479"/>
      <c r="BJT10" s="479"/>
      <c r="BJU10" s="479"/>
      <c r="BJV10" s="479"/>
      <c r="BJW10" s="479"/>
      <c r="BJX10" s="479"/>
      <c r="BJY10" s="479"/>
      <c r="BJZ10" s="479"/>
      <c r="BKA10" s="479"/>
      <c r="BKB10" s="593"/>
      <c r="BKC10" s="594"/>
      <c r="BKD10" s="594"/>
      <c r="BKE10" s="594"/>
      <c r="BKF10" s="594"/>
      <c r="BKG10" s="594"/>
      <c r="BKH10" s="594"/>
      <c r="BKI10" s="594"/>
      <c r="BKJ10" s="594"/>
      <c r="BKK10" s="594"/>
      <c r="BKL10" s="479"/>
      <c r="BKM10" s="479"/>
      <c r="BKN10" s="479"/>
      <c r="BKO10" s="479"/>
      <c r="BKP10" s="479"/>
      <c r="BKQ10" s="479"/>
      <c r="BKR10" s="479"/>
      <c r="BKS10" s="479"/>
      <c r="BKT10" s="479"/>
      <c r="BKU10" s="479"/>
      <c r="BKV10" s="479"/>
      <c r="BKW10" s="593"/>
      <c r="BKX10" s="594"/>
      <c r="BKY10" s="594"/>
      <c r="BKZ10" s="594"/>
      <c r="BLA10" s="594"/>
      <c r="BLB10" s="594"/>
      <c r="BLC10" s="594"/>
      <c r="BLD10" s="594"/>
      <c r="BLE10" s="594"/>
      <c r="BLF10" s="594"/>
      <c r="BLG10" s="479"/>
      <c r="BLH10" s="479"/>
      <c r="BLI10" s="479"/>
      <c r="BLJ10" s="479"/>
      <c r="BLK10" s="479"/>
      <c r="BLL10" s="479"/>
      <c r="BLM10" s="479"/>
      <c r="BLN10" s="479"/>
      <c r="BLO10" s="479"/>
      <c r="BLP10" s="479"/>
      <c r="BLQ10" s="479"/>
      <c r="BLR10" s="593"/>
      <c r="BLS10" s="594"/>
      <c r="BLT10" s="594"/>
      <c r="BLU10" s="594"/>
      <c r="BLV10" s="594"/>
      <c r="BLW10" s="594"/>
      <c r="BLX10" s="594"/>
      <c r="BLY10" s="594"/>
      <c r="BLZ10" s="594"/>
      <c r="BMA10" s="594"/>
      <c r="BMB10" s="479"/>
      <c r="BMC10" s="479"/>
      <c r="BMD10" s="479"/>
      <c r="BME10" s="479"/>
      <c r="BMF10" s="479"/>
      <c r="BMG10" s="479"/>
      <c r="BMH10" s="479"/>
      <c r="BMI10" s="479"/>
      <c r="BMJ10" s="479"/>
      <c r="BMK10" s="479"/>
      <c r="BML10" s="479"/>
      <c r="BMM10" s="593"/>
      <c r="BMN10" s="594"/>
      <c r="BMO10" s="594"/>
      <c r="BMP10" s="594"/>
      <c r="BMQ10" s="594"/>
      <c r="BMR10" s="594"/>
      <c r="BMS10" s="594"/>
      <c r="BMT10" s="594"/>
      <c r="BMU10" s="594"/>
      <c r="BMV10" s="594"/>
      <c r="BMW10" s="479"/>
      <c r="BMX10" s="479"/>
      <c r="BMY10" s="479"/>
      <c r="BMZ10" s="479"/>
      <c r="BNA10" s="479"/>
      <c r="BNB10" s="479"/>
      <c r="BNC10" s="479"/>
      <c r="BND10" s="479"/>
      <c r="BNE10" s="479"/>
      <c r="BNF10" s="479"/>
      <c r="BNG10" s="479"/>
      <c r="BNH10" s="593"/>
      <c r="BNI10" s="594"/>
      <c r="BNJ10" s="594"/>
      <c r="BNK10" s="594"/>
      <c r="BNL10" s="594"/>
      <c r="BNM10" s="594"/>
      <c r="BNN10" s="594"/>
      <c r="BNO10" s="594"/>
      <c r="BNP10" s="594"/>
      <c r="BNQ10" s="594"/>
      <c r="BNR10" s="479"/>
      <c r="BNS10" s="479"/>
      <c r="BNT10" s="479"/>
      <c r="BNU10" s="479"/>
      <c r="BNV10" s="479"/>
      <c r="BNW10" s="479"/>
      <c r="BNX10" s="479"/>
      <c r="BNY10" s="479"/>
      <c r="BNZ10" s="479"/>
      <c r="BOA10" s="479"/>
      <c r="BOB10" s="479"/>
      <c r="BOC10" s="593"/>
      <c r="BOD10" s="594"/>
      <c r="BOE10" s="594"/>
      <c r="BOF10" s="594"/>
      <c r="BOG10" s="594"/>
      <c r="BOH10" s="594"/>
      <c r="BOI10" s="594"/>
      <c r="BOJ10" s="594"/>
      <c r="BOK10" s="594"/>
      <c r="BOL10" s="594"/>
      <c r="BOM10" s="479"/>
      <c r="BON10" s="479"/>
      <c r="BOO10" s="479"/>
      <c r="BOP10" s="479"/>
      <c r="BOQ10" s="479"/>
      <c r="BOR10" s="479"/>
      <c r="BOS10" s="479"/>
      <c r="BOT10" s="479"/>
      <c r="BOU10" s="479"/>
      <c r="BOV10" s="479"/>
      <c r="BOW10" s="479"/>
      <c r="BOX10" s="593"/>
      <c r="BOY10" s="594"/>
      <c r="BOZ10" s="594"/>
      <c r="BPA10" s="594"/>
      <c r="BPB10" s="594"/>
      <c r="BPC10" s="594"/>
      <c r="BPD10" s="594"/>
      <c r="BPE10" s="594"/>
      <c r="BPF10" s="594"/>
      <c r="BPG10" s="594"/>
      <c r="BPH10" s="479"/>
      <c r="BPI10" s="479"/>
      <c r="BPJ10" s="479"/>
      <c r="BPK10" s="479"/>
      <c r="BPL10" s="479"/>
      <c r="BPM10" s="479"/>
      <c r="BPN10" s="479"/>
      <c r="BPO10" s="479"/>
      <c r="BPP10" s="479"/>
      <c r="BPQ10" s="479"/>
      <c r="BPR10" s="479"/>
      <c r="BPS10" s="593"/>
      <c r="BPT10" s="594"/>
      <c r="BPU10" s="594"/>
      <c r="BPV10" s="594"/>
      <c r="BPW10" s="594"/>
      <c r="BPX10" s="594"/>
      <c r="BPY10" s="594"/>
      <c r="BPZ10" s="594"/>
      <c r="BQA10" s="594"/>
      <c r="BQB10" s="594"/>
      <c r="BQC10" s="479"/>
      <c r="BQD10" s="479"/>
      <c r="BQE10" s="479"/>
      <c r="BQF10" s="479"/>
      <c r="BQG10" s="479"/>
      <c r="BQH10" s="479"/>
      <c r="BQI10" s="479"/>
      <c r="BQJ10" s="479"/>
      <c r="BQK10" s="479"/>
      <c r="BQL10" s="479"/>
      <c r="BQM10" s="479"/>
      <c r="BQN10" s="593"/>
      <c r="BQO10" s="594"/>
      <c r="BQP10" s="594"/>
      <c r="BQQ10" s="594"/>
      <c r="BQR10" s="594"/>
      <c r="BQS10" s="594"/>
      <c r="BQT10" s="594"/>
      <c r="BQU10" s="594"/>
      <c r="BQV10" s="594"/>
      <c r="BQW10" s="594"/>
      <c r="BQX10" s="479"/>
      <c r="BQY10" s="479"/>
      <c r="BQZ10" s="479"/>
      <c r="BRA10" s="479"/>
      <c r="BRB10" s="479"/>
      <c r="BRC10" s="479"/>
      <c r="BRD10" s="479"/>
      <c r="BRE10" s="479"/>
      <c r="BRF10" s="479"/>
      <c r="BRG10" s="479"/>
      <c r="BRH10" s="479"/>
      <c r="BRI10" s="593"/>
      <c r="BRJ10" s="594"/>
      <c r="BRK10" s="594"/>
      <c r="BRL10" s="594"/>
      <c r="BRM10" s="594"/>
      <c r="BRN10" s="594"/>
      <c r="BRO10" s="594"/>
      <c r="BRP10" s="594"/>
      <c r="BRQ10" s="594"/>
      <c r="BRR10" s="594"/>
      <c r="BRS10" s="479"/>
      <c r="BRT10" s="479"/>
      <c r="BRU10" s="479"/>
      <c r="BRV10" s="479"/>
      <c r="BRW10" s="479"/>
      <c r="BRX10" s="479"/>
      <c r="BRY10" s="479"/>
      <c r="BRZ10" s="479"/>
      <c r="BSA10" s="479"/>
      <c r="BSB10" s="479"/>
      <c r="BSC10" s="479"/>
      <c r="BSD10" s="593"/>
      <c r="BSE10" s="594"/>
      <c r="BSF10" s="594"/>
      <c r="BSG10" s="594"/>
      <c r="BSH10" s="594"/>
      <c r="BSI10" s="594"/>
      <c r="BSJ10" s="594"/>
      <c r="BSK10" s="594"/>
      <c r="BSL10" s="594"/>
      <c r="BSM10" s="594"/>
      <c r="BSN10" s="479"/>
      <c r="BSO10" s="479"/>
      <c r="BSP10" s="479"/>
      <c r="BSQ10" s="479"/>
      <c r="BSR10" s="479"/>
      <c r="BSS10" s="479"/>
      <c r="BST10" s="479"/>
      <c r="BSU10" s="479"/>
      <c r="BSV10" s="479"/>
      <c r="BSW10" s="479"/>
      <c r="BSX10" s="479"/>
      <c r="BSY10" s="593"/>
      <c r="BSZ10" s="594"/>
      <c r="BTA10" s="594"/>
      <c r="BTB10" s="594"/>
      <c r="BTC10" s="594"/>
      <c r="BTD10" s="594"/>
      <c r="BTE10" s="594"/>
      <c r="BTF10" s="594"/>
      <c r="BTG10" s="594"/>
      <c r="BTH10" s="594"/>
      <c r="BTI10" s="479"/>
      <c r="BTJ10" s="479"/>
      <c r="BTK10" s="479"/>
      <c r="BTL10" s="479"/>
      <c r="BTM10" s="479"/>
      <c r="BTN10" s="479"/>
      <c r="BTO10" s="479"/>
      <c r="BTP10" s="479"/>
      <c r="BTQ10" s="479"/>
      <c r="BTR10" s="479"/>
      <c r="BTS10" s="479"/>
      <c r="BTT10" s="593"/>
      <c r="BTU10" s="594"/>
      <c r="BTV10" s="594"/>
      <c r="BTW10" s="594"/>
      <c r="BTX10" s="594"/>
      <c r="BTY10" s="594"/>
      <c r="BTZ10" s="594"/>
      <c r="BUA10" s="594"/>
      <c r="BUB10" s="594"/>
      <c r="BUC10" s="594"/>
      <c r="BUD10" s="479"/>
      <c r="BUE10" s="479"/>
      <c r="BUF10" s="479"/>
      <c r="BUG10" s="479"/>
      <c r="BUH10" s="479"/>
      <c r="BUI10" s="479"/>
      <c r="BUJ10" s="479"/>
      <c r="BUK10" s="479"/>
      <c r="BUL10" s="479"/>
      <c r="BUM10" s="479"/>
      <c r="BUN10" s="479"/>
      <c r="BUO10" s="593"/>
      <c r="BUP10" s="594"/>
      <c r="BUQ10" s="594"/>
      <c r="BUR10" s="594"/>
      <c r="BUS10" s="594"/>
      <c r="BUT10" s="594"/>
      <c r="BUU10" s="594"/>
      <c r="BUV10" s="594"/>
      <c r="BUW10" s="594"/>
      <c r="BUX10" s="594"/>
      <c r="BUY10" s="479"/>
      <c r="BUZ10" s="479"/>
      <c r="BVA10" s="479"/>
      <c r="BVB10" s="479"/>
      <c r="BVC10" s="479"/>
      <c r="BVD10" s="479"/>
      <c r="BVE10" s="479"/>
      <c r="BVF10" s="479"/>
      <c r="BVG10" s="479"/>
      <c r="BVH10" s="479"/>
      <c r="BVI10" s="479"/>
      <c r="BVJ10" s="593"/>
      <c r="BVK10" s="594"/>
      <c r="BVL10" s="594"/>
      <c r="BVM10" s="594"/>
      <c r="BVN10" s="594"/>
      <c r="BVO10" s="594"/>
      <c r="BVP10" s="594"/>
      <c r="BVQ10" s="594"/>
      <c r="BVR10" s="594"/>
      <c r="BVS10" s="594"/>
      <c r="BVT10" s="479"/>
      <c r="BVU10" s="479"/>
      <c r="BVV10" s="479"/>
      <c r="BVW10" s="479"/>
      <c r="BVX10" s="479"/>
      <c r="BVY10" s="479"/>
      <c r="BVZ10" s="479"/>
      <c r="BWA10" s="479"/>
      <c r="BWB10" s="479"/>
      <c r="BWC10" s="479"/>
      <c r="BWD10" s="479"/>
      <c r="BWE10" s="593"/>
      <c r="BWF10" s="594"/>
      <c r="BWG10" s="594"/>
      <c r="BWH10" s="594"/>
      <c r="BWI10" s="594"/>
      <c r="BWJ10" s="594"/>
      <c r="BWK10" s="594"/>
      <c r="BWL10" s="594"/>
      <c r="BWM10" s="594"/>
      <c r="BWN10" s="594"/>
      <c r="BWO10" s="479"/>
      <c r="BWP10" s="479"/>
      <c r="BWQ10" s="479"/>
      <c r="BWR10" s="479"/>
      <c r="BWS10" s="479"/>
      <c r="BWT10" s="479"/>
      <c r="BWU10" s="479"/>
      <c r="BWV10" s="479"/>
      <c r="BWW10" s="479"/>
      <c r="BWX10" s="479"/>
      <c r="BWY10" s="479"/>
      <c r="BWZ10" s="593"/>
      <c r="BXA10" s="594"/>
      <c r="BXB10" s="594"/>
      <c r="BXC10" s="594"/>
      <c r="BXD10" s="594"/>
      <c r="BXE10" s="594"/>
      <c r="BXF10" s="594"/>
      <c r="BXG10" s="594"/>
      <c r="BXH10" s="594"/>
      <c r="BXI10" s="594"/>
      <c r="BXJ10" s="479"/>
      <c r="BXK10" s="479"/>
      <c r="BXL10" s="479"/>
      <c r="BXM10" s="479"/>
      <c r="BXN10" s="479"/>
      <c r="BXO10" s="479"/>
      <c r="BXP10" s="479"/>
      <c r="BXQ10" s="479"/>
      <c r="BXR10" s="479"/>
      <c r="BXS10" s="479"/>
      <c r="BXT10" s="479"/>
      <c r="BXU10" s="593"/>
      <c r="BXV10" s="594"/>
      <c r="BXW10" s="594"/>
      <c r="BXX10" s="594"/>
      <c r="BXY10" s="594"/>
      <c r="BXZ10" s="594"/>
      <c r="BYA10" s="594"/>
      <c r="BYB10" s="594"/>
      <c r="BYC10" s="594"/>
      <c r="BYD10" s="594"/>
      <c r="BYE10" s="479"/>
      <c r="BYF10" s="479"/>
      <c r="BYG10" s="479"/>
      <c r="BYH10" s="479"/>
      <c r="BYI10" s="479"/>
      <c r="BYJ10" s="479"/>
      <c r="BYK10" s="479"/>
      <c r="BYL10" s="479"/>
      <c r="BYM10" s="479"/>
      <c r="BYN10" s="479"/>
      <c r="BYO10" s="479"/>
      <c r="BYP10" s="593"/>
      <c r="BYQ10" s="594"/>
      <c r="BYR10" s="594"/>
      <c r="BYS10" s="594"/>
      <c r="BYT10" s="594"/>
      <c r="BYU10" s="594"/>
      <c r="BYV10" s="594"/>
      <c r="BYW10" s="594"/>
      <c r="BYX10" s="594"/>
      <c r="BYY10" s="594"/>
      <c r="BYZ10" s="479"/>
      <c r="BZA10" s="479"/>
      <c r="BZB10" s="479"/>
      <c r="BZC10" s="479"/>
      <c r="BZD10" s="479"/>
      <c r="BZE10" s="479"/>
      <c r="BZF10" s="479"/>
      <c r="BZG10" s="479"/>
      <c r="BZH10" s="479"/>
      <c r="BZI10" s="479"/>
      <c r="BZJ10" s="479"/>
      <c r="BZK10" s="593"/>
      <c r="BZL10" s="594"/>
      <c r="BZM10" s="594"/>
      <c r="BZN10" s="594"/>
      <c r="BZO10" s="594"/>
      <c r="BZP10" s="594"/>
      <c r="BZQ10" s="594"/>
      <c r="BZR10" s="594"/>
      <c r="BZS10" s="594"/>
      <c r="BZT10" s="594"/>
      <c r="BZU10" s="479"/>
      <c r="BZV10" s="479"/>
      <c r="BZW10" s="479"/>
      <c r="BZX10" s="479"/>
      <c r="BZY10" s="479"/>
      <c r="BZZ10" s="479"/>
      <c r="CAA10" s="479"/>
      <c r="CAB10" s="479"/>
      <c r="CAC10" s="479"/>
      <c r="CAD10" s="479"/>
      <c r="CAE10" s="479"/>
      <c r="CAF10" s="593"/>
      <c r="CAG10" s="594"/>
      <c r="CAH10" s="594"/>
      <c r="CAI10" s="594"/>
      <c r="CAJ10" s="594"/>
      <c r="CAK10" s="594"/>
      <c r="CAL10" s="594"/>
      <c r="CAM10" s="594"/>
      <c r="CAN10" s="594"/>
      <c r="CAO10" s="594"/>
      <c r="CAP10" s="479"/>
      <c r="CAQ10" s="479"/>
      <c r="CAR10" s="479"/>
      <c r="CAS10" s="479"/>
      <c r="CAT10" s="479"/>
      <c r="CAU10" s="479"/>
      <c r="CAV10" s="479"/>
      <c r="CAW10" s="479"/>
      <c r="CAX10" s="479"/>
      <c r="CAY10" s="479"/>
      <c r="CAZ10" s="479"/>
      <c r="CBA10" s="593"/>
      <c r="CBB10" s="594"/>
      <c r="CBC10" s="594"/>
      <c r="CBD10" s="594"/>
      <c r="CBE10" s="594"/>
      <c r="CBF10" s="594"/>
      <c r="CBG10" s="594"/>
      <c r="CBH10" s="594"/>
      <c r="CBI10" s="594"/>
      <c r="CBJ10" s="594"/>
      <c r="CBK10" s="479"/>
      <c r="CBL10" s="479"/>
      <c r="CBM10" s="479"/>
      <c r="CBN10" s="479"/>
      <c r="CBO10" s="479"/>
      <c r="CBP10" s="479"/>
      <c r="CBQ10" s="479"/>
      <c r="CBR10" s="479"/>
      <c r="CBS10" s="479"/>
      <c r="CBT10" s="479"/>
      <c r="CBU10" s="479"/>
      <c r="CBV10" s="593"/>
      <c r="CBW10" s="594"/>
      <c r="CBX10" s="594"/>
      <c r="CBY10" s="594"/>
      <c r="CBZ10" s="594"/>
      <c r="CCA10" s="594"/>
      <c r="CCB10" s="594"/>
      <c r="CCC10" s="594"/>
      <c r="CCD10" s="594"/>
      <c r="CCE10" s="594"/>
      <c r="CCF10" s="479"/>
      <c r="CCG10" s="479"/>
      <c r="CCH10" s="479"/>
      <c r="CCI10" s="479"/>
      <c r="CCJ10" s="479"/>
      <c r="CCK10" s="479"/>
      <c r="CCL10" s="479"/>
      <c r="CCM10" s="479"/>
      <c r="CCN10" s="479"/>
      <c r="CCO10" s="479"/>
      <c r="CCP10" s="479"/>
      <c r="CCQ10" s="593"/>
      <c r="CCR10" s="594"/>
      <c r="CCS10" s="594"/>
      <c r="CCT10" s="594"/>
      <c r="CCU10" s="594"/>
      <c r="CCV10" s="594"/>
      <c r="CCW10" s="594"/>
      <c r="CCX10" s="594"/>
      <c r="CCY10" s="594"/>
      <c r="CCZ10" s="594"/>
      <c r="CDA10" s="479"/>
      <c r="CDB10" s="479"/>
      <c r="CDC10" s="479"/>
      <c r="CDD10" s="479"/>
      <c r="CDE10" s="479"/>
      <c r="CDF10" s="479"/>
      <c r="CDG10" s="479"/>
      <c r="CDH10" s="479"/>
      <c r="CDI10" s="479"/>
      <c r="CDJ10" s="479"/>
      <c r="CDK10" s="479"/>
      <c r="CDL10" s="593"/>
      <c r="CDM10" s="594"/>
      <c r="CDN10" s="594"/>
      <c r="CDO10" s="594"/>
      <c r="CDP10" s="594"/>
      <c r="CDQ10" s="594"/>
      <c r="CDR10" s="594"/>
      <c r="CDS10" s="594"/>
      <c r="CDT10" s="594"/>
      <c r="CDU10" s="594"/>
      <c r="CDV10" s="479"/>
      <c r="CDW10" s="479"/>
      <c r="CDX10" s="479"/>
      <c r="CDY10" s="479"/>
      <c r="CDZ10" s="479"/>
      <c r="CEA10" s="479"/>
      <c r="CEB10" s="479"/>
      <c r="CEC10" s="479"/>
      <c r="CED10" s="479"/>
      <c r="CEE10" s="479"/>
      <c r="CEF10" s="479"/>
      <c r="CEG10" s="593"/>
      <c r="CEH10" s="594"/>
      <c r="CEI10" s="594"/>
      <c r="CEJ10" s="594"/>
      <c r="CEK10" s="594"/>
      <c r="CEL10" s="594"/>
      <c r="CEM10" s="594"/>
      <c r="CEN10" s="594"/>
      <c r="CEO10" s="594"/>
      <c r="CEP10" s="594"/>
      <c r="CEQ10" s="479"/>
      <c r="CER10" s="479"/>
      <c r="CES10" s="479"/>
      <c r="CET10" s="479"/>
      <c r="CEU10" s="479"/>
      <c r="CEV10" s="479"/>
      <c r="CEW10" s="479"/>
      <c r="CEX10" s="479"/>
      <c r="CEY10" s="479"/>
      <c r="CEZ10" s="479"/>
      <c r="CFA10" s="479"/>
      <c r="CFB10" s="593"/>
      <c r="CFC10" s="594"/>
      <c r="CFD10" s="594"/>
      <c r="CFE10" s="594"/>
      <c r="CFF10" s="594"/>
      <c r="CFG10" s="594"/>
      <c r="CFH10" s="594"/>
      <c r="CFI10" s="594"/>
      <c r="CFJ10" s="594"/>
      <c r="CFK10" s="594"/>
      <c r="CFL10" s="479"/>
      <c r="CFM10" s="479"/>
      <c r="CFN10" s="479"/>
      <c r="CFO10" s="479"/>
      <c r="CFP10" s="479"/>
      <c r="CFQ10" s="479"/>
      <c r="CFR10" s="479"/>
      <c r="CFS10" s="479"/>
      <c r="CFT10" s="479"/>
      <c r="CFU10" s="479"/>
      <c r="CFV10" s="479"/>
      <c r="CFW10" s="593"/>
      <c r="CFX10" s="594"/>
      <c r="CFY10" s="594"/>
      <c r="CFZ10" s="594"/>
      <c r="CGA10" s="594"/>
      <c r="CGB10" s="594"/>
      <c r="CGC10" s="594"/>
      <c r="CGD10" s="594"/>
      <c r="CGE10" s="594"/>
      <c r="CGF10" s="594"/>
      <c r="CGG10" s="479"/>
      <c r="CGH10" s="479"/>
      <c r="CGI10" s="479"/>
      <c r="CGJ10" s="479"/>
      <c r="CGK10" s="479"/>
      <c r="CGL10" s="479"/>
      <c r="CGM10" s="479"/>
      <c r="CGN10" s="479"/>
      <c r="CGO10" s="479"/>
      <c r="CGP10" s="479"/>
      <c r="CGQ10" s="479"/>
      <c r="CGR10" s="593"/>
      <c r="CGS10" s="594"/>
      <c r="CGT10" s="594"/>
      <c r="CGU10" s="594"/>
      <c r="CGV10" s="594"/>
      <c r="CGW10" s="594"/>
      <c r="CGX10" s="594"/>
      <c r="CGY10" s="594"/>
      <c r="CGZ10" s="594"/>
      <c r="CHA10" s="594"/>
      <c r="CHB10" s="479"/>
      <c r="CHC10" s="479"/>
      <c r="CHD10" s="479"/>
      <c r="CHE10" s="479"/>
      <c r="CHF10" s="479"/>
      <c r="CHG10" s="479"/>
      <c r="CHH10" s="479"/>
      <c r="CHI10" s="479"/>
      <c r="CHJ10" s="479"/>
      <c r="CHK10" s="479"/>
      <c r="CHL10" s="479"/>
      <c r="CHM10" s="593"/>
      <c r="CHN10" s="594"/>
      <c r="CHO10" s="594"/>
      <c r="CHP10" s="594"/>
      <c r="CHQ10" s="594"/>
      <c r="CHR10" s="594"/>
      <c r="CHS10" s="594"/>
      <c r="CHT10" s="594"/>
      <c r="CHU10" s="594"/>
      <c r="CHV10" s="594"/>
      <c r="CHW10" s="479"/>
      <c r="CHX10" s="479"/>
      <c r="CHY10" s="479"/>
      <c r="CHZ10" s="479"/>
      <c r="CIA10" s="479"/>
      <c r="CIB10" s="479"/>
      <c r="CIC10" s="479"/>
      <c r="CID10" s="479"/>
      <c r="CIE10" s="479"/>
      <c r="CIF10" s="479"/>
      <c r="CIG10" s="479"/>
      <c r="CIH10" s="593"/>
      <c r="CII10" s="594"/>
      <c r="CIJ10" s="594"/>
      <c r="CIK10" s="594"/>
      <c r="CIL10" s="594"/>
      <c r="CIM10" s="594"/>
      <c r="CIN10" s="594"/>
      <c r="CIO10" s="594"/>
      <c r="CIP10" s="594"/>
      <c r="CIQ10" s="594"/>
      <c r="CIR10" s="479"/>
      <c r="CIS10" s="479"/>
      <c r="CIT10" s="479"/>
      <c r="CIU10" s="479"/>
      <c r="CIV10" s="479"/>
      <c r="CIW10" s="479"/>
      <c r="CIX10" s="479"/>
      <c r="CIY10" s="479"/>
      <c r="CIZ10" s="479"/>
      <c r="CJA10" s="479"/>
      <c r="CJB10" s="479"/>
      <c r="CJC10" s="593"/>
      <c r="CJD10" s="594"/>
      <c r="CJE10" s="594"/>
      <c r="CJF10" s="594"/>
      <c r="CJG10" s="594"/>
      <c r="CJH10" s="594"/>
      <c r="CJI10" s="594"/>
      <c r="CJJ10" s="594"/>
      <c r="CJK10" s="594"/>
      <c r="CJL10" s="594"/>
      <c r="CJM10" s="479"/>
      <c r="CJN10" s="479"/>
      <c r="CJO10" s="479"/>
      <c r="CJP10" s="479"/>
      <c r="CJQ10" s="479"/>
      <c r="CJR10" s="479"/>
      <c r="CJS10" s="479"/>
      <c r="CJT10" s="479"/>
      <c r="CJU10" s="479"/>
      <c r="CJV10" s="479"/>
      <c r="CJW10" s="479"/>
      <c r="CJX10" s="593"/>
      <c r="CJY10" s="594"/>
      <c r="CJZ10" s="594"/>
      <c r="CKA10" s="594"/>
      <c r="CKB10" s="594"/>
      <c r="CKC10" s="594"/>
      <c r="CKD10" s="594"/>
      <c r="CKE10" s="594"/>
      <c r="CKF10" s="594"/>
      <c r="CKG10" s="594"/>
      <c r="CKH10" s="479"/>
      <c r="CKI10" s="479"/>
      <c r="CKJ10" s="479"/>
      <c r="CKK10" s="479"/>
      <c r="CKL10" s="479"/>
      <c r="CKM10" s="479"/>
      <c r="CKN10" s="479"/>
      <c r="CKO10" s="479"/>
      <c r="CKP10" s="479"/>
      <c r="CKQ10" s="479"/>
      <c r="CKR10" s="479"/>
      <c r="CKS10" s="593"/>
      <c r="CKT10" s="594"/>
      <c r="CKU10" s="594"/>
      <c r="CKV10" s="594"/>
      <c r="CKW10" s="594"/>
      <c r="CKX10" s="594"/>
      <c r="CKY10" s="594"/>
      <c r="CKZ10" s="594"/>
      <c r="CLA10" s="594"/>
      <c r="CLB10" s="594"/>
      <c r="CLC10" s="479"/>
      <c r="CLD10" s="479"/>
      <c r="CLE10" s="479"/>
      <c r="CLF10" s="479"/>
      <c r="CLG10" s="479"/>
      <c r="CLH10" s="479"/>
      <c r="CLI10" s="479"/>
      <c r="CLJ10" s="479"/>
      <c r="CLK10" s="479"/>
      <c r="CLL10" s="479"/>
      <c r="CLM10" s="479"/>
      <c r="CLN10" s="593"/>
      <c r="CLO10" s="594"/>
      <c r="CLP10" s="594"/>
      <c r="CLQ10" s="594"/>
      <c r="CLR10" s="594"/>
      <c r="CLS10" s="594"/>
      <c r="CLT10" s="594"/>
      <c r="CLU10" s="594"/>
      <c r="CLV10" s="594"/>
      <c r="CLW10" s="594"/>
      <c r="CLX10" s="479"/>
      <c r="CLY10" s="479"/>
      <c r="CLZ10" s="479"/>
      <c r="CMA10" s="479"/>
      <c r="CMB10" s="479"/>
      <c r="CMC10" s="479"/>
      <c r="CMD10" s="479"/>
      <c r="CME10" s="479"/>
      <c r="CMF10" s="479"/>
      <c r="CMG10" s="479"/>
      <c r="CMH10" s="479"/>
      <c r="CMI10" s="593"/>
      <c r="CMJ10" s="594"/>
      <c r="CMK10" s="594"/>
      <c r="CML10" s="594"/>
      <c r="CMM10" s="594"/>
      <c r="CMN10" s="594"/>
      <c r="CMO10" s="594"/>
      <c r="CMP10" s="594"/>
      <c r="CMQ10" s="594"/>
      <c r="CMR10" s="594"/>
      <c r="CMS10" s="479"/>
      <c r="CMT10" s="479"/>
      <c r="CMU10" s="479"/>
      <c r="CMV10" s="479"/>
      <c r="CMW10" s="479"/>
      <c r="CMX10" s="479"/>
      <c r="CMY10" s="479"/>
      <c r="CMZ10" s="479"/>
      <c r="CNA10" s="479"/>
      <c r="CNB10" s="479"/>
      <c r="CNC10" s="479"/>
      <c r="CND10" s="593"/>
      <c r="CNE10" s="594"/>
      <c r="CNF10" s="594"/>
      <c r="CNG10" s="594"/>
      <c r="CNH10" s="594"/>
      <c r="CNI10" s="594"/>
      <c r="CNJ10" s="594"/>
      <c r="CNK10" s="594"/>
      <c r="CNL10" s="594"/>
      <c r="CNM10" s="594"/>
      <c r="CNN10" s="479"/>
      <c r="CNO10" s="479"/>
      <c r="CNP10" s="479"/>
      <c r="CNQ10" s="479"/>
      <c r="CNR10" s="479"/>
      <c r="CNS10" s="479"/>
      <c r="CNT10" s="479"/>
      <c r="CNU10" s="479"/>
      <c r="CNV10" s="479"/>
      <c r="CNW10" s="479"/>
      <c r="CNX10" s="479"/>
      <c r="CNY10" s="593"/>
      <c r="CNZ10" s="594"/>
      <c r="COA10" s="594"/>
      <c r="COB10" s="594"/>
      <c r="COC10" s="594"/>
      <c r="COD10" s="594"/>
      <c r="COE10" s="594"/>
      <c r="COF10" s="594"/>
      <c r="COG10" s="594"/>
      <c r="COH10" s="594"/>
      <c r="COI10" s="479"/>
      <c r="COJ10" s="479"/>
      <c r="COK10" s="479"/>
      <c r="COL10" s="479"/>
      <c r="COM10" s="479"/>
      <c r="CON10" s="479"/>
      <c r="COO10" s="479"/>
      <c r="COP10" s="479"/>
      <c r="COQ10" s="479"/>
      <c r="COR10" s="479"/>
      <c r="COS10" s="479"/>
      <c r="COT10" s="593"/>
      <c r="COU10" s="594"/>
      <c r="COV10" s="594"/>
      <c r="COW10" s="594"/>
      <c r="COX10" s="594"/>
      <c r="COY10" s="594"/>
      <c r="COZ10" s="594"/>
      <c r="CPA10" s="594"/>
      <c r="CPB10" s="594"/>
      <c r="CPC10" s="594"/>
      <c r="CPD10" s="479"/>
      <c r="CPE10" s="479"/>
      <c r="CPF10" s="479"/>
      <c r="CPG10" s="479"/>
      <c r="CPH10" s="479"/>
      <c r="CPI10" s="479"/>
      <c r="CPJ10" s="479"/>
      <c r="CPK10" s="479"/>
      <c r="CPL10" s="479"/>
      <c r="CPM10" s="479"/>
      <c r="CPN10" s="479"/>
      <c r="CPO10" s="593"/>
      <c r="CPP10" s="594"/>
      <c r="CPQ10" s="594"/>
      <c r="CPR10" s="594"/>
      <c r="CPS10" s="594"/>
      <c r="CPT10" s="594"/>
      <c r="CPU10" s="594"/>
      <c r="CPV10" s="594"/>
      <c r="CPW10" s="594"/>
      <c r="CPX10" s="594"/>
      <c r="CPY10" s="479"/>
      <c r="CPZ10" s="479"/>
      <c r="CQA10" s="479"/>
      <c r="CQB10" s="479"/>
      <c r="CQC10" s="479"/>
      <c r="CQD10" s="479"/>
      <c r="CQE10" s="479"/>
      <c r="CQF10" s="479"/>
      <c r="CQG10" s="479"/>
      <c r="CQH10" s="479"/>
      <c r="CQI10" s="479"/>
      <c r="CQJ10" s="593"/>
      <c r="CQK10" s="594"/>
      <c r="CQL10" s="594"/>
      <c r="CQM10" s="594"/>
      <c r="CQN10" s="594"/>
      <c r="CQO10" s="594"/>
      <c r="CQP10" s="594"/>
      <c r="CQQ10" s="594"/>
      <c r="CQR10" s="594"/>
      <c r="CQS10" s="594"/>
      <c r="CQT10" s="479"/>
      <c r="CQU10" s="479"/>
      <c r="CQV10" s="479"/>
      <c r="CQW10" s="479"/>
      <c r="CQX10" s="479"/>
      <c r="CQY10" s="479"/>
      <c r="CQZ10" s="479"/>
      <c r="CRA10" s="479"/>
      <c r="CRB10" s="479"/>
      <c r="CRC10" s="479"/>
      <c r="CRD10" s="479"/>
      <c r="CRE10" s="593"/>
      <c r="CRF10" s="594"/>
      <c r="CRG10" s="594"/>
      <c r="CRH10" s="594"/>
      <c r="CRI10" s="594"/>
      <c r="CRJ10" s="594"/>
      <c r="CRK10" s="594"/>
      <c r="CRL10" s="594"/>
      <c r="CRM10" s="594"/>
      <c r="CRN10" s="594"/>
      <c r="CRO10" s="479"/>
      <c r="CRP10" s="479"/>
      <c r="CRQ10" s="479"/>
      <c r="CRR10" s="479"/>
      <c r="CRS10" s="479"/>
      <c r="CRT10" s="479"/>
      <c r="CRU10" s="479"/>
      <c r="CRV10" s="479"/>
      <c r="CRW10" s="479"/>
      <c r="CRX10" s="479"/>
      <c r="CRY10" s="479"/>
      <c r="CRZ10" s="593"/>
      <c r="CSA10" s="594"/>
      <c r="CSB10" s="594"/>
      <c r="CSC10" s="594"/>
      <c r="CSD10" s="594"/>
      <c r="CSE10" s="594"/>
      <c r="CSF10" s="594"/>
      <c r="CSG10" s="594"/>
      <c r="CSH10" s="594"/>
      <c r="CSI10" s="594"/>
      <c r="CSJ10" s="479"/>
      <c r="CSK10" s="479"/>
      <c r="CSL10" s="479"/>
      <c r="CSM10" s="479"/>
      <c r="CSN10" s="479"/>
      <c r="CSO10" s="479"/>
      <c r="CSP10" s="479"/>
      <c r="CSQ10" s="479"/>
      <c r="CSR10" s="479"/>
      <c r="CSS10" s="479"/>
      <c r="CST10" s="479"/>
      <c r="CSU10" s="593"/>
      <c r="CSV10" s="594"/>
      <c r="CSW10" s="594"/>
      <c r="CSX10" s="594"/>
      <c r="CSY10" s="594"/>
      <c r="CSZ10" s="594"/>
      <c r="CTA10" s="594"/>
      <c r="CTB10" s="594"/>
      <c r="CTC10" s="594"/>
      <c r="CTD10" s="594"/>
      <c r="CTE10" s="479"/>
      <c r="CTF10" s="479"/>
      <c r="CTG10" s="479"/>
      <c r="CTH10" s="479"/>
      <c r="CTI10" s="479"/>
      <c r="CTJ10" s="479"/>
      <c r="CTK10" s="479"/>
      <c r="CTL10" s="479"/>
      <c r="CTM10" s="479"/>
      <c r="CTN10" s="479"/>
      <c r="CTO10" s="479"/>
      <c r="CTP10" s="593"/>
      <c r="CTQ10" s="594"/>
      <c r="CTR10" s="594"/>
      <c r="CTS10" s="594"/>
      <c r="CTT10" s="594"/>
      <c r="CTU10" s="594"/>
      <c r="CTV10" s="594"/>
      <c r="CTW10" s="594"/>
      <c r="CTX10" s="594"/>
      <c r="CTY10" s="594"/>
      <c r="CTZ10" s="479"/>
      <c r="CUA10" s="479"/>
      <c r="CUB10" s="479"/>
      <c r="CUC10" s="479"/>
      <c r="CUD10" s="479"/>
      <c r="CUE10" s="479"/>
      <c r="CUF10" s="479"/>
      <c r="CUG10" s="479"/>
      <c r="CUH10" s="479"/>
      <c r="CUI10" s="479"/>
      <c r="CUJ10" s="479"/>
      <c r="CUK10" s="593"/>
      <c r="CUL10" s="594"/>
      <c r="CUM10" s="594"/>
      <c r="CUN10" s="594"/>
      <c r="CUO10" s="594"/>
      <c r="CUP10" s="594"/>
      <c r="CUQ10" s="594"/>
      <c r="CUR10" s="594"/>
      <c r="CUS10" s="594"/>
      <c r="CUT10" s="594"/>
      <c r="CUU10" s="479"/>
      <c r="CUV10" s="479"/>
      <c r="CUW10" s="479"/>
      <c r="CUX10" s="479"/>
      <c r="CUY10" s="479"/>
      <c r="CUZ10" s="479"/>
      <c r="CVA10" s="479"/>
      <c r="CVB10" s="479"/>
      <c r="CVC10" s="479"/>
      <c r="CVD10" s="479"/>
      <c r="CVE10" s="479"/>
      <c r="CVF10" s="593"/>
      <c r="CVG10" s="594"/>
      <c r="CVH10" s="594"/>
      <c r="CVI10" s="594"/>
      <c r="CVJ10" s="594"/>
      <c r="CVK10" s="594"/>
      <c r="CVL10" s="594"/>
      <c r="CVM10" s="594"/>
      <c r="CVN10" s="594"/>
      <c r="CVO10" s="594"/>
      <c r="CVP10" s="479"/>
      <c r="CVQ10" s="479"/>
      <c r="CVR10" s="479"/>
      <c r="CVS10" s="479"/>
      <c r="CVT10" s="479"/>
      <c r="CVU10" s="479"/>
      <c r="CVV10" s="479"/>
      <c r="CVW10" s="479"/>
      <c r="CVX10" s="479"/>
      <c r="CVY10" s="479"/>
      <c r="CVZ10" s="479"/>
      <c r="CWA10" s="593"/>
      <c r="CWB10" s="594"/>
      <c r="CWC10" s="594"/>
      <c r="CWD10" s="594"/>
      <c r="CWE10" s="594"/>
      <c r="CWF10" s="594"/>
      <c r="CWG10" s="594"/>
      <c r="CWH10" s="594"/>
      <c r="CWI10" s="594"/>
      <c r="CWJ10" s="594"/>
      <c r="CWK10" s="479"/>
      <c r="CWL10" s="479"/>
      <c r="CWM10" s="479"/>
      <c r="CWN10" s="479"/>
      <c r="CWO10" s="479"/>
      <c r="CWP10" s="479"/>
      <c r="CWQ10" s="479"/>
      <c r="CWR10" s="479"/>
      <c r="CWS10" s="479"/>
      <c r="CWT10" s="479"/>
      <c r="CWU10" s="479"/>
      <c r="CWV10" s="593"/>
      <c r="CWW10" s="594"/>
      <c r="CWX10" s="594"/>
      <c r="CWY10" s="594"/>
      <c r="CWZ10" s="594"/>
      <c r="CXA10" s="594"/>
      <c r="CXB10" s="594"/>
      <c r="CXC10" s="594"/>
      <c r="CXD10" s="594"/>
      <c r="CXE10" s="594"/>
      <c r="CXF10" s="479"/>
      <c r="CXG10" s="479"/>
      <c r="CXH10" s="479"/>
      <c r="CXI10" s="479"/>
      <c r="CXJ10" s="479"/>
      <c r="CXK10" s="479"/>
      <c r="CXL10" s="479"/>
      <c r="CXM10" s="479"/>
      <c r="CXN10" s="479"/>
      <c r="CXO10" s="479"/>
      <c r="CXP10" s="479"/>
      <c r="CXQ10" s="593"/>
      <c r="CXR10" s="594"/>
      <c r="CXS10" s="594"/>
      <c r="CXT10" s="594"/>
      <c r="CXU10" s="594"/>
      <c r="CXV10" s="594"/>
      <c r="CXW10" s="594"/>
      <c r="CXX10" s="594"/>
      <c r="CXY10" s="594"/>
      <c r="CXZ10" s="594"/>
      <c r="CYA10" s="479"/>
      <c r="CYB10" s="479"/>
      <c r="CYC10" s="479"/>
      <c r="CYD10" s="479"/>
      <c r="CYE10" s="479"/>
      <c r="CYF10" s="479"/>
      <c r="CYG10" s="479"/>
      <c r="CYH10" s="479"/>
      <c r="CYI10" s="479"/>
      <c r="CYJ10" s="479"/>
      <c r="CYK10" s="479"/>
      <c r="CYL10" s="593"/>
      <c r="CYM10" s="594"/>
      <c r="CYN10" s="594"/>
      <c r="CYO10" s="594"/>
      <c r="CYP10" s="594"/>
      <c r="CYQ10" s="594"/>
      <c r="CYR10" s="594"/>
      <c r="CYS10" s="594"/>
      <c r="CYT10" s="594"/>
      <c r="CYU10" s="594"/>
      <c r="CYV10" s="479"/>
      <c r="CYW10" s="479"/>
      <c r="CYX10" s="479"/>
      <c r="CYY10" s="479"/>
      <c r="CYZ10" s="479"/>
      <c r="CZA10" s="479"/>
      <c r="CZB10" s="479"/>
      <c r="CZC10" s="479"/>
      <c r="CZD10" s="479"/>
      <c r="CZE10" s="479"/>
      <c r="CZF10" s="479"/>
      <c r="CZG10" s="593"/>
      <c r="CZH10" s="594"/>
      <c r="CZI10" s="594"/>
      <c r="CZJ10" s="594"/>
      <c r="CZK10" s="594"/>
      <c r="CZL10" s="594"/>
      <c r="CZM10" s="594"/>
      <c r="CZN10" s="594"/>
      <c r="CZO10" s="594"/>
      <c r="CZP10" s="594"/>
      <c r="CZQ10" s="479"/>
      <c r="CZR10" s="479"/>
      <c r="CZS10" s="479"/>
      <c r="CZT10" s="479"/>
      <c r="CZU10" s="479"/>
      <c r="CZV10" s="479"/>
      <c r="CZW10" s="479"/>
      <c r="CZX10" s="479"/>
      <c r="CZY10" s="479"/>
      <c r="CZZ10" s="479"/>
      <c r="DAA10" s="479"/>
      <c r="DAB10" s="593"/>
      <c r="DAC10" s="594"/>
      <c r="DAD10" s="594"/>
      <c r="DAE10" s="594"/>
      <c r="DAF10" s="594"/>
      <c r="DAG10" s="594"/>
      <c r="DAH10" s="594"/>
      <c r="DAI10" s="594"/>
      <c r="DAJ10" s="594"/>
      <c r="DAK10" s="594"/>
      <c r="DAL10" s="479"/>
      <c r="DAM10" s="479"/>
      <c r="DAN10" s="479"/>
      <c r="DAO10" s="479"/>
      <c r="DAP10" s="479"/>
      <c r="DAQ10" s="479"/>
      <c r="DAR10" s="479"/>
      <c r="DAS10" s="479"/>
      <c r="DAT10" s="479"/>
      <c r="DAU10" s="479"/>
      <c r="DAV10" s="479"/>
      <c r="DAW10" s="593"/>
      <c r="DAX10" s="594"/>
      <c r="DAY10" s="594"/>
      <c r="DAZ10" s="594"/>
      <c r="DBA10" s="594"/>
      <c r="DBB10" s="594"/>
      <c r="DBC10" s="594"/>
      <c r="DBD10" s="594"/>
      <c r="DBE10" s="594"/>
      <c r="DBF10" s="594"/>
      <c r="DBG10" s="479"/>
      <c r="DBH10" s="479"/>
      <c r="DBI10" s="479"/>
      <c r="DBJ10" s="479"/>
      <c r="DBK10" s="479"/>
      <c r="DBL10" s="479"/>
      <c r="DBM10" s="479"/>
      <c r="DBN10" s="479"/>
      <c r="DBO10" s="479"/>
      <c r="DBP10" s="479"/>
      <c r="DBQ10" s="479"/>
      <c r="DBR10" s="593"/>
      <c r="DBS10" s="594"/>
      <c r="DBT10" s="594"/>
      <c r="DBU10" s="594"/>
      <c r="DBV10" s="594"/>
      <c r="DBW10" s="594"/>
      <c r="DBX10" s="594"/>
      <c r="DBY10" s="594"/>
      <c r="DBZ10" s="594"/>
      <c r="DCA10" s="594"/>
      <c r="DCB10" s="479"/>
      <c r="DCC10" s="479"/>
      <c r="DCD10" s="479"/>
      <c r="DCE10" s="479"/>
      <c r="DCF10" s="479"/>
      <c r="DCG10" s="479"/>
      <c r="DCH10" s="479"/>
      <c r="DCI10" s="479"/>
      <c r="DCJ10" s="479"/>
      <c r="DCK10" s="479"/>
      <c r="DCL10" s="479"/>
      <c r="DCM10" s="593"/>
      <c r="DCN10" s="594"/>
      <c r="DCO10" s="594"/>
      <c r="DCP10" s="594"/>
      <c r="DCQ10" s="594"/>
      <c r="DCR10" s="594"/>
      <c r="DCS10" s="594"/>
      <c r="DCT10" s="594"/>
      <c r="DCU10" s="594"/>
      <c r="DCV10" s="594"/>
      <c r="DCW10" s="479"/>
      <c r="DCX10" s="479"/>
      <c r="DCY10" s="479"/>
      <c r="DCZ10" s="479"/>
      <c r="DDA10" s="479"/>
      <c r="DDB10" s="479"/>
      <c r="DDC10" s="479"/>
      <c r="DDD10" s="479"/>
      <c r="DDE10" s="479"/>
      <c r="DDF10" s="479"/>
      <c r="DDG10" s="479"/>
      <c r="DDH10" s="593"/>
      <c r="DDI10" s="594"/>
      <c r="DDJ10" s="594"/>
      <c r="DDK10" s="594"/>
      <c r="DDL10" s="594"/>
      <c r="DDM10" s="594"/>
      <c r="DDN10" s="594"/>
      <c r="DDO10" s="594"/>
      <c r="DDP10" s="594"/>
      <c r="DDQ10" s="594"/>
      <c r="DDR10" s="479"/>
      <c r="DDS10" s="479"/>
      <c r="DDT10" s="479"/>
      <c r="DDU10" s="479"/>
      <c r="DDV10" s="479"/>
      <c r="DDW10" s="479"/>
      <c r="DDX10" s="479"/>
      <c r="DDY10" s="479"/>
      <c r="DDZ10" s="479"/>
      <c r="DEA10" s="479"/>
      <c r="DEB10" s="479"/>
      <c r="DEC10" s="593"/>
      <c r="DED10" s="594"/>
      <c r="DEE10" s="594"/>
      <c r="DEF10" s="594"/>
      <c r="DEG10" s="594"/>
      <c r="DEH10" s="594"/>
      <c r="DEI10" s="594"/>
      <c r="DEJ10" s="594"/>
      <c r="DEK10" s="594"/>
      <c r="DEL10" s="594"/>
      <c r="DEM10" s="479"/>
      <c r="DEN10" s="479"/>
      <c r="DEO10" s="479"/>
      <c r="DEP10" s="479"/>
      <c r="DEQ10" s="479"/>
      <c r="DER10" s="479"/>
      <c r="DES10" s="479"/>
      <c r="DET10" s="479"/>
      <c r="DEU10" s="479"/>
      <c r="DEV10" s="479"/>
      <c r="DEW10" s="479"/>
      <c r="DEX10" s="593"/>
      <c r="DEY10" s="594"/>
      <c r="DEZ10" s="594"/>
      <c r="DFA10" s="594"/>
      <c r="DFB10" s="594"/>
      <c r="DFC10" s="594"/>
      <c r="DFD10" s="594"/>
      <c r="DFE10" s="594"/>
      <c r="DFF10" s="594"/>
      <c r="DFG10" s="594"/>
      <c r="DFH10" s="479"/>
      <c r="DFI10" s="479"/>
      <c r="DFJ10" s="479"/>
      <c r="DFK10" s="479"/>
      <c r="DFL10" s="479"/>
      <c r="DFM10" s="479"/>
      <c r="DFN10" s="479"/>
      <c r="DFO10" s="479"/>
      <c r="DFP10" s="479"/>
      <c r="DFQ10" s="479"/>
      <c r="DFR10" s="479"/>
      <c r="DFS10" s="593"/>
      <c r="DFT10" s="594"/>
      <c r="DFU10" s="594"/>
      <c r="DFV10" s="594"/>
      <c r="DFW10" s="594"/>
      <c r="DFX10" s="594"/>
      <c r="DFY10" s="594"/>
      <c r="DFZ10" s="594"/>
      <c r="DGA10" s="594"/>
      <c r="DGB10" s="594"/>
      <c r="DGC10" s="479"/>
      <c r="DGD10" s="479"/>
      <c r="DGE10" s="479"/>
      <c r="DGF10" s="479"/>
      <c r="DGG10" s="479"/>
      <c r="DGH10" s="479"/>
      <c r="DGI10" s="479"/>
      <c r="DGJ10" s="479"/>
      <c r="DGK10" s="479"/>
      <c r="DGL10" s="479"/>
      <c r="DGM10" s="479"/>
      <c r="DGN10" s="593"/>
      <c r="DGO10" s="594"/>
      <c r="DGP10" s="594"/>
      <c r="DGQ10" s="594"/>
      <c r="DGR10" s="594"/>
      <c r="DGS10" s="594"/>
      <c r="DGT10" s="594"/>
      <c r="DGU10" s="594"/>
      <c r="DGV10" s="594"/>
      <c r="DGW10" s="594"/>
      <c r="DGX10" s="479"/>
      <c r="DGY10" s="479"/>
      <c r="DGZ10" s="479"/>
      <c r="DHA10" s="479"/>
      <c r="DHB10" s="479"/>
      <c r="DHC10" s="479"/>
      <c r="DHD10" s="479"/>
      <c r="DHE10" s="479"/>
      <c r="DHF10" s="479"/>
      <c r="DHG10" s="479"/>
      <c r="DHH10" s="479"/>
      <c r="DHI10" s="593"/>
      <c r="DHJ10" s="594"/>
      <c r="DHK10" s="594"/>
      <c r="DHL10" s="594"/>
      <c r="DHM10" s="594"/>
      <c r="DHN10" s="594"/>
      <c r="DHO10" s="594"/>
      <c r="DHP10" s="594"/>
      <c r="DHQ10" s="594"/>
      <c r="DHR10" s="594"/>
      <c r="DHS10" s="479"/>
      <c r="DHT10" s="479"/>
      <c r="DHU10" s="479"/>
      <c r="DHV10" s="479"/>
      <c r="DHW10" s="479"/>
      <c r="DHX10" s="479"/>
      <c r="DHY10" s="479"/>
      <c r="DHZ10" s="479"/>
      <c r="DIA10" s="479"/>
      <c r="DIB10" s="479"/>
      <c r="DIC10" s="479"/>
      <c r="DID10" s="593"/>
      <c r="DIE10" s="594"/>
      <c r="DIF10" s="594"/>
      <c r="DIG10" s="594"/>
      <c r="DIH10" s="594"/>
      <c r="DII10" s="594"/>
      <c r="DIJ10" s="594"/>
      <c r="DIK10" s="594"/>
      <c r="DIL10" s="594"/>
      <c r="DIM10" s="594"/>
      <c r="DIN10" s="479"/>
      <c r="DIO10" s="479"/>
      <c r="DIP10" s="479"/>
      <c r="DIQ10" s="479"/>
      <c r="DIR10" s="479"/>
      <c r="DIS10" s="479"/>
      <c r="DIT10" s="479"/>
      <c r="DIU10" s="479"/>
      <c r="DIV10" s="479"/>
      <c r="DIW10" s="479"/>
      <c r="DIX10" s="479"/>
      <c r="DIY10" s="593"/>
      <c r="DIZ10" s="594"/>
      <c r="DJA10" s="594"/>
      <c r="DJB10" s="594"/>
      <c r="DJC10" s="594"/>
      <c r="DJD10" s="594"/>
      <c r="DJE10" s="594"/>
      <c r="DJF10" s="594"/>
      <c r="DJG10" s="594"/>
      <c r="DJH10" s="594"/>
      <c r="DJI10" s="479"/>
      <c r="DJJ10" s="479"/>
      <c r="DJK10" s="479"/>
      <c r="DJL10" s="479"/>
      <c r="DJM10" s="479"/>
      <c r="DJN10" s="479"/>
      <c r="DJO10" s="479"/>
      <c r="DJP10" s="479"/>
      <c r="DJQ10" s="479"/>
      <c r="DJR10" s="479"/>
      <c r="DJS10" s="479"/>
      <c r="DJT10" s="593"/>
      <c r="DJU10" s="594"/>
      <c r="DJV10" s="594"/>
      <c r="DJW10" s="594"/>
      <c r="DJX10" s="594"/>
      <c r="DJY10" s="594"/>
      <c r="DJZ10" s="594"/>
      <c r="DKA10" s="594"/>
      <c r="DKB10" s="594"/>
      <c r="DKC10" s="594"/>
      <c r="DKD10" s="479"/>
      <c r="DKE10" s="479"/>
      <c r="DKF10" s="479"/>
      <c r="DKG10" s="479"/>
      <c r="DKH10" s="479"/>
      <c r="DKI10" s="479"/>
      <c r="DKJ10" s="479"/>
      <c r="DKK10" s="479"/>
      <c r="DKL10" s="479"/>
      <c r="DKM10" s="479"/>
      <c r="DKN10" s="479"/>
      <c r="DKO10" s="593"/>
      <c r="DKP10" s="594"/>
      <c r="DKQ10" s="594"/>
      <c r="DKR10" s="594"/>
      <c r="DKS10" s="594"/>
      <c r="DKT10" s="594"/>
      <c r="DKU10" s="594"/>
      <c r="DKV10" s="594"/>
      <c r="DKW10" s="594"/>
      <c r="DKX10" s="594"/>
      <c r="DKY10" s="479"/>
      <c r="DKZ10" s="479"/>
      <c r="DLA10" s="479"/>
      <c r="DLB10" s="479"/>
      <c r="DLC10" s="479"/>
      <c r="DLD10" s="479"/>
      <c r="DLE10" s="479"/>
      <c r="DLF10" s="479"/>
      <c r="DLG10" s="479"/>
      <c r="DLH10" s="479"/>
      <c r="DLI10" s="479"/>
      <c r="DLJ10" s="593"/>
      <c r="DLK10" s="594"/>
      <c r="DLL10" s="594"/>
      <c r="DLM10" s="594"/>
      <c r="DLN10" s="594"/>
      <c r="DLO10" s="594"/>
      <c r="DLP10" s="594"/>
      <c r="DLQ10" s="594"/>
      <c r="DLR10" s="594"/>
      <c r="DLS10" s="594"/>
      <c r="DLT10" s="479"/>
      <c r="DLU10" s="479"/>
      <c r="DLV10" s="479"/>
      <c r="DLW10" s="479"/>
      <c r="DLX10" s="479"/>
      <c r="DLY10" s="479"/>
      <c r="DLZ10" s="479"/>
      <c r="DMA10" s="479"/>
      <c r="DMB10" s="479"/>
      <c r="DMC10" s="479"/>
      <c r="DMD10" s="479"/>
      <c r="DME10" s="593"/>
      <c r="DMF10" s="594"/>
      <c r="DMG10" s="594"/>
      <c r="DMH10" s="594"/>
      <c r="DMI10" s="594"/>
      <c r="DMJ10" s="594"/>
      <c r="DMK10" s="594"/>
      <c r="DML10" s="594"/>
      <c r="DMM10" s="594"/>
      <c r="DMN10" s="594"/>
      <c r="DMO10" s="479"/>
      <c r="DMP10" s="479"/>
      <c r="DMQ10" s="479"/>
      <c r="DMR10" s="479"/>
      <c r="DMS10" s="479"/>
      <c r="DMT10" s="479"/>
      <c r="DMU10" s="479"/>
      <c r="DMV10" s="479"/>
      <c r="DMW10" s="479"/>
      <c r="DMX10" s="479"/>
      <c r="DMY10" s="479"/>
      <c r="DMZ10" s="593"/>
      <c r="DNA10" s="594"/>
      <c r="DNB10" s="594"/>
      <c r="DNC10" s="594"/>
      <c r="DND10" s="594"/>
      <c r="DNE10" s="594"/>
      <c r="DNF10" s="594"/>
      <c r="DNG10" s="594"/>
      <c r="DNH10" s="594"/>
      <c r="DNI10" s="594"/>
      <c r="DNJ10" s="479"/>
      <c r="DNK10" s="479"/>
      <c r="DNL10" s="479"/>
      <c r="DNM10" s="479"/>
      <c r="DNN10" s="479"/>
      <c r="DNO10" s="479"/>
      <c r="DNP10" s="479"/>
      <c r="DNQ10" s="479"/>
      <c r="DNR10" s="479"/>
      <c r="DNS10" s="479"/>
      <c r="DNT10" s="479"/>
      <c r="DNU10" s="593"/>
      <c r="DNV10" s="594"/>
      <c r="DNW10" s="594"/>
      <c r="DNX10" s="594"/>
      <c r="DNY10" s="594"/>
      <c r="DNZ10" s="594"/>
      <c r="DOA10" s="594"/>
      <c r="DOB10" s="594"/>
      <c r="DOC10" s="594"/>
      <c r="DOD10" s="594"/>
      <c r="DOE10" s="479"/>
      <c r="DOF10" s="479"/>
      <c r="DOG10" s="479"/>
      <c r="DOH10" s="479"/>
      <c r="DOI10" s="479"/>
      <c r="DOJ10" s="479"/>
      <c r="DOK10" s="479"/>
      <c r="DOL10" s="479"/>
      <c r="DOM10" s="479"/>
      <c r="DON10" s="479"/>
      <c r="DOO10" s="479"/>
      <c r="DOP10" s="593"/>
      <c r="DOQ10" s="594"/>
      <c r="DOR10" s="594"/>
      <c r="DOS10" s="594"/>
      <c r="DOT10" s="594"/>
      <c r="DOU10" s="594"/>
      <c r="DOV10" s="594"/>
      <c r="DOW10" s="594"/>
      <c r="DOX10" s="594"/>
      <c r="DOY10" s="594"/>
      <c r="DOZ10" s="479"/>
      <c r="DPA10" s="479"/>
      <c r="DPB10" s="479"/>
      <c r="DPC10" s="479"/>
      <c r="DPD10" s="479"/>
      <c r="DPE10" s="479"/>
      <c r="DPF10" s="479"/>
      <c r="DPG10" s="479"/>
      <c r="DPH10" s="479"/>
      <c r="DPI10" s="479"/>
      <c r="DPJ10" s="479"/>
      <c r="DPK10" s="593"/>
      <c r="DPL10" s="594"/>
      <c r="DPM10" s="594"/>
      <c r="DPN10" s="594"/>
      <c r="DPO10" s="594"/>
      <c r="DPP10" s="594"/>
      <c r="DPQ10" s="594"/>
      <c r="DPR10" s="594"/>
      <c r="DPS10" s="594"/>
      <c r="DPT10" s="594"/>
      <c r="DPU10" s="479"/>
      <c r="DPV10" s="479"/>
      <c r="DPW10" s="479"/>
      <c r="DPX10" s="479"/>
      <c r="DPY10" s="479"/>
      <c r="DPZ10" s="479"/>
      <c r="DQA10" s="479"/>
      <c r="DQB10" s="479"/>
      <c r="DQC10" s="479"/>
      <c r="DQD10" s="479"/>
      <c r="DQE10" s="479"/>
      <c r="DQF10" s="593"/>
      <c r="DQG10" s="594"/>
      <c r="DQH10" s="594"/>
      <c r="DQI10" s="594"/>
      <c r="DQJ10" s="594"/>
      <c r="DQK10" s="594"/>
      <c r="DQL10" s="594"/>
      <c r="DQM10" s="594"/>
      <c r="DQN10" s="594"/>
      <c r="DQO10" s="594"/>
      <c r="DQP10" s="479"/>
      <c r="DQQ10" s="479"/>
      <c r="DQR10" s="479"/>
      <c r="DQS10" s="479"/>
      <c r="DQT10" s="479"/>
      <c r="DQU10" s="479"/>
      <c r="DQV10" s="479"/>
      <c r="DQW10" s="479"/>
      <c r="DQX10" s="479"/>
      <c r="DQY10" s="479"/>
      <c r="DQZ10" s="479"/>
      <c r="DRA10" s="593"/>
      <c r="DRB10" s="594"/>
      <c r="DRC10" s="594"/>
      <c r="DRD10" s="594"/>
      <c r="DRE10" s="594"/>
      <c r="DRF10" s="594"/>
      <c r="DRG10" s="594"/>
      <c r="DRH10" s="594"/>
      <c r="DRI10" s="594"/>
      <c r="DRJ10" s="594"/>
      <c r="DRK10" s="479"/>
      <c r="DRL10" s="479"/>
      <c r="DRM10" s="479"/>
      <c r="DRN10" s="479"/>
      <c r="DRO10" s="479"/>
      <c r="DRP10" s="479"/>
      <c r="DRQ10" s="479"/>
      <c r="DRR10" s="479"/>
      <c r="DRS10" s="479"/>
      <c r="DRT10" s="479"/>
      <c r="DRU10" s="479"/>
      <c r="DRV10" s="593"/>
      <c r="DRW10" s="594"/>
      <c r="DRX10" s="594"/>
      <c r="DRY10" s="594"/>
      <c r="DRZ10" s="594"/>
      <c r="DSA10" s="594"/>
      <c r="DSB10" s="594"/>
      <c r="DSC10" s="594"/>
      <c r="DSD10" s="594"/>
      <c r="DSE10" s="594"/>
      <c r="DSF10" s="479"/>
      <c r="DSG10" s="479"/>
      <c r="DSH10" s="479"/>
      <c r="DSI10" s="479"/>
      <c r="DSJ10" s="479"/>
      <c r="DSK10" s="479"/>
      <c r="DSL10" s="479"/>
      <c r="DSM10" s="479"/>
      <c r="DSN10" s="479"/>
      <c r="DSO10" s="479"/>
      <c r="DSP10" s="479"/>
      <c r="DSQ10" s="593"/>
      <c r="DSR10" s="594"/>
      <c r="DSS10" s="594"/>
      <c r="DST10" s="594"/>
      <c r="DSU10" s="594"/>
      <c r="DSV10" s="594"/>
      <c r="DSW10" s="594"/>
      <c r="DSX10" s="594"/>
      <c r="DSY10" s="594"/>
      <c r="DSZ10" s="594"/>
      <c r="DTA10" s="479"/>
      <c r="DTB10" s="479"/>
      <c r="DTC10" s="479"/>
      <c r="DTD10" s="479"/>
      <c r="DTE10" s="479"/>
      <c r="DTF10" s="479"/>
      <c r="DTG10" s="479"/>
      <c r="DTH10" s="479"/>
      <c r="DTI10" s="479"/>
      <c r="DTJ10" s="479"/>
      <c r="DTK10" s="479"/>
      <c r="DTL10" s="593"/>
      <c r="DTM10" s="594"/>
      <c r="DTN10" s="594"/>
      <c r="DTO10" s="594"/>
      <c r="DTP10" s="594"/>
      <c r="DTQ10" s="594"/>
      <c r="DTR10" s="594"/>
      <c r="DTS10" s="594"/>
      <c r="DTT10" s="594"/>
      <c r="DTU10" s="594"/>
      <c r="DTV10" s="479"/>
      <c r="DTW10" s="479"/>
      <c r="DTX10" s="479"/>
      <c r="DTY10" s="479"/>
      <c r="DTZ10" s="479"/>
      <c r="DUA10" s="479"/>
      <c r="DUB10" s="479"/>
      <c r="DUC10" s="479"/>
      <c r="DUD10" s="479"/>
      <c r="DUE10" s="479"/>
      <c r="DUF10" s="479"/>
      <c r="DUG10" s="593"/>
      <c r="DUH10" s="594"/>
      <c r="DUI10" s="594"/>
      <c r="DUJ10" s="594"/>
      <c r="DUK10" s="594"/>
      <c r="DUL10" s="594"/>
      <c r="DUM10" s="594"/>
      <c r="DUN10" s="594"/>
      <c r="DUO10" s="594"/>
      <c r="DUP10" s="594"/>
      <c r="DUQ10" s="479"/>
      <c r="DUR10" s="479"/>
      <c r="DUS10" s="479"/>
      <c r="DUT10" s="479"/>
      <c r="DUU10" s="479"/>
      <c r="DUV10" s="479"/>
      <c r="DUW10" s="479"/>
      <c r="DUX10" s="479"/>
      <c r="DUY10" s="479"/>
      <c r="DUZ10" s="479"/>
      <c r="DVA10" s="479"/>
      <c r="DVB10" s="593"/>
      <c r="DVC10" s="594"/>
      <c r="DVD10" s="594"/>
      <c r="DVE10" s="594"/>
      <c r="DVF10" s="594"/>
      <c r="DVG10" s="594"/>
      <c r="DVH10" s="594"/>
      <c r="DVI10" s="594"/>
      <c r="DVJ10" s="594"/>
      <c r="DVK10" s="594"/>
      <c r="DVL10" s="479"/>
      <c r="DVM10" s="479"/>
      <c r="DVN10" s="479"/>
      <c r="DVO10" s="479"/>
      <c r="DVP10" s="479"/>
      <c r="DVQ10" s="479"/>
      <c r="DVR10" s="479"/>
      <c r="DVS10" s="479"/>
      <c r="DVT10" s="479"/>
      <c r="DVU10" s="479"/>
      <c r="DVV10" s="479"/>
      <c r="DVW10" s="593"/>
      <c r="DVX10" s="594"/>
      <c r="DVY10" s="594"/>
      <c r="DVZ10" s="594"/>
      <c r="DWA10" s="594"/>
      <c r="DWB10" s="594"/>
      <c r="DWC10" s="594"/>
      <c r="DWD10" s="594"/>
      <c r="DWE10" s="594"/>
      <c r="DWF10" s="594"/>
      <c r="DWG10" s="479"/>
      <c r="DWH10" s="479"/>
      <c r="DWI10" s="479"/>
      <c r="DWJ10" s="479"/>
      <c r="DWK10" s="479"/>
      <c r="DWL10" s="479"/>
      <c r="DWM10" s="479"/>
      <c r="DWN10" s="479"/>
      <c r="DWO10" s="479"/>
      <c r="DWP10" s="479"/>
      <c r="DWQ10" s="479"/>
      <c r="DWR10" s="593"/>
      <c r="DWS10" s="594"/>
      <c r="DWT10" s="594"/>
      <c r="DWU10" s="594"/>
      <c r="DWV10" s="594"/>
      <c r="DWW10" s="594"/>
      <c r="DWX10" s="594"/>
      <c r="DWY10" s="594"/>
      <c r="DWZ10" s="594"/>
      <c r="DXA10" s="594"/>
      <c r="DXB10" s="479"/>
      <c r="DXC10" s="479"/>
      <c r="DXD10" s="479"/>
      <c r="DXE10" s="479"/>
      <c r="DXF10" s="479"/>
      <c r="DXG10" s="479"/>
      <c r="DXH10" s="479"/>
      <c r="DXI10" s="479"/>
      <c r="DXJ10" s="479"/>
      <c r="DXK10" s="479"/>
      <c r="DXL10" s="479"/>
      <c r="DXM10" s="593"/>
      <c r="DXN10" s="594"/>
      <c r="DXO10" s="594"/>
      <c r="DXP10" s="594"/>
      <c r="DXQ10" s="594"/>
      <c r="DXR10" s="594"/>
      <c r="DXS10" s="594"/>
      <c r="DXT10" s="594"/>
      <c r="DXU10" s="594"/>
      <c r="DXV10" s="594"/>
      <c r="DXW10" s="479"/>
      <c r="DXX10" s="479"/>
      <c r="DXY10" s="479"/>
      <c r="DXZ10" s="479"/>
      <c r="DYA10" s="479"/>
      <c r="DYB10" s="479"/>
      <c r="DYC10" s="479"/>
      <c r="DYD10" s="479"/>
      <c r="DYE10" s="479"/>
      <c r="DYF10" s="479"/>
      <c r="DYG10" s="479"/>
      <c r="DYH10" s="593"/>
      <c r="DYI10" s="594"/>
      <c r="DYJ10" s="594"/>
      <c r="DYK10" s="594"/>
      <c r="DYL10" s="594"/>
      <c r="DYM10" s="594"/>
      <c r="DYN10" s="594"/>
      <c r="DYO10" s="594"/>
      <c r="DYP10" s="594"/>
      <c r="DYQ10" s="594"/>
      <c r="DYR10" s="479"/>
      <c r="DYS10" s="479"/>
      <c r="DYT10" s="479"/>
      <c r="DYU10" s="479"/>
      <c r="DYV10" s="479"/>
      <c r="DYW10" s="479"/>
      <c r="DYX10" s="479"/>
      <c r="DYY10" s="479"/>
      <c r="DYZ10" s="479"/>
      <c r="DZA10" s="479"/>
      <c r="DZB10" s="479"/>
      <c r="DZC10" s="593"/>
      <c r="DZD10" s="594"/>
      <c r="DZE10" s="594"/>
      <c r="DZF10" s="594"/>
      <c r="DZG10" s="594"/>
      <c r="DZH10" s="594"/>
      <c r="DZI10" s="594"/>
      <c r="DZJ10" s="594"/>
      <c r="DZK10" s="594"/>
      <c r="DZL10" s="594"/>
      <c r="DZM10" s="479"/>
      <c r="DZN10" s="479"/>
      <c r="DZO10" s="479"/>
      <c r="DZP10" s="479"/>
      <c r="DZQ10" s="479"/>
      <c r="DZR10" s="479"/>
      <c r="DZS10" s="479"/>
      <c r="DZT10" s="479"/>
      <c r="DZU10" s="479"/>
      <c r="DZV10" s="479"/>
      <c r="DZW10" s="479"/>
      <c r="DZX10" s="593"/>
      <c r="DZY10" s="594"/>
      <c r="DZZ10" s="594"/>
      <c r="EAA10" s="594"/>
      <c r="EAB10" s="594"/>
      <c r="EAC10" s="594"/>
      <c r="EAD10" s="594"/>
      <c r="EAE10" s="594"/>
      <c r="EAF10" s="594"/>
      <c r="EAG10" s="594"/>
      <c r="EAH10" s="479"/>
      <c r="EAI10" s="479"/>
      <c r="EAJ10" s="479"/>
      <c r="EAK10" s="479"/>
      <c r="EAL10" s="479"/>
      <c r="EAM10" s="479"/>
      <c r="EAN10" s="479"/>
      <c r="EAO10" s="479"/>
      <c r="EAP10" s="479"/>
      <c r="EAQ10" s="479"/>
      <c r="EAR10" s="479"/>
      <c r="EAS10" s="593"/>
      <c r="EAT10" s="594"/>
      <c r="EAU10" s="594"/>
      <c r="EAV10" s="594"/>
      <c r="EAW10" s="594"/>
      <c r="EAX10" s="594"/>
      <c r="EAY10" s="594"/>
      <c r="EAZ10" s="594"/>
      <c r="EBA10" s="594"/>
      <c r="EBB10" s="594"/>
      <c r="EBC10" s="479"/>
      <c r="EBD10" s="479"/>
      <c r="EBE10" s="479"/>
      <c r="EBF10" s="479"/>
      <c r="EBG10" s="479"/>
      <c r="EBH10" s="479"/>
      <c r="EBI10" s="479"/>
      <c r="EBJ10" s="479"/>
      <c r="EBK10" s="479"/>
      <c r="EBL10" s="479"/>
      <c r="EBM10" s="479"/>
      <c r="EBN10" s="593"/>
      <c r="EBO10" s="594"/>
      <c r="EBP10" s="594"/>
      <c r="EBQ10" s="594"/>
      <c r="EBR10" s="594"/>
      <c r="EBS10" s="594"/>
      <c r="EBT10" s="594"/>
      <c r="EBU10" s="594"/>
      <c r="EBV10" s="594"/>
      <c r="EBW10" s="594"/>
      <c r="EBX10" s="479"/>
      <c r="EBY10" s="479"/>
      <c r="EBZ10" s="479"/>
      <c r="ECA10" s="479"/>
      <c r="ECB10" s="479"/>
      <c r="ECC10" s="479"/>
      <c r="ECD10" s="479"/>
      <c r="ECE10" s="479"/>
      <c r="ECF10" s="479"/>
      <c r="ECG10" s="479"/>
      <c r="ECH10" s="479"/>
      <c r="ECI10" s="593"/>
      <c r="ECJ10" s="594"/>
      <c r="ECK10" s="594"/>
      <c r="ECL10" s="594"/>
      <c r="ECM10" s="594"/>
      <c r="ECN10" s="594"/>
      <c r="ECO10" s="594"/>
      <c r="ECP10" s="594"/>
      <c r="ECQ10" s="594"/>
      <c r="ECR10" s="594"/>
      <c r="ECS10" s="479"/>
      <c r="ECT10" s="479"/>
      <c r="ECU10" s="479"/>
      <c r="ECV10" s="479"/>
      <c r="ECW10" s="479"/>
      <c r="ECX10" s="479"/>
      <c r="ECY10" s="479"/>
      <c r="ECZ10" s="479"/>
      <c r="EDA10" s="479"/>
      <c r="EDB10" s="479"/>
      <c r="EDC10" s="479"/>
      <c r="EDD10" s="593"/>
      <c r="EDE10" s="594"/>
      <c r="EDF10" s="594"/>
      <c r="EDG10" s="594"/>
      <c r="EDH10" s="594"/>
      <c r="EDI10" s="594"/>
      <c r="EDJ10" s="594"/>
      <c r="EDK10" s="594"/>
      <c r="EDL10" s="594"/>
      <c r="EDM10" s="594"/>
      <c r="EDN10" s="479"/>
      <c r="EDO10" s="479"/>
      <c r="EDP10" s="479"/>
      <c r="EDQ10" s="479"/>
      <c r="EDR10" s="479"/>
      <c r="EDS10" s="479"/>
      <c r="EDT10" s="479"/>
      <c r="EDU10" s="479"/>
      <c r="EDV10" s="479"/>
      <c r="EDW10" s="479"/>
      <c r="EDX10" s="479"/>
      <c r="EDY10" s="593"/>
      <c r="EDZ10" s="594"/>
      <c r="EEA10" s="594"/>
      <c r="EEB10" s="594"/>
      <c r="EEC10" s="594"/>
      <c r="EED10" s="594"/>
      <c r="EEE10" s="594"/>
      <c r="EEF10" s="594"/>
      <c r="EEG10" s="594"/>
      <c r="EEH10" s="594"/>
      <c r="EEI10" s="479"/>
      <c r="EEJ10" s="479"/>
      <c r="EEK10" s="479"/>
      <c r="EEL10" s="479"/>
      <c r="EEM10" s="479"/>
      <c r="EEN10" s="479"/>
      <c r="EEO10" s="479"/>
      <c r="EEP10" s="479"/>
      <c r="EEQ10" s="479"/>
      <c r="EER10" s="479"/>
      <c r="EES10" s="479"/>
      <c r="EET10" s="593"/>
      <c r="EEU10" s="594"/>
      <c r="EEV10" s="594"/>
      <c r="EEW10" s="594"/>
      <c r="EEX10" s="594"/>
      <c r="EEY10" s="594"/>
      <c r="EEZ10" s="594"/>
      <c r="EFA10" s="594"/>
      <c r="EFB10" s="594"/>
      <c r="EFC10" s="594"/>
      <c r="EFD10" s="479"/>
      <c r="EFE10" s="479"/>
      <c r="EFF10" s="479"/>
      <c r="EFG10" s="479"/>
      <c r="EFH10" s="479"/>
      <c r="EFI10" s="479"/>
      <c r="EFJ10" s="479"/>
      <c r="EFK10" s="479"/>
      <c r="EFL10" s="479"/>
      <c r="EFM10" s="479"/>
      <c r="EFN10" s="479"/>
      <c r="EFO10" s="593"/>
      <c r="EFP10" s="594"/>
      <c r="EFQ10" s="594"/>
      <c r="EFR10" s="594"/>
      <c r="EFS10" s="594"/>
      <c r="EFT10" s="594"/>
      <c r="EFU10" s="594"/>
      <c r="EFV10" s="594"/>
      <c r="EFW10" s="594"/>
      <c r="EFX10" s="594"/>
      <c r="EFY10" s="479"/>
      <c r="EFZ10" s="479"/>
      <c r="EGA10" s="479"/>
      <c r="EGB10" s="479"/>
      <c r="EGC10" s="479"/>
      <c r="EGD10" s="479"/>
      <c r="EGE10" s="479"/>
      <c r="EGF10" s="479"/>
      <c r="EGG10" s="479"/>
      <c r="EGH10" s="479"/>
      <c r="EGI10" s="479"/>
      <c r="EGJ10" s="593"/>
      <c r="EGK10" s="594"/>
      <c r="EGL10" s="594"/>
      <c r="EGM10" s="594"/>
      <c r="EGN10" s="594"/>
      <c r="EGO10" s="594"/>
      <c r="EGP10" s="594"/>
      <c r="EGQ10" s="594"/>
      <c r="EGR10" s="594"/>
      <c r="EGS10" s="594"/>
      <c r="EGT10" s="479"/>
      <c r="EGU10" s="479"/>
      <c r="EGV10" s="479"/>
      <c r="EGW10" s="479"/>
      <c r="EGX10" s="479"/>
      <c r="EGY10" s="479"/>
      <c r="EGZ10" s="479"/>
      <c r="EHA10" s="479"/>
      <c r="EHB10" s="479"/>
      <c r="EHC10" s="479"/>
      <c r="EHD10" s="479"/>
      <c r="EHE10" s="593"/>
      <c r="EHF10" s="594"/>
      <c r="EHG10" s="594"/>
      <c r="EHH10" s="594"/>
      <c r="EHI10" s="594"/>
      <c r="EHJ10" s="594"/>
      <c r="EHK10" s="594"/>
      <c r="EHL10" s="594"/>
      <c r="EHM10" s="594"/>
      <c r="EHN10" s="594"/>
      <c r="EHO10" s="479"/>
      <c r="EHP10" s="479"/>
      <c r="EHQ10" s="479"/>
      <c r="EHR10" s="479"/>
      <c r="EHS10" s="479"/>
      <c r="EHT10" s="479"/>
      <c r="EHU10" s="479"/>
      <c r="EHV10" s="479"/>
      <c r="EHW10" s="479"/>
      <c r="EHX10" s="479"/>
      <c r="EHY10" s="479"/>
      <c r="EHZ10" s="593"/>
      <c r="EIA10" s="594"/>
      <c r="EIB10" s="594"/>
      <c r="EIC10" s="594"/>
      <c r="EID10" s="594"/>
      <c r="EIE10" s="594"/>
      <c r="EIF10" s="594"/>
      <c r="EIG10" s="594"/>
      <c r="EIH10" s="594"/>
      <c r="EII10" s="594"/>
      <c r="EIJ10" s="479"/>
      <c r="EIK10" s="479"/>
      <c r="EIL10" s="479"/>
      <c r="EIM10" s="479"/>
      <c r="EIN10" s="479"/>
      <c r="EIO10" s="479"/>
      <c r="EIP10" s="479"/>
      <c r="EIQ10" s="479"/>
      <c r="EIR10" s="479"/>
      <c r="EIS10" s="479"/>
      <c r="EIT10" s="479"/>
      <c r="EIU10" s="593"/>
      <c r="EIV10" s="594"/>
      <c r="EIW10" s="594"/>
      <c r="EIX10" s="594"/>
      <c r="EIY10" s="594"/>
      <c r="EIZ10" s="594"/>
      <c r="EJA10" s="594"/>
      <c r="EJB10" s="594"/>
      <c r="EJC10" s="594"/>
      <c r="EJD10" s="594"/>
      <c r="EJE10" s="479"/>
      <c r="EJF10" s="479"/>
      <c r="EJG10" s="479"/>
      <c r="EJH10" s="479"/>
      <c r="EJI10" s="479"/>
      <c r="EJJ10" s="479"/>
      <c r="EJK10" s="479"/>
      <c r="EJL10" s="479"/>
      <c r="EJM10" s="479"/>
      <c r="EJN10" s="479"/>
      <c r="EJO10" s="479"/>
      <c r="EJP10" s="593"/>
      <c r="EJQ10" s="594"/>
      <c r="EJR10" s="594"/>
      <c r="EJS10" s="594"/>
      <c r="EJT10" s="594"/>
      <c r="EJU10" s="594"/>
      <c r="EJV10" s="594"/>
      <c r="EJW10" s="594"/>
      <c r="EJX10" s="594"/>
      <c r="EJY10" s="594"/>
      <c r="EJZ10" s="479"/>
      <c r="EKA10" s="479"/>
      <c r="EKB10" s="479"/>
      <c r="EKC10" s="479"/>
      <c r="EKD10" s="479"/>
      <c r="EKE10" s="479"/>
      <c r="EKF10" s="479"/>
      <c r="EKG10" s="479"/>
      <c r="EKH10" s="479"/>
      <c r="EKI10" s="479"/>
      <c r="EKJ10" s="479"/>
      <c r="EKK10" s="593"/>
      <c r="EKL10" s="594"/>
      <c r="EKM10" s="594"/>
      <c r="EKN10" s="594"/>
      <c r="EKO10" s="594"/>
      <c r="EKP10" s="594"/>
      <c r="EKQ10" s="594"/>
      <c r="EKR10" s="594"/>
      <c r="EKS10" s="594"/>
      <c r="EKT10" s="594"/>
      <c r="EKU10" s="479"/>
      <c r="EKV10" s="479"/>
      <c r="EKW10" s="479"/>
      <c r="EKX10" s="479"/>
      <c r="EKY10" s="479"/>
      <c r="EKZ10" s="479"/>
      <c r="ELA10" s="479"/>
      <c r="ELB10" s="479"/>
      <c r="ELC10" s="479"/>
      <c r="ELD10" s="479"/>
      <c r="ELE10" s="479"/>
      <c r="ELF10" s="593"/>
      <c r="ELG10" s="594"/>
      <c r="ELH10" s="594"/>
      <c r="ELI10" s="594"/>
      <c r="ELJ10" s="594"/>
      <c r="ELK10" s="594"/>
      <c r="ELL10" s="594"/>
      <c r="ELM10" s="594"/>
      <c r="ELN10" s="594"/>
      <c r="ELO10" s="594"/>
      <c r="ELP10" s="479"/>
      <c r="ELQ10" s="479"/>
      <c r="ELR10" s="479"/>
      <c r="ELS10" s="479"/>
      <c r="ELT10" s="479"/>
      <c r="ELU10" s="479"/>
      <c r="ELV10" s="479"/>
      <c r="ELW10" s="479"/>
      <c r="ELX10" s="479"/>
      <c r="ELY10" s="479"/>
      <c r="ELZ10" s="479"/>
      <c r="EMA10" s="593"/>
      <c r="EMB10" s="594"/>
      <c r="EMC10" s="594"/>
      <c r="EMD10" s="594"/>
      <c r="EME10" s="594"/>
      <c r="EMF10" s="594"/>
      <c r="EMG10" s="594"/>
      <c r="EMH10" s="594"/>
      <c r="EMI10" s="594"/>
      <c r="EMJ10" s="594"/>
      <c r="EMK10" s="479"/>
      <c r="EML10" s="479"/>
      <c r="EMM10" s="479"/>
      <c r="EMN10" s="479"/>
      <c r="EMO10" s="479"/>
      <c r="EMP10" s="479"/>
      <c r="EMQ10" s="479"/>
      <c r="EMR10" s="479"/>
      <c r="EMS10" s="479"/>
      <c r="EMT10" s="479"/>
      <c r="EMU10" s="479"/>
      <c r="EMV10" s="593"/>
      <c r="EMW10" s="594"/>
      <c r="EMX10" s="594"/>
      <c r="EMY10" s="594"/>
      <c r="EMZ10" s="594"/>
      <c r="ENA10" s="594"/>
      <c r="ENB10" s="594"/>
      <c r="ENC10" s="594"/>
      <c r="END10" s="594"/>
      <c r="ENE10" s="594"/>
      <c r="ENF10" s="479"/>
      <c r="ENG10" s="479"/>
      <c r="ENH10" s="479"/>
      <c r="ENI10" s="479"/>
      <c r="ENJ10" s="479"/>
      <c r="ENK10" s="479"/>
      <c r="ENL10" s="479"/>
      <c r="ENM10" s="479"/>
      <c r="ENN10" s="479"/>
      <c r="ENO10" s="479"/>
      <c r="ENP10" s="479"/>
      <c r="ENQ10" s="593"/>
      <c r="ENR10" s="594"/>
      <c r="ENS10" s="594"/>
      <c r="ENT10" s="594"/>
      <c r="ENU10" s="594"/>
      <c r="ENV10" s="594"/>
      <c r="ENW10" s="594"/>
      <c r="ENX10" s="594"/>
      <c r="ENY10" s="594"/>
      <c r="ENZ10" s="594"/>
      <c r="EOA10" s="479"/>
      <c r="EOB10" s="479"/>
      <c r="EOC10" s="479"/>
      <c r="EOD10" s="479"/>
      <c r="EOE10" s="479"/>
      <c r="EOF10" s="479"/>
      <c r="EOG10" s="479"/>
      <c r="EOH10" s="479"/>
      <c r="EOI10" s="479"/>
      <c r="EOJ10" s="479"/>
      <c r="EOK10" s="479"/>
      <c r="EOL10" s="593"/>
      <c r="EOM10" s="594"/>
      <c r="EON10" s="594"/>
      <c r="EOO10" s="594"/>
      <c r="EOP10" s="594"/>
      <c r="EOQ10" s="594"/>
      <c r="EOR10" s="594"/>
      <c r="EOS10" s="594"/>
      <c r="EOT10" s="594"/>
      <c r="EOU10" s="594"/>
      <c r="EOV10" s="479"/>
      <c r="EOW10" s="479"/>
      <c r="EOX10" s="479"/>
      <c r="EOY10" s="479"/>
      <c r="EOZ10" s="479"/>
      <c r="EPA10" s="479"/>
      <c r="EPB10" s="479"/>
      <c r="EPC10" s="479"/>
      <c r="EPD10" s="479"/>
      <c r="EPE10" s="479"/>
      <c r="EPF10" s="479"/>
      <c r="EPG10" s="593"/>
      <c r="EPH10" s="594"/>
      <c r="EPI10" s="594"/>
      <c r="EPJ10" s="594"/>
      <c r="EPK10" s="594"/>
      <c r="EPL10" s="594"/>
      <c r="EPM10" s="594"/>
      <c r="EPN10" s="594"/>
      <c r="EPO10" s="594"/>
      <c r="EPP10" s="594"/>
      <c r="EPQ10" s="479"/>
      <c r="EPR10" s="479"/>
      <c r="EPS10" s="479"/>
      <c r="EPT10" s="479"/>
      <c r="EPU10" s="479"/>
      <c r="EPV10" s="479"/>
      <c r="EPW10" s="479"/>
      <c r="EPX10" s="479"/>
      <c r="EPY10" s="479"/>
      <c r="EPZ10" s="479"/>
      <c r="EQA10" s="479"/>
      <c r="EQB10" s="593"/>
      <c r="EQC10" s="594"/>
      <c r="EQD10" s="594"/>
      <c r="EQE10" s="594"/>
      <c r="EQF10" s="594"/>
      <c r="EQG10" s="594"/>
      <c r="EQH10" s="594"/>
      <c r="EQI10" s="594"/>
      <c r="EQJ10" s="594"/>
      <c r="EQK10" s="594"/>
      <c r="EQL10" s="479"/>
      <c r="EQM10" s="479"/>
      <c r="EQN10" s="479"/>
      <c r="EQO10" s="479"/>
      <c r="EQP10" s="479"/>
      <c r="EQQ10" s="479"/>
      <c r="EQR10" s="479"/>
      <c r="EQS10" s="479"/>
      <c r="EQT10" s="479"/>
      <c r="EQU10" s="479"/>
      <c r="EQV10" s="479"/>
      <c r="EQW10" s="593"/>
      <c r="EQX10" s="594"/>
      <c r="EQY10" s="594"/>
      <c r="EQZ10" s="594"/>
      <c r="ERA10" s="594"/>
      <c r="ERB10" s="594"/>
      <c r="ERC10" s="594"/>
      <c r="ERD10" s="594"/>
      <c r="ERE10" s="594"/>
      <c r="ERF10" s="594"/>
      <c r="ERG10" s="479"/>
      <c r="ERH10" s="479"/>
      <c r="ERI10" s="479"/>
      <c r="ERJ10" s="479"/>
      <c r="ERK10" s="479"/>
      <c r="ERL10" s="479"/>
      <c r="ERM10" s="479"/>
      <c r="ERN10" s="479"/>
      <c r="ERO10" s="479"/>
      <c r="ERP10" s="479"/>
      <c r="ERQ10" s="479"/>
      <c r="ERR10" s="593"/>
      <c r="ERS10" s="594"/>
      <c r="ERT10" s="594"/>
      <c r="ERU10" s="594"/>
      <c r="ERV10" s="594"/>
      <c r="ERW10" s="594"/>
      <c r="ERX10" s="594"/>
      <c r="ERY10" s="594"/>
      <c r="ERZ10" s="594"/>
      <c r="ESA10" s="594"/>
      <c r="ESB10" s="479"/>
      <c r="ESC10" s="479"/>
      <c r="ESD10" s="479"/>
      <c r="ESE10" s="479"/>
      <c r="ESF10" s="479"/>
      <c r="ESG10" s="479"/>
      <c r="ESH10" s="479"/>
      <c r="ESI10" s="479"/>
      <c r="ESJ10" s="479"/>
      <c r="ESK10" s="479"/>
      <c r="ESL10" s="479"/>
      <c r="ESM10" s="593"/>
      <c r="ESN10" s="594"/>
      <c r="ESO10" s="594"/>
      <c r="ESP10" s="594"/>
      <c r="ESQ10" s="594"/>
      <c r="ESR10" s="594"/>
      <c r="ESS10" s="594"/>
      <c r="EST10" s="594"/>
      <c r="ESU10" s="594"/>
      <c r="ESV10" s="594"/>
      <c r="ESW10" s="479"/>
      <c r="ESX10" s="479"/>
      <c r="ESY10" s="479"/>
      <c r="ESZ10" s="479"/>
      <c r="ETA10" s="479"/>
      <c r="ETB10" s="479"/>
      <c r="ETC10" s="479"/>
      <c r="ETD10" s="479"/>
      <c r="ETE10" s="479"/>
      <c r="ETF10" s="479"/>
      <c r="ETG10" s="479"/>
      <c r="ETH10" s="593"/>
      <c r="ETI10" s="594"/>
      <c r="ETJ10" s="594"/>
      <c r="ETK10" s="594"/>
      <c r="ETL10" s="594"/>
      <c r="ETM10" s="594"/>
      <c r="ETN10" s="594"/>
      <c r="ETO10" s="594"/>
      <c r="ETP10" s="594"/>
      <c r="ETQ10" s="594"/>
      <c r="ETR10" s="479"/>
      <c r="ETS10" s="479"/>
      <c r="ETT10" s="479"/>
      <c r="ETU10" s="479"/>
      <c r="ETV10" s="479"/>
      <c r="ETW10" s="479"/>
      <c r="ETX10" s="479"/>
      <c r="ETY10" s="479"/>
      <c r="ETZ10" s="479"/>
      <c r="EUA10" s="479"/>
      <c r="EUB10" s="479"/>
      <c r="EUC10" s="593"/>
      <c r="EUD10" s="594"/>
      <c r="EUE10" s="594"/>
      <c r="EUF10" s="594"/>
      <c r="EUG10" s="594"/>
      <c r="EUH10" s="594"/>
      <c r="EUI10" s="594"/>
      <c r="EUJ10" s="594"/>
      <c r="EUK10" s="594"/>
      <c r="EUL10" s="594"/>
      <c r="EUM10" s="479"/>
      <c r="EUN10" s="479"/>
      <c r="EUO10" s="479"/>
      <c r="EUP10" s="479"/>
      <c r="EUQ10" s="479"/>
      <c r="EUR10" s="479"/>
      <c r="EUS10" s="479"/>
      <c r="EUT10" s="479"/>
      <c r="EUU10" s="479"/>
      <c r="EUV10" s="479"/>
      <c r="EUW10" s="479"/>
      <c r="EUX10" s="593"/>
      <c r="EUY10" s="594"/>
      <c r="EUZ10" s="594"/>
      <c r="EVA10" s="594"/>
      <c r="EVB10" s="594"/>
      <c r="EVC10" s="594"/>
      <c r="EVD10" s="594"/>
      <c r="EVE10" s="594"/>
      <c r="EVF10" s="594"/>
      <c r="EVG10" s="594"/>
      <c r="EVH10" s="479"/>
      <c r="EVI10" s="479"/>
      <c r="EVJ10" s="479"/>
      <c r="EVK10" s="479"/>
      <c r="EVL10" s="479"/>
      <c r="EVM10" s="479"/>
      <c r="EVN10" s="479"/>
      <c r="EVO10" s="479"/>
      <c r="EVP10" s="479"/>
      <c r="EVQ10" s="479"/>
      <c r="EVR10" s="479"/>
      <c r="EVS10" s="593"/>
      <c r="EVT10" s="594"/>
      <c r="EVU10" s="594"/>
      <c r="EVV10" s="594"/>
      <c r="EVW10" s="594"/>
      <c r="EVX10" s="594"/>
      <c r="EVY10" s="594"/>
      <c r="EVZ10" s="594"/>
      <c r="EWA10" s="594"/>
      <c r="EWB10" s="594"/>
      <c r="EWC10" s="479"/>
      <c r="EWD10" s="479"/>
      <c r="EWE10" s="479"/>
      <c r="EWF10" s="479"/>
      <c r="EWG10" s="479"/>
      <c r="EWH10" s="479"/>
      <c r="EWI10" s="479"/>
      <c r="EWJ10" s="479"/>
      <c r="EWK10" s="479"/>
      <c r="EWL10" s="479"/>
      <c r="EWM10" s="479"/>
      <c r="EWN10" s="593"/>
      <c r="EWO10" s="594"/>
      <c r="EWP10" s="594"/>
      <c r="EWQ10" s="594"/>
      <c r="EWR10" s="594"/>
      <c r="EWS10" s="594"/>
      <c r="EWT10" s="594"/>
      <c r="EWU10" s="594"/>
      <c r="EWV10" s="594"/>
      <c r="EWW10" s="594"/>
      <c r="EWX10" s="479"/>
      <c r="EWY10" s="479"/>
      <c r="EWZ10" s="479"/>
      <c r="EXA10" s="479"/>
      <c r="EXB10" s="479"/>
      <c r="EXC10" s="479"/>
      <c r="EXD10" s="479"/>
      <c r="EXE10" s="479"/>
      <c r="EXF10" s="479"/>
      <c r="EXG10" s="479"/>
      <c r="EXH10" s="479"/>
      <c r="EXI10" s="593"/>
      <c r="EXJ10" s="594"/>
      <c r="EXK10" s="594"/>
      <c r="EXL10" s="594"/>
      <c r="EXM10" s="594"/>
      <c r="EXN10" s="594"/>
      <c r="EXO10" s="594"/>
      <c r="EXP10" s="594"/>
      <c r="EXQ10" s="594"/>
      <c r="EXR10" s="594"/>
      <c r="EXS10" s="479"/>
      <c r="EXT10" s="479"/>
      <c r="EXU10" s="479"/>
      <c r="EXV10" s="479"/>
      <c r="EXW10" s="479"/>
      <c r="EXX10" s="479"/>
      <c r="EXY10" s="479"/>
      <c r="EXZ10" s="479"/>
      <c r="EYA10" s="479"/>
      <c r="EYB10" s="479"/>
      <c r="EYC10" s="479"/>
      <c r="EYD10" s="593"/>
      <c r="EYE10" s="594"/>
      <c r="EYF10" s="594"/>
      <c r="EYG10" s="594"/>
      <c r="EYH10" s="594"/>
      <c r="EYI10" s="594"/>
      <c r="EYJ10" s="594"/>
      <c r="EYK10" s="594"/>
      <c r="EYL10" s="594"/>
      <c r="EYM10" s="594"/>
      <c r="EYN10" s="479"/>
      <c r="EYO10" s="479"/>
      <c r="EYP10" s="479"/>
      <c r="EYQ10" s="479"/>
      <c r="EYR10" s="479"/>
      <c r="EYS10" s="479"/>
      <c r="EYT10" s="479"/>
      <c r="EYU10" s="479"/>
      <c r="EYV10" s="479"/>
      <c r="EYW10" s="479"/>
      <c r="EYX10" s="479"/>
      <c r="EYY10" s="593"/>
      <c r="EYZ10" s="594"/>
      <c r="EZA10" s="594"/>
      <c r="EZB10" s="594"/>
      <c r="EZC10" s="594"/>
      <c r="EZD10" s="594"/>
      <c r="EZE10" s="594"/>
      <c r="EZF10" s="594"/>
      <c r="EZG10" s="594"/>
      <c r="EZH10" s="594"/>
      <c r="EZI10" s="479"/>
      <c r="EZJ10" s="479"/>
      <c r="EZK10" s="479"/>
      <c r="EZL10" s="479"/>
      <c r="EZM10" s="479"/>
      <c r="EZN10" s="479"/>
      <c r="EZO10" s="479"/>
      <c r="EZP10" s="479"/>
      <c r="EZQ10" s="479"/>
      <c r="EZR10" s="479"/>
      <c r="EZS10" s="479"/>
      <c r="EZT10" s="593"/>
      <c r="EZU10" s="594"/>
      <c r="EZV10" s="594"/>
      <c r="EZW10" s="594"/>
      <c r="EZX10" s="594"/>
      <c r="EZY10" s="594"/>
      <c r="EZZ10" s="594"/>
      <c r="FAA10" s="594"/>
      <c r="FAB10" s="594"/>
      <c r="FAC10" s="594"/>
      <c r="FAD10" s="479"/>
      <c r="FAE10" s="479"/>
      <c r="FAF10" s="479"/>
      <c r="FAG10" s="479"/>
      <c r="FAH10" s="479"/>
      <c r="FAI10" s="479"/>
      <c r="FAJ10" s="479"/>
      <c r="FAK10" s="479"/>
      <c r="FAL10" s="479"/>
      <c r="FAM10" s="479"/>
      <c r="FAN10" s="479"/>
      <c r="FAO10" s="593"/>
      <c r="FAP10" s="594"/>
      <c r="FAQ10" s="594"/>
      <c r="FAR10" s="594"/>
      <c r="FAS10" s="594"/>
      <c r="FAT10" s="594"/>
      <c r="FAU10" s="594"/>
      <c r="FAV10" s="594"/>
      <c r="FAW10" s="594"/>
      <c r="FAX10" s="594"/>
      <c r="FAY10" s="479"/>
      <c r="FAZ10" s="479"/>
      <c r="FBA10" s="479"/>
      <c r="FBB10" s="479"/>
      <c r="FBC10" s="479"/>
      <c r="FBD10" s="479"/>
      <c r="FBE10" s="479"/>
      <c r="FBF10" s="479"/>
      <c r="FBG10" s="479"/>
      <c r="FBH10" s="479"/>
      <c r="FBI10" s="479"/>
      <c r="FBJ10" s="593"/>
      <c r="FBK10" s="594"/>
      <c r="FBL10" s="594"/>
      <c r="FBM10" s="594"/>
      <c r="FBN10" s="594"/>
      <c r="FBO10" s="594"/>
      <c r="FBP10" s="594"/>
      <c r="FBQ10" s="594"/>
      <c r="FBR10" s="594"/>
      <c r="FBS10" s="594"/>
      <c r="FBT10" s="479"/>
      <c r="FBU10" s="479"/>
      <c r="FBV10" s="479"/>
      <c r="FBW10" s="479"/>
      <c r="FBX10" s="479"/>
      <c r="FBY10" s="479"/>
      <c r="FBZ10" s="479"/>
      <c r="FCA10" s="479"/>
      <c r="FCB10" s="479"/>
      <c r="FCC10" s="479"/>
      <c r="FCD10" s="479"/>
      <c r="FCE10" s="593"/>
      <c r="FCF10" s="594"/>
      <c r="FCG10" s="594"/>
      <c r="FCH10" s="594"/>
      <c r="FCI10" s="594"/>
      <c r="FCJ10" s="594"/>
      <c r="FCK10" s="594"/>
      <c r="FCL10" s="594"/>
      <c r="FCM10" s="594"/>
      <c r="FCN10" s="594"/>
      <c r="FCO10" s="479"/>
      <c r="FCP10" s="479"/>
      <c r="FCQ10" s="479"/>
      <c r="FCR10" s="479"/>
      <c r="FCS10" s="479"/>
      <c r="FCT10" s="479"/>
      <c r="FCU10" s="479"/>
      <c r="FCV10" s="479"/>
      <c r="FCW10" s="479"/>
      <c r="FCX10" s="479"/>
      <c r="FCY10" s="479"/>
      <c r="FCZ10" s="593"/>
      <c r="FDA10" s="594"/>
      <c r="FDB10" s="594"/>
      <c r="FDC10" s="594"/>
      <c r="FDD10" s="594"/>
      <c r="FDE10" s="594"/>
      <c r="FDF10" s="594"/>
      <c r="FDG10" s="594"/>
      <c r="FDH10" s="594"/>
      <c r="FDI10" s="594"/>
      <c r="FDJ10" s="479"/>
      <c r="FDK10" s="479"/>
      <c r="FDL10" s="479"/>
      <c r="FDM10" s="479"/>
      <c r="FDN10" s="479"/>
      <c r="FDO10" s="479"/>
      <c r="FDP10" s="479"/>
      <c r="FDQ10" s="479"/>
      <c r="FDR10" s="479"/>
      <c r="FDS10" s="479"/>
      <c r="FDT10" s="479"/>
      <c r="FDU10" s="593"/>
      <c r="FDV10" s="594"/>
      <c r="FDW10" s="594"/>
      <c r="FDX10" s="594"/>
      <c r="FDY10" s="594"/>
      <c r="FDZ10" s="594"/>
      <c r="FEA10" s="594"/>
      <c r="FEB10" s="594"/>
      <c r="FEC10" s="594"/>
      <c r="FED10" s="594"/>
      <c r="FEE10" s="479"/>
      <c r="FEF10" s="479"/>
      <c r="FEG10" s="479"/>
      <c r="FEH10" s="479"/>
      <c r="FEI10" s="479"/>
      <c r="FEJ10" s="479"/>
      <c r="FEK10" s="479"/>
      <c r="FEL10" s="479"/>
      <c r="FEM10" s="479"/>
      <c r="FEN10" s="479"/>
      <c r="FEO10" s="479"/>
      <c r="FEP10" s="593"/>
      <c r="FEQ10" s="594"/>
      <c r="FER10" s="594"/>
      <c r="FES10" s="594"/>
      <c r="FET10" s="594"/>
      <c r="FEU10" s="594"/>
      <c r="FEV10" s="594"/>
      <c r="FEW10" s="594"/>
      <c r="FEX10" s="594"/>
      <c r="FEY10" s="594"/>
      <c r="FEZ10" s="479"/>
      <c r="FFA10" s="479"/>
      <c r="FFB10" s="479"/>
      <c r="FFC10" s="479"/>
      <c r="FFD10" s="479"/>
      <c r="FFE10" s="479"/>
      <c r="FFF10" s="479"/>
      <c r="FFG10" s="479"/>
      <c r="FFH10" s="479"/>
      <c r="FFI10" s="479"/>
      <c r="FFJ10" s="479"/>
      <c r="FFK10" s="593"/>
      <c r="FFL10" s="594"/>
      <c r="FFM10" s="594"/>
      <c r="FFN10" s="594"/>
      <c r="FFO10" s="594"/>
      <c r="FFP10" s="594"/>
      <c r="FFQ10" s="594"/>
      <c r="FFR10" s="594"/>
      <c r="FFS10" s="594"/>
      <c r="FFT10" s="594"/>
      <c r="FFU10" s="479"/>
      <c r="FFV10" s="479"/>
      <c r="FFW10" s="479"/>
      <c r="FFX10" s="479"/>
      <c r="FFY10" s="479"/>
      <c r="FFZ10" s="479"/>
      <c r="FGA10" s="479"/>
      <c r="FGB10" s="479"/>
      <c r="FGC10" s="479"/>
      <c r="FGD10" s="479"/>
      <c r="FGE10" s="479"/>
      <c r="FGF10" s="593"/>
      <c r="FGG10" s="594"/>
      <c r="FGH10" s="594"/>
      <c r="FGI10" s="594"/>
      <c r="FGJ10" s="594"/>
      <c r="FGK10" s="594"/>
      <c r="FGL10" s="594"/>
      <c r="FGM10" s="594"/>
      <c r="FGN10" s="594"/>
      <c r="FGO10" s="594"/>
      <c r="FGP10" s="479"/>
      <c r="FGQ10" s="479"/>
      <c r="FGR10" s="479"/>
      <c r="FGS10" s="479"/>
      <c r="FGT10" s="479"/>
      <c r="FGU10" s="479"/>
      <c r="FGV10" s="479"/>
      <c r="FGW10" s="479"/>
      <c r="FGX10" s="479"/>
      <c r="FGY10" s="479"/>
      <c r="FGZ10" s="479"/>
      <c r="FHA10" s="593"/>
      <c r="FHB10" s="594"/>
      <c r="FHC10" s="594"/>
      <c r="FHD10" s="594"/>
      <c r="FHE10" s="594"/>
      <c r="FHF10" s="594"/>
      <c r="FHG10" s="594"/>
      <c r="FHH10" s="594"/>
      <c r="FHI10" s="594"/>
      <c r="FHJ10" s="594"/>
      <c r="FHK10" s="479"/>
      <c r="FHL10" s="479"/>
      <c r="FHM10" s="479"/>
      <c r="FHN10" s="479"/>
      <c r="FHO10" s="479"/>
      <c r="FHP10" s="479"/>
      <c r="FHQ10" s="479"/>
      <c r="FHR10" s="479"/>
      <c r="FHS10" s="479"/>
      <c r="FHT10" s="479"/>
      <c r="FHU10" s="479"/>
      <c r="FHV10" s="593"/>
      <c r="FHW10" s="594"/>
      <c r="FHX10" s="594"/>
      <c r="FHY10" s="594"/>
      <c r="FHZ10" s="594"/>
      <c r="FIA10" s="594"/>
      <c r="FIB10" s="594"/>
      <c r="FIC10" s="594"/>
      <c r="FID10" s="594"/>
      <c r="FIE10" s="594"/>
      <c r="FIF10" s="479"/>
      <c r="FIG10" s="479"/>
      <c r="FIH10" s="479"/>
      <c r="FII10" s="479"/>
      <c r="FIJ10" s="479"/>
      <c r="FIK10" s="479"/>
      <c r="FIL10" s="479"/>
      <c r="FIM10" s="479"/>
      <c r="FIN10" s="479"/>
      <c r="FIO10" s="479"/>
      <c r="FIP10" s="479"/>
      <c r="FIQ10" s="593"/>
      <c r="FIR10" s="594"/>
      <c r="FIS10" s="594"/>
      <c r="FIT10" s="594"/>
      <c r="FIU10" s="594"/>
      <c r="FIV10" s="594"/>
      <c r="FIW10" s="594"/>
      <c r="FIX10" s="594"/>
      <c r="FIY10" s="594"/>
      <c r="FIZ10" s="594"/>
      <c r="FJA10" s="479"/>
      <c r="FJB10" s="479"/>
      <c r="FJC10" s="479"/>
      <c r="FJD10" s="479"/>
      <c r="FJE10" s="479"/>
      <c r="FJF10" s="479"/>
      <c r="FJG10" s="479"/>
      <c r="FJH10" s="479"/>
      <c r="FJI10" s="479"/>
      <c r="FJJ10" s="479"/>
      <c r="FJK10" s="479"/>
      <c r="FJL10" s="593"/>
      <c r="FJM10" s="594"/>
      <c r="FJN10" s="594"/>
      <c r="FJO10" s="594"/>
      <c r="FJP10" s="594"/>
      <c r="FJQ10" s="594"/>
      <c r="FJR10" s="594"/>
      <c r="FJS10" s="594"/>
      <c r="FJT10" s="594"/>
      <c r="FJU10" s="594"/>
      <c r="FJV10" s="479"/>
      <c r="FJW10" s="479"/>
      <c r="FJX10" s="479"/>
      <c r="FJY10" s="479"/>
      <c r="FJZ10" s="479"/>
      <c r="FKA10" s="479"/>
      <c r="FKB10" s="479"/>
      <c r="FKC10" s="479"/>
      <c r="FKD10" s="479"/>
      <c r="FKE10" s="479"/>
      <c r="FKF10" s="479"/>
      <c r="FKG10" s="593"/>
      <c r="FKH10" s="594"/>
      <c r="FKI10" s="594"/>
      <c r="FKJ10" s="594"/>
      <c r="FKK10" s="594"/>
      <c r="FKL10" s="594"/>
      <c r="FKM10" s="594"/>
      <c r="FKN10" s="594"/>
      <c r="FKO10" s="594"/>
      <c r="FKP10" s="594"/>
      <c r="FKQ10" s="479"/>
      <c r="FKR10" s="479"/>
      <c r="FKS10" s="479"/>
      <c r="FKT10" s="479"/>
      <c r="FKU10" s="479"/>
      <c r="FKV10" s="479"/>
      <c r="FKW10" s="479"/>
      <c r="FKX10" s="479"/>
      <c r="FKY10" s="479"/>
      <c r="FKZ10" s="479"/>
      <c r="FLA10" s="479"/>
      <c r="FLB10" s="593"/>
      <c r="FLC10" s="594"/>
      <c r="FLD10" s="594"/>
      <c r="FLE10" s="594"/>
      <c r="FLF10" s="594"/>
      <c r="FLG10" s="594"/>
      <c r="FLH10" s="594"/>
      <c r="FLI10" s="594"/>
      <c r="FLJ10" s="594"/>
      <c r="FLK10" s="594"/>
      <c r="FLL10" s="479"/>
      <c r="FLM10" s="479"/>
      <c r="FLN10" s="479"/>
      <c r="FLO10" s="479"/>
      <c r="FLP10" s="479"/>
      <c r="FLQ10" s="479"/>
      <c r="FLR10" s="479"/>
      <c r="FLS10" s="479"/>
      <c r="FLT10" s="479"/>
      <c r="FLU10" s="479"/>
      <c r="FLV10" s="479"/>
      <c r="FLW10" s="593"/>
      <c r="FLX10" s="594"/>
      <c r="FLY10" s="594"/>
      <c r="FLZ10" s="594"/>
      <c r="FMA10" s="594"/>
      <c r="FMB10" s="594"/>
      <c r="FMC10" s="594"/>
      <c r="FMD10" s="594"/>
      <c r="FME10" s="594"/>
      <c r="FMF10" s="594"/>
      <c r="FMG10" s="479"/>
      <c r="FMH10" s="479"/>
      <c r="FMI10" s="479"/>
      <c r="FMJ10" s="479"/>
      <c r="FMK10" s="479"/>
      <c r="FML10" s="479"/>
      <c r="FMM10" s="479"/>
      <c r="FMN10" s="479"/>
      <c r="FMO10" s="479"/>
      <c r="FMP10" s="479"/>
      <c r="FMQ10" s="479"/>
      <c r="FMR10" s="593"/>
      <c r="FMS10" s="594"/>
      <c r="FMT10" s="594"/>
      <c r="FMU10" s="594"/>
      <c r="FMV10" s="594"/>
      <c r="FMW10" s="594"/>
      <c r="FMX10" s="594"/>
      <c r="FMY10" s="594"/>
      <c r="FMZ10" s="594"/>
      <c r="FNA10" s="594"/>
      <c r="FNB10" s="479"/>
      <c r="FNC10" s="479"/>
      <c r="FND10" s="479"/>
      <c r="FNE10" s="479"/>
      <c r="FNF10" s="479"/>
      <c r="FNG10" s="479"/>
      <c r="FNH10" s="479"/>
      <c r="FNI10" s="479"/>
      <c r="FNJ10" s="479"/>
      <c r="FNK10" s="479"/>
      <c r="FNL10" s="479"/>
      <c r="FNM10" s="593"/>
      <c r="FNN10" s="594"/>
      <c r="FNO10" s="594"/>
      <c r="FNP10" s="594"/>
      <c r="FNQ10" s="594"/>
      <c r="FNR10" s="594"/>
      <c r="FNS10" s="594"/>
      <c r="FNT10" s="594"/>
      <c r="FNU10" s="594"/>
      <c r="FNV10" s="594"/>
      <c r="FNW10" s="479"/>
      <c r="FNX10" s="479"/>
      <c r="FNY10" s="479"/>
      <c r="FNZ10" s="479"/>
      <c r="FOA10" s="479"/>
      <c r="FOB10" s="479"/>
      <c r="FOC10" s="479"/>
      <c r="FOD10" s="479"/>
      <c r="FOE10" s="479"/>
      <c r="FOF10" s="479"/>
      <c r="FOG10" s="479"/>
      <c r="FOH10" s="593"/>
      <c r="FOI10" s="594"/>
      <c r="FOJ10" s="594"/>
      <c r="FOK10" s="594"/>
      <c r="FOL10" s="594"/>
      <c r="FOM10" s="594"/>
      <c r="FON10" s="594"/>
      <c r="FOO10" s="594"/>
      <c r="FOP10" s="594"/>
      <c r="FOQ10" s="594"/>
      <c r="FOR10" s="479"/>
      <c r="FOS10" s="479"/>
      <c r="FOT10" s="479"/>
      <c r="FOU10" s="479"/>
      <c r="FOV10" s="479"/>
      <c r="FOW10" s="479"/>
      <c r="FOX10" s="479"/>
      <c r="FOY10" s="479"/>
      <c r="FOZ10" s="479"/>
      <c r="FPA10" s="479"/>
      <c r="FPB10" s="479"/>
      <c r="FPC10" s="593"/>
      <c r="FPD10" s="594"/>
      <c r="FPE10" s="594"/>
      <c r="FPF10" s="594"/>
      <c r="FPG10" s="594"/>
      <c r="FPH10" s="594"/>
      <c r="FPI10" s="594"/>
      <c r="FPJ10" s="594"/>
      <c r="FPK10" s="594"/>
      <c r="FPL10" s="594"/>
      <c r="FPM10" s="479"/>
      <c r="FPN10" s="479"/>
      <c r="FPO10" s="479"/>
      <c r="FPP10" s="479"/>
      <c r="FPQ10" s="479"/>
      <c r="FPR10" s="479"/>
      <c r="FPS10" s="479"/>
      <c r="FPT10" s="479"/>
      <c r="FPU10" s="479"/>
      <c r="FPV10" s="479"/>
      <c r="FPW10" s="479"/>
      <c r="FPX10" s="593"/>
      <c r="FPY10" s="594"/>
      <c r="FPZ10" s="594"/>
      <c r="FQA10" s="594"/>
      <c r="FQB10" s="594"/>
      <c r="FQC10" s="594"/>
      <c r="FQD10" s="594"/>
      <c r="FQE10" s="594"/>
      <c r="FQF10" s="594"/>
      <c r="FQG10" s="594"/>
      <c r="FQH10" s="479"/>
      <c r="FQI10" s="479"/>
      <c r="FQJ10" s="479"/>
      <c r="FQK10" s="479"/>
      <c r="FQL10" s="479"/>
      <c r="FQM10" s="479"/>
      <c r="FQN10" s="479"/>
      <c r="FQO10" s="479"/>
      <c r="FQP10" s="479"/>
      <c r="FQQ10" s="479"/>
      <c r="FQR10" s="479"/>
      <c r="FQS10" s="593"/>
      <c r="FQT10" s="594"/>
      <c r="FQU10" s="594"/>
      <c r="FQV10" s="594"/>
      <c r="FQW10" s="594"/>
      <c r="FQX10" s="594"/>
      <c r="FQY10" s="594"/>
      <c r="FQZ10" s="594"/>
      <c r="FRA10" s="594"/>
      <c r="FRB10" s="594"/>
      <c r="FRC10" s="479"/>
      <c r="FRD10" s="479"/>
      <c r="FRE10" s="479"/>
      <c r="FRF10" s="479"/>
      <c r="FRG10" s="479"/>
      <c r="FRH10" s="479"/>
      <c r="FRI10" s="479"/>
      <c r="FRJ10" s="479"/>
      <c r="FRK10" s="479"/>
      <c r="FRL10" s="479"/>
      <c r="FRM10" s="479"/>
      <c r="FRN10" s="593"/>
      <c r="FRO10" s="594"/>
      <c r="FRP10" s="594"/>
      <c r="FRQ10" s="594"/>
      <c r="FRR10" s="594"/>
      <c r="FRS10" s="594"/>
      <c r="FRT10" s="594"/>
      <c r="FRU10" s="594"/>
      <c r="FRV10" s="594"/>
      <c r="FRW10" s="594"/>
      <c r="FRX10" s="479"/>
      <c r="FRY10" s="479"/>
      <c r="FRZ10" s="479"/>
      <c r="FSA10" s="479"/>
      <c r="FSB10" s="479"/>
      <c r="FSC10" s="479"/>
      <c r="FSD10" s="479"/>
      <c r="FSE10" s="479"/>
      <c r="FSF10" s="479"/>
      <c r="FSG10" s="479"/>
      <c r="FSH10" s="479"/>
      <c r="FSI10" s="593"/>
      <c r="FSJ10" s="594"/>
      <c r="FSK10" s="594"/>
      <c r="FSL10" s="594"/>
      <c r="FSM10" s="594"/>
      <c r="FSN10" s="594"/>
      <c r="FSO10" s="594"/>
      <c r="FSP10" s="594"/>
      <c r="FSQ10" s="594"/>
      <c r="FSR10" s="594"/>
      <c r="FSS10" s="479"/>
      <c r="FST10" s="479"/>
      <c r="FSU10" s="479"/>
      <c r="FSV10" s="479"/>
      <c r="FSW10" s="479"/>
      <c r="FSX10" s="479"/>
      <c r="FSY10" s="479"/>
      <c r="FSZ10" s="479"/>
      <c r="FTA10" s="479"/>
      <c r="FTB10" s="479"/>
      <c r="FTC10" s="479"/>
      <c r="FTD10" s="593"/>
      <c r="FTE10" s="594"/>
      <c r="FTF10" s="594"/>
      <c r="FTG10" s="594"/>
      <c r="FTH10" s="594"/>
      <c r="FTI10" s="594"/>
      <c r="FTJ10" s="594"/>
      <c r="FTK10" s="594"/>
      <c r="FTL10" s="594"/>
      <c r="FTM10" s="594"/>
      <c r="FTN10" s="479"/>
      <c r="FTO10" s="479"/>
      <c r="FTP10" s="479"/>
      <c r="FTQ10" s="479"/>
      <c r="FTR10" s="479"/>
      <c r="FTS10" s="479"/>
      <c r="FTT10" s="479"/>
      <c r="FTU10" s="479"/>
      <c r="FTV10" s="479"/>
      <c r="FTW10" s="479"/>
      <c r="FTX10" s="479"/>
      <c r="FTY10" s="593"/>
      <c r="FTZ10" s="594"/>
      <c r="FUA10" s="594"/>
      <c r="FUB10" s="594"/>
      <c r="FUC10" s="594"/>
      <c r="FUD10" s="594"/>
      <c r="FUE10" s="594"/>
      <c r="FUF10" s="594"/>
      <c r="FUG10" s="594"/>
      <c r="FUH10" s="594"/>
      <c r="FUI10" s="479"/>
      <c r="FUJ10" s="479"/>
      <c r="FUK10" s="479"/>
      <c r="FUL10" s="479"/>
      <c r="FUM10" s="479"/>
      <c r="FUN10" s="479"/>
      <c r="FUO10" s="479"/>
      <c r="FUP10" s="479"/>
      <c r="FUQ10" s="479"/>
      <c r="FUR10" s="479"/>
      <c r="FUS10" s="479"/>
      <c r="FUT10" s="593"/>
      <c r="FUU10" s="594"/>
      <c r="FUV10" s="594"/>
      <c r="FUW10" s="594"/>
      <c r="FUX10" s="594"/>
      <c r="FUY10" s="594"/>
      <c r="FUZ10" s="594"/>
      <c r="FVA10" s="594"/>
      <c r="FVB10" s="594"/>
      <c r="FVC10" s="594"/>
      <c r="FVD10" s="479"/>
      <c r="FVE10" s="479"/>
      <c r="FVF10" s="479"/>
      <c r="FVG10" s="479"/>
      <c r="FVH10" s="479"/>
      <c r="FVI10" s="479"/>
      <c r="FVJ10" s="479"/>
      <c r="FVK10" s="479"/>
      <c r="FVL10" s="479"/>
      <c r="FVM10" s="479"/>
      <c r="FVN10" s="479"/>
      <c r="FVO10" s="593"/>
      <c r="FVP10" s="594"/>
      <c r="FVQ10" s="594"/>
      <c r="FVR10" s="594"/>
      <c r="FVS10" s="594"/>
      <c r="FVT10" s="594"/>
      <c r="FVU10" s="594"/>
      <c r="FVV10" s="594"/>
      <c r="FVW10" s="594"/>
      <c r="FVX10" s="594"/>
      <c r="FVY10" s="479"/>
      <c r="FVZ10" s="479"/>
      <c r="FWA10" s="479"/>
      <c r="FWB10" s="479"/>
      <c r="FWC10" s="479"/>
      <c r="FWD10" s="479"/>
      <c r="FWE10" s="479"/>
      <c r="FWF10" s="479"/>
      <c r="FWG10" s="479"/>
      <c r="FWH10" s="479"/>
      <c r="FWI10" s="479"/>
      <c r="FWJ10" s="593"/>
      <c r="FWK10" s="594"/>
      <c r="FWL10" s="594"/>
      <c r="FWM10" s="594"/>
      <c r="FWN10" s="594"/>
      <c r="FWO10" s="594"/>
      <c r="FWP10" s="594"/>
      <c r="FWQ10" s="594"/>
      <c r="FWR10" s="594"/>
      <c r="FWS10" s="594"/>
      <c r="FWT10" s="479"/>
      <c r="FWU10" s="479"/>
      <c r="FWV10" s="479"/>
      <c r="FWW10" s="479"/>
      <c r="FWX10" s="479"/>
      <c r="FWY10" s="479"/>
      <c r="FWZ10" s="479"/>
      <c r="FXA10" s="479"/>
      <c r="FXB10" s="479"/>
      <c r="FXC10" s="479"/>
      <c r="FXD10" s="479"/>
      <c r="FXE10" s="593"/>
      <c r="FXF10" s="594"/>
      <c r="FXG10" s="594"/>
      <c r="FXH10" s="594"/>
      <c r="FXI10" s="594"/>
      <c r="FXJ10" s="594"/>
      <c r="FXK10" s="594"/>
      <c r="FXL10" s="594"/>
      <c r="FXM10" s="594"/>
      <c r="FXN10" s="594"/>
      <c r="FXO10" s="479"/>
      <c r="FXP10" s="479"/>
      <c r="FXQ10" s="479"/>
      <c r="FXR10" s="479"/>
      <c r="FXS10" s="479"/>
      <c r="FXT10" s="479"/>
      <c r="FXU10" s="479"/>
      <c r="FXV10" s="479"/>
      <c r="FXW10" s="479"/>
      <c r="FXX10" s="479"/>
      <c r="FXY10" s="479"/>
      <c r="FXZ10" s="593"/>
      <c r="FYA10" s="594"/>
      <c r="FYB10" s="594"/>
      <c r="FYC10" s="594"/>
      <c r="FYD10" s="594"/>
      <c r="FYE10" s="594"/>
      <c r="FYF10" s="594"/>
      <c r="FYG10" s="594"/>
      <c r="FYH10" s="594"/>
      <c r="FYI10" s="594"/>
      <c r="FYJ10" s="479"/>
      <c r="FYK10" s="479"/>
      <c r="FYL10" s="479"/>
      <c r="FYM10" s="479"/>
      <c r="FYN10" s="479"/>
      <c r="FYO10" s="479"/>
      <c r="FYP10" s="479"/>
      <c r="FYQ10" s="479"/>
      <c r="FYR10" s="479"/>
      <c r="FYS10" s="479"/>
      <c r="FYT10" s="479"/>
      <c r="FYU10" s="593"/>
      <c r="FYV10" s="594"/>
      <c r="FYW10" s="594"/>
      <c r="FYX10" s="594"/>
      <c r="FYY10" s="594"/>
      <c r="FYZ10" s="594"/>
      <c r="FZA10" s="594"/>
      <c r="FZB10" s="594"/>
      <c r="FZC10" s="594"/>
      <c r="FZD10" s="594"/>
      <c r="FZE10" s="479"/>
      <c r="FZF10" s="479"/>
      <c r="FZG10" s="479"/>
      <c r="FZH10" s="479"/>
      <c r="FZI10" s="479"/>
      <c r="FZJ10" s="479"/>
      <c r="FZK10" s="479"/>
      <c r="FZL10" s="479"/>
      <c r="FZM10" s="479"/>
      <c r="FZN10" s="479"/>
      <c r="FZO10" s="479"/>
      <c r="FZP10" s="593"/>
      <c r="FZQ10" s="594"/>
      <c r="FZR10" s="594"/>
      <c r="FZS10" s="594"/>
      <c r="FZT10" s="594"/>
      <c r="FZU10" s="594"/>
      <c r="FZV10" s="594"/>
      <c r="FZW10" s="594"/>
      <c r="FZX10" s="594"/>
      <c r="FZY10" s="594"/>
      <c r="FZZ10" s="479"/>
      <c r="GAA10" s="479"/>
      <c r="GAB10" s="479"/>
      <c r="GAC10" s="479"/>
      <c r="GAD10" s="479"/>
      <c r="GAE10" s="479"/>
      <c r="GAF10" s="479"/>
      <c r="GAG10" s="479"/>
      <c r="GAH10" s="479"/>
      <c r="GAI10" s="479"/>
      <c r="GAJ10" s="479"/>
      <c r="GAK10" s="593"/>
      <c r="GAL10" s="594"/>
      <c r="GAM10" s="594"/>
      <c r="GAN10" s="594"/>
      <c r="GAO10" s="594"/>
      <c r="GAP10" s="594"/>
      <c r="GAQ10" s="594"/>
      <c r="GAR10" s="594"/>
      <c r="GAS10" s="594"/>
      <c r="GAT10" s="594"/>
      <c r="GAU10" s="479"/>
      <c r="GAV10" s="479"/>
      <c r="GAW10" s="479"/>
      <c r="GAX10" s="479"/>
      <c r="GAY10" s="479"/>
      <c r="GAZ10" s="479"/>
      <c r="GBA10" s="479"/>
      <c r="GBB10" s="479"/>
      <c r="GBC10" s="479"/>
      <c r="GBD10" s="479"/>
      <c r="GBE10" s="479"/>
      <c r="GBF10" s="593"/>
      <c r="GBG10" s="594"/>
      <c r="GBH10" s="594"/>
      <c r="GBI10" s="594"/>
      <c r="GBJ10" s="594"/>
      <c r="GBK10" s="594"/>
      <c r="GBL10" s="594"/>
      <c r="GBM10" s="594"/>
      <c r="GBN10" s="594"/>
      <c r="GBO10" s="594"/>
      <c r="GBP10" s="479"/>
      <c r="GBQ10" s="479"/>
      <c r="GBR10" s="479"/>
      <c r="GBS10" s="479"/>
      <c r="GBT10" s="479"/>
      <c r="GBU10" s="479"/>
      <c r="GBV10" s="479"/>
      <c r="GBW10" s="479"/>
      <c r="GBX10" s="479"/>
      <c r="GBY10" s="479"/>
      <c r="GBZ10" s="479"/>
      <c r="GCA10" s="593"/>
      <c r="GCB10" s="594"/>
      <c r="GCC10" s="594"/>
      <c r="GCD10" s="594"/>
      <c r="GCE10" s="594"/>
      <c r="GCF10" s="594"/>
      <c r="GCG10" s="594"/>
      <c r="GCH10" s="594"/>
      <c r="GCI10" s="594"/>
      <c r="GCJ10" s="594"/>
      <c r="GCK10" s="479"/>
      <c r="GCL10" s="479"/>
      <c r="GCM10" s="479"/>
      <c r="GCN10" s="479"/>
      <c r="GCO10" s="479"/>
      <c r="GCP10" s="479"/>
      <c r="GCQ10" s="479"/>
      <c r="GCR10" s="479"/>
      <c r="GCS10" s="479"/>
      <c r="GCT10" s="479"/>
      <c r="GCU10" s="479"/>
      <c r="GCV10" s="593"/>
      <c r="GCW10" s="594"/>
      <c r="GCX10" s="594"/>
      <c r="GCY10" s="594"/>
      <c r="GCZ10" s="594"/>
      <c r="GDA10" s="594"/>
      <c r="GDB10" s="594"/>
      <c r="GDC10" s="594"/>
      <c r="GDD10" s="594"/>
      <c r="GDE10" s="594"/>
      <c r="GDF10" s="479"/>
      <c r="GDG10" s="479"/>
      <c r="GDH10" s="479"/>
      <c r="GDI10" s="479"/>
      <c r="GDJ10" s="479"/>
      <c r="GDK10" s="479"/>
      <c r="GDL10" s="479"/>
      <c r="GDM10" s="479"/>
      <c r="GDN10" s="479"/>
      <c r="GDO10" s="479"/>
      <c r="GDP10" s="479"/>
      <c r="GDQ10" s="593"/>
      <c r="GDR10" s="594"/>
      <c r="GDS10" s="594"/>
      <c r="GDT10" s="594"/>
      <c r="GDU10" s="594"/>
      <c r="GDV10" s="594"/>
      <c r="GDW10" s="594"/>
      <c r="GDX10" s="594"/>
      <c r="GDY10" s="594"/>
      <c r="GDZ10" s="594"/>
      <c r="GEA10" s="479"/>
      <c r="GEB10" s="479"/>
      <c r="GEC10" s="479"/>
      <c r="GED10" s="479"/>
      <c r="GEE10" s="479"/>
      <c r="GEF10" s="479"/>
      <c r="GEG10" s="479"/>
      <c r="GEH10" s="479"/>
      <c r="GEI10" s="479"/>
      <c r="GEJ10" s="479"/>
      <c r="GEK10" s="479"/>
      <c r="GEL10" s="593"/>
      <c r="GEM10" s="594"/>
      <c r="GEN10" s="594"/>
      <c r="GEO10" s="594"/>
      <c r="GEP10" s="594"/>
      <c r="GEQ10" s="594"/>
      <c r="GER10" s="594"/>
      <c r="GES10" s="594"/>
      <c r="GET10" s="594"/>
      <c r="GEU10" s="594"/>
      <c r="GEV10" s="479"/>
      <c r="GEW10" s="479"/>
      <c r="GEX10" s="479"/>
      <c r="GEY10" s="479"/>
      <c r="GEZ10" s="479"/>
      <c r="GFA10" s="479"/>
      <c r="GFB10" s="479"/>
      <c r="GFC10" s="479"/>
      <c r="GFD10" s="479"/>
      <c r="GFE10" s="479"/>
      <c r="GFF10" s="479"/>
      <c r="GFG10" s="593"/>
      <c r="GFH10" s="594"/>
      <c r="GFI10" s="594"/>
      <c r="GFJ10" s="594"/>
      <c r="GFK10" s="594"/>
      <c r="GFL10" s="594"/>
      <c r="GFM10" s="594"/>
      <c r="GFN10" s="594"/>
      <c r="GFO10" s="594"/>
      <c r="GFP10" s="594"/>
      <c r="GFQ10" s="479"/>
      <c r="GFR10" s="479"/>
      <c r="GFS10" s="479"/>
      <c r="GFT10" s="479"/>
      <c r="GFU10" s="479"/>
      <c r="GFV10" s="479"/>
      <c r="GFW10" s="479"/>
      <c r="GFX10" s="479"/>
      <c r="GFY10" s="479"/>
      <c r="GFZ10" s="479"/>
      <c r="GGA10" s="479"/>
      <c r="GGB10" s="593"/>
      <c r="GGC10" s="594"/>
      <c r="GGD10" s="594"/>
      <c r="GGE10" s="594"/>
      <c r="GGF10" s="594"/>
      <c r="GGG10" s="594"/>
      <c r="GGH10" s="594"/>
      <c r="GGI10" s="594"/>
      <c r="GGJ10" s="594"/>
      <c r="GGK10" s="594"/>
      <c r="GGL10" s="479"/>
      <c r="GGM10" s="479"/>
      <c r="GGN10" s="479"/>
      <c r="GGO10" s="479"/>
      <c r="GGP10" s="479"/>
      <c r="GGQ10" s="479"/>
      <c r="GGR10" s="479"/>
      <c r="GGS10" s="479"/>
      <c r="GGT10" s="479"/>
      <c r="GGU10" s="479"/>
      <c r="GGV10" s="479"/>
      <c r="GGW10" s="593"/>
      <c r="GGX10" s="594"/>
      <c r="GGY10" s="594"/>
      <c r="GGZ10" s="594"/>
      <c r="GHA10" s="594"/>
      <c r="GHB10" s="594"/>
      <c r="GHC10" s="594"/>
      <c r="GHD10" s="594"/>
      <c r="GHE10" s="594"/>
      <c r="GHF10" s="594"/>
      <c r="GHG10" s="479"/>
      <c r="GHH10" s="479"/>
      <c r="GHI10" s="479"/>
      <c r="GHJ10" s="479"/>
      <c r="GHK10" s="479"/>
      <c r="GHL10" s="479"/>
      <c r="GHM10" s="479"/>
      <c r="GHN10" s="479"/>
      <c r="GHO10" s="479"/>
      <c r="GHP10" s="479"/>
      <c r="GHQ10" s="479"/>
      <c r="GHR10" s="593"/>
      <c r="GHS10" s="594"/>
      <c r="GHT10" s="594"/>
      <c r="GHU10" s="594"/>
      <c r="GHV10" s="594"/>
      <c r="GHW10" s="594"/>
      <c r="GHX10" s="594"/>
      <c r="GHY10" s="594"/>
      <c r="GHZ10" s="594"/>
      <c r="GIA10" s="594"/>
      <c r="GIB10" s="479"/>
      <c r="GIC10" s="479"/>
      <c r="GID10" s="479"/>
      <c r="GIE10" s="479"/>
      <c r="GIF10" s="479"/>
      <c r="GIG10" s="479"/>
      <c r="GIH10" s="479"/>
      <c r="GII10" s="479"/>
      <c r="GIJ10" s="479"/>
      <c r="GIK10" s="479"/>
      <c r="GIL10" s="479"/>
      <c r="GIM10" s="593"/>
      <c r="GIN10" s="594"/>
      <c r="GIO10" s="594"/>
      <c r="GIP10" s="594"/>
      <c r="GIQ10" s="594"/>
      <c r="GIR10" s="594"/>
      <c r="GIS10" s="594"/>
      <c r="GIT10" s="594"/>
      <c r="GIU10" s="594"/>
      <c r="GIV10" s="594"/>
      <c r="GIW10" s="479"/>
      <c r="GIX10" s="479"/>
      <c r="GIY10" s="479"/>
      <c r="GIZ10" s="479"/>
      <c r="GJA10" s="479"/>
      <c r="GJB10" s="479"/>
      <c r="GJC10" s="479"/>
      <c r="GJD10" s="479"/>
      <c r="GJE10" s="479"/>
      <c r="GJF10" s="479"/>
      <c r="GJG10" s="479"/>
      <c r="GJH10" s="593"/>
      <c r="GJI10" s="594"/>
      <c r="GJJ10" s="594"/>
      <c r="GJK10" s="594"/>
      <c r="GJL10" s="594"/>
      <c r="GJM10" s="594"/>
      <c r="GJN10" s="594"/>
      <c r="GJO10" s="594"/>
      <c r="GJP10" s="594"/>
      <c r="GJQ10" s="594"/>
      <c r="GJR10" s="479"/>
      <c r="GJS10" s="479"/>
      <c r="GJT10" s="479"/>
      <c r="GJU10" s="479"/>
      <c r="GJV10" s="479"/>
      <c r="GJW10" s="479"/>
      <c r="GJX10" s="479"/>
      <c r="GJY10" s="479"/>
      <c r="GJZ10" s="479"/>
      <c r="GKA10" s="479"/>
      <c r="GKB10" s="479"/>
      <c r="GKC10" s="593"/>
      <c r="GKD10" s="594"/>
      <c r="GKE10" s="594"/>
      <c r="GKF10" s="594"/>
      <c r="GKG10" s="594"/>
      <c r="GKH10" s="594"/>
      <c r="GKI10" s="594"/>
      <c r="GKJ10" s="594"/>
      <c r="GKK10" s="594"/>
      <c r="GKL10" s="594"/>
      <c r="GKM10" s="479"/>
      <c r="GKN10" s="479"/>
      <c r="GKO10" s="479"/>
      <c r="GKP10" s="479"/>
      <c r="GKQ10" s="479"/>
      <c r="GKR10" s="479"/>
      <c r="GKS10" s="479"/>
      <c r="GKT10" s="479"/>
      <c r="GKU10" s="479"/>
      <c r="GKV10" s="479"/>
      <c r="GKW10" s="479"/>
      <c r="GKX10" s="593"/>
      <c r="GKY10" s="594"/>
      <c r="GKZ10" s="594"/>
      <c r="GLA10" s="594"/>
      <c r="GLB10" s="594"/>
      <c r="GLC10" s="594"/>
      <c r="GLD10" s="594"/>
      <c r="GLE10" s="594"/>
      <c r="GLF10" s="594"/>
      <c r="GLG10" s="594"/>
      <c r="GLH10" s="479"/>
      <c r="GLI10" s="479"/>
      <c r="GLJ10" s="479"/>
      <c r="GLK10" s="479"/>
      <c r="GLL10" s="479"/>
      <c r="GLM10" s="479"/>
      <c r="GLN10" s="479"/>
      <c r="GLO10" s="479"/>
      <c r="GLP10" s="479"/>
      <c r="GLQ10" s="479"/>
      <c r="GLR10" s="479"/>
      <c r="GLS10" s="593"/>
      <c r="GLT10" s="594"/>
      <c r="GLU10" s="594"/>
      <c r="GLV10" s="594"/>
      <c r="GLW10" s="594"/>
      <c r="GLX10" s="594"/>
      <c r="GLY10" s="594"/>
      <c r="GLZ10" s="594"/>
      <c r="GMA10" s="594"/>
      <c r="GMB10" s="594"/>
      <c r="GMC10" s="479"/>
      <c r="GMD10" s="479"/>
      <c r="GME10" s="479"/>
      <c r="GMF10" s="479"/>
      <c r="GMG10" s="479"/>
      <c r="GMH10" s="479"/>
      <c r="GMI10" s="479"/>
      <c r="GMJ10" s="479"/>
      <c r="GMK10" s="479"/>
      <c r="GML10" s="479"/>
      <c r="GMM10" s="479"/>
      <c r="GMN10" s="593"/>
      <c r="GMO10" s="594"/>
      <c r="GMP10" s="594"/>
      <c r="GMQ10" s="594"/>
      <c r="GMR10" s="594"/>
      <c r="GMS10" s="594"/>
      <c r="GMT10" s="594"/>
      <c r="GMU10" s="594"/>
      <c r="GMV10" s="594"/>
      <c r="GMW10" s="594"/>
      <c r="GMX10" s="479"/>
      <c r="GMY10" s="479"/>
      <c r="GMZ10" s="479"/>
      <c r="GNA10" s="479"/>
      <c r="GNB10" s="479"/>
      <c r="GNC10" s="479"/>
      <c r="GND10" s="479"/>
      <c r="GNE10" s="479"/>
      <c r="GNF10" s="479"/>
      <c r="GNG10" s="479"/>
      <c r="GNH10" s="479"/>
      <c r="GNI10" s="593"/>
      <c r="GNJ10" s="594"/>
      <c r="GNK10" s="594"/>
      <c r="GNL10" s="594"/>
      <c r="GNM10" s="594"/>
      <c r="GNN10" s="594"/>
      <c r="GNO10" s="594"/>
      <c r="GNP10" s="594"/>
      <c r="GNQ10" s="594"/>
      <c r="GNR10" s="594"/>
      <c r="GNS10" s="479"/>
      <c r="GNT10" s="479"/>
      <c r="GNU10" s="479"/>
      <c r="GNV10" s="479"/>
      <c r="GNW10" s="479"/>
      <c r="GNX10" s="479"/>
      <c r="GNY10" s="479"/>
      <c r="GNZ10" s="479"/>
      <c r="GOA10" s="479"/>
      <c r="GOB10" s="479"/>
      <c r="GOC10" s="479"/>
      <c r="GOD10" s="593"/>
      <c r="GOE10" s="594"/>
      <c r="GOF10" s="594"/>
      <c r="GOG10" s="594"/>
      <c r="GOH10" s="594"/>
      <c r="GOI10" s="594"/>
      <c r="GOJ10" s="594"/>
      <c r="GOK10" s="594"/>
      <c r="GOL10" s="594"/>
      <c r="GOM10" s="594"/>
      <c r="GON10" s="479"/>
      <c r="GOO10" s="479"/>
      <c r="GOP10" s="479"/>
      <c r="GOQ10" s="479"/>
      <c r="GOR10" s="479"/>
      <c r="GOS10" s="479"/>
      <c r="GOT10" s="479"/>
      <c r="GOU10" s="479"/>
      <c r="GOV10" s="479"/>
      <c r="GOW10" s="479"/>
      <c r="GOX10" s="479"/>
      <c r="GOY10" s="593"/>
      <c r="GOZ10" s="594"/>
      <c r="GPA10" s="594"/>
      <c r="GPB10" s="594"/>
      <c r="GPC10" s="594"/>
      <c r="GPD10" s="594"/>
      <c r="GPE10" s="594"/>
      <c r="GPF10" s="594"/>
      <c r="GPG10" s="594"/>
      <c r="GPH10" s="594"/>
      <c r="GPI10" s="479"/>
      <c r="GPJ10" s="479"/>
      <c r="GPK10" s="479"/>
      <c r="GPL10" s="479"/>
      <c r="GPM10" s="479"/>
      <c r="GPN10" s="479"/>
      <c r="GPO10" s="479"/>
      <c r="GPP10" s="479"/>
      <c r="GPQ10" s="479"/>
      <c r="GPR10" s="479"/>
      <c r="GPS10" s="479"/>
      <c r="GPT10" s="593"/>
      <c r="GPU10" s="594"/>
      <c r="GPV10" s="594"/>
      <c r="GPW10" s="594"/>
      <c r="GPX10" s="594"/>
      <c r="GPY10" s="594"/>
      <c r="GPZ10" s="594"/>
      <c r="GQA10" s="594"/>
      <c r="GQB10" s="594"/>
      <c r="GQC10" s="594"/>
      <c r="GQD10" s="479"/>
      <c r="GQE10" s="479"/>
      <c r="GQF10" s="479"/>
      <c r="GQG10" s="479"/>
      <c r="GQH10" s="479"/>
      <c r="GQI10" s="479"/>
      <c r="GQJ10" s="479"/>
      <c r="GQK10" s="479"/>
      <c r="GQL10" s="479"/>
      <c r="GQM10" s="479"/>
      <c r="GQN10" s="479"/>
      <c r="GQO10" s="593"/>
      <c r="GQP10" s="594"/>
      <c r="GQQ10" s="594"/>
      <c r="GQR10" s="594"/>
      <c r="GQS10" s="594"/>
      <c r="GQT10" s="594"/>
      <c r="GQU10" s="594"/>
      <c r="GQV10" s="594"/>
      <c r="GQW10" s="594"/>
      <c r="GQX10" s="594"/>
      <c r="GQY10" s="479"/>
      <c r="GQZ10" s="479"/>
      <c r="GRA10" s="479"/>
      <c r="GRB10" s="479"/>
      <c r="GRC10" s="479"/>
      <c r="GRD10" s="479"/>
      <c r="GRE10" s="479"/>
      <c r="GRF10" s="479"/>
      <c r="GRG10" s="479"/>
      <c r="GRH10" s="479"/>
      <c r="GRI10" s="479"/>
      <c r="GRJ10" s="593"/>
      <c r="GRK10" s="594"/>
      <c r="GRL10" s="594"/>
      <c r="GRM10" s="594"/>
      <c r="GRN10" s="594"/>
      <c r="GRO10" s="594"/>
      <c r="GRP10" s="594"/>
      <c r="GRQ10" s="594"/>
      <c r="GRR10" s="594"/>
      <c r="GRS10" s="594"/>
      <c r="GRT10" s="479"/>
      <c r="GRU10" s="479"/>
      <c r="GRV10" s="479"/>
      <c r="GRW10" s="479"/>
      <c r="GRX10" s="479"/>
      <c r="GRY10" s="479"/>
      <c r="GRZ10" s="479"/>
      <c r="GSA10" s="479"/>
      <c r="GSB10" s="479"/>
      <c r="GSC10" s="479"/>
      <c r="GSD10" s="479"/>
      <c r="GSE10" s="593"/>
      <c r="GSF10" s="594"/>
      <c r="GSG10" s="594"/>
      <c r="GSH10" s="594"/>
      <c r="GSI10" s="594"/>
      <c r="GSJ10" s="594"/>
      <c r="GSK10" s="594"/>
      <c r="GSL10" s="594"/>
      <c r="GSM10" s="594"/>
      <c r="GSN10" s="594"/>
      <c r="GSO10" s="479"/>
      <c r="GSP10" s="479"/>
      <c r="GSQ10" s="479"/>
      <c r="GSR10" s="479"/>
      <c r="GSS10" s="479"/>
      <c r="GST10" s="479"/>
      <c r="GSU10" s="479"/>
      <c r="GSV10" s="479"/>
      <c r="GSW10" s="479"/>
      <c r="GSX10" s="479"/>
      <c r="GSY10" s="479"/>
      <c r="GSZ10" s="593"/>
      <c r="GTA10" s="594"/>
      <c r="GTB10" s="594"/>
      <c r="GTC10" s="594"/>
      <c r="GTD10" s="594"/>
      <c r="GTE10" s="594"/>
      <c r="GTF10" s="594"/>
      <c r="GTG10" s="594"/>
      <c r="GTH10" s="594"/>
      <c r="GTI10" s="594"/>
      <c r="GTJ10" s="479"/>
      <c r="GTK10" s="479"/>
      <c r="GTL10" s="479"/>
      <c r="GTM10" s="479"/>
      <c r="GTN10" s="479"/>
      <c r="GTO10" s="479"/>
      <c r="GTP10" s="479"/>
      <c r="GTQ10" s="479"/>
      <c r="GTR10" s="479"/>
      <c r="GTS10" s="479"/>
      <c r="GTT10" s="479"/>
      <c r="GTU10" s="593"/>
      <c r="GTV10" s="594"/>
      <c r="GTW10" s="594"/>
      <c r="GTX10" s="594"/>
      <c r="GTY10" s="594"/>
      <c r="GTZ10" s="594"/>
      <c r="GUA10" s="594"/>
      <c r="GUB10" s="594"/>
      <c r="GUC10" s="594"/>
      <c r="GUD10" s="594"/>
      <c r="GUE10" s="479"/>
      <c r="GUF10" s="479"/>
      <c r="GUG10" s="479"/>
      <c r="GUH10" s="479"/>
      <c r="GUI10" s="479"/>
      <c r="GUJ10" s="479"/>
      <c r="GUK10" s="479"/>
      <c r="GUL10" s="479"/>
      <c r="GUM10" s="479"/>
      <c r="GUN10" s="479"/>
      <c r="GUO10" s="479"/>
      <c r="GUP10" s="593"/>
      <c r="GUQ10" s="594"/>
      <c r="GUR10" s="594"/>
      <c r="GUS10" s="594"/>
      <c r="GUT10" s="594"/>
      <c r="GUU10" s="594"/>
      <c r="GUV10" s="594"/>
      <c r="GUW10" s="594"/>
      <c r="GUX10" s="594"/>
      <c r="GUY10" s="594"/>
      <c r="GUZ10" s="479"/>
      <c r="GVA10" s="479"/>
      <c r="GVB10" s="479"/>
      <c r="GVC10" s="479"/>
      <c r="GVD10" s="479"/>
      <c r="GVE10" s="479"/>
      <c r="GVF10" s="479"/>
      <c r="GVG10" s="479"/>
      <c r="GVH10" s="479"/>
      <c r="GVI10" s="479"/>
      <c r="GVJ10" s="479"/>
      <c r="GVK10" s="593"/>
      <c r="GVL10" s="594"/>
      <c r="GVM10" s="594"/>
      <c r="GVN10" s="594"/>
      <c r="GVO10" s="594"/>
      <c r="GVP10" s="594"/>
      <c r="GVQ10" s="594"/>
      <c r="GVR10" s="594"/>
      <c r="GVS10" s="594"/>
      <c r="GVT10" s="594"/>
      <c r="GVU10" s="479"/>
      <c r="GVV10" s="479"/>
      <c r="GVW10" s="479"/>
      <c r="GVX10" s="479"/>
      <c r="GVY10" s="479"/>
      <c r="GVZ10" s="479"/>
      <c r="GWA10" s="479"/>
      <c r="GWB10" s="479"/>
      <c r="GWC10" s="479"/>
      <c r="GWD10" s="479"/>
      <c r="GWE10" s="479"/>
      <c r="GWF10" s="593"/>
      <c r="GWG10" s="594"/>
      <c r="GWH10" s="594"/>
      <c r="GWI10" s="594"/>
      <c r="GWJ10" s="594"/>
      <c r="GWK10" s="594"/>
      <c r="GWL10" s="594"/>
      <c r="GWM10" s="594"/>
      <c r="GWN10" s="594"/>
      <c r="GWO10" s="594"/>
      <c r="GWP10" s="479"/>
      <c r="GWQ10" s="479"/>
      <c r="GWR10" s="479"/>
      <c r="GWS10" s="479"/>
      <c r="GWT10" s="479"/>
      <c r="GWU10" s="479"/>
      <c r="GWV10" s="479"/>
      <c r="GWW10" s="479"/>
      <c r="GWX10" s="479"/>
      <c r="GWY10" s="479"/>
      <c r="GWZ10" s="479"/>
      <c r="GXA10" s="593"/>
      <c r="GXB10" s="594"/>
      <c r="GXC10" s="594"/>
      <c r="GXD10" s="594"/>
      <c r="GXE10" s="594"/>
      <c r="GXF10" s="594"/>
      <c r="GXG10" s="594"/>
      <c r="GXH10" s="594"/>
      <c r="GXI10" s="594"/>
      <c r="GXJ10" s="594"/>
      <c r="GXK10" s="479"/>
      <c r="GXL10" s="479"/>
      <c r="GXM10" s="479"/>
      <c r="GXN10" s="479"/>
      <c r="GXO10" s="479"/>
      <c r="GXP10" s="479"/>
      <c r="GXQ10" s="479"/>
      <c r="GXR10" s="479"/>
      <c r="GXS10" s="479"/>
      <c r="GXT10" s="479"/>
      <c r="GXU10" s="479"/>
      <c r="GXV10" s="593"/>
      <c r="GXW10" s="594"/>
      <c r="GXX10" s="594"/>
      <c r="GXY10" s="594"/>
      <c r="GXZ10" s="594"/>
      <c r="GYA10" s="594"/>
      <c r="GYB10" s="594"/>
      <c r="GYC10" s="594"/>
      <c r="GYD10" s="594"/>
      <c r="GYE10" s="594"/>
      <c r="GYF10" s="479"/>
      <c r="GYG10" s="479"/>
      <c r="GYH10" s="479"/>
      <c r="GYI10" s="479"/>
      <c r="GYJ10" s="479"/>
      <c r="GYK10" s="479"/>
      <c r="GYL10" s="479"/>
      <c r="GYM10" s="479"/>
      <c r="GYN10" s="479"/>
      <c r="GYO10" s="479"/>
      <c r="GYP10" s="479"/>
      <c r="GYQ10" s="593"/>
      <c r="GYR10" s="594"/>
      <c r="GYS10" s="594"/>
      <c r="GYT10" s="594"/>
      <c r="GYU10" s="594"/>
      <c r="GYV10" s="594"/>
      <c r="GYW10" s="594"/>
      <c r="GYX10" s="594"/>
      <c r="GYY10" s="594"/>
      <c r="GYZ10" s="594"/>
      <c r="GZA10" s="479"/>
      <c r="GZB10" s="479"/>
      <c r="GZC10" s="479"/>
      <c r="GZD10" s="479"/>
      <c r="GZE10" s="479"/>
      <c r="GZF10" s="479"/>
      <c r="GZG10" s="479"/>
      <c r="GZH10" s="479"/>
      <c r="GZI10" s="479"/>
      <c r="GZJ10" s="479"/>
      <c r="GZK10" s="479"/>
      <c r="GZL10" s="593"/>
      <c r="GZM10" s="594"/>
      <c r="GZN10" s="594"/>
      <c r="GZO10" s="594"/>
      <c r="GZP10" s="594"/>
      <c r="GZQ10" s="594"/>
      <c r="GZR10" s="594"/>
      <c r="GZS10" s="594"/>
      <c r="GZT10" s="594"/>
      <c r="GZU10" s="594"/>
      <c r="GZV10" s="479"/>
      <c r="GZW10" s="479"/>
      <c r="GZX10" s="479"/>
      <c r="GZY10" s="479"/>
      <c r="GZZ10" s="479"/>
      <c r="HAA10" s="479"/>
      <c r="HAB10" s="479"/>
      <c r="HAC10" s="479"/>
      <c r="HAD10" s="479"/>
      <c r="HAE10" s="479"/>
      <c r="HAF10" s="479"/>
      <c r="HAG10" s="593"/>
      <c r="HAH10" s="594"/>
      <c r="HAI10" s="594"/>
      <c r="HAJ10" s="594"/>
      <c r="HAK10" s="594"/>
      <c r="HAL10" s="594"/>
      <c r="HAM10" s="594"/>
      <c r="HAN10" s="594"/>
      <c r="HAO10" s="594"/>
      <c r="HAP10" s="594"/>
      <c r="HAQ10" s="479"/>
      <c r="HAR10" s="479"/>
      <c r="HAS10" s="479"/>
      <c r="HAT10" s="479"/>
      <c r="HAU10" s="479"/>
      <c r="HAV10" s="479"/>
      <c r="HAW10" s="479"/>
      <c r="HAX10" s="479"/>
      <c r="HAY10" s="479"/>
      <c r="HAZ10" s="479"/>
      <c r="HBA10" s="479"/>
      <c r="HBB10" s="593"/>
      <c r="HBC10" s="594"/>
      <c r="HBD10" s="594"/>
      <c r="HBE10" s="594"/>
      <c r="HBF10" s="594"/>
      <c r="HBG10" s="594"/>
      <c r="HBH10" s="594"/>
      <c r="HBI10" s="594"/>
      <c r="HBJ10" s="594"/>
      <c r="HBK10" s="594"/>
      <c r="HBL10" s="479"/>
      <c r="HBM10" s="479"/>
      <c r="HBN10" s="479"/>
      <c r="HBO10" s="479"/>
      <c r="HBP10" s="479"/>
      <c r="HBQ10" s="479"/>
      <c r="HBR10" s="479"/>
      <c r="HBS10" s="479"/>
      <c r="HBT10" s="479"/>
      <c r="HBU10" s="479"/>
      <c r="HBV10" s="479"/>
      <c r="HBW10" s="593"/>
      <c r="HBX10" s="594"/>
      <c r="HBY10" s="594"/>
      <c r="HBZ10" s="594"/>
      <c r="HCA10" s="594"/>
      <c r="HCB10" s="594"/>
      <c r="HCC10" s="594"/>
      <c r="HCD10" s="594"/>
      <c r="HCE10" s="594"/>
      <c r="HCF10" s="594"/>
      <c r="HCG10" s="479"/>
      <c r="HCH10" s="479"/>
      <c r="HCI10" s="479"/>
      <c r="HCJ10" s="479"/>
      <c r="HCK10" s="479"/>
      <c r="HCL10" s="479"/>
      <c r="HCM10" s="479"/>
      <c r="HCN10" s="479"/>
      <c r="HCO10" s="479"/>
      <c r="HCP10" s="479"/>
      <c r="HCQ10" s="479"/>
      <c r="HCR10" s="593"/>
      <c r="HCS10" s="594"/>
      <c r="HCT10" s="594"/>
      <c r="HCU10" s="594"/>
      <c r="HCV10" s="594"/>
      <c r="HCW10" s="594"/>
      <c r="HCX10" s="594"/>
      <c r="HCY10" s="594"/>
      <c r="HCZ10" s="594"/>
      <c r="HDA10" s="594"/>
      <c r="HDB10" s="479"/>
      <c r="HDC10" s="479"/>
      <c r="HDD10" s="479"/>
      <c r="HDE10" s="479"/>
      <c r="HDF10" s="479"/>
      <c r="HDG10" s="479"/>
      <c r="HDH10" s="479"/>
      <c r="HDI10" s="479"/>
      <c r="HDJ10" s="479"/>
      <c r="HDK10" s="479"/>
      <c r="HDL10" s="479"/>
      <c r="HDM10" s="593"/>
      <c r="HDN10" s="594"/>
      <c r="HDO10" s="594"/>
      <c r="HDP10" s="594"/>
      <c r="HDQ10" s="594"/>
      <c r="HDR10" s="594"/>
      <c r="HDS10" s="594"/>
      <c r="HDT10" s="594"/>
      <c r="HDU10" s="594"/>
      <c r="HDV10" s="594"/>
      <c r="HDW10" s="479"/>
      <c r="HDX10" s="479"/>
      <c r="HDY10" s="479"/>
      <c r="HDZ10" s="479"/>
      <c r="HEA10" s="479"/>
      <c r="HEB10" s="479"/>
      <c r="HEC10" s="479"/>
      <c r="HED10" s="479"/>
      <c r="HEE10" s="479"/>
      <c r="HEF10" s="479"/>
      <c r="HEG10" s="479"/>
      <c r="HEH10" s="593"/>
      <c r="HEI10" s="594"/>
      <c r="HEJ10" s="594"/>
      <c r="HEK10" s="594"/>
      <c r="HEL10" s="594"/>
      <c r="HEM10" s="594"/>
      <c r="HEN10" s="594"/>
      <c r="HEO10" s="594"/>
      <c r="HEP10" s="594"/>
      <c r="HEQ10" s="594"/>
      <c r="HER10" s="479"/>
      <c r="HES10" s="479"/>
      <c r="HET10" s="479"/>
      <c r="HEU10" s="479"/>
      <c r="HEV10" s="479"/>
      <c r="HEW10" s="479"/>
      <c r="HEX10" s="479"/>
      <c r="HEY10" s="479"/>
      <c r="HEZ10" s="479"/>
      <c r="HFA10" s="479"/>
      <c r="HFB10" s="479"/>
      <c r="HFC10" s="593"/>
      <c r="HFD10" s="594"/>
      <c r="HFE10" s="594"/>
      <c r="HFF10" s="594"/>
      <c r="HFG10" s="594"/>
      <c r="HFH10" s="594"/>
      <c r="HFI10" s="594"/>
      <c r="HFJ10" s="594"/>
      <c r="HFK10" s="594"/>
      <c r="HFL10" s="594"/>
      <c r="HFM10" s="479"/>
      <c r="HFN10" s="479"/>
      <c r="HFO10" s="479"/>
      <c r="HFP10" s="479"/>
      <c r="HFQ10" s="479"/>
      <c r="HFR10" s="479"/>
      <c r="HFS10" s="479"/>
      <c r="HFT10" s="479"/>
      <c r="HFU10" s="479"/>
      <c r="HFV10" s="479"/>
      <c r="HFW10" s="479"/>
      <c r="HFX10" s="593"/>
      <c r="HFY10" s="594"/>
      <c r="HFZ10" s="594"/>
      <c r="HGA10" s="594"/>
      <c r="HGB10" s="594"/>
      <c r="HGC10" s="594"/>
      <c r="HGD10" s="594"/>
      <c r="HGE10" s="594"/>
      <c r="HGF10" s="594"/>
      <c r="HGG10" s="594"/>
      <c r="HGH10" s="479"/>
      <c r="HGI10" s="479"/>
      <c r="HGJ10" s="479"/>
      <c r="HGK10" s="479"/>
      <c r="HGL10" s="479"/>
      <c r="HGM10" s="479"/>
      <c r="HGN10" s="479"/>
      <c r="HGO10" s="479"/>
      <c r="HGP10" s="479"/>
      <c r="HGQ10" s="479"/>
      <c r="HGR10" s="479"/>
      <c r="HGS10" s="593"/>
      <c r="HGT10" s="594"/>
      <c r="HGU10" s="594"/>
      <c r="HGV10" s="594"/>
      <c r="HGW10" s="594"/>
      <c r="HGX10" s="594"/>
      <c r="HGY10" s="594"/>
      <c r="HGZ10" s="594"/>
      <c r="HHA10" s="594"/>
      <c r="HHB10" s="594"/>
      <c r="HHC10" s="479"/>
      <c r="HHD10" s="479"/>
      <c r="HHE10" s="479"/>
      <c r="HHF10" s="479"/>
      <c r="HHG10" s="479"/>
      <c r="HHH10" s="479"/>
      <c r="HHI10" s="479"/>
      <c r="HHJ10" s="479"/>
      <c r="HHK10" s="479"/>
      <c r="HHL10" s="479"/>
      <c r="HHM10" s="479"/>
      <c r="HHN10" s="593"/>
      <c r="HHO10" s="594"/>
      <c r="HHP10" s="594"/>
      <c r="HHQ10" s="594"/>
      <c r="HHR10" s="594"/>
      <c r="HHS10" s="594"/>
      <c r="HHT10" s="594"/>
      <c r="HHU10" s="594"/>
      <c r="HHV10" s="594"/>
      <c r="HHW10" s="594"/>
      <c r="HHX10" s="479"/>
      <c r="HHY10" s="479"/>
      <c r="HHZ10" s="479"/>
      <c r="HIA10" s="479"/>
      <c r="HIB10" s="479"/>
      <c r="HIC10" s="479"/>
      <c r="HID10" s="479"/>
      <c r="HIE10" s="479"/>
      <c r="HIF10" s="479"/>
      <c r="HIG10" s="479"/>
      <c r="HIH10" s="479"/>
      <c r="HII10" s="593"/>
      <c r="HIJ10" s="594"/>
      <c r="HIK10" s="594"/>
      <c r="HIL10" s="594"/>
      <c r="HIM10" s="594"/>
      <c r="HIN10" s="594"/>
      <c r="HIO10" s="594"/>
      <c r="HIP10" s="594"/>
      <c r="HIQ10" s="594"/>
      <c r="HIR10" s="594"/>
      <c r="HIS10" s="479"/>
      <c r="HIT10" s="479"/>
      <c r="HIU10" s="479"/>
      <c r="HIV10" s="479"/>
      <c r="HIW10" s="479"/>
      <c r="HIX10" s="479"/>
      <c r="HIY10" s="479"/>
      <c r="HIZ10" s="479"/>
      <c r="HJA10" s="479"/>
      <c r="HJB10" s="479"/>
      <c r="HJC10" s="479"/>
      <c r="HJD10" s="593"/>
      <c r="HJE10" s="594"/>
      <c r="HJF10" s="594"/>
      <c r="HJG10" s="594"/>
      <c r="HJH10" s="594"/>
      <c r="HJI10" s="594"/>
      <c r="HJJ10" s="594"/>
      <c r="HJK10" s="594"/>
      <c r="HJL10" s="594"/>
      <c r="HJM10" s="594"/>
      <c r="HJN10" s="479"/>
      <c r="HJO10" s="479"/>
      <c r="HJP10" s="479"/>
      <c r="HJQ10" s="479"/>
      <c r="HJR10" s="479"/>
      <c r="HJS10" s="479"/>
      <c r="HJT10" s="479"/>
      <c r="HJU10" s="479"/>
      <c r="HJV10" s="479"/>
      <c r="HJW10" s="479"/>
      <c r="HJX10" s="479"/>
      <c r="HJY10" s="593"/>
      <c r="HJZ10" s="594"/>
      <c r="HKA10" s="594"/>
      <c r="HKB10" s="594"/>
      <c r="HKC10" s="594"/>
      <c r="HKD10" s="594"/>
      <c r="HKE10" s="594"/>
      <c r="HKF10" s="594"/>
      <c r="HKG10" s="594"/>
      <c r="HKH10" s="594"/>
      <c r="HKI10" s="479"/>
      <c r="HKJ10" s="479"/>
      <c r="HKK10" s="479"/>
      <c r="HKL10" s="479"/>
      <c r="HKM10" s="479"/>
      <c r="HKN10" s="479"/>
      <c r="HKO10" s="479"/>
      <c r="HKP10" s="479"/>
      <c r="HKQ10" s="479"/>
      <c r="HKR10" s="479"/>
      <c r="HKS10" s="479"/>
      <c r="HKT10" s="593"/>
      <c r="HKU10" s="594"/>
      <c r="HKV10" s="594"/>
      <c r="HKW10" s="594"/>
      <c r="HKX10" s="594"/>
      <c r="HKY10" s="594"/>
      <c r="HKZ10" s="594"/>
      <c r="HLA10" s="594"/>
      <c r="HLB10" s="594"/>
      <c r="HLC10" s="594"/>
      <c r="HLD10" s="479"/>
      <c r="HLE10" s="479"/>
      <c r="HLF10" s="479"/>
      <c r="HLG10" s="479"/>
      <c r="HLH10" s="479"/>
      <c r="HLI10" s="479"/>
      <c r="HLJ10" s="479"/>
      <c r="HLK10" s="479"/>
      <c r="HLL10" s="479"/>
      <c r="HLM10" s="479"/>
      <c r="HLN10" s="479"/>
      <c r="HLO10" s="593"/>
      <c r="HLP10" s="594"/>
      <c r="HLQ10" s="594"/>
      <c r="HLR10" s="594"/>
      <c r="HLS10" s="594"/>
      <c r="HLT10" s="594"/>
      <c r="HLU10" s="594"/>
      <c r="HLV10" s="594"/>
      <c r="HLW10" s="594"/>
      <c r="HLX10" s="594"/>
      <c r="HLY10" s="479"/>
      <c r="HLZ10" s="479"/>
      <c r="HMA10" s="479"/>
      <c r="HMB10" s="479"/>
      <c r="HMC10" s="479"/>
      <c r="HMD10" s="479"/>
      <c r="HME10" s="479"/>
      <c r="HMF10" s="479"/>
      <c r="HMG10" s="479"/>
      <c r="HMH10" s="479"/>
      <c r="HMI10" s="479"/>
      <c r="HMJ10" s="593"/>
      <c r="HMK10" s="594"/>
      <c r="HML10" s="594"/>
      <c r="HMM10" s="594"/>
      <c r="HMN10" s="594"/>
      <c r="HMO10" s="594"/>
      <c r="HMP10" s="594"/>
      <c r="HMQ10" s="594"/>
      <c r="HMR10" s="594"/>
      <c r="HMS10" s="594"/>
      <c r="HMT10" s="479"/>
      <c r="HMU10" s="479"/>
      <c r="HMV10" s="479"/>
      <c r="HMW10" s="479"/>
      <c r="HMX10" s="479"/>
      <c r="HMY10" s="479"/>
      <c r="HMZ10" s="479"/>
      <c r="HNA10" s="479"/>
      <c r="HNB10" s="479"/>
      <c r="HNC10" s="479"/>
      <c r="HND10" s="479"/>
      <c r="HNE10" s="593"/>
      <c r="HNF10" s="594"/>
      <c r="HNG10" s="594"/>
      <c r="HNH10" s="594"/>
      <c r="HNI10" s="594"/>
      <c r="HNJ10" s="594"/>
      <c r="HNK10" s="594"/>
      <c r="HNL10" s="594"/>
      <c r="HNM10" s="594"/>
      <c r="HNN10" s="594"/>
      <c r="HNO10" s="479"/>
      <c r="HNP10" s="479"/>
      <c r="HNQ10" s="479"/>
      <c r="HNR10" s="479"/>
      <c r="HNS10" s="479"/>
      <c r="HNT10" s="479"/>
      <c r="HNU10" s="479"/>
      <c r="HNV10" s="479"/>
      <c r="HNW10" s="479"/>
      <c r="HNX10" s="479"/>
      <c r="HNY10" s="479"/>
      <c r="HNZ10" s="593"/>
      <c r="HOA10" s="594"/>
      <c r="HOB10" s="594"/>
      <c r="HOC10" s="594"/>
      <c r="HOD10" s="594"/>
      <c r="HOE10" s="594"/>
      <c r="HOF10" s="594"/>
      <c r="HOG10" s="594"/>
      <c r="HOH10" s="594"/>
      <c r="HOI10" s="594"/>
      <c r="HOJ10" s="479"/>
      <c r="HOK10" s="479"/>
      <c r="HOL10" s="479"/>
      <c r="HOM10" s="479"/>
      <c r="HON10" s="479"/>
      <c r="HOO10" s="479"/>
      <c r="HOP10" s="479"/>
      <c r="HOQ10" s="479"/>
      <c r="HOR10" s="479"/>
      <c r="HOS10" s="479"/>
      <c r="HOT10" s="479"/>
      <c r="HOU10" s="593"/>
      <c r="HOV10" s="594"/>
      <c r="HOW10" s="594"/>
      <c r="HOX10" s="594"/>
      <c r="HOY10" s="594"/>
      <c r="HOZ10" s="594"/>
      <c r="HPA10" s="594"/>
      <c r="HPB10" s="594"/>
      <c r="HPC10" s="594"/>
      <c r="HPD10" s="594"/>
      <c r="HPE10" s="479"/>
      <c r="HPF10" s="479"/>
      <c r="HPG10" s="479"/>
      <c r="HPH10" s="479"/>
      <c r="HPI10" s="479"/>
      <c r="HPJ10" s="479"/>
      <c r="HPK10" s="479"/>
      <c r="HPL10" s="479"/>
      <c r="HPM10" s="479"/>
      <c r="HPN10" s="479"/>
      <c r="HPO10" s="479"/>
      <c r="HPP10" s="593"/>
      <c r="HPQ10" s="594"/>
      <c r="HPR10" s="594"/>
      <c r="HPS10" s="594"/>
      <c r="HPT10" s="594"/>
      <c r="HPU10" s="594"/>
      <c r="HPV10" s="594"/>
      <c r="HPW10" s="594"/>
      <c r="HPX10" s="594"/>
      <c r="HPY10" s="594"/>
      <c r="HPZ10" s="479"/>
      <c r="HQA10" s="479"/>
      <c r="HQB10" s="479"/>
      <c r="HQC10" s="479"/>
      <c r="HQD10" s="479"/>
      <c r="HQE10" s="479"/>
      <c r="HQF10" s="479"/>
      <c r="HQG10" s="479"/>
      <c r="HQH10" s="479"/>
      <c r="HQI10" s="479"/>
      <c r="HQJ10" s="479"/>
      <c r="HQK10" s="593"/>
      <c r="HQL10" s="594"/>
      <c r="HQM10" s="594"/>
      <c r="HQN10" s="594"/>
      <c r="HQO10" s="594"/>
      <c r="HQP10" s="594"/>
      <c r="HQQ10" s="594"/>
      <c r="HQR10" s="594"/>
      <c r="HQS10" s="594"/>
      <c r="HQT10" s="594"/>
      <c r="HQU10" s="479"/>
      <c r="HQV10" s="479"/>
      <c r="HQW10" s="479"/>
      <c r="HQX10" s="479"/>
      <c r="HQY10" s="479"/>
      <c r="HQZ10" s="479"/>
      <c r="HRA10" s="479"/>
      <c r="HRB10" s="479"/>
      <c r="HRC10" s="479"/>
      <c r="HRD10" s="479"/>
      <c r="HRE10" s="479"/>
      <c r="HRF10" s="593"/>
      <c r="HRG10" s="594"/>
      <c r="HRH10" s="594"/>
      <c r="HRI10" s="594"/>
      <c r="HRJ10" s="594"/>
      <c r="HRK10" s="594"/>
      <c r="HRL10" s="594"/>
      <c r="HRM10" s="594"/>
      <c r="HRN10" s="594"/>
      <c r="HRO10" s="594"/>
      <c r="HRP10" s="479"/>
      <c r="HRQ10" s="479"/>
      <c r="HRR10" s="479"/>
      <c r="HRS10" s="479"/>
      <c r="HRT10" s="479"/>
      <c r="HRU10" s="479"/>
      <c r="HRV10" s="479"/>
      <c r="HRW10" s="479"/>
      <c r="HRX10" s="479"/>
      <c r="HRY10" s="479"/>
      <c r="HRZ10" s="479"/>
      <c r="HSA10" s="593"/>
      <c r="HSB10" s="594"/>
      <c r="HSC10" s="594"/>
      <c r="HSD10" s="594"/>
      <c r="HSE10" s="594"/>
      <c r="HSF10" s="594"/>
      <c r="HSG10" s="594"/>
      <c r="HSH10" s="594"/>
      <c r="HSI10" s="594"/>
      <c r="HSJ10" s="594"/>
      <c r="HSK10" s="479"/>
      <c r="HSL10" s="479"/>
      <c r="HSM10" s="479"/>
      <c r="HSN10" s="479"/>
      <c r="HSO10" s="479"/>
      <c r="HSP10" s="479"/>
      <c r="HSQ10" s="479"/>
      <c r="HSR10" s="479"/>
      <c r="HSS10" s="479"/>
      <c r="HST10" s="479"/>
      <c r="HSU10" s="479"/>
      <c r="HSV10" s="593"/>
      <c r="HSW10" s="594"/>
      <c r="HSX10" s="594"/>
      <c r="HSY10" s="594"/>
      <c r="HSZ10" s="594"/>
      <c r="HTA10" s="594"/>
      <c r="HTB10" s="594"/>
      <c r="HTC10" s="594"/>
      <c r="HTD10" s="594"/>
      <c r="HTE10" s="594"/>
      <c r="HTF10" s="479"/>
      <c r="HTG10" s="479"/>
      <c r="HTH10" s="479"/>
      <c r="HTI10" s="479"/>
      <c r="HTJ10" s="479"/>
      <c r="HTK10" s="479"/>
      <c r="HTL10" s="479"/>
      <c r="HTM10" s="479"/>
      <c r="HTN10" s="479"/>
      <c r="HTO10" s="479"/>
      <c r="HTP10" s="479"/>
      <c r="HTQ10" s="593"/>
      <c r="HTR10" s="594"/>
      <c r="HTS10" s="594"/>
      <c r="HTT10" s="594"/>
      <c r="HTU10" s="594"/>
      <c r="HTV10" s="594"/>
      <c r="HTW10" s="594"/>
      <c r="HTX10" s="594"/>
      <c r="HTY10" s="594"/>
      <c r="HTZ10" s="594"/>
      <c r="HUA10" s="479"/>
      <c r="HUB10" s="479"/>
      <c r="HUC10" s="479"/>
      <c r="HUD10" s="479"/>
      <c r="HUE10" s="479"/>
      <c r="HUF10" s="479"/>
      <c r="HUG10" s="479"/>
      <c r="HUH10" s="479"/>
      <c r="HUI10" s="479"/>
      <c r="HUJ10" s="479"/>
      <c r="HUK10" s="479"/>
      <c r="HUL10" s="593"/>
      <c r="HUM10" s="594"/>
      <c r="HUN10" s="594"/>
      <c r="HUO10" s="594"/>
      <c r="HUP10" s="594"/>
      <c r="HUQ10" s="594"/>
      <c r="HUR10" s="594"/>
      <c r="HUS10" s="594"/>
      <c r="HUT10" s="594"/>
      <c r="HUU10" s="594"/>
      <c r="HUV10" s="479"/>
      <c r="HUW10" s="479"/>
      <c r="HUX10" s="479"/>
      <c r="HUY10" s="479"/>
      <c r="HUZ10" s="479"/>
      <c r="HVA10" s="479"/>
      <c r="HVB10" s="479"/>
      <c r="HVC10" s="479"/>
      <c r="HVD10" s="479"/>
      <c r="HVE10" s="479"/>
      <c r="HVF10" s="479"/>
      <c r="HVG10" s="593"/>
      <c r="HVH10" s="594"/>
      <c r="HVI10" s="594"/>
      <c r="HVJ10" s="594"/>
      <c r="HVK10" s="594"/>
      <c r="HVL10" s="594"/>
      <c r="HVM10" s="594"/>
      <c r="HVN10" s="594"/>
      <c r="HVO10" s="594"/>
      <c r="HVP10" s="594"/>
      <c r="HVQ10" s="479"/>
      <c r="HVR10" s="479"/>
      <c r="HVS10" s="479"/>
      <c r="HVT10" s="479"/>
      <c r="HVU10" s="479"/>
      <c r="HVV10" s="479"/>
      <c r="HVW10" s="479"/>
      <c r="HVX10" s="479"/>
      <c r="HVY10" s="479"/>
      <c r="HVZ10" s="479"/>
      <c r="HWA10" s="479"/>
      <c r="HWB10" s="593"/>
      <c r="HWC10" s="594"/>
      <c r="HWD10" s="594"/>
      <c r="HWE10" s="594"/>
      <c r="HWF10" s="594"/>
      <c r="HWG10" s="594"/>
      <c r="HWH10" s="594"/>
      <c r="HWI10" s="594"/>
      <c r="HWJ10" s="594"/>
      <c r="HWK10" s="594"/>
      <c r="HWL10" s="479"/>
      <c r="HWM10" s="479"/>
      <c r="HWN10" s="479"/>
      <c r="HWO10" s="479"/>
      <c r="HWP10" s="479"/>
      <c r="HWQ10" s="479"/>
      <c r="HWR10" s="479"/>
      <c r="HWS10" s="479"/>
      <c r="HWT10" s="479"/>
      <c r="HWU10" s="479"/>
      <c r="HWV10" s="479"/>
      <c r="HWW10" s="593"/>
      <c r="HWX10" s="594"/>
      <c r="HWY10" s="594"/>
      <c r="HWZ10" s="594"/>
      <c r="HXA10" s="594"/>
      <c r="HXB10" s="594"/>
      <c r="HXC10" s="594"/>
      <c r="HXD10" s="594"/>
      <c r="HXE10" s="594"/>
      <c r="HXF10" s="594"/>
      <c r="HXG10" s="479"/>
      <c r="HXH10" s="479"/>
      <c r="HXI10" s="479"/>
      <c r="HXJ10" s="479"/>
      <c r="HXK10" s="479"/>
      <c r="HXL10" s="479"/>
      <c r="HXM10" s="479"/>
      <c r="HXN10" s="479"/>
      <c r="HXO10" s="479"/>
      <c r="HXP10" s="479"/>
      <c r="HXQ10" s="479"/>
      <c r="HXR10" s="593"/>
      <c r="HXS10" s="594"/>
      <c r="HXT10" s="594"/>
      <c r="HXU10" s="594"/>
      <c r="HXV10" s="594"/>
      <c r="HXW10" s="594"/>
      <c r="HXX10" s="594"/>
      <c r="HXY10" s="594"/>
      <c r="HXZ10" s="594"/>
      <c r="HYA10" s="594"/>
      <c r="HYB10" s="479"/>
      <c r="HYC10" s="479"/>
      <c r="HYD10" s="479"/>
      <c r="HYE10" s="479"/>
      <c r="HYF10" s="479"/>
      <c r="HYG10" s="479"/>
      <c r="HYH10" s="479"/>
      <c r="HYI10" s="479"/>
      <c r="HYJ10" s="479"/>
      <c r="HYK10" s="479"/>
      <c r="HYL10" s="479"/>
      <c r="HYM10" s="593"/>
      <c r="HYN10" s="594"/>
      <c r="HYO10" s="594"/>
      <c r="HYP10" s="594"/>
      <c r="HYQ10" s="594"/>
      <c r="HYR10" s="594"/>
      <c r="HYS10" s="594"/>
      <c r="HYT10" s="594"/>
      <c r="HYU10" s="594"/>
      <c r="HYV10" s="594"/>
      <c r="HYW10" s="479"/>
      <c r="HYX10" s="479"/>
      <c r="HYY10" s="479"/>
      <c r="HYZ10" s="479"/>
      <c r="HZA10" s="479"/>
      <c r="HZB10" s="479"/>
      <c r="HZC10" s="479"/>
      <c r="HZD10" s="479"/>
      <c r="HZE10" s="479"/>
      <c r="HZF10" s="479"/>
      <c r="HZG10" s="479"/>
      <c r="HZH10" s="593"/>
      <c r="HZI10" s="594"/>
      <c r="HZJ10" s="594"/>
      <c r="HZK10" s="594"/>
      <c r="HZL10" s="594"/>
      <c r="HZM10" s="594"/>
      <c r="HZN10" s="594"/>
      <c r="HZO10" s="594"/>
      <c r="HZP10" s="594"/>
      <c r="HZQ10" s="594"/>
      <c r="HZR10" s="479"/>
      <c r="HZS10" s="479"/>
      <c r="HZT10" s="479"/>
      <c r="HZU10" s="479"/>
      <c r="HZV10" s="479"/>
      <c r="HZW10" s="479"/>
      <c r="HZX10" s="479"/>
      <c r="HZY10" s="479"/>
      <c r="HZZ10" s="479"/>
      <c r="IAA10" s="479"/>
      <c r="IAB10" s="479"/>
      <c r="IAC10" s="593"/>
      <c r="IAD10" s="594"/>
      <c r="IAE10" s="594"/>
      <c r="IAF10" s="594"/>
      <c r="IAG10" s="594"/>
      <c r="IAH10" s="594"/>
      <c r="IAI10" s="594"/>
      <c r="IAJ10" s="594"/>
      <c r="IAK10" s="594"/>
      <c r="IAL10" s="594"/>
      <c r="IAM10" s="479"/>
      <c r="IAN10" s="479"/>
      <c r="IAO10" s="479"/>
      <c r="IAP10" s="479"/>
      <c r="IAQ10" s="479"/>
      <c r="IAR10" s="479"/>
      <c r="IAS10" s="479"/>
      <c r="IAT10" s="479"/>
      <c r="IAU10" s="479"/>
      <c r="IAV10" s="479"/>
      <c r="IAW10" s="479"/>
      <c r="IAX10" s="593"/>
      <c r="IAY10" s="594"/>
      <c r="IAZ10" s="594"/>
      <c r="IBA10" s="594"/>
      <c r="IBB10" s="594"/>
      <c r="IBC10" s="594"/>
      <c r="IBD10" s="594"/>
      <c r="IBE10" s="594"/>
      <c r="IBF10" s="594"/>
      <c r="IBG10" s="594"/>
      <c r="IBH10" s="479"/>
      <c r="IBI10" s="479"/>
      <c r="IBJ10" s="479"/>
      <c r="IBK10" s="479"/>
      <c r="IBL10" s="479"/>
      <c r="IBM10" s="479"/>
      <c r="IBN10" s="479"/>
      <c r="IBO10" s="479"/>
      <c r="IBP10" s="479"/>
      <c r="IBQ10" s="479"/>
      <c r="IBR10" s="479"/>
      <c r="IBS10" s="593"/>
      <c r="IBT10" s="594"/>
      <c r="IBU10" s="594"/>
      <c r="IBV10" s="594"/>
      <c r="IBW10" s="594"/>
      <c r="IBX10" s="594"/>
      <c r="IBY10" s="594"/>
      <c r="IBZ10" s="594"/>
      <c r="ICA10" s="594"/>
      <c r="ICB10" s="594"/>
      <c r="ICC10" s="479"/>
      <c r="ICD10" s="479"/>
      <c r="ICE10" s="479"/>
      <c r="ICF10" s="479"/>
      <c r="ICG10" s="479"/>
      <c r="ICH10" s="479"/>
      <c r="ICI10" s="479"/>
      <c r="ICJ10" s="479"/>
      <c r="ICK10" s="479"/>
      <c r="ICL10" s="479"/>
      <c r="ICM10" s="479"/>
      <c r="ICN10" s="593"/>
      <c r="ICO10" s="594"/>
      <c r="ICP10" s="594"/>
      <c r="ICQ10" s="594"/>
      <c r="ICR10" s="594"/>
      <c r="ICS10" s="594"/>
      <c r="ICT10" s="594"/>
      <c r="ICU10" s="594"/>
      <c r="ICV10" s="594"/>
      <c r="ICW10" s="594"/>
      <c r="ICX10" s="479"/>
      <c r="ICY10" s="479"/>
      <c r="ICZ10" s="479"/>
      <c r="IDA10" s="479"/>
      <c r="IDB10" s="479"/>
      <c r="IDC10" s="479"/>
      <c r="IDD10" s="479"/>
      <c r="IDE10" s="479"/>
      <c r="IDF10" s="479"/>
      <c r="IDG10" s="479"/>
      <c r="IDH10" s="479"/>
      <c r="IDI10" s="593"/>
      <c r="IDJ10" s="594"/>
      <c r="IDK10" s="594"/>
      <c r="IDL10" s="594"/>
      <c r="IDM10" s="594"/>
      <c r="IDN10" s="594"/>
      <c r="IDO10" s="594"/>
      <c r="IDP10" s="594"/>
      <c r="IDQ10" s="594"/>
      <c r="IDR10" s="594"/>
      <c r="IDS10" s="479"/>
      <c r="IDT10" s="479"/>
      <c r="IDU10" s="479"/>
      <c r="IDV10" s="479"/>
      <c r="IDW10" s="479"/>
      <c r="IDX10" s="479"/>
      <c r="IDY10" s="479"/>
      <c r="IDZ10" s="479"/>
      <c r="IEA10" s="479"/>
      <c r="IEB10" s="479"/>
      <c r="IEC10" s="479"/>
      <c r="IED10" s="593"/>
      <c r="IEE10" s="594"/>
      <c r="IEF10" s="594"/>
      <c r="IEG10" s="594"/>
      <c r="IEH10" s="594"/>
      <c r="IEI10" s="594"/>
      <c r="IEJ10" s="594"/>
      <c r="IEK10" s="594"/>
      <c r="IEL10" s="594"/>
      <c r="IEM10" s="594"/>
      <c r="IEN10" s="479"/>
      <c r="IEO10" s="479"/>
      <c r="IEP10" s="479"/>
      <c r="IEQ10" s="479"/>
      <c r="IER10" s="479"/>
      <c r="IES10" s="479"/>
      <c r="IET10" s="479"/>
      <c r="IEU10" s="479"/>
      <c r="IEV10" s="479"/>
      <c r="IEW10" s="479"/>
      <c r="IEX10" s="479"/>
      <c r="IEY10" s="593"/>
      <c r="IEZ10" s="594"/>
      <c r="IFA10" s="594"/>
      <c r="IFB10" s="594"/>
      <c r="IFC10" s="594"/>
      <c r="IFD10" s="594"/>
      <c r="IFE10" s="594"/>
      <c r="IFF10" s="594"/>
      <c r="IFG10" s="594"/>
      <c r="IFH10" s="594"/>
      <c r="IFI10" s="479"/>
      <c r="IFJ10" s="479"/>
      <c r="IFK10" s="479"/>
      <c r="IFL10" s="479"/>
      <c r="IFM10" s="479"/>
      <c r="IFN10" s="479"/>
      <c r="IFO10" s="479"/>
      <c r="IFP10" s="479"/>
      <c r="IFQ10" s="479"/>
      <c r="IFR10" s="479"/>
      <c r="IFS10" s="479"/>
      <c r="IFT10" s="593"/>
      <c r="IFU10" s="594"/>
      <c r="IFV10" s="594"/>
      <c r="IFW10" s="594"/>
      <c r="IFX10" s="594"/>
      <c r="IFY10" s="594"/>
      <c r="IFZ10" s="594"/>
      <c r="IGA10" s="594"/>
      <c r="IGB10" s="594"/>
      <c r="IGC10" s="594"/>
      <c r="IGD10" s="479"/>
      <c r="IGE10" s="479"/>
      <c r="IGF10" s="479"/>
      <c r="IGG10" s="479"/>
      <c r="IGH10" s="479"/>
      <c r="IGI10" s="479"/>
      <c r="IGJ10" s="479"/>
      <c r="IGK10" s="479"/>
      <c r="IGL10" s="479"/>
      <c r="IGM10" s="479"/>
      <c r="IGN10" s="479"/>
      <c r="IGO10" s="593"/>
      <c r="IGP10" s="594"/>
      <c r="IGQ10" s="594"/>
      <c r="IGR10" s="594"/>
      <c r="IGS10" s="594"/>
      <c r="IGT10" s="594"/>
      <c r="IGU10" s="594"/>
      <c r="IGV10" s="594"/>
      <c r="IGW10" s="594"/>
      <c r="IGX10" s="594"/>
      <c r="IGY10" s="479"/>
      <c r="IGZ10" s="479"/>
      <c r="IHA10" s="479"/>
      <c r="IHB10" s="479"/>
      <c r="IHC10" s="479"/>
      <c r="IHD10" s="479"/>
      <c r="IHE10" s="479"/>
      <c r="IHF10" s="479"/>
      <c r="IHG10" s="479"/>
      <c r="IHH10" s="479"/>
      <c r="IHI10" s="479"/>
      <c r="IHJ10" s="593"/>
      <c r="IHK10" s="594"/>
      <c r="IHL10" s="594"/>
      <c r="IHM10" s="594"/>
      <c r="IHN10" s="594"/>
      <c r="IHO10" s="594"/>
      <c r="IHP10" s="594"/>
      <c r="IHQ10" s="594"/>
      <c r="IHR10" s="594"/>
      <c r="IHS10" s="594"/>
      <c r="IHT10" s="479"/>
      <c r="IHU10" s="479"/>
      <c r="IHV10" s="479"/>
      <c r="IHW10" s="479"/>
      <c r="IHX10" s="479"/>
      <c r="IHY10" s="479"/>
      <c r="IHZ10" s="479"/>
      <c r="IIA10" s="479"/>
      <c r="IIB10" s="479"/>
      <c r="IIC10" s="479"/>
      <c r="IID10" s="479"/>
      <c r="IIE10" s="593"/>
      <c r="IIF10" s="594"/>
      <c r="IIG10" s="594"/>
      <c r="IIH10" s="594"/>
      <c r="III10" s="594"/>
      <c r="IIJ10" s="594"/>
      <c r="IIK10" s="594"/>
      <c r="IIL10" s="594"/>
      <c r="IIM10" s="594"/>
      <c r="IIN10" s="594"/>
      <c r="IIO10" s="479"/>
      <c r="IIP10" s="479"/>
      <c r="IIQ10" s="479"/>
      <c r="IIR10" s="479"/>
      <c r="IIS10" s="479"/>
      <c r="IIT10" s="479"/>
      <c r="IIU10" s="479"/>
      <c r="IIV10" s="479"/>
      <c r="IIW10" s="479"/>
      <c r="IIX10" s="479"/>
      <c r="IIY10" s="479"/>
      <c r="IIZ10" s="593"/>
      <c r="IJA10" s="594"/>
      <c r="IJB10" s="594"/>
      <c r="IJC10" s="594"/>
      <c r="IJD10" s="594"/>
      <c r="IJE10" s="594"/>
      <c r="IJF10" s="594"/>
      <c r="IJG10" s="594"/>
      <c r="IJH10" s="594"/>
      <c r="IJI10" s="594"/>
      <c r="IJJ10" s="479"/>
      <c r="IJK10" s="479"/>
      <c r="IJL10" s="479"/>
      <c r="IJM10" s="479"/>
      <c r="IJN10" s="479"/>
      <c r="IJO10" s="479"/>
      <c r="IJP10" s="479"/>
      <c r="IJQ10" s="479"/>
      <c r="IJR10" s="479"/>
      <c r="IJS10" s="479"/>
      <c r="IJT10" s="479"/>
      <c r="IJU10" s="593"/>
      <c r="IJV10" s="594"/>
      <c r="IJW10" s="594"/>
      <c r="IJX10" s="594"/>
      <c r="IJY10" s="594"/>
      <c r="IJZ10" s="594"/>
      <c r="IKA10" s="594"/>
      <c r="IKB10" s="594"/>
      <c r="IKC10" s="594"/>
      <c r="IKD10" s="594"/>
      <c r="IKE10" s="479"/>
      <c r="IKF10" s="479"/>
      <c r="IKG10" s="479"/>
      <c r="IKH10" s="479"/>
      <c r="IKI10" s="479"/>
      <c r="IKJ10" s="479"/>
      <c r="IKK10" s="479"/>
      <c r="IKL10" s="479"/>
      <c r="IKM10" s="479"/>
      <c r="IKN10" s="479"/>
      <c r="IKO10" s="479"/>
      <c r="IKP10" s="593"/>
      <c r="IKQ10" s="594"/>
      <c r="IKR10" s="594"/>
      <c r="IKS10" s="594"/>
      <c r="IKT10" s="594"/>
      <c r="IKU10" s="594"/>
      <c r="IKV10" s="594"/>
      <c r="IKW10" s="594"/>
      <c r="IKX10" s="594"/>
      <c r="IKY10" s="594"/>
      <c r="IKZ10" s="479"/>
      <c r="ILA10" s="479"/>
      <c r="ILB10" s="479"/>
      <c r="ILC10" s="479"/>
      <c r="ILD10" s="479"/>
      <c r="ILE10" s="479"/>
      <c r="ILF10" s="479"/>
      <c r="ILG10" s="479"/>
      <c r="ILH10" s="479"/>
      <c r="ILI10" s="479"/>
      <c r="ILJ10" s="479"/>
      <c r="ILK10" s="593"/>
      <c r="ILL10" s="594"/>
      <c r="ILM10" s="594"/>
      <c r="ILN10" s="594"/>
      <c r="ILO10" s="594"/>
      <c r="ILP10" s="594"/>
      <c r="ILQ10" s="594"/>
      <c r="ILR10" s="594"/>
      <c r="ILS10" s="594"/>
      <c r="ILT10" s="594"/>
      <c r="ILU10" s="479"/>
      <c r="ILV10" s="479"/>
      <c r="ILW10" s="479"/>
      <c r="ILX10" s="479"/>
      <c r="ILY10" s="479"/>
      <c r="ILZ10" s="479"/>
      <c r="IMA10" s="479"/>
      <c r="IMB10" s="479"/>
      <c r="IMC10" s="479"/>
      <c r="IMD10" s="479"/>
      <c r="IME10" s="479"/>
      <c r="IMF10" s="593"/>
      <c r="IMG10" s="594"/>
      <c r="IMH10" s="594"/>
      <c r="IMI10" s="594"/>
      <c r="IMJ10" s="594"/>
      <c r="IMK10" s="594"/>
      <c r="IML10" s="594"/>
      <c r="IMM10" s="594"/>
      <c r="IMN10" s="594"/>
      <c r="IMO10" s="594"/>
      <c r="IMP10" s="479"/>
      <c r="IMQ10" s="479"/>
      <c r="IMR10" s="479"/>
      <c r="IMS10" s="479"/>
      <c r="IMT10" s="479"/>
      <c r="IMU10" s="479"/>
      <c r="IMV10" s="479"/>
      <c r="IMW10" s="479"/>
      <c r="IMX10" s="479"/>
      <c r="IMY10" s="479"/>
      <c r="IMZ10" s="479"/>
      <c r="INA10" s="593"/>
      <c r="INB10" s="594"/>
      <c r="INC10" s="594"/>
      <c r="IND10" s="594"/>
      <c r="INE10" s="594"/>
      <c r="INF10" s="594"/>
      <c r="ING10" s="594"/>
      <c r="INH10" s="594"/>
      <c r="INI10" s="594"/>
      <c r="INJ10" s="594"/>
      <c r="INK10" s="479"/>
      <c r="INL10" s="479"/>
      <c r="INM10" s="479"/>
      <c r="INN10" s="479"/>
      <c r="INO10" s="479"/>
      <c r="INP10" s="479"/>
      <c r="INQ10" s="479"/>
      <c r="INR10" s="479"/>
      <c r="INS10" s="479"/>
      <c r="INT10" s="479"/>
      <c r="INU10" s="479"/>
      <c r="INV10" s="593"/>
      <c r="INW10" s="594"/>
      <c r="INX10" s="594"/>
      <c r="INY10" s="594"/>
      <c r="INZ10" s="594"/>
      <c r="IOA10" s="594"/>
      <c r="IOB10" s="594"/>
      <c r="IOC10" s="594"/>
      <c r="IOD10" s="594"/>
      <c r="IOE10" s="594"/>
      <c r="IOF10" s="479"/>
      <c r="IOG10" s="479"/>
      <c r="IOH10" s="479"/>
      <c r="IOI10" s="479"/>
      <c r="IOJ10" s="479"/>
      <c r="IOK10" s="479"/>
      <c r="IOL10" s="479"/>
      <c r="IOM10" s="479"/>
      <c r="ION10" s="479"/>
      <c r="IOO10" s="479"/>
      <c r="IOP10" s="479"/>
      <c r="IOQ10" s="593"/>
      <c r="IOR10" s="594"/>
      <c r="IOS10" s="594"/>
      <c r="IOT10" s="594"/>
      <c r="IOU10" s="594"/>
      <c r="IOV10" s="594"/>
      <c r="IOW10" s="594"/>
      <c r="IOX10" s="594"/>
      <c r="IOY10" s="594"/>
      <c r="IOZ10" s="594"/>
      <c r="IPA10" s="479"/>
      <c r="IPB10" s="479"/>
      <c r="IPC10" s="479"/>
      <c r="IPD10" s="479"/>
      <c r="IPE10" s="479"/>
      <c r="IPF10" s="479"/>
      <c r="IPG10" s="479"/>
      <c r="IPH10" s="479"/>
      <c r="IPI10" s="479"/>
      <c r="IPJ10" s="479"/>
      <c r="IPK10" s="479"/>
      <c r="IPL10" s="593"/>
      <c r="IPM10" s="594"/>
      <c r="IPN10" s="594"/>
      <c r="IPO10" s="594"/>
      <c r="IPP10" s="594"/>
      <c r="IPQ10" s="594"/>
      <c r="IPR10" s="594"/>
      <c r="IPS10" s="594"/>
      <c r="IPT10" s="594"/>
      <c r="IPU10" s="594"/>
      <c r="IPV10" s="479"/>
      <c r="IPW10" s="479"/>
      <c r="IPX10" s="479"/>
      <c r="IPY10" s="479"/>
      <c r="IPZ10" s="479"/>
      <c r="IQA10" s="479"/>
      <c r="IQB10" s="479"/>
      <c r="IQC10" s="479"/>
      <c r="IQD10" s="479"/>
      <c r="IQE10" s="479"/>
      <c r="IQF10" s="479"/>
      <c r="IQG10" s="593"/>
      <c r="IQH10" s="594"/>
      <c r="IQI10" s="594"/>
      <c r="IQJ10" s="594"/>
      <c r="IQK10" s="594"/>
      <c r="IQL10" s="594"/>
      <c r="IQM10" s="594"/>
      <c r="IQN10" s="594"/>
      <c r="IQO10" s="594"/>
      <c r="IQP10" s="594"/>
      <c r="IQQ10" s="479"/>
      <c r="IQR10" s="479"/>
      <c r="IQS10" s="479"/>
      <c r="IQT10" s="479"/>
      <c r="IQU10" s="479"/>
      <c r="IQV10" s="479"/>
      <c r="IQW10" s="479"/>
      <c r="IQX10" s="479"/>
      <c r="IQY10" s="479"/>
      <c r="IQZ10" s="479"/>
      <c r="IRA10" s="479"/>
      <c r="IRB10" s="593"/>
      <c r="IRC10" s="594"/>
      <c r="IRD10" s="594"/>
      <c r="IRE10" s="594"/>
      <c r="IRF10" s="594"/>
      <c r="IRG10" s="594"/>
      <c r="IRH10" s="594"/>
      <c r="IRI10" s="594"/>
      <c r="IRJ10" s="594"/>
      <c r="IRK10" s="594"/>
      <c r="IRL10" s="479"/>
      <c r="IRM10" s="479"/>
      <c r="IRN10" s="479"/>
      <c r="IRO10" s="479"/>
      <c r="IRP10" s="479"/>
      <c r="IRQ10" s="479"/>
      <c r="IRR10" s="479"/>
      <c r="IRS10" s="479"/>
      <c r="IRT10" s="479"/>
      <c r="IRU10" s="479"/>
      <c r="IRV10" s="479"/>
      <c r="IRW10" s="593"/>
      <c r="IRX10" s="594"/>
      <c r="IRY10" s="594"/>
      <c r="IRZ10" s="594"/>
      <c r="ISA10" s="594"/>
      <c r="ISB10" s="594"/>
      <c r="ISC10" s="594"/>
      <c r="ISD10" s="594"/>
      <c r="ISE10" s="594"/>
      <c r="ISF10" s="594"/>
      <c r="ISG10" s="479"/>
      <c r="ISH10" s="479"/>
      <c r="ISI10" s="479"/>
      <c r="ISJ10" s="479"/>
      <c r="ISK10" s="479"/>
      <c r="ISL10" s="479"/>
      <c r="ISM10" s="479"/>
      <c r="ISN10" s="479"/>
      <c r="ISO10" s="479"/>
      <c r="ISP10" s="479"/>
      <c r="ISQ10" s="479"/>
      <c r="ISR10" s="593"/>
      <c r="ISS10" s="594"/>
      <c r="IST10" s="594"/>
      <c r="ISU10" s="594"/>
      <c r="ISV10" s="594"/>
      <c r="ISW10" s="594"/>
      <c r="ISX10" s="594"/>
      <c r="ISY10" s="594"/>
      <c r="ISZ10" s="594"/>
      <c r="ITA10" s="594"/>
      <c r="ITB10" s="479"/>
      <c r="ITC10" s="479"/>
      <c r="ITD10" s="479"/>
      <c r="ITE10" s="479"/>
      <c r="ITF10" s="479"/>
      <c r="ITG10" s="479"/>
      <c r="ITH10" s="479"/>
      <c r="ITI10" s="479"/>
      <c r="ITJ10" s="479"/>
      <c r="ITK10" s="479"/>
      <c r="ITL10" s="479"/>
      <c r="ITM10" s="593"/>
      <c r="ITN10" s="594"/>
      <c r="ITO10" s="594"/>
      <c r="ITP10" s="594"/>
      <c r="ITQ10" s="594"/>
      <c r="ITR10" s="594"/>
      <c r="ITS10" s="594"/>
      <c r="ITT10" s="594"/>
      <c r="ITU10" s="594"/>
      <c r="ITV10" s="594"/>
      <c r="ITW10" s="479"/>
      <c r="ITX10" s="479"/>
      <c r="ITY10" s="479"/>
      <c r="ITZ10" s="479"/>
      <c r="IUA10" s="479"/>
      <c r="IUB10" s="479"/>
      <c r="IUC10" s="479"/>
      <c r="IUD10" s="479"/>
      <c r="IUE10" s="479"/>
      <c r="IUF10" s="479"/>
      <c r="IUG10" s="479"/>
      <c r="IUH10" s="593"/>
      <c r="IUI10" s="594"/>
      <c r="IUJ10" s="594"/>
      <c r="IUK10" s="594"/>
      <c r="IUL10" s="594"/>
      <c r="IUM10" s="594"/>
      <c r="IUN10" s="594"/>
      <c r="IUO10" s="594"/>
      <c r="IUP10" s="594"/>
      <c r="IUQ10" s="594"/>
      <c r="IUR10" s="479"/>
      <c r="IUS10" s="479"/>
      <c r="IUT10" s="479"/>
      <c r="IUU10" s="479"/>
      <c r="IUV10" s="479"/>
      <c r="IUW10" s="479"/>
      <c r="IUX10" s="479"/>
      <c r="IUY10" s="479"/>
      <c r="IUZ10" s="479"/>
      <c r="IVA10" s="479"/>
      <c r="IVB10" s="479"/>
      <c r="IVC10" s="593"/>
      <c r="IVD10" s="594"/>
      <c r="IVE10" s="594"/>
      <c r="IVF10" s="594"/>
      <c r="IVG10" s="594"/>
      <c r="IVH10" s="594"/>
      <c r="IVI10" s="594"/>
      <c r="IVJ10" s="594"/>
      <c r="IVK10" s="594"/>
      <c r="IVL10" s="594"/>
      <c r="IVM10" s="479"/>
      <c r="IVN10" s="479"/>
      <c r="IVO10" s="479"/>
      <c r="IVP10" s="479"/>
      <c r="IVQ10" s="479"/>
      <c r="IVR10" s="479"/>
      <c r="IVS10" s="479"/>
      <c r="IVT10" s="479"/>
      <c r="IVU10" s="479"/>
      <c r="IVV10" s="479"/>
      <c r="IVW10" s="479"/>
      <c r="IVX10" s="593"/>
      <c r="IVY10" s="594"/>
      <c r="IVZ10" s="594"/>
      <c r="IWA10" s="594"/>
      <c r="IWB10" s="594"/>
      <c r="IWC10" s="594"/>
      <c r="IWD10" s="594"/>
      <c r="IWE10" s="594"/>
      <c r="IWF10" s="594"/>
      <c r="IWG10" s="594"/>
      <c r="IWH10" s="479"/>
      <c r="IWI10" s="479"/>
      <c r="IWJ10" s="479"/>
      <c r="IWK10" s="479"/>
      <c r="IWL10" s="479"/>
      <c r="IWM10" s="479"/>
      <c r="IWN10" s="479"/>
      <c r="IWO10" s="479"/>
      <c r="IWP10" s="479"/>
      <c r="IWQ10" s="479"/>
      <c r="IWR10" s="479"/>
      <c r="IWS10" s="593"/>
      <c r="IWT10" s="594"/>
      <c r="IWU10" s="594"/>
      <c r="IWV10" s="594"/>
      <c r="IWW10" s="594"/>
      <c r="IWX10" s="594"/>
      <c r="IWY10" s="594"/>
      <c r="IWZ10" s="594"/>
      <c r="IXA10" s="594"/>
      <c r="IXB10" s="594"/>
      <c r="IXC10" s="479"/>
      <c r="IXD10" s="479"/>
      <c r="IXE10" s="479"/>
      <c r="IXF10" s="479"/>
      <c r="IXG10" s="479"/>
      <c r="IXH10" s="479"/>
      <c r="IXI10" s="479"/>
      <c r="IXJ10" s="479"/>
      <c r="IXK10" s="479"/>
      <c r="IXL10" s="479"/>
      <c r="IXM10" s="479"/>
      <c r="IXN10" s="593"/>
      <c r="IXO10" s="594"/>
      <c r="IXP10" s="594"/>
      <c r="IXQ10" s="594"/>
      <c r="IXR10" s="594"/>
      <c r="IXS10" s="594"/>
      <c r="IXT10" s="594"/>
      <c r="IXU10" s="594"/>
      <c r="IXV10" s="594"/>
      <c r="IXW10" s="594"/>
      <c r="IXX10" s="479"/>
      <c r="IXY10" s="479"/>
      <c r="IXZ10" s="479"/>
      <c r="IYA10" s="479"/>
      <c r="IYB10" s="479"/>
      <c r="IYC10" s="479"/>
      <c r="IYD10" s="479"/>
      <c r="IYE10" s="479"/>
      <c r="IYF10" s="479"/>
      <c r="IYG10" s="479"/>
      <c r="IYH10" s="479"/>
      <c r="IYI10" s="593"/>
      <c r="IYJ10" s="594"/>
      <c r="IYK10" s="594"/>
      <c r="IYL10" s="594"/>
      <c r="IYM10" s="594"/>
      <c r="IYN10" s="594"/>
      <c r="IYO10" s="594"/>
      <c r="IYP10" s="594"/>
      <c r="IYQ10" s="594"/>
      <c r="IYR10" s="594"/>
      <c r="IYS10" s="479"/>
      <c r="IYT10" s="479"/>
      <c r="IYU10" s="479"/>
      <c r="IYV10" s="479"/>
      <c r="IYW10" s="479"/>
      <c r="IYX10" s="479"/>
      <c r="IYY10" s="479"/>
      <c r="IYZ10" s="479"/>
      <c r="IZA10" s="479"/>
      <c r="IZB10" s="479"/>
      <c r="IZC10" s="479"/>
      <c r="IZD10" s="593"/>
      <c r="IZE10" s="594"/>
      <c r="IZF10" s="594"/>
      <c r="IZG10" s="594"/>
      <c r="IZH10" s="594"/>
      <c r="IZI10" s="594"/>
      <c r="IZJ10" s="594"/>
      <c r="IZK10" s="594"/>
      <c r="IZL10" s="594"/>
      <c r="IZM10" s="594"/>
      <c r="IZN10" s="479"/>
      <c r="IZO10" s="479"/>
      <c r="IZP10" s="479"/>
      <c r="IZQ10" s="479"/>
      <c r="IZR10" s="479"/>
      <c r="IZS10" s="479"/>
      <c r="IZT10" s="479"/>
      <c r="IZU10" s="479"/>
      <c r="IZV10" s="479"/>
      <c r="IZW10" s="479"/>
      <c r="IZX10" s="479"/>
      <c r="IZY10" s="593"/>
      <c r="IZZ10" s="594"/>
      <c r="JAA10" s="594"/>
      <c r="JAB10" s="594"/>
      <c r="JAC10" s="594"/>
      <c r="JAD10" s="594"/>
      <c r="JAE10" s="594"/>
      <c r="JAF10" s="594"/>
      <c r="JAG10" s="594"/>
      <c r="JAH10" s="594"/>
      <c r="JAI10" s="479"/>
      <c r="JAJ10" s="479"/>
      <c r="JAK10" s="479"/>
      <c r="JAL10" s="479"/>
      <c r="JAM10" s="479"/>
      <c r="JAN10" s="479"/>
      <c r="JAO10" s="479"/>
      <c r="JAP10" s="479"/>
      <c r="JAQ10" s="479"/>
      <c r="JAR10" s="479"/>
      <c r="JAS10" s="479"/>
      <c r="JAT10" s="593"/>
      <c r="JAU10" s="594"/>
      <c r="JAV10" s="594"/>
      <c r="JAW10" s="594"/>
      <c r="JAX10" s="594"/>
      <c r="JAY10" s="594"/>
      <c r="JAZ10" s="594"/>
      <c r="JBA10" s="594"/>
      <c r="JBB10" s="594"/>
      <c r="JBC10" s="594"/>
      <c r="JBD10" s="479"/>
      <c r="JBE10" s="479"/>
      <c r="JBF10" s="479"/>
      <c r="JBG10" s="479"/>
      <c r="JBH10" s="479"/>
      <c r="JBI10" s="479"/>
      <c r="JBJ10" s="479"/>
      <c r="JBK10" s="479"/>
      <c r="JBL10" s="479"/>
      <c r="JBM10" s="479"/>
      <c r="JBN10" s="479"/>
      <c r="JBO10" s="593"/>
      <c r="JBP10" s="594"/>
      <c r="JBQ10" s="594"/>
      <c r="JBR10" s="594"/>
      <c r="JBS10" s="594"/>
      <c r="JBT10" s="594"/>
      <c r="JBU10" s="594"/>
      <c r="JBV10" s="594"/>
      <c r="JBW10" s="594"/>
      <c r="JBX10" s="594"/>
      <c r="JBY10" s="479"/>
      <c r="JBZ10" s="479"/>
      <c r="JCA10" s="479"/>
      <c r="JCB10" s="479"/>
      <c r="JCC10" s="479"/>
      <c r="JCD10" s="479"/>
      <c r="JCE10" s="479"/>
      <c r="JCF10" s="479"/>
      <c r="JCG10" s="479"/>
      <c r="JCH10" s="479"/>
      <c r="JCI10" s="479"/>
      <c r="JCJ10" s="593"/>
      <c r="JCK10" s="594"/>
      <c r="JCL10" s="594"/>
      <c r="JCM10" s="594"/>
      <c r="JCN10" s="594"/>
      <c r="JCO10" s="594"/>
      <c r="JCP10" s="594"/>
      <c r="JCQ10" s="594"/>
      <c r="JCR10" s="594"/>
      <c r="JCS10" s="594"/>
      <c r="JCT10" s="479"/>
      <c r="JCU10" s="479"/>
      <c r="JCV10" s="479"/>
      <c r="JCW10" s="479"/>
      <c r="JCX10" s="479"/>
      <c r="JCY10" s="479"/>
      <c r="JCZ10" s="479"/>
      <c r="JDA10" s="479"/>
      <c r="JDB10" s="479"/>
      <c r="JDC10" s="479"/>
      <c r="JDD10" s="479"/>
      <c r="JDE10" s="593"/>
      <c r="JDF10" s="594"/>
      <c r="JDG10" s="594"/>
      <c r="JDH10" s="594"/>
      <c r="JDI10" s="594"/>
      <c r="JDJ10" s="594"/>
      <c r="JDK10" s="594"/>
      <c r="JDL10" s="594"/>
      <c r="JDM10" s="594"/>
      <c r="JDN10" s="594"/>
      <c r="JDO10" s="479"/>
      <c r="JDP10" s="479"/>
      <c r="JDQ10" s="479"/>
      <c r="JDR10" s="479"/>
      <c r="JDS10" s="479"/>
      <c r="JDT10" s="479"/>
      <c r="JDU10" s="479"/>
      <c r="JDV10" s="479"/>
      <c r="JDW10" s="479"/>
      <c r="JDX10" s="479"/>
      <c r="JDY10" s="479"/>
      <c r="JDZ10" s="593"/>
      <c r="JEA10" s="594"/>
      <c r="JEB10" s="594"/>
      <c r="JEC10" s="594"/>
      <c r="JED10" s="594"/>
      <c r="JEE10" s="594"/>
      <c r="JEF10" s="594"/>
      <c r="JEG10" s="594"/>
      <c r="JEH10" s="594"/>
      <c r="JEI10" s="594"/>
      <c r="JEJ10" s="479"/>
      <c r="JEK10" s="479"/>
      <c r="JEL10" s="479"/>
      <c r="JEM10" s="479"/>
      <c r="JEN10" s="479"/>
      <c r="JEO10" s="479"/>
      <c r="JEP10" s="479"/>
      <c r="JEQ10" s="479"/>
      <c r="JER10" s="479"/>
      <c r="JES10" s="479"/>
      <c r="JET10" s="479"/>
      <c r="JEU10" s="593"/>
      <c r="JEV10" s="594"/>
      <c r="JEW10" s="594"/>
      <c r="JEX10" s="594"/>
      <c r="JEY10" s="594"/>
      <c r="JEZ10" s="594"/>
      <c r="JFA10" s="594"/>
      <c r="JFB10" s="594"/>
      <c r="JFC10" s="594"/>
      <c r="JFD10" s="594"/>
      <c r="JFE10" s="479"/>
      <c r="JFF10" s="479"/>
      <c r="JFG10" s="479"/>
      <c r="JFH10" s="479"/>
      <c r="JFI10" s="479"/>
      <c r="JFJ10" s="479"/>
      <c r="JFK10" s="479"/>
      <c r="JFL10" s="479"/>
      <c r="JFM10" s="479"/>
      <c r="JFN10" s="479"/>
      <c r="JFO10" s="479"/>
      <c r="JFP10" s="593"/>
      <c r="JFQ10" s="594"/>
      <c r="JFR10" s="594"/>
      <c r="JFS10" s="594"/>
      <c r="JFT10" s="594"/>
      <c r="JFU10" s="594"/>
      <c r="JFV10" s="594"/>
      <c r="JFW10" s="594"/>
      <c r="JFX10" s="594"/>
      <c r="JFY10" s="594"/>
      <c r="JFZ10" s="479"/>
      <c r="JGA10" s="479"/>
      <c r="JGB10" s="479"/>
      <c r="JGC10" s="479"/>
      <c r="JGD10" s="479"/>
      <c r="JGE10" s="479"/>
      <c r="JGF10" s="479"/>
      <c r="JGG10" s="479"/>
      <c r="JGH10" s="479"/>
      <c r="JGI10" s="479"/>
      <c r="JGJ10" s="479"/>
      <c r="JGK10" s="593"/>
      <c r="JGL10" s="594"/>
      <c r="JGM10" s="594"/>
      <c r="JGN10" s="594"/>
      <c r="JGO10" s="594"/>
      <c r="JGP10" s="594"/>
      <c r="JGQ10" s="594"/>
      <c r="JGR10" s="594"/>
      <c r="JGS10" s="594"/>
      <c r="JGT10" s="594"/>
      <c r="JGU10" s="479"/>
      <c r="JGV10" s="479"/>
      <c r="JGW10" s="479"/>
      <c r="JGX10" s="479"/>
      <c r="JGY10" s="479"/>
      <c r="JGZ10" s="479"/>
      <c r="JHA10" s="479"/>
      <c r="JHB10" s="479"/>
      <c r="JHC10" s="479"/>
      <c r="JHD10" s="479"/>
      <c r="JHE10" s="479"/>
      <c r="JHF10" s="593"/>
      <c r="JHG10" s="594"/>
      <c r="JHH10" s="594"/>
      <c r="JHI10" s="594"/>
      <c r="JHJ10" s="594"/>
      <c r="JHK10" s="594"/>
      <c r="JHL10" s="594"/>
      <c r="JHM10" s="594"/>
      <c r="JHN10" s="594"/>
      <c r="JHO10" s="594"/>
      <c r="JHP10" s="479"/>
      <c r="JHQ10" s="479"/>
      <c r="JHR10" s="479"/>
      <c r="JHS10" s="479"/>
      <c r="JHT10" s="479"/>
      <c r="JHU10" s="479"/>
      <c r="JHV10" s="479"/>
      <c r="JHW10" s="479"/>
      <c r="JHX10" s="479"/>
      <c r="JHY10" s="479"/>
      <c r="JHZ10" s="479"/>
      <c r="JIA10" s="593"/>
      <c r="JIB10" s="594"/>
      <c r="JIC10" s="594"/>
      <c r="JID10" s="594"/>
      <c r="JIE10" s="594"/>
      <c r="JIF10" s="594"/>
      <c r="JIG10" s="594"/>
      <c r="JIH10" s="594"/>
      <c r="JII10" s="594"/>
      <c r="JIJ10" s="594"/>
      <c r="JIK10" s="479"/>
      <c r="JIL10" s="479"/>
      <c r="JIM10" s="479"/>
      <c r="JIN10" s="479"/>
      <c r="JIO10" s="479"/>
      <c r="JIP10" s="479"/>
      <c r="JIQ10" s="479"/>
      <c r="JIR10" s="479"/>
      <c r="JIS10" s="479"/>
      <c r="JIT10" s="479"/>
      <c r="JIU10" s="479"/>
      <c r="JIV10" s="593"/>
      <c r="JIW10" s="594"/>
      <c r="JIX10" s="594"/>
      <c r="JIY10" s="594"/>
      <c r="JIZ10" s="594"/>
      <c r="JJA10" s="594"/>
      <c r="JJB10" s="594"/>
      <c r="JJC10" s="594"/>
      <c r="JJD10" s="594"/>
      <c r="JJE10" s="594"/>
      <c r="JJF10" s="479"/>
      <c r="JJG10" s="479"/>
      <c r="JJH10" s="479"/>
      <c r="JJI10" s="479"/>
      <c r="JJJ10" s="479"/>
      <c r="JJK10" s="479"/>
      <c r="JJL10" s="479"/>
      <c r="JJM10" s="479"/>
      <c r="JJN10" s="479"/>
      <c r="JJO10" s="479"/>
      <c r="JJP10" s="479"/>
      <c r="JJQ10" s="593"/>
      <c r="JJR10" s="594"/>
      <c r="JJS10" s="594"/>
      <c r="JJT10" s="594"/>
      <c r="JJU10" s="594"/>
      <c r="JJV10" s="594"/>
      <c r="JJW10" s="594"/>
      <c r="JJX10" s="594"/>
      <c r="JJY10" s="594"/>
      <c r="JJZ10" s="594"/>
      <c r="JKA10" s="479"/>
      <c r="JKB10" s="479"/>
      <c r="JKC10" s="479"/>
      <c r="JKD10" s="479"/>
      <c r="JKE10" s="479"/>
      <c r="JKF10" s="479"/>
      <c r="JKG10" s="479"/>
      <c r="JKH10" s="479"/>
      <c r="JKI10" s="479"/>
      <c r="JKJ10" s="479"/>
      <c r="JKK10" s="479"/>
      <c r="JKL10" s="593"/>
      <c r="JKM10" s="594"/>
      <c r="JKN10" s="594"/>
      <c r="JKO10" s="594"/>
      <c r="JKP10" s="594"/>
      <c r="JKQ10" s="594"/>
      <c r="JKR10" s="594"/>
      <c r="JKS10" s="594"/>
      <c r="JKT10" s="594"/>
      <c r="JKU10" s="594"/>
      <c r="JKV10" s="479"/>
      <c r="JKW10" s="479"/>
      <c r="JKX10" s="479"/>
      <c r="JKY10" s="479"/>
      <c r="JKZ10" s="479"/>
      <c r="JLA10" s="479"/>
      <c r="JLB10" s="479"/>
      <c r="JLC10" s="479"/>
      <c r="JLD10" s="479"/>
      <c r="JLE10" s="479"/>
      <c r="JLF10" s="479"/>
      <c r="JLG10" s="593"/>
      <c r="JLH10" s="594"/>
      <c r="JLI10" s="594"/>
      <c r="JLJ10" s="594"/>
      <c r="JLK10" s="594"/>
      <c r="JLL10" s="594"/>
      <c r="JLM10" s="594"/>
      <c r="JLN10" s="594"/>
      <c r="JLO10" s="594"/>
      <c r="JLP10" s="594"/>
      <c r="JLQ10" s="479"/>
      <c r="JLR10" s="479"/>
      <c r="JLS10" s="479"/>
      <c r="JLT10" s="479"/>
      <c r="JLU10" s="479"/>
      <c r="JLV10" s="479"/>
      <c r="JLW10" s="479"/>
      <c r="JLX10" s="479"/>
      <c r="JLY10" s="479"/>
      <c r="JLZ10" s="479"/>
      <c r="JMA10" s="479"/>
      <c r="JMB10" s="593"/>
      <c r="JMC10" s="594"/>
      <c r="JMD10" s="594"/>
      <c r="JME10" s="594"/>
      <c r="JMF10" s="594"/>
      <c r="JMG10" s="594"/>
      <c r="JMH10" s="594"/>
      <c r="JMI10" s="594"/>
      <c r="JMJ10" s="594"/>
      <c r="JMK10" s="594"/>
      <c r="JML10" s="479"/>
      <c r="JMM10" s="479"/>
      <c r="JMN10" s="479"/>
      <c r="JMO10" s="479"/>
      <c r="JMP10" s="479"/>
      <c r="JMQ10" s="479"/>
      <c r="JMR10" s="479"/>
      <c r="JMS10" s="479"/>
      <c r="JMT10" s="479"/>
      <c r="JMU10" s="479"/>
      <c r="JMV10" s="479"/>
      <c r="JMW10" s="593"/>
      <c r="JMX10" s="594"/>
      <c r="JMY10" s="594"/>
      <c r="JMZ10" s="594"/>
      <c r="JNA10" s="594"/>
      <c r="JNB10" s="594"/>
      <c r="JNC10" s="594"/>
      <c r="JND10" s="594"/>
      <c r="JNE10" s="594"/>
      <c r="JNF10" s="594"/>
      <c r="JNG10" s="479"/>
      <c r="JNH10" s="479"/>
      <c r="JNI10" s="479"/>
      <c r="JNJ10" s="479"/>
      <c r="JNK10" s="479"/>
      <c r="JNL10" s="479"/>
      <c r="JNM10" s="479"/>
      <c r="JNN10" s="479"/>
      <c r="JNO10" s="479"/>
      <c r="JNP10" s="479"/>
      <c r="JNQ10" s="479"/>
      <c r="JNR10" s="593"/>
      <c r="JNS10" s="594"/>
      <c r="JNT10" s="594"/>
      <c r="JNU10" s="594"/>
      <c r="JNV10" s="594"/>
      <c r="JNW10" s="594"/>
      <c r="JNX10" s="594"/>
      <c r="JNY10" s="594"/>
      <c r="JNZ10" s="594"/>
      <c r="JOA10" s="594"/>
      <c r="JOB10" s="479"/>
      <c r="JOC10" s="479"/>
      <c r="JOD10" s="479"/>
      <c r="JOE10" s="479"/>
      <c r="JOF10" s="479"/>
      <c r="JOG10" s="479"/>
      <c r="JOH10" s="479"/>
      <c r="JOI10" s="479"/>
      <c r="JOJ10" s="479"/>
      <c r="JOK10" s="479"/>
      <c r="JOL10" s="479"/>
      <c r="JOM10" s="593"/>
      <c r="JON10" s="594"/>
      <c r="JOO10" s="594"/>
      <c r="JOP10" s="594"/>
      <c r="JOQ10" s="594"/>
      <c r="JOR10" s="594"/>
      <c r="JOS10" s="594"/>
      <c r="JOT10" s="594"/>
      <c r="JOU10" s="594"/>
      <c r="JOV10" s="594"/>
      <c r="JOW10" s="479"/>
      <c r="JOX10" s="479"/>
      <c r="JOY10" s="479"/>
      <c r="JOZ10" s="479"/>
      <c r="JPA10" s="479"/>
      <c r="JPB10" s="479"/>
      <c r="JPC10" s="479"/>
      <c r="JPD10" s="479"/>
      <c r="JPE10" s="479"/>
      <c r="JPF10" s="479"/>
      <c r="JPG10" s="479"/>
      <c r="JPH10" s="593"/>
      <c r="JPI10" s="594"/>
      <c r="JPJ10" s="594"/>
      <c r="JPK10" s="594"/>
      <c r="JPL10" s="594"/>
      <c r="JPM10" s="594"/>
      <c r="JPN10" s="594"/>
      <c r="JPO10" s="594"/>
      <c r="JPP10" s="594"/>
      <c r="JPQ10" s="594"/>
      <c r="JPR10" s="479"/>
      <c r="JPS10" s="479"/>
      <c r="JPT10" s="479"/>
      <c r="JPU10" s="479"/>
      <c r="JPV10" s="479"/>
      <c r="JPW10" s="479"/>
      <c r="JPX10" s="479"/>
      <c r="JPY10" s="479"/>
      <c r="JPZ10" s="479"/>
      <c r="JQA10" s="479"/>
      <c r="JQB10" s="479"/>
      <c r="JQC10" s="593"/>
      <c r="JQD10" s="594"/>
      <c r="JQE10" s="594"/>
      <c r="JQF10" s="594"/>
      <c r="JQG10" s="594"/>
      <c r="JQH10" s="594"/>
      <c r="JQI10" s="594"/>
      <c r="JQJ10" s="594"/>
      <c r="JQK10" s="594"/>
      <c r="JQL10" s="594"/>
      <c r="JQM10" s="479"/>
      <c r="JQN10" s="479"/>
      <c r="JQO10" s="479"/>
      <c r="JQP10" s="479"/>
      <c r="JQQ10" s="479"/>
      <c r="JQR10" s="479"/>
      <c r="JQS10" s="479"/>
      <c r="JQT10" s="479"/>
      <c r="JQU10" s="479"/>
      <c r="JQV10" s="479"/>
      <c r="JQW10" s="479"/>
      <c r="JQX10" s="593"/>
      <c r="JQY10" s="594"/>
      <c r="JQZ10" s="594"/>
      <c r="JRA10" s="594"/>
      <c r="JRB10" s="594"/>
      <c r="JRC10" s="594"/>
      <c r="JRD10" s="594"/>
      <c r="JRE10" s="594"/>
      <c r="JRF10" s="594"/>
      <c r="JRG10" s="594"/>
      <c r="JRH10" s="479"/>
      <c r="JRI10" s="479"/>
      <c r="JRJ10" s="479"/>
      <c r="JRK10" s="479"/>
      <c r="JRL10" s="479"/>
      <c r="JRM10" s="479"/>
      <c r="JRN10" s="479"/>
      <c r="JRO10" s="479"/>
      <c r="JRP10" s="479"/>
      <c r="JRQ10" s="479"/>
      <c r="JRR10" s="479"/>
      <c r="JRS10" s="593"/>
      <c r="JRT10" s="594"/>
      <c r="JRU10" s="594"/>
      <c r="JRV10" s="594"/>
      <c r="JRW10" s="594"/>
      <c r="JRX10" s="594"/>
      <c r="JRY10" s="594"/>
      <c r="JRZ10" s="594"/>
      <c r="JSA10" s="594"/>
      <c r="JSB10" s="594"/>
      <c r="JSC10" s="479"/>
      <c r="JSD10" s="479"/>
      <c r="JSE10" s="479"/>
      <c r="JSF10" s="479"/>
      <c r="JSG10" s="479"/>
      <c r="JSH10" s="479"/>
      <c r="JSI10" s="479"/>
      <c r="JSJ10" s="479"/>
      <c r="JSK10" s="479"/>
      <c r="JSL10" s="479"/>
      <c r="JSM10" s="479"/>
      <c r="JSN10" s="593"/>
      <c r="JSO10" s="594"/>
      <c r="JSP10" s="594"/>
      <c r="JSQ10" s="594"/>
      <c r="JSR10" s="594"/>
      <c r="JSS10" s="594"/>
      <c r="JST10" s="594"/>
      <c r="JSU10" s="594"/>
      <c r="JSV10" s="594"/>
      <c r="JSW10" s="594"/>
      <c r="JSX10" s="479"/>
      <c r="JSY10" s="479"/>
      <c r="JSZ10" s="479"/>
      <c r="JTA10" s="479"/>
      <c r="JTB10" s="479"/>
      <c r="JTC10" s="479"/>
      <c r="JTD10" s="479"/>
      <c r="JTE10" s="479"/>
      <c r="JTF10" s="479"/>
      <c r="JTG10" s="479"/>
      <c r="JTH10" s="479"/>
      <c r="JTI10" s="593"/>
      <c r="JTJ10" s="594"/>
      <c r="JTK10" s="594"/>
      <c r="JTL10" s="594"/>
      <c r="JTM10" s="594"/>
      <c r="JTN10" s="594"/>
      <c r="JTO10" s="594"/>
      <c r="JTP10" s="594"/>
      <c r="JTQ10" s="594"/>
      <c r="JTR10" s="594"/>
      <c r="JTS10" s="479"/>
      <c r="JTT10" s="479"/>
      <c r="JTU10" s="479"/>
      <c r="JTV10" s="479"/>
      <c r="JTW10" s="479"/>
      <c r="JTX10" s="479"/>
      <c r="JTY10" s="479"/>
      <c r="JTZ10" s="479"/>
      <c r="JUA10" s="479"/>
      <c r="JUB10" s="479"/>
      <c r="JUC10" s="479"/>
      <c r="JUD10" s="593"/>
      <c r="JUE10" s="594"/>
      <c r="JUF10" s="594"/>
      <c r="JUG10" s="594"/>
      <c r="JUH10" s="594"/>
      <c r="JUI10" s="594"/>
      <c r="JUJ10" s="594"/>
      <c r="JUK10" s="594"/>
      <c r="JUL10" s="594"/>
      <c r="JUM10" s="594"/>
      <c r="JUN10" s="479"/>
      <c r="JUO10" s="479"/>
      <c r="JUP10" s="479"/>
      <c r="JUQ10" s="479"/>
      <c r="JUR10" s="479"/>
      <c r="JUS10" s="479"/>
      <c r="JUT10" s="479"/>
      <c r="JUU10" s="479"/>
      <c r="JUV10" s="479"/>
      <c r="JUW10" s="479"/>
      <c r="JUX10" s="479"/>
      <c r="JUY10" s="593"/>
      <c r="JUZ10" s="594"/>
      <c r="JVA10" s="594"/>
      <c r="JVB10" s="594"/>
      <c r="JVC10" s="594"/>
      <c r="JVD10" s="594"/>
      <c r="JVE10" s="594"/>
      <c r="JVF10" s="594"/>
      <c r="JVG10" s="594"/>
      <c r="JVH10" s="594"/>
      <c r="JVI10" s="479"/>
      <c r="JVJ10" s="479"/>
      <c r="JVK10" s="479"/>
      <c r="JVL10" s="479"/>
      <c r="JVM10" s="479"/>
      <c r="JVN10" s="479"/>
      <c r="JVO10" s="479"/>
      <c r="JVP10" s="479"/>
      <c r="JVQ10" s="479"/>
      <c r="JVR10" s="479"/>
      <c r="JVS10" s="479"/>
      <c r="JVT10" s="593"/>
      <c r="JVU10" s="594"/>
      <c r="JVV10" s="594"/>
      <c r="JVW10" s="594"/>
      <c r="JVX10" s="594"/>
      <c r="JVY10" s="594"/>
      <c r="JVZ10" s="594"/>
      <c r="JWA10" s="594"/>
      <c r="JWB10" s="594"/>
      <c r="JWC10" s="594"/>
      <c r="JWD10" s="479"/>
      <c r="JWE10" s="479"/>
      <c r="JWF10" s="479"/>
      <c r="JWG10" s="479"/>
      <c r="JWH10" s="479"/>
      <c r="JWI10" s="479"/>
      <c r="JWJ10" s="479"/>
      <c r="JWK10" s="479"/>
      <c r="JWL10" s="479"/>
      <c r="JWM10" s="479"/>
      <c r="JWN10" s="479"/>
      <c r="JWO10" s="593"/>
      <c r="JWP10" s="594"/>
      <c r="JWQ10" s="594"/>
      <c r="JWR10" s="594"/>
      <c r="JWS10" s="594"/>
      <c r="JWT10" s="594"/>
      <c r="JWU10" s="594"/>
      <c r="JWV10" s="594"/>
      <c r="JWW10" s="594"/>
      <c r="JWX10" s="594"/>
      <c r="JWY10" s="479"/>
      <c r="JWZ10" s="479"/>
      <c r="JXA10" s="479"/>
      <c r="JXB10" s="479"/>
      <c r="JXC10" s="479"/>
      <c r="JXD10" s="479"/>
      <c r="JXE10" s="479"/>
      <c r="JXF10" s="479"/>
      <c r="JXG10" s="479"/>
      <c r="JXH10" s="479"/>
      <c r="JXI10" s="479"/>
      <c r="JXJ10" s="593"/>
      <c r="JXK10" s="594"/>
      <c r="JXL10" s="594"/>
      <c r="JXM10" s="594"/>
      <c r="JXN10" s="594"/>
      <c r="JXO10" s="594"/>
      <c r="JXP10" s="594"/>
      <c r="JXQ10" s="594"/>
      <c r="JXR10" s="594"/>
      <c r="JXS10" s="594"/>
      <c r="JXT10" s="479"/>
      <c r="JXU10" s="479"/>
      <c r="JXV10" s="479"/>
      <c r="JXW10" s="479"/>
      <c r="JXX10" s="479"/>
      <c r="JXY10" s="479"/>
      <c r="JXZ10" s="479"/>
      <c r="JYA10" s="479"/>
      <c r="JYB10" s="479"/>
      <c r="JYC10" s="479"/>
      <c r="JYD10" s="479"/>
      <c r="JYE10" s="593"/>
      <c r="JYF10" s="594"/>
      <c r="JYG10" s="594"/>
      <c r="JYH10" s="594"/>
      <c r="JYI10" s="594"/>
      <c r="JYJ10" s="594"/>
      <c r="JYK10" s="594"/>
      <c r="JYL10" s="594"/>
      <c r="JYM10" s="594"/>
      <c r="JYN10" s="594"/>
      <c r="JYO10" s="479"/>
      <c r="JYP10" s="479"/>
      <c r="JYQ10" s="479"/>
      <c r="JYR10" s="479"/>
      <c r="JYS10" s="479"/>
      <c r="JYT10" s="479"/>
      <c r="JYU10" s="479"/>
      <c r="JYV10" s="479"/>
      <c r="JYW10" s="479"/>
      <c r="JYX10" s="479"/>
      <c r="JYY10" s="479"/>
      <c r="JYZ10" s="593"/>
      <c r="JZA10" s="594"/>
      <c r="JZB10" s="594"/>
      <c r="JZC10" s="594"/>
      <c r="JZD10" s="594"/>
      <c r="JZE10" s="594"/>
      <c r="JZF10" s="594"/>
      <c r="JZG10" s="594"/>
      <c r="JZH10" s="594"/>
      <c r="JZI10" s="594"/>
      <c r="JZJ10" s="479"/>
      <c r="JZK10" s="479"/>
      <c r="JZL10" s="479"/>
      <c r="JZM10" s="479"/>
      <c r="JZN10" s="479"/>
      <c r="JZO10" s="479"/>
      <c r="JZP10" s="479"/>
      <c r="JZQ10" s="479"/>
      <c r="JZR10" s="479"/>
      <c r="JZS10" s="479"/>
      <c r="JZT10" s="479"/>
      <c r="JZU10" s="593"/>
      <c r="JZV10" s="594"/>
      <c r="JZW10" s="594"/>
      <c r="JZX10" s="594"/>
      <c r="JZY10" s="594"/>
      <c r="JZZ10" s="594"/>
      <c r="KAA10" s="594"/>
      <c r="KAB10" s="594"/>
      <c r="KAC10" s="594"/>
      <c r="KAD10" s="594"/>
      <c r="KAE10" s="479"/>
      <c r="KAF10" s="479"/>
      <c r="KAG10" s="479"/>
      <c r="KAH10" s="479"/>
      <c r="KAI10" s="479"/>
      <c r="KAJ10" s="479"/>
      <c r="KAK10" s="479"/>
      <c r="KAL10" s="479"/>
      <c r="KAM10" s="479"/>
      <c r="KAN10" s="479"/>
      <c r="KAO10" s="479"/>
      <c r="KAP10" s="593"/>
      <c r="KAQ10" s="594"/>
      <c r="KAR10" s="594"/>
      <c r="KAS10" s="594"/>
      <c r="KAT10" s="594"/>
      <c r="KAU10" s="594"/>
      <c r="KAV10" s="594"/>
      <c r="KAW10" s="594"/>
      <c r="KAX10" s="594"/>
      <c r="KAY10" s="594"/>
      <c r="KAZ10" s="479"/>
      <c r="KBA10" s="479"/>
      <c r="KBB10" s="479"/>
      <c r="KBC10" s="479"/>
      <c r="KBD10" s="479"/>
      <c r="KBE10" s="479"/>
      <c r="KBF10" s="479"/>
      <c r="KBG10" s="479"/>
      <c r="KBH10" s="479"/>
      <c r="KBI10" s="479"/>
      <c r="KBJ10" s="479"/>
      <c r="KBK10" s="593"/>
      <c r="KBL10" s="594"/>
      <c r="KBM10" s="594"/>
      <c r="KBN10" s="594"/>
      <c r="KBO10" s="594"/>
      <c r="KBP10" s="594"/>
      <c r="KBQ10" s="594"/>
      <c r="KBR10" s="594"/>
      <c r="KBS10" s="594"/>
      <c r="KBT10" s="594"/>
      <c r="KBU10" s="479"/>
      <c r="KBV10" s="479"/>
      <c r="KBW10" s="479"/>
      <c r="KBX10" s="479"/>
      <c r="KBY10" s="479"/>
      <c r="KBZ10" s="479"/>
      <c r="KCA10" s="479"/>
      <c r="KCB10" s="479"/>
      <c r="KCC10" s="479"/>
      <c r="KCD10" s="479"/>
      <c r="KCE10" s="479"/>
      <c r="KCF10" s="593"/>
      <c r="KCG10" s="594"/>
      <c r="KCH10" s="594"/>
      <c r="KCI10" s="594"/>
      <c r="KCJ10" s="594"/>
      <c r="KCK10" s="594"/>
      <c r="KCL10" s="594"/>
      <c r="KCM10" s="594"/>
      <c r="KCN10" s="594"/>
      <c r="KCO10" s="594"/>
      <c r="KCP10" s="479"/>
      <c r="KCQ10" s="479"/>
      <c r="KCR10" s="479"/>
      <c r="KCS10" s="479"/>
      <c r="KCT10" s="479"/>
      <c r="KCU10" s="479"/>
      <c r="KCV10" s="479"/>
      <c r="KCW10" s="479"/>
      <c r="KCX10" s="479"/>
      <c r="KCY10" s="479"/>
      <c r="KCZ10" s="479"/>
      <c r="KDA10" s="593"/>
      <c r="KDB10" s="594"/>
      <c r="KDC10" s="594"/>
      <c r="KDD10" s="594"/>
      <c r="KDE10" s="594"/>
      <c r="KDF10" s="594"/>
      <c r="KDG10" s="594"/>
      <c r="KDH10" s="594"/>
      <c r="KDI10" s="594"/>
      <c r="KDJ10" s="594"/>
      <c r="KDK10" s="479"/>
      <c r="KDL10" s="479"/>
      <c r="KDM10" s="479"/>
      <c r="KDN10" s="479"/>
      <c r="KDO10" s="479"/>
      <c r="KDP10" s="479"/>
      <c r="KDQ10" s="479"/>
      <c r="KDR10" s="479"/>
      <c r="KDS10" s="479"/>
      <c r="KDT10" s="479"/>
      <c r="KDU10" s="479"/>
      <c r="KDV10" s="593"/>
      <c r="KDW10" s="594"/>
      <c r="KDX10" s="594"/>
      <c r="KDY10" s="594"/>
      <c r="KDZ10" s="594"/>
      <c r="KEA10" s="594"/>
      <c r="KEB10" s="594"/>
      <c r="KEC10" s="594"/>
      <c r="KED10" s="594"/>
      <c r="KEE10" s="594"/>
      <c r="KEF10" s="479"/>
      <c r="KEG10" s="479"/>
      <c r="KEH10" s="479"/>
      <c r="KEI10" s="479"/>
      <c r="KEJ10" s="479"/>
      <c r="KEK10" s="479"/>
      <c r="KEL10" s="479"/>
      <c r="KEM10" s="479"/>
      <c r="KEN10" s="479"/>
      <c r="KEO10" s="479"/>
      <c r="KEP10" s="479"/>
      <c r="KEQ10" s="593"/>
      <c r="KER10" s="594"/>
      <c r="KES10" s="594"/>
      <c r="KET10" s="594"/>
      <c r="KEU10" s="594"/>
      <c r="KEV10" s="594"/>
      <c r="KEW10" s="594"/>
      <c r="KEX10" s="594"/>
      <c r="KEY10" s="594"/>
      <c r="KEZ10" s="594"/>
      <c r="KFA10" s="479"/>
      <c r="KFB10" s="479"/>
      <c r="KFC10" s="479"/>
      <c r="KFD10" s="479"/>
      <c r="KFE10" s="479"/>
      <c r="KFF10" s="479"/>
      <c r="KFG10" s="479"/>
      <c r="KFH10" s="479"/>
      <c r="KFI10" s="479"/>
      <c r="KFJ10" s="479"/>
      <c r="KFK10" s="479"/>
      <c r="KFL10" s="593"/>
      <c r="KFM10" s="594"/>
      <c r="KFN10" s="594"/>
      <c r="KFO10" s="594"/>
      <c r="KFP10" s="594"/>
      <c r="KFQ10" s="594"/>
      <c r="KFR10" s="594"/>
      <c r="KFS10" s="594"/>
      <c r="KFT10" s="594"/>
      <c r="KFU10" s="594"/>
      <c r="KFV10" s="479"/>
      <c r="KFW10" s="479"/>
      <c r="KFX10" s="479"/>
      <c r="KFY10" s="479"/>
      <c r="KFZ10" s="479"/>
      <c r="KGA10" s="479"/>
      <c r="KGB10" s="479"/>
      <c r="KGC10" s="479"/>
      <c r="KGD10" s="479"/>
      <c r="KGE10" s="479"/>
      <c r="KGF10" s="479"/>
      <c r="KGG10" s="593"/>
      <c r="KGH10" s="594"/>
      <c r="KGI10" s="594"/>
      <c r="KGJ10" s="594"/>
      <c r="KGK10" s="594"/>
      <c r="KGL10" s="594"/>
      <c r="KGM10" s="594"/>
      <c r="KGN10" s="594"/>
      <c r="KGO10" s="594"/>
      <c r="KGP10" s="594"/>
      <c r="KGQ10" s="479"/>
      <c r="KGR10" s="479"/>
      <c r="KGS10" s="479"/>
      <c r="KGT10" s="479"/>
      <c r="KGU10" s="479"/>
      <c r="KGV10" s="479"/>
      <c r="KGW10" s="479"/>
      <c r="KGX10" s="479"/>
      <c r="KGY10" s="479"/>
      <c r="KGZ10" s="479"/>
      <c r="KHA10" s="479"/>
      <c r="KHB10" s="593"/>
      <c r="KHC10" s="594"/>
      <c r="KHD10" s="594"/>
      <c r="KHE10" s="594"/>
      <c r="KHF10" s="594"/>
      <c r="KHG10" s="594"/>
      <c r="KHH10" s="594"/>
      <c r="KHI10" s="594"/>
      <c r="KHJ10" s="594"/>
      <c r="KHK10" s="594"/>
      <c r="KHL10" s="479"/>
      <c r="KHM10" s="479"/>
      <c r="KHN10" s="479"/>
      <c r="KHO10" s="479"/>
      <c r="KHP10" s="479"/>
      <c r="KHQ10" s="479"/>
      <c r="KHR10" s="479"/>
      <c r="KHS10" s="479"/>
      <c r="KHT10" s="479"/>
      <c r="KHU10" s="479"/>
      <c r="KHV10" s="479"/>
      <c r="KHW10" s="593"/>
      <c r="KHX10" s="594"/>
      <c r="KHY10" s="594"/>
      <c r="KHZ10" s="594"/>
      <c r="KIA10" s="594"/>
      <c r="KIB10" s="594"/>
      <c r="KIC10" s="594"/>
      <c r="KID10" s="594"/>
      <c r="KIE10" s="594"/>
      <c r="KIF10" s="594"/>
      <c r="KIG10" s="479"/>
      <c r="KIH10" s="479"/>
      <c r="KII10" s="479"/>
      <c r="KIJ10" s="479"/>
      <c r="KIK10" s="479"/>
      <c r="KIL10" s="479"/>
      <c r="KIM10" s="479"/>
      <c r="KIN10" s="479"/>
      <c r="KIO10" s="479"/>
      <c r="KIP10" s="479"/>
      <c r="KIQ10" s="479"/>
      <c r="KIR10" s="593"/>
      <c r="KIS10" s="594"/>
      <c r="KIT10" s="594"/>
      <c r="KIU10" s="594"/>
      <c r="KIV10" s="594"/>
      <c r="KIW10" s="594"/>
      <c r="KIX10" s="594"/>
      <c r="KIY10" s="594"/>
      <c r="KIZ10" s="594"/>
      <c r="KJA10" s="594"/>
      <c r="KJB10" s="479"/>
      <c r="KJC10" s="479"/>
      <c r="KJD10" s="479"/>
      <c r="KJE10" s="479"/>
      <c r="KJF10" s="479"/>
      <c r="KJG10" s="479"/>
      <c r="KJH10" s="479"/>
      <c r="KJI10" s="479"/>
      <c r="KJJ10" s="479"/>
      <c r="KJK10" s="479"/>
      <c r="KJL10" s="479"/>
      <c r="KJM10" s="593"/>
      <c r="KJN10" s="594"/>
      <c r="KJO10" s="594"/>
      <c r="KJP10" s="594"/>
      <c r="KJQ10" s="594"/>
      <c r="KJR10" s="594"/>
      <c r="KJS10" s="594"/>
      <c r="KJT10" s="594"/>
      <c r="KJU10" s="594"/>
      <c r="KJV10" s="594"/>
      <c r="KJW10" s="479"/>
      <c r="KJX10" s="479"/>
      <c r="KJY10" s="479"/>
      <c r="KJZ10" s="479"/>
      <c r="KKA10" s="479"/>
      <c r="KKB10" s="479"/>
      <c r="KKC10" s="479"/>
      <c r="KKD10" s="479"/>
      <c r="KKE10" s="479"/>
      <c r="KKF10" s="479"/>
      <c r="KKG10" s="479"/>
      <c r="KKH10" s="593"/>
      <c r="KKI10" s="594"/>
      <c r="KKJ10" s="594"/>
      <c r="KKK10" s="594"/>
      <c r="KKL10" s="594"/>
      <c r="KKM10" s="594"/>
      <c r="KKN10" s="594"/>
      <c r="KKO10" s="594"/>
      <c r="KKP10" s="594"/>
      <c r="KKQ10" s="594"/>
      <c r="KKR10" s="479"/>
      <c r="KKS10" s="479"/>
      <c r="KKT10" s="479"/>
      <c r="KKU10" s="479"/>
      <c r="KKV10" s="479"/>
      <c r="KKW10" s="479"/>
      <c r="KKX10" s="479"/>
      <c r="KKY10" s="479"/>
      <c r="KKZ10" s="479"/>
      <c r="KLA10" s="479"/>
      <c r="KLB10" s="479"/>
      <c r="KLC10" s="593"/>
      <c r="KLD10" s="594"/>
      <c r="KLE10" s="594"/>
      <c r="KLF10" s="594"/>
      <c r="KLG10" s="594"/>
      <c r="KLH10" s="594"/>
      <c r="KLI10" s="594"/>
      <c r="KLJ10" s="594"/>
      <c r="KLK10" s="594"/>
      <c r="KLL10" s="594"/>
      <c r="KLM10" s="479"/>
      <c r="KLN10" s="479"/>
      <c r="KLO10" s="479"/>
      <c r="KLP10" s="479"/>
      <c r="KLQ10" s="479"/>
      <c r="KLR10" s="479"/>
      <c r="KLS10" s="479"/>
      <c r="KLT10" s="479"/>
      <c r="KLU10" s="479"/>
      <c r="KLV10" s="479"/>
      <c r="KLW10" s="479"/>
      <c r="KLX10" s="593"/>
      <c r="KLY10" s="594"/>
      <c r="KLZ10" s="594"/>
      <c r="KMA10" s="594"/>
      <c r="KMB10" s="594"/>
      <c r="KMC10" s="594"/>
      <c r="KMD10" s="594"/>
      <c r="KME10" s="594"/>
      <c r="KMF10" s="594"/>
      <c r="KMG10" s="594"/>
      <c r="KMH10" s="479"/>
      <c r="KMI10" s="479"/>
      <c r="KMJ10" s="479"/>
      <c r="KMK10" s="479"/>
      <c r="KML10" s="479"/>
      <c r="KMM10" s="479"/>
      <c r="KMN10" s="479"/>
      <c r="KMO10" s="479"/>
      <c r="KMP10" s="479"/>
      <c r="KMQ10" s="479"/>
      <c r="KMR10" s="479"/>
      <c r="KMS10" s="593"/>
      <c r="KMT10" s="594"/>
      <c r="KMU10" s="594"/>
      <c r="KMV10" s="594"/>
      <c r="KMW10" s="594"/>
      <c r="KMX10" s="594"/>
      <c r="KMY10" s="594"/>
      <c r="KMZ10" s="594"/>
      <c r="KNA10" s="594"/>
      <c r="KNB10" s="594"/>
      <c r="KNC10" s="479"/>
      <c r="KND10" s="479"/>
      <c r="KNE10" s="479"/>
      <c r="KNF10" s="479"/>
      <c r="KNG10" s="479"/>
      <c r="KNH10" s="479"/>
      <c r="KNI10" s="479"/>
      <c r="KNJ10" s="479"/>
      <c r="KNK10" s="479"/>
      <c r="KNL10" s="479"/>
      <c r="KNM10" s="479"/>
      <c r="KNN10" s="593"/>
      <c r="KNO10" s="594"/>
      <c r="KNP10" s="594"/>
      <c r="KNQ10" s="594"/>
      <c r="KNR10" s="594"/>
      <c r="KNS10" s="594"/>
      <c r="KNT10" s="594"/>
      <c r="KNU10" s="594"/>
      <c r="KNV10" s="594"/>
      <c r="KNW10" s="594"/>
      <c r="KNX10" s="479"/>
      <c r="KNY10" s="479"/>
      <c r="KNZ10" s="479"/>
      <c r="KOA10" s="479"/>
      <c r="KOB10" s="479"/>
      <c r="KOC10" s="479"/>
      <c r="KOD10" s="479"/>
      <c r="KOE10" s="479"/>
      <c r="KOF10" s="479"/>
      <c r="KOG10" s="479"/>
      <c r="KOH10" s="479"/>
      <c r="KOI10" s="593"/>
      <c r="KOJ10" s="594"/>
      <c r="KOK10" s="594"/>
      <c r="KOL10" s="594"/>
      <c r="KOM10" s="594"/>
      <c r="KON10" s="594"/>
      <c r="KOO10" s="594"/>
      <c r="KOP10" s="594"/>
      <c r="KOQ10" s="594"/>
      <c r="KOR10" s="594"/>
      <c r="KOS10" s="479"/>
      <c r="KOT10" s="479"/>
      <c r="KOU10" s="479"/>
      <c r="KOV10" s="479"/>
      <c r="KOW10" s="479"/>
      <c r="KOX10" s="479"/>
      <c r="KOY10" s="479"/>
      <c r="KOZ10" s="479"/>
      <c r="KPA10" s="479"/>
      <c r="KPB10" s="479"/>
      <c r="KPC10" s="479"/>
      <c r="KPD10" s="593"/>
      <c r="KPE10" s="594"/>
      <c r="KPF10" s="594"/>
      <c r="KPG10" s="594"/>
      <c r="KPH10" s="594"/>
      <c r="KPI10" s="594"/>
      <c r="KPJ10" s="594"/>
      <c r="KPK10" s="594"/>
      <c r="KPL10" s="594"/>
      <c r="KPM10" s="594"/>
      <c r="KPN10" s="479"/>
      <c r="KPO10" s="479"/>
      <c r="KPP10" s="479"/>
      <c r="KPQ10" s="479"/>
      <c r="KPR10" s="479"/>
      <c r="KPS10" s="479"/>
      <c r="KPT10" s="479"/>
      <c r="KPU10" s="479"/>
      <c r="KPV10" s="479"/>
      <c r="KPW10" s="479"/>
      <c r="KPX10" s="479"/>
      <c r="KPY10" s="593"/>
      <c r="KPZ10" s="594"/>
      <c r="KQA10" s="594"/>
      <c r="KQB10" s="594"/>
      <c r="KQC10" s="594"/>
      <c r="KQD10" s="594"/>
      <c r="KQE10" s="594"/>
      <c r="KQF10" s="594"/>
      <c r="KQG10" s="594"/>
      <c r="KQH10" s="594"/>
      <c r="KQI10" s="479"/>
      <c r="KQJ10" s="479"/>
      <c r="KQK10" s="479"/>
      <c r="KQL10" s="479"/>
      <c r="KQM10" s="479"/>
      <c r="KQN10" s="479"/>
      <c r="KQO10" s="479"/>
      <c r="KQP10" s="479"/>
      <c r="KQQ10" s="479"/>
      <c r="KQR10" s="479"/>
      <c r="KQS10" s="479"/>
      <c r="KQT10" s="593"/>
      <c r="KQU10" s="594"/>
      <c r="KQV10" s="594"/>
      <c r="KQW10" s="594"/>
      <c r="KQX10" s="594"/>
      <c r="KQY10" s="594"/>
      <c r="KQZ10" s="594"/>
      <c r="KRA10" s="594"/>
      <c r="KRB10" s="594"/>
      <c r="KRC10" s="594"/>
      <c r="KRD10" s="479"/>
      <c r="KRE10" s="479"/>
      <c r="KRF10" s="479"/>
      <c r="KRG10" s="479"/>
      <c r="KRH10" s="479"/>
      <c r="KRI10" s="479"/>
      <c r="KRJ10" s="479"/>
      <c r="KRK10" s="479"/>
      <c r="KRL10" s="479"/>
      <c r="KRM10" s="479"/>
      <c r="KRN10" s="479"/>
      <c r="KRO10" s="593"/>
      <c r="KRP10" s="594"/>
      <c r="KRQ10" s="594"/>
      <c r="KRR10" s="594"/>
      <c r="KRS10" s="594"/>
      <c r="KRT10" s="594"/>
      <c r="KRU10" s="594"/>
      <c r="KRV10" s="594"/>
      <c r="KRW10" s="594"/>
      <c r="KRX10" s="594"/>
      <c r="KRY10" s="479"/>
      <c r="KRZ10" s="479"/>
      <c r="KSA10" s="479"/>
      <c r="KSB10" s="479"/>
      <c r="KSC10" s="479"/>
      <c r="KSD10" s="479"/>
      <c r="KSE10" s="479"/>
      <c r="KSF10" s="479"/>
      <c r="KSG10" s="479"/>
      <c r="KSH10" s="479"/>
      <c r="KSI10" s="479"/>
      <c r="KSJ10" s="593"/>
      <c r="KSK10" s="594"/>
      <c r="KSL10" s="594"/>
      <c r="KSM10" s="594"/>
      <c r="KSN10" s="594"/>
      <c r="KSO10" s="594"/>
      <c r="KSP10" s="594"/>
      <c r="KSQ10" s="594"/>
      <c r="KSR10" s="594"/>
      <c r="KSS10" s="594"/>
      <c r="KST10" s="479"/>
      <c r="KSU10" s="479"/>
      <c r="KSV10" s="479"/>
      <c r="KSW10" s="479"/>
      <c r="KSX10" s="479"/>
      <c r="KSY10" s="479"/>
      <c r="KSZ10" s="479"/>
      <c r="KTA10" s="479"/>
      <c r="KTB10" s="479"/>
      <c r="KTC10" s="479"/>
      <c r="KTD10" s="479"/>
      <c r="KTE10" s="593"/>
      <c r="KTF10" s="594"/>
      <c r="KTG10" s="594"/>
      <c r="KTH10" s="594"/>
      <c r="KTI10" s="594"/>
      <c r="KTJ10" s="594"/>
      <c r="KTK10" s="594"/>
      <c r="KTL10" s="594"/>
      <c r="KTM10" s="594"/>
      <c r="KTN10" s="594"/>
      <c r="KTO10" s="479"/>
      <c r="KTP10" s="479"/>
      <c r="KTQ10" s="479"/>
      <c r="KTR10" s="479"/>
      <c r="KTS10" s="479"/>
      <c r="KTT10" s="479"/>
      <c r="KTU10" s="479"/>
      <c r="KTV10" s="479"/>
      <c r="KTW10" s="479"/>
      <c r="KTX10" s="479"/>
      <c r="KTY10" s="479"/>
      <c r="KTZ10" s="593"/>
      <c r="KUA10" s="594"/>
      <c r="KUB10" s="594"/>
      <c r="KUC10" s="594"/>
      <c r="KUD10" s="594"/>
      <c r="KUE10" s="594"/>
      <c r="KUF10" s="594"/>
      <c r="KUG10" s="594"/>
      <c r="KUH10" s="594"/>
      <c r="KUI10" s="594"/>
      <c r="KUJ10" s="479"/>
      <c r="KUK10" s="479"/>
      <c r="KUL10" s="479"/>
      <c r="KUM10" s="479"/>
      <c r="KUN10" s="479"/>
      <c r="KUO10" s="479"/>
      <c r="KUP10" s="479"/>
      <c r="KUQ10" s="479"/>
      <c r="KUR10" s="479"/>
      <c r="KUS10" s="479"/>
      <c r="KUT10" s="479"/>
      <c r="KUU10" s="593"/>
      <c r="KUV10" s="594"/>
      <c r="KUW10" s="594"/>
      <c r="KUX10" s="594"/>
      <c r="KUY10" s="594"/>
      <c r="KUZ10" s="594"/>
      <c r="KVA10" s="594"/>
      <c r="KVB10" s="594"/>
      <c r="KVC10" s="594"/>
      <c r="KVD10" s="594"/>
      <c r="KVE10" s="479"/>
      <c r="KVF10" s="479"/>
      <c r="KVG10" s="479"/>
      <c r="KVH10" s="479"/>
      <c r="KVI10" s="479"/>
      <c r="KVJ10" s="479"/>
      <c r="KVK10" s="479"/>
      <c r="KVL10" s="479"/>
      <c r="KVM10" s="479"/>
      <c r="KVN10" s="479"/>
      <c r="KVO10" s="479"/>
      <c r="KVP10" s="593"/>
      <c r="KVQ10" s="594"/>
      <c r="KVR10" s="594"/>
      <c r="KVS10" s="594"/>
      <c r="KVT10" s="594"/>
      <c r="KVU10" s="594"/>
      <c r="KVV10" s="594"/>
      <c r="KVW10" s="594"/>
      <c r="KVX10" s="594"/>
      <c r="KVY10" s="594"/>
      <c r="KVZ10" s="479"/>
      <c r="KWA10" s="479"/>
      <c r="KWB10" s="479"/>
      <c r="KWC10" s="479"/>
      <c r="KWD10" s="479"/>
      <c r="KWE10" s="479"/>
      <c r="KWF10" s="479"/>
      <c r="KWG10" s="479"/>
      <c r="KWH10" s="479"/>
      <c r="KWI10" s="479"/>
      <c r="KWJ10" s="479"/>
      <c r="KWK10" s="593"/>
      <c r="KWL10" s="594"/>
      <c r="KWM10" s="594"/>
      <c r="KWN10" s="594"/>
      <c r="KWO10" s="594"/>
      <c r="KWP10" s="594"/>
      <c r="KWQ10" s="594"/>
      <c r="KWR10" s="594"/>
      <c r="KWS10" s="594"/>
      <c r="KWT10" s="594"/>
      <c r="KWU10" s="479"/>
      <c r="KWV10" s="479"/>
      <c r="KWW10" s="479"/>
      <c r="KWX10" s="479"/>
      <c r="KWY10" s="479"/>
      <c r="KWZ10" s="479"/>
      <c r="KXA10" s="479"/>
      <c r="KXB10" s="479"/>
      <c r="KXC10" s="479"/>
      <c r="KXD10" s="479"/>
      <c r="KXE10" s="479"/>
      <c r="KXF10" s="593"/>
      <c r="KXG10" s="594"/>
      <c r="KXH10" s="594"/>
      <c r="KXI10" s="594"/>
      <c r="KXJ10" s="594"/>
      <c r="KXK10" s="594"/>
      <c r="KXL10" s="594"/>
      <c r="KXM10" s="594"/>
      <c r="KXN10" s="594"/>
      <c r="KXO10" s="594"/>
      <c r="KXP10" s="479"/>
      <c r="KXQ10" s="479"/>
      <c r="KXR10" s="479"/>
      <c r="KXS10" s="479"/>
      <c r="KXT10" s="479"/>
      <c r="KXU10" s="479"/>
      <c r="KXV10" s="479"/>
      <c r="KXW10" s="479"/>
      <c r="KXX10" s="479"/>
      <c r="KXY10" s="479"/>
      <c r="KXZ10" s="479"/>
      <c r="KYA10" s="593"/>
      <c r="KYB10" s="594"/>
      <c r="KYC10" s="594"/>
      <c r="KYD10" s="594"/>
      <c r="KYE10" s="594"/>
      <c r="KYF10" s="594"/>
      <c r="KYG10" s="594"/>
      <c r="KYH10" s="594"/>
      <c r="KYI10" s="594"/>
      <c r="KYJ10" s="594"/>
      <c r="KYK10" s="479"/>
      <c r="KYL10" s="479"/>
      <c r="KYM10" s="479"/>
      <c r="KYN10" s="479"/>
      <c r="KYO10" s="479"/>
      <c r="KYP10" s="479"/>
      <c r="KYQ10" s="479"/>
      <c r="KYR10" s="479"/>
      <c r="KYS10" s="479"/>
      <c r="KYT10" s="479"/>
      <c r="KYU10" s="479"/>
      <c r="KYV10" s="593"/>
      <c r="KYW10" s="594"/>
      <c r="KYX10" s="594"/>
      <c r="KYY10" s="594"/>
      <c r="KYZ10" s="594"/>
      <c r="KZA10" s="594"/>
      <c r="KZB10" s="594"/>
      <c r="KZC10" s="594"/>
      <c r="KZD10" s="594"/>
      <c r="KZE10" s="594"/>
      <c r="KZF10" s="479"/>
      <c r="KZG10" s="479"/>
      <c r="KZH10" s="479"/>
      <c r="KZI10" s="479"/>
      <c r="KZJ10" s="479"/>
      <c r="KZK10" s="479"/>
      <c r="KZL10" s="479"/>
      <c r="KZM10" s="479"/>
      <c r="KZN10" s="479"/>
      <c r="KZO10" s="479"/>
      <c r="KZP10" s="479"/>
      <c r="KZQ10" s="593"/>
      <c r="KZR10" s="594"/>
      <c r="KZS10" s="594"/>
      <c r="KZT10" s="594"/>
      <c r="KZU10" s="594"/>
      <c r="KZV10" s="594"/>
      <c r="KZW10" s="594"/>
      <c r="KZX10" s="594"/>
      <c r="KZY10" s="594"/>
      <c r="KZZ10" s="594"/>
      <c r="LAA10" s="479"/>
      <c r="LAB10" s="479"/>
      <c r="LAC10" s="479"/>
      <c r="LAD10" s="479"/>
      <c r="LAE10" s="479"/>
      <c r="LAF10" s="479"/>
      <c r="LAG10" s="479"/>
      <c r="LAH10" s="479"/>
      <c r="LAI10" s="479"/>
      <c r="LAJ10" s="479"/>
      <c r="LAK10" s="479"/>
      <c r="LAL10" s="593"/>
      <c r="LAM10" s="594"/>
      <c r="LAN10" s="594"/>
      <c r="LAO10" s="594"/>
      <c r="LAP10" s="594"/>
      <c r="LAQ10" s="594"/>
      <c r="LAR10" s="594"/>
      <c r="LAS10" s="594"/>
      <c r="LAT10" s="594"/>
      <c r="LAU10" s="594"/>
      <c r="LAV10" s="479"/>
      <c r="LAW10" s="479"/>
      <c r="LAX10" s="479"/>
      <c r="LAY10" s="479"/>
      <c r="LAZ10" s="479"/>
      <c r="LBA10" s="479"/>
      <c r="LBB10" s="479"/>
      <c r="LBC10" s="479"/>
      <c r="LBD10" s="479"/>
      <c r="LBE10" s="479"/>
      <c r="LBF10" s="479"/>
      <c r="LBG10" s="593"/>
      <c r="LBH10" s="594"/>
      <c r="LBI10" s="594"/>
      <c r="LBJ10" s="594"/>
      <c r="LBK10" s="594"/>
      <c r="LBL10" s="594"/>
      <c r="LBM10" s="594"/>
      <c r="LBN10" s="594"/>
      <c r="LBO10" s="594"/>
      <c r="LBP10" s="594"/>
      <c r="LBQ10" s="479"/>
      <c r="LBR10" s="479"/>
      <c r="LBS10" s="479"/>
      <c r="LBT10" s="479"/>
      <c r="LBU10" s="479"/>
      <c r="LBV10" s="479"/>
      <c r="LBW10" s="479"/>
      <c r="LBX10" s="479"/>
      <c r="LBY10" s="479"/>
      <c r="LBZ10" s="479"/>
      <c r="LCA10" s="479"/>
      <c r="LCB10" s="593"/>
      <c r="LCC10" s="594"/>
      <c r="LCD10" s="594"/>
      <c r="LCE10" s="594"/>
      <c r="LCF10" s="594"/>
      <c r="LCG10" s="594"/>
      <c r="LCH10" s="594"/>
      <c r="LCI10" s="594"/>
      <c r="LCJ10" s="594"/>
      <c r="LCK10" s="594"/>
      <c r="LCL10" s="479"/>
      <c r="LCM10" s="479"/>
      <c r="LCN10" s="479"/>
      <c r="LCO10" s="479"/>
      <c r="LCP10" s="479"/>
      <c r="LCQ10" s="479"/>
      <c r="LCR10" s="479"/>
      <c r="LCS10" s="479"/>
      <c r="LCT10" s="479"/>
      <c r="LCU10" s="479"/>
      <c r="LCV10" s="479"/>
      <c r="LCW10" s="593"/>
      <c r="LCX10" s="594"/>
      <c r="LCY10" s="594"/>
      <c r="LCZ10" s="594"/>
      <c r="LDA10" s="594"/>
      <c r="LDB10" s="594"/>
      <c r="LDC10" s="594"/>
      <c r="LDD10" s="594"/>
      <c r="LDE10" s="594"/>
      <c r="LDF10" s="594"/>
      <c r="LDG10" s="479"/>
      <c r="LDH10" s="479"/>
      <c r="LDI10" s="479"/>
      <c r="LDJ10" s="479"/>
      <c r="LDK10" s="479"/>
      <c r="LDL10" s="479"/>
      <c r="LDM10" s="479"/>
      <c r="LDN10" s="479"/>
      <c r="LDO10" s="479"/>
      <c r="LDP10" s="479"/>
      <c r="LDQ10" s="479"/>
      <c r="LDR10" s="593"/>
      <c r="LDS10" s="594"/>
      <c r="LDT10" s="594"/>
      <c r="LDU10" s="594"/>
      <c r="LDV10" s="594"/>
      <c r="LDW10" s="594"/>
      <c r="LDX10" s="594"/>
      <c r="LDY10" s="594"/>
      <c r="LDZ10" s="594"/>
      <c r="LEA10" s="594"/>
      <c r="LEB10" s="479"/>
      <c r="LEC10" s="479"/>
      <c r="LED10" s="479"/>
      <c r="LEE10" s="479"/>
      <c r="LEF10" s="479"/>
      <c r="LEG10" s="479"/>
      <c r="LEH10" s="479"/>
      <c r="LEI10" s="479"/>
      <c r="LEJ10" s="479"/>
      <c r="LEK10" s="479"/>
      <c r="LEL10" s="479"/>
      <c r="LEM10" s="593"/>
      <c r="LEN10" s="594"/>
      <c r="LEO10" s="594"/>
      <c r="LEP10" s="594"/>
      <c r="LEQ10" s="594"/>
      <c r="LER10" s="594"/>
      <c r="LES10" s="594"/>
      <c r="LET10" s="594"/>
      <c r="LEU10" s="594"/>
      <c r="LEV10" s="594"/>
      <c r="LEW10" s="479"/>
      <c r="LEX10" s="479"/>
      <c r="LEY10" s="479"/>
      <c r="LEZ10" s="479"/>
      <c r="LFA10" s="479"/>
      <c r="LFB10" s="479"/>
      <c r="LFC10" s="479"/>
      <c r="LFD10" s="479"/>
      <c r="LFE10" s="479"/>
      <c r="LFF10" s="479"/>
      <c r="LFG10" s="479"/>
      <c r="LFH10" s="593"/>
      <c r="LFI10" s="594"/>
      <c r="LFJ10" s="594"/>
      <c r="LFK10" s="594"/>
      <c r="LFL10" s="594"/>
      <c r="LFM10" s="594"/>
      <c r="LFN10" s="594"/>
      <c r="LFO10" s="594"/>
      <c r="LFP10" s="594"/>
      <c r="LFQ10" s="594"/>
      <c r="LFR10" s="479"/>
      <c r="LFS10" s="479"/>
      <c r="LFT10" s="479"/>
      <c r="LFU10" s="479"/>
      <c r="LFV10" s="479"/>
      <c r="LFW10" s="479"/>
      <c r="LFX10" s="479"/>
      <c r="LFY10" s="479"/>
      <c r="LFZ10" s="479"/>
      <c r="LGA10" s="479"/>
      <c r="LGB10" s="479"/>
      <c r="LGC10" s="593"/>
      <c r="LGD10" s="594"/>
      <c r="LGE10" s="594"/>
      <c r="LGF10" s="594"/>
      <c r="LGG10" s="594"/>
      <c r="LGH10" s="594"/>
      <c r="LGI10" s="594"/>
      <c r="LGJ10" s="594"/>
      <c r="LGK10" s="594"/>
      <c r="LGL10" s="594"/>
      <c r="LGM10" s="479"/>
      <c r="LGN10" s="479"/>
      <c r="LGO10" s="479"/>
      <c r="LGP10" s="479"/>
      <c r="LGQ10" s="479"/>
      <c r="LGR10" s="479"/>
      <c r="LGS10" s="479"/>
      <c r="LGT10" s="479"/>
      <c r="LGU10" s="479"/>
      <c r="LGV10" s="479"/>
      <c r="LGW10" s="479"/>
      <c r="LGX10" s="593"/>
      <c r="LGY10" s="594"/>
      <c r="LGZ10" s="594"/>
      <c r="LHA10" s="594"/>
      <c r="LHB10" s="594"/>
      <c r="LHC10" s="594"/>
      <c r="LHD10" s="594"/>
      <c r="LHE10" s="594"/>
      <c r="LHF10" s="594"/>
      <c r="LHG10" s="594"/>
      <c r="LHH10" s="479"/>
      <c r="LHI10" s="479"/>
      <c r="LHJ10" s="479"/>
      <c r="LHK10" s="479"/>
      <c r="LHL10" s="479"/>
      <c r="LHM10" s="479"/>
      <c r="LHN10" s="479"/>
      <c r="LHO10" s="479"/>
      <c r="LHP10" s="479"/>
      <c r="LHQ10" s="479"/>
      <c r="LHR10" s="479"/>
      <c r="LHS10" s="593"/>
      <c r="LHT10" s="594"/>
      <c r="LHU10" s="594"/>
      <c r="LHV10" s="594"/>
      <c r="LHW10" s="594"/>
      <c r="LHX10" s="594"/>
      <c r="LHY10" s="594"/>
      <c r="LHZ10" s="594"/>
      <c r="LIA10" s="594"/>
      <c r="LIB10" s="594"/>
      <c r="LIC10" s="479"/>
      <c r="LID10" s="479"/>
      <c r="LIE10" s="479"/>
      <c r="LIF10" s="479"/>
      <c r="LIG10" s="479"/>
      <c r="LIH10" s="479"/>
      <c r="LII10" s="479"/>
      <c r="LIJ10" s="479"/>
      <c r="LIK10" s="479"/>
      <c r="LIL10" s="479"/>
      <c r="LIM10" s="479"/>
      <c r="LIN10" s="593"/>
      <c r="LIO10" s="594"/>
      <c r="LIP10" s="594"/>
      <c r="LIQ10" s="594"/>
      <c r="LIR10" s="594"/>
      <c r="LIS10" s="594"/>
      <c r="LIT10" s="594"/>
      <c r="LIU10" s="594"/>
      <c r="LIV10" s="594"/>
      <c r="LIW10" s="594"/>
      <c r="LIX10" s="479"/>
      <c r="LIY10" s="479"/>
      <c r="LIZ10" s="479"/>
      <c r="LJA10" s="479"/>
      <c r="LJB10" s="479"/>
      <c r="LJC10" s="479"/>
      <c r="LJD10" s="479"/>
      <c r="LJE10" s="479"/>
      <c r="LJF10" s="479"/>
      <c r="LJG10" s="479"/>
      <c r="LJH10" s="479"/>
      <c r="LJI10" s="593"/>
      <c r="LJJ10" s="594"/>
      <c r="LJK10" s="594"/>
      <c r="LJL10" s="594"/>
      <c r="LJM10" s="594"/>
      <c r="LJN10" s="594"/>
      <c r="LJO10" s="594"/>
      <c r="LJP10" s="594"/>
      <c r="LJQ10" s="594"/>
      <c r="LJR10" s="594"/>
      <c r="LJS10" s="479"/>
      <c r="LJT10" s="479"/>
      <c r="LJU10" s="479"/>
      <c r="LJV10" s="479"/>
      <c r="LJW10" s="479"/>
      <c r="LJX10" s="479"/>
      <c r="LJY10" s="479"/>
      <c r="LJZ10" s="479"/>
      <c r="LKA10" s="479"/>
      <c r="LKB10" s="479"/>
      <c r="LKC10" s="479"/>
      <c r="LKD10" s="593"/>
      <c r="LKE10" s="594"/>
      <c r="LKF10" s="594"/>
      <c r="LKG10" s="594"/>
      <c r="LKH10" s="594"/>
      <c r="LKI10" s="594"/>
      <c r="LKJ10" s="594"/>
      <c r="LKK10" s="594"/>
      <c r="LKL10" s="594"/>
      <c r="LKM10" s="594"/>
      <c r="LKN10" s="479"/>
      <c r="LKO10" s="479"/>
      <c r="LKP10" s="479"/>
      <c r="LKQ10" s="479"/>
      <c r="LKR10" s="479"/>
      <c r="LKS10" s="479"/>
      <c r="LKT10" s="479"/>
      <c r="LKU10" s="479"/>
      <c r="LKV10" s="479"/>
      <c r="LKW10" s="479"/>
      <c r="LKX10" s="479"/>
      <c r="LKY10" s="593"/>
      <c r="LKZ10" s="594"/>
      <c r="LLA10" s="594"/>
      <c r="LLB10" s="594"/>
      <c r="LLC10" s="594"/>
      <c r="LLD10" s="594"/>
      <c r="LLE10" s="594"/>
      <c r="LLF10" s="594"/>
      <c r="LLG10" s="594"/>
      <c r="LLH10" s="594"/>
      <c r="LLI10" s="479"/>
      <c r="LLJ10" s="479"/>
      <c r="LLK10" s="479"/>
      <c r="LLL10" s="479"/>
      <c r="LLM10" s="479"/>
      <c r="LLN10" s="479"/>
      <c r="LLO10" s="479"/>
      <c r="LLP10" s="479"/>
      <c r="LLQ10" s="479"/>
      <c r="LLR10" s="479"/>
      <c r="LLS10" s="479"/>
      <c r="LLT10" s="593"/>
      <c r="LLU10" s="594"/>
      <c r="LLV10" s="594"/>
      <c r="LLW10" s="594"/>
      <c r="LLX10" s="594"/>
      <c r="LLY10" s="594"/>
      <c r="LLZ10" s="594"/>
      <c r="LMA10" s="594"/>
      <c r="LMB10" s="594"/>
      <c r="LMC10" s="594"/>
      <c r="LMD10" s="479"/>
      <c r="LME10" s="479"/>
      <c r="LMF10" s="479"/>
      <c r="LMG10" s="479"/>
      <c r="LMH10" s="479"/>
      <c r="LMI10" s="479"/>
      <c r="LMJ10" s="479"/>
      <c r="LMK10" s="479"/>
      <c r="LML10" s="479"/>
      <c r="LMM10" s="479"/>
      <c r="LMN10" s="479"/>
      <c r="LMO10" s="593"/>
      <c r="LMP10" s="594"/>
      <c r="LMQ10" s="594"/>
      <c r="LMR10" s="594"/>
      <c r="LMS10" s="594"/>
      <c r="LMT10" s="594"/>
      <c r="LMU10" s="594"/>
      <c r="LMV10" s="594"/>
      <c r="LMW10" s="594"/>
      <c r="LMX10" s="594"/>
      <c r="LMY10" s="479"/>
      <c r="LMZ10" s="479"/>
      <c r="LNA10" s="479"/>
      <c r="LNB10" s="479"/>
      <c r="LNC10" s="479"/>
      <c r="LND10" s="479"/>
      <c r="LNE10" s="479"/>
      <c r="LNF10" s="479"/>
      <c r="LNG10" s="479"/>
      <c r="LNH10" s="479"/>
      <c r="LNI10" s="479"/>
      <c r="LNJ10" s="593"/>
      <c r="LNK10" s="594"/>
      <c r="LNL10" s="594"/>
      <c r="LNM10" s="594"/>
      <c r="LNN10" s="594"/>
      <c r="LNO10" s="594"/>
      <c r="LNP10" s="594"/>
      <c r="LNQ10" s="594"/>
      <c r="LNR10" s="594"/>
      <c r="LNS10" s="594"/>
      <c r="LNT10" s="479"/>
      <c r="LNU10" s="479"/>
      <c r="LNV10" s="479"/>
      <c r="LNW10" s="479"/>
      <c r="LNX10" s="479"/>
      <c r="LNY10" s="479"/>
      <c r="LNZ10" s="479"/>
      <c r="LOA10" s="479"/>
      <c r="LOB10" s="479"/>
      <c r="LOC10" s="479"/>
      <c r="LOD10" s="479"/>
      <c r="LOE10" s="593"/>
      <c r="LOF10" s="594"/>
      <c r="LOG10" s="594"/>
      <c r="LOH10" s="594"/>
      <c r="LOI10" s="594"/>
      <c r="LOJ10" s="594"/>
      <c r="LOK10" s="594"/>
      <c r="LOL10" s="594"/>
      <c r="LOM10" s="594"/>
      <c r="LON10" s="594"/>
      <c r="LOO10" s="479"/>
      <c r="LOP10" s="479"/>
      <c r="LOQ10" s="479"/>
      <c r="LOR10" s="479"/>
      <c r="LOS10" s="479"/>
      <c r="LOT10" s="479"/>
      <c r="LOU10" s="479"/>
      <c r="LOV10" s="479"/>
      <c r="LOW10" s="479"/>
      <c r="LOX10" s="479"/>
      <c r="LOY10" s="479"/>
      <c r="LOZ10" s="593"/>
      <c r="LPA10" s="594"/>
      <c r="LPB10" s="594"/>
      <c r="LPC10" s="594"/>
      <c r="LPD10" s="594"/>
      <c r="LPE10" s="594"/>
      <c r="LPF10" s="594"/>
      <c r="LPG10" s="594"/>
      <c r="LPH10" s="594"/>
      <c r="LPI10" s="594"/>
      <c r="LPJ10" s="479"/>
      <c r="LPK10" s="479"/>
      <c r="LPL10" s="479"/>
      <c r="LPM10" s="479"/>
      <c r="LPN10" s="479"/>
      <c r="LPO10" s="479"/>
      <c r="LPP10" s="479"/>
      <c r="LPQ10" s="479"/>
      <c r="LPR10" s="479"/>
      <c r="LPS10" s="479"/>
      <c r="LPT10" s="479"/>
      <c r="LPU10" s="593"/>
      <c r="LPV10" s="594"/>
      <c r="LPW10" s="594"/>
      <c r="LPX10" s="594"/>
      <c r="LPY10" s="594"/>
      <c r="LPZ10" s="594"/>
      <c r="LQA10" s="594"/>
      <c r="LQB10" s="594"/>
      <c r="LQC10" s="594"/>
      <c r="LQD10" s="594"/>
      <c r="LQE10" s="479"/>
      <c r="LQF10" s="479"/>
      <c r="LQG10" s="479"/>
      <c r="LQH10" s="479"/>
      <c r="LQI10" s="479"/>
      <c r="LQJ10" s="479"/>
      <c r="LQK10" s="479"/>
      <c r="LQL10" s="479"/>
      <c r="LQM10" s="479"/>
      <c r="LQN10" s="479"/>
      <c r="LQO10" s="479"/>
      <c r="LQP10" s="593"/>
      <c r="LQQ10" s="594"/>
      <c r="LQR10" s="594"/>
      <c r="LQS10" s="594"/>
      <c r="LQT10" s="594"/>
      <c r="LQU10" s="594"/>
      <c r="LQV10" s="594"/>
      <c r="LQW10" s="594"/>
      <c r="LQX10" s="594"/>
      <c r="LQY10" s="594"/>
      <c r="LQZ10" s="479"/>
      <c r="LRA10" s="479"/>
      <c r="LRB10" s="479"/>
      <c r="LRC10" s="479"/>
      <c r="LRD10" s="479"/>
      <c r="LRE10" s="479"/>
      <c r="LRF10" s="479"/>
      <c r="LRG10" s="479"/>
      <c r="LRH10" s="479"/>
      <c r="LRI10" s="479"/>
      <c r="LRJ10" s="479"/>
      <c r="LRK10" s="593"/>
      <c r="LRL10" s="594"/>
      <c r="LRM10" s="594"/>
      <c r="LRN10" s="594"/>
      <c r="LRO10" s="594"/>
      <c r="LRP10" s="594"/>
      <c r="LRQ10" s="594"/>
      <c r="LRR10" s="594"/>
      <c r="LRS10" s="594"/>
      <c r="LRT10" s="594"/>
      <c r="LRU10" s="479"/>
      <c r="LRV10" s="479"/>
      <c r="LRW10" s="479"/>
      <c r="LRX10" s="479"/>
      <c r="LRY10" s="479"/>
      <c r="LRZ10" s="479"/>
      <c r="LSA10" s="479"/>
      <c r="LSB10" s="479"/>
      <c r="LSC10" s="479"/>
      <c r="LSD10" s="479"/>
      <c r="LSE10" s="479"/>
      <c r="LSF10" s="593"/>
      <c r="LSG10" s="594"/>
      <c r="LSH10" s="594"/>
      <c r="LSI10" s="594"/>
      <c r="LSJ10" s="594"/>
      <c r="LSK10" s="594"/>
      <c r="LSL10" s="594"/>
      <c r="LSM10" s="594"/>
      <c r="LSN10" s="594"/>
      <c r="LSO10" s="594"/>
      <c r="LSP10" s="479"/>
      <c r="LSQ10" s="479"/>
      <c r="LSR10" s="479"/>
      <c r="LSS10" s="479"/>
      <c r="LST10" s="479"/>
      <c r="LSU10" s="479"/>
      <c r="LSV10" s="479"/>
      <c r="LSW10" s="479"/>
      <c r="LSX10" s="479"/>
      <c r="LSY10" s="479"/>
      <c r="LSZ10" s="479"/>
      <c r="LTA10" s="593"/>
      <c r="LTB10" s="594"/>
      <c r="LTC10" s="594"/>
      <c r="LTD10" s="594"/>
      <c r="LTE10" s="594"/>
      <c r="LTF10" s="594"/>
      <c r="LTG10" s="594"/>
      <c r="LTH10" s="594"/>
      <c r="LTI10" s="594"/>
      <c r="LTJ10" s="594"/>
      <c r="LTK10" s="479"/>
      <c r="LTL10" s="479"/>
      <c r="LTM10" s="479"/>
      <c r="LTN10" s="479"/>
      <c r="LTO10" s="479"/>
      <c r="LTP10" s="479"/>
      <c r="LTQ10" s="479"/>
      <c r="LTR10" s="479"/>
      <c r="LTS10" s="479"/>
      <c r="LTT10" s="479"/>
      <c r="LTU10" s="479"/>
      <c r="LTV10" s="593"/>
      <c r="LTW10" s="594"/>
      <c r="LTX10" s="594"/>
      <c r="LTY10" s="594"/>
      <c r="LTZ10" s="594"/>
      <c r="LUA10" s="594"/>
      <c r="LUB10" s="594"/>
      <c r="LUC10" s="594"/>
      <c r="LUD10" s="594"/>
      <c r="LUE10" s="594"/>
      <c r="LUF10" s="479"/>
      <c r="LUG10" s="479"/>
      <c r="LUH10" s="479"/>
      <c r="LUI10" s="479"/>
      <c r="LUJ10" s="479"/>
      <c r="LUK10" s="479"/>
      <c r="LUL10" s="479"/>
      <c r="LUM10" s="479"/>
      <c r="LUN10" s="479"/>
      <c r="LUO10" s="479"/>
      <c r="LUP10" s="479"/>
      <c r="LUQ10" s="593"/>
      <c r="LUR10" s="594"/>
      <c r="LUS10" s="594"/>
      <c r="LUT10" s="594"/>
      <c r="LUU10" s="594"/>
      <c r="LUV10" s="594"/>
      <c r="LUW10" s="594"/>
      <c r="LUX10" s="594"/>
      <c r="LUY10" s="594"/>
      <c r="LUZ10" s="594"/>
      <c r="LVA10" s="479"/>
      <c r="LVB10" s="479"/>
      <c r="LVC10" s="479"/>
      <c r="LVD10" s="479"/>
      <c r="LVE10" s="479"/>
      <c r="LVF10" s="479"/>
      <c r="LVG10" s="479"/>
      <c r="LVH10" s="479"/>
      <c r="LVI10" s="479"/>
      <c r="LVJ10" s="479"/>
      <c r="LVK10" s="479"/>
      <c r="LVL10" s="593"/>
      <c r="LVM10" s="594"/>
      <c r="LVN10" s="594"/>
      <c r="LVO10" s="594"/>
      <c r="LVP10" s="594"/>
      <c r="LVQ10" s="594"/>
      <c r="LVR10" s="594"/>
      <c r="LVS10" s="594"/>
      <c r="LVT10" s="594"/>
      <c r="LVU10" s="594"/>
      <c r="LVV10" s="479"/>
      <c r="LVW10" s="479"/>
      <c r="LVX10" s="479"/>
      <c r="LVY10" s="479"/>
      <c r="LVZ10" s="479"/>
      <c r="LWA10" s="479"/>
      <c r="LWB10" s="479"/>
      <c r="LWC10" s="479"/>
      <c r="LWD10" s="479"/>
      <c r="LWE10" s="479"/>
      <c r="LWF10" s="479"/>
      <c r="LWG10" s="593"/>
      <c r="LWH10" s="594"/>
      <c r="LWI10" s="594"/>
      <c r="LWJ10" s="594"/>
      <c r="LWK10" s="594"/>
      <c r="LWL10" s="594"/>
      <c r="LWM10" s="594"/>
      <c r="LWN10" s="594"/>
      <c r="LWO10" s="594"/>
      <c r="LWP10" s="594"/>
      <c r="LWQ10" s="479"/>
      <c r="LWR10" s="479"/>
      <c r="LWS10" s="479"/>
      <c r="LWT10" s="479"/>
      <c r="LWU10" s="479"/>
      <c r="LWV10" s="479"/>
      <c r="LWW10" s="479"/>
      <c r="LWX10" s="479"/>
      <c r="LWY10" s="479"/>
      <c r="LWZ10" s="479"/>
      <c r="LXA10" s="479"/>
      <c r="LXB10" s="593"/>
      <c r="LXC10" s="594"/>
      <c r="LXD10" s="594"/>
      <c r="LXE10" s="594"/>
      <c r="LXF10" s="594"/>
      <c r="LXG10" s="594"/>
      <c r="LXH10" s="594"/>
      <c r="LXI10" s="594"/>
      <c r="LXJ10" s="594"/>
      <c r="LXK10" s="594"/>
      <c r="LXL10" s="479"/>
      <c r="LXM10" s="479"/>
      <c r="LXN10" s="479"/>
      <c r="LXO10" s="479"/>
      <c r="LXP10" s="479"/>
      <c r="LXQ10" s="479"/>
      <c r="LXR10" s="479"/>
      <c r="LXS10" s="479"/>
      <c r="LXT10" s="479"/>
      <c r="LXU10" s="479"/>
      <c r="LXV10" s="479"/>
      <c r="LXW10" s="593"/>
      <c r="LXX10" s="594"/>
      <c r="LXY10" s="594"/>
      <c r="LXZ10" s="594"/>
      <c r="LYA10" s="594"/>
      <c r="LYB10" s="594"/>
      <c r="LYC10" s="594"/>
      <c r="LYD10" s="594"/>
      <c r="LYE10" s="594"/>
      <c r="LYF10" s="594"/>
      <c r="LYG10" s="479"/>
      <c r="LYH10" s="479"/>
      <c r="LYI10" s="479"/>
      <c r="LYJ10" s="479"/>
      <c r="LYK10" s="479"/>
      <c r="LYL10" s="479"/>
      <c r="LYM10" s="479"/>
      <c r="LYN10" s="479"/>
      <c r="LYO10" s="479"/>
      <c r="LYP10" s="479"/>
      <c r="LYQ10" s="479"/>
      <c r="LYR10" s="593"/>
      <c r="LYS10" s="594"/>
      <c r="LYT10" s="594"/>
      <c r="LYU10" s="594"/>
      <c r="LYV10" s="594"/>
      <c r="LYW10" s="594"/>
      <c r="LYX10" s="594"/>
      <c r="LYY10" s="594"/>
      <c r="LYZ10" s="594"/>
      <c r="LZA10" s="594"/>
      <c r="LZB10" s="479"/>
      <c r="LZC10" s="479"/>
      <c r="LZD10" s="479"/>
      <c r="LZE10" s="479"/>
      <c r="LZF10" s="479"/>
      <c r="LZG10" s="479"/>
      <c r="LZH10" s="479"/>
      <c r="LZI10" s="479"/>
      <c r="LZJ10" s="479"/>
      <c r="LZK10" s="479"/>
      <c r="LZL10" s="479"/>
      <c r="LZM10" s="593"/>
      <c r="LZN10" s="594"/>
      <c r="LZO10" s="594"/>
      <c r="LZP10" s="594"/>
      <c r="LZQ10" s="594"/>
      <c r="LZR10" s="594"/>
      <c r="LZS10" s="594"/>
      <c r="LZT10" s="594"/>
      <c r="LZU10" s="594"/>
      <c r="LZV10" s="594"/>
      <c r="LZW10" s="479"/>
      <c r="LZX10" s="479"/>
      <c r="LZY10" s="479"/>
      <c r="LZZ10" s="479"/>
      <c r="MAA10" s="479"/>
      <c r="MAB10" s="479"/>
      <c r="MAC10" s="479"/>
      <c r="MAD10" s="479"/>
      <c r="MAE10" s="479"/>
      <c r="MAF10" s="479"/>
      <c r="MAG10" s="479"/>
      <c r="MAH10" s="593"/>
      <c r="MAI10" s="594"/>
      <c r="MAJ10" s="594"/>
      <c r="MAK10" s="594"/>
      <c r="MAL10" s="594"/>
      <c r="MAM10" s="594"/>
      <c r="MAN10" s="594"/>
      <c r="MAO10" s="594"/>
      <c r="MAP10" s="594"/>
      <c r="MAQ10" s="594"/>
      <c r="MAR10" s="479"/>
      <c r="MAS10" s="479"/>
      <c r="MAT10" s="479"/>
      <c r="MAU10" s="479"/>
      <c r="MAV10" s="479"/>
      <c r="MAW10" s="479"/>
      <c r="MAX10" s="479"/>
      <c r="MAY10" s="479"/>
      <c r="MAZ10" s="479"/>
      <c r="MBA10" s="479"/>
      <c r="MBB10" s="479"/>
      <c r="MBC10" s="593"/>
      <c r="MBD10" s="594"/>
      <c r="MBE10" s="594"/>
      <c r="MBF10" s="594"/>
      <c r="MBG10" s="594"/>
      <c r="MBH10" s="594"/>
      <c r="MBI10" s="594"/>
      <c r="MBJ10" s="594"/>
      <c r="MBK10" s="594"/>
      <c r="MBL10" s="594"/>
      <c r="MBM10" s="479"/>
      <c r="MBN10" s="479"/>
      <c r="MBO10" s="479"/>
      <c r="MBP10" s="479"/>
      <c r="MBQ10" s="479"/>
      <c r="MBR10" s="479"/>
      <c r="MBS10" s="479"/>
      <c r="MBT10" s="479"/>
      <c r="MBU10" s="479"/>
      <c r="MBV10" s="479"/>
      <c r="MBW10" s="479"/>
      <c r="MBX10" s="593"/>
      <c r="MBY10" s="594"/>
      <c r="MBZ10" s="594"/>
      <c r="MCA10" s="594"/>
      <c r="MCB10" s="594"/>
      <c r="MCC10" s="594"/>
      <c r="MCD10" s="594"/>
      <c r="MCE10" s="594"/>
      <c r="MCF10" s="594"/>
      <c r="MCG10" s="594"/>
      <c r="MCH10" s="479"/>
      <c r="MCI10" s="479"/>
      <c r="MCJ10" s="479"/>
      <c r="MCK10" s="479"/>
      <c r="MCL10" s="479"/>
      <c r="MCM10" s="479"/>
      <c r="MCN10" s="479"/>
      <c r="MCO10" s="479"/>
      <c r="MCP10" s="479"/>
      <c r="MCQ10" s="479"/>
      <c r="MCR10" s="479"/>
      <c r="MCS10" s="593"/>
      <c r="MCT10" s="594"/>
      <c r="MCU10" s="594"/>
      <c r="MCV10" s="594"/>
      <c r="MCW10" s="594"/>
      <c r="MCX10" s="594"/>
      <c r="MCY10" s="594"/>
      <c r="MCZ10" s="594"/>
      <c r="MDA10" s="594"/>
      <c r="MDB10" s="594"/>
      <c r="MDC10" s="479"/>
      <c r="MDD10" s="479"/>
      <c r="MDE10" s="479"/>
      <c r="MDF10" s="479"/>
      <c r="MDG10" s="479"/>
      <c r="MDH10" s="479"/>
      <c r="MDI10" s="479"/>
      <c r="MDJ10" s="479"/>
      <c r="MDK10" s="479"/>
      <c r="MDL10" s="479"/>
      <c r="MDM10" s="479"/>
      <c r="MDN10" s="593"/>
      <c r="MDO10" s="594"/>
      <c r="MDP10" s="594"/>
      <c r="MDQ10" s="594"/>
      <c r="MDR10" s="594"/>
      <c r="MDS10" s="594"/>
      <c r="MDT10" s="594"/>
      <c r="MDU10" s="594"/>
      <c r="MDV10" s="594"/>
      <c r="MDW10" s="594"/>
      <c r="MDX10" s="479"/>
      <c r="MDY10" s="479"/>
      <c r="MDZ10" s="479"/>
      <c r="MEA10" s="479"/>
      <c r="MEB10" s="479"/>
      <c r="MEC10" s="479"/>
      <c r="MED10" s="479"/>
      <c r="MEE10" s="479"/>
      <c r="MEF10" s="479"/>
      <c r="MEG10" s="479"/>
      <c r="MEH10" s="479"/>
      <c r="MEI10" s="593"/>
      <c r="MEJ10" s="594"/>
      <c r="MEK10" s="594"/>
      <c r="MEL10" s="594"/>
      <c r="MEM10" s="594"/>
      <c r="MEN10" s="594"/>
      <c r="MEO10" s="594"/>
      <c r="MEP10" s="594"/>
      <c r="MEQ10" s="594"/>
      <c r="MER10" s="594"/>
      <c r="MES10" s="479"/>
      <c r="MET10" s="479"/>
      <c r="MEU10" s="479"/>
      <c r="MEV10" s="479"/>
      <c r="MEW10" s="479"/>
      <c r="MEX10" s="479"/>
      <c r="MEY10" s="479"/>
      <c r="MEZ10" s="479"/>
      <c r="MFA10" s="479"/>
      <c r="MFB10" s="479"/>
      <c r="MFC10" s="479"/>
      <c r="MFD10" s="593"/>
      <c r="MFE10" s="594"/>
      <c r="MFF10" s="594"/>
      <c r="MFG10" s="594"/>
      <c r="MFH10" s="594"/>
      <c r="MFI10" s="594"/>
      <c r="MFJ10" s="594"/>
      <c r="MFK10" s="594"/>
      <c r="MFL10" s="594"/>
      <c r="MFM10" s="594"/>
      <c r="MFN10" s="479"/>
      <c r="MFO10" s="479"/>
      <c r="MFP10" s="479"/>
      <c r="MFQ10" s="479"/>
      <c r="MFR10" s="479"/>
      <c r="MFS10" s="479"/>
      <c r="MFT10" s="479"/>
      <c r="MFU10" s="479"/>
      <c r="MFV10" s="479"/>
      <c r="MFW10" s="479"/>
      <c r="MFX10" s="479"/>
      <c r="MFY10" s="593"/>
      <c r="MFZ10" s="594"/>
      <c r="MGA10" s="594"/>
      <c r="MGB10" s="594"/>
      <c r="MGC10" s="594"/>
      <c r="MGD10" s="594"/>
      <c r="MGE10" s="594"/>
      <c r="MGF10" s="594"/>
      <c r="MGG10" s="594"/>
      <c r="MGH10" s="594"/>
      <c r="MGI10" s="479"/>
      <c r="MGJ10" s="479"/>
      <c r="MGK10" s="479"/>
      <c r="MGL10" s="479"/>
      <c r="MGM10" s="479"/>
      <c r="MGN10" s="479"/>
      <c r="MGO10" s="479"/>
      <c r="MGP10" s="479"/>
      <c r="MGQ10" s="479"/>
      <c r="MGR10" s="479"/>
      <c r="MGS10" s="479"/>
      <c r="MGT10" s="593"/>
      <c r="MGU10" s="594"/>
      <c r="MGV10" s="594"/>
      <c r="MGW10" s="594"/>
      <c r="MGX10" s="594"/>
      <c r="MGY10" s="594"/>
      <c r="MGZ10" s="594"/>
      <c r="MHA10" s="594"/>
      <c r="MHB10" s="594"/>
      <c r="MHC10" s="594"/>
      <c r="MHD10" s="479"/>
      <c r="MHE10" s="479"/>
      <c r="MHF10" s="479"/>
      <c r="MHG10" s="479"/>
      <c r="MHH10" s="479"/>
      <c r="MHI10" s="479"/>
      <c r="MHJ10" s="479"/>
      <c r="MHK10" s="479"/>
      <c r="MHL10" s="479"/>
      <c r="MHM10" s="479"/>
      <c r="MHN10" s="479"/>
      <c r="MHO10" s="593"/>
      <c r="MHP10" s="594"/>
      <c r="MHQ10" s="594"/>
      <c r="MHR10" s="594"/>
      <c r="MHS10" s="594"/>
      <c r="MHT10" s="594"/>
      <c r="MHU10" s="594"/>
      <c r="MHV10" s="594"/>
      <c r="MHW10" s="594"/>
      <c r="MHX10" s="594"/>
      <c r="MHY10" s="479"/>
      <c r="MHZ10" s="479"/>
      <c r="MIA10" s="479"/>
      <c r="MIB10" s="479"/>
      <c r="MIC10" s="479"/>
      <c r="MID10" s="479"/>
      <c r="MIE10" s="479"/>
      <c r="MIF10" s="479"/>
      <c r="MIG10" s="479"/>
      <c r="MIH10" s="479"/>
      <c r="MII10" s="479"/>
      <c r="MIJ10" s="593"/>
      <c r="MIK10" s="594"/>
      <c r="MIL10" s="594"/>
      <c r="MIM10" s="594"/>
      <c r="MIN10" s="594"/>
      <c r="MIO10" s="594"/>
      <c r="MIP10" s="594"/>
      <c r="MIQ10" s="594"/>
      <c r="MIR10" s="594"/>
      <c r="MIS10" s="594"/>
      <c r="MIT10" s="479"/>
      <c r="MIU10" s="479"/>
      <c r="MIV10" s="479"/>
      <c r="MIW10" s="479"/>
      <c r="MIX10" s="479"/>
      <c r="MIY10" s="479"/>
      <c r="MIZ10" s="479"/>
      <c r="MJA10" s="479"/>
      <c r="MJB10" s="479"/>
      <c r="MJC10" s="479"/>
      <c r="MJD10" s="479"/>
      <c r="MJE10" s="593"/>
      <c r="MJF10" s="594"/>
      <c r="MJG10" s="594"/>
      <c r="MJH10" s="594"/>
      <c r="MJI10" s="594"/>
      <c r="MJJ10" s="594"/>
      <c r="MJK10" s="594"/>
      <c r="MJL10" s="594"/>
      <c r="MJM10" s="594"/>
      <c r="MJN10" s="594"/>
      <c r="MJO10" s="479"/>
      <c r="MJP10" s="479"/>
      <c r="MJQ10" s="479"/>
      <c r="MJR10" s="479"/>
      <c r="MJS10" s="479"/>
      <c r="MJT10" s="479"/>
      <c r="MJU10" s="479"/>
      <c r="MJV10" s="479"/>
      <c r="MJW10" s="479"/>
      <c r="MJX10" s="479"/>
      <c r="MJY10" s="479"/>
      <c r="MJZ10" s="593"/>
      <c r="MKA10" s="594"/>
      <c r="MKB10" s="594"/>
      <c r="MKC10" s="594"/>
      <c r="MKD10" s="594"/>
      <c r="MKE10" s="594"/>
      <c r="MKF10" s="594"/>
      <c r="MKG10" s="594"/>
      <c r="MKH10" s="594"/>
      <c r="MKI10" s="594"/>
      <c r="MKJ10" s="479"/>
      <c r="MKK10" s="479"/>
      <c r="MKL10" s="479"/>
      <c r="MKM10" s="479"/>
      <c r="MKN10" s="479"/>
      <c r="MKO10" s="479"/>
      <c r="MKP10" s="479"/>
      <c r="MKQ10" s="479"/>
      <c r="MKR10" s="479"/>
      <c r="MKS10" s="479"/>
      <c r="MKT10" s="479"/>
      <c r="MKU10" s="593"/>
      <c r="MKV10" s="594"/>
      <c r="MKW10" s="594"/>
      <c r="MKX10" s="594"/>
      <c r="MKY10" s="594"/>
      <c r="MKZ10" s="594"/>
      <c r="MLA10" s="594"/>
      <c r="MLB10" s="594"/>
      <c r="MLC10" s="594"/>
      <c r="MLD10" s="594"/>
      <c r="MLE10" s="479"/>
      <c r="MLF10" s="479"/>
      <c r="MLG10" s="479"/>
      <c r="MLH10" s="479"/>
      <c r="MLI10" s="479"/>
      <c r="MLJ10" s="479"/>
      <c r="MLK10" s="479"/>
      <c r="MLL10" s="479"/>
      <c r="MLM10" s="479"/>
      <c r="MLN10" s="479"/>
      <c r="MLO10" s="479"/>
      <c r="MLP10" s="593"/>
      <c r="MLQ10" s="594"/>
      <c r="MLR10" s="594"/>
      <c r="MLS10" s="594"/>
      <c r="MLT10" s="594"/>
      <c r="MLU10" s="594"/>
      <c r="MLV10" s="594"/>
      <c r="MLW10" s="594"/>
      <c r="MLX10" s="594"/>
      <c r="MLY10" s="594"/>
      <c r="MLZ10" s="479"/>
      <c r="MMA10" s="479"/>
      <c r="MMB10" s="479"/>
      <c r="MMC10" s="479"/>
      <c r="MMD10" s="479"/>
      <c r="MME10" s="479"/>
      <c r="MMF10" s="479"/>
      <c r="MMG10" s="479"/>
      <c r="MMH10" s="479"/>
      <c r="MMI10" s="479"/>
      <c r="MMJ10" s="479"/>
      <c r="MMK10" s="593"/>
      <c r="MML10" s="594"/>
      <c r="MMM10" s="594"/>
      <c r="MMN10" s="594"/>
      <c r="MMO10" s="594"/>
      <c r="MMP10" s="594"/>
      <c r="MMQ10" s="594"/>
      <c r="MMR10" s="594"/>
      <c r="MMS10" s="594"/>
      <c r="MMT10" s="594"/>
      <c r="MMU10" s="479"/>
      <c r="MMV10" s="479"/>
      <c r="MMW10" s="479"/>
      <c r="MMX10" s="479"/>
      <c r="MMY10" s="479"/>
      <c r="MMZ10" s="479"/>
      <c r="MNA10" s="479"/>
      <c r="MNB10" s="479"/>
      <c r="MNC10" s="479"/>
      <c r="MND10" s="479"/>
      <c r="MNE10" s="479"/>
      <c r="MNF10" s="593"/>
      <c r="MNG10" s="594"/>
      <c r="MNH10" s="594"/>
      <c r="MNI10" s="594"/>
      <c r="MNJ10" s="594"/>
      <c r="MNK10" s="594"/>
      <c r="MNL10" s="594"/>
      <c r="MNM10" s="594"/>
      <c r="MNN10" s="594"/>
      <c r="MNO10" s="594"/>
      <c r="MNP10" s="479"/>
      <c r="MNQ10" s="479"/>
      <c r="MNR10" s="479"/>
      <c r="MNS10" s="479"/>
      <c r="MNT10" s="479"/>
      <c r="MNU10" s="479"/>
      <c r="MNV10" s="479"/>
      <c r="MNW10" s="479"/>
      <c r="MNX10" s="479"/>
      <c r="MNY10" s="479"/>
      <c r="MNZ10" s="479"/>
      <c r="MOA10" s="593"/>
      <c r="MOB10" s="594"/>
      <c r="MOC10" s="594"/>
      <c r="MOD10" s="594"/>
      <c r="MOE10" s="594"/>
      <c r="MOF10" s="594"/>
      <c r="MOG10" s="594"/>
      <c r="MOH10" s="594"/>
      <c r="MOI10" s="594"/>
      <c r="MOJ10" s="594"/>
      <c r="MOK10" s="479"/>
      <c r="MOL10" s="479"/>
      <c r="MOM10" s="479"/>
      <c r="MON10" s="479"/>
      <c r="MOO10" s="479"/>
      <c r="MOP10" s="479"/>
      <c r="MOQ10" s="479"/>
      <c r="MOR10" s="479"/>
      <c r="MOS10" s="479"/>
      <c r="MOT10" s="479"/>
      <c r="MOU10" s="479"/>
      <c r="MOV10" s="593"/>
      <c r="MOW10" s="594"/>
      <c r="MOX10" s="594"/>
      <c r="MOY10" s="594"/>
      <c r="MOZ10" s="594"/>
      <c r="MPA10" s="594"/>
      <c r="MPB10" s="594"/>
      <c r="MPC10" s="594"/>
      <c r="MPD10" s="594"/>
      <c r="MPE10" s="594"/>
      <c r="MPF10" s="479"/>
      <c r="MPG10" s="479"/>
      <c r="MPH10" s="479"/>
      <c r="MPI10" s="479"/>
      <c r="MPJ10" s="479"/>
      <c r="MPK10" s="479"/>
      <c r="MPL10" s="479"/>
      <c r="MPM10" s="479"/>
      <c r="MPN10" s="479"/>
      <c r="MPO10" s="479"/>
      <c r="MPP10" s="479"/>
      <c r="MPQ10" s="593"/>
      <c r="MPR10" s="594"/>
      <c r="MPS10" s="594"/>
      <c r="MPT10" s="594"/>
      <c r="MPU10" s="594"/>
      <c r="MPV10" s="594"/>
      <c r="MPW10" s="594"/>
      <c r="MPX10" s="594"/>
      <c r="MPY10" s="594"/>
      <c r="MPZ10" s="594"/>
      <c r="MQA10" s="479"/>
      <c r="MQB10" s="479"/>
      <c r="MQC10" s="479"/>
      <c r="MQD10" s="479"/>
      <c r="MQE10" s="479"/>
      <c r="MQF10" s="479"/>
      <c r="MQG10" s="479"/>
      <c r="MQH10" s="479"/>
      <c r="MQI10" s="479"/>
      <c r="MQJ10" s="479"/>
      <c r="MQK10" s="479"/>
      <c r="MQL10" s="593"/>
      <c r="MQM10" s="594"/>
      <c r="MQN10" s="594"/>
      <c r="MQO10" s="594"/>
      <c r="MQP10" s="594"/>
      <c r="MQQ10" s="594"/>
      <c r="MQR10" s="594"/>
      <c r="MQS10" s="594"/>
      <c r="MQT10" s="594"/>
      <c r="MQU10" s="594"/>
      <c r="MQV10" s="479"/>
      <c r="MQW10" s="479"/>
      <c r="MQX10" s="479"/>
      <c r="MQY10" s="479"/>
      <c r="MQZ10" s="479"/>
      <c r="MRA10" s="479"/>
      <c r="MRB10" s="479"/>
      <c r="MRC10" s="479"/>
      <c r="MRD10" s="479"/>
      <c r="MRE10" s="479"/>
      <c r="MRF10" s="479"/>
      <c r="MRG10" s="593"/>
      <c r="MRH10" s="594"/>
      <c r="MRI10" s="594"/>
      <c r="MRJ10" s="594"/>
      <c r="MRK10" s="594"/>
      <c r="MRL10" s="594"/>
      <c r="MRM10" s="594"/>
      <c r="MRN10" s="594"/>
      <c r="MRO10" s="594"/>
      <c r="MRP10" s="594"/>
      <c r="MRQ10" s="479"/>
      <c r="MRR10" s="479"/>
      <c r="MRS10" s="479"/>
      <c r="MRT10" s="479"/>
      <c r="MRU10" s="479"/>
      <c r="MRV10" s="479"/>
      <c r="MRW10" s="479"/>
      <c r="MRX10" s="479"/>
      <c r="MRY10" s="479"/>
      <c r="MRZ10" s="479"/>
      <c r="MSA10" s="479"/>
      <c r="MSB10" s="593"/>
      <c r="MSC10" s="594"/>
      <c r="MSD10" s="594"/>
      <c r="MSE10" s="594"/>
      <c r="MSF10" s="594"/>
      <c r="MSG10" s="594"/>
      <c r="MSH10" s="594"/>
      <c r="MSI10" s="594"/>
      <c r="MSJ10" s="594"/>
      <c r="MSK10" s="594"/>
      <c r="MSL10" s="479"/>
      <c r="MSM10" s="479"/>
      <c r="MSN10" s="479"/>
      <c r="MSO10" s="479"/>
      <c r="MSP10" s="479"/>
      <c r="MSQ10" s="479"/>
      <c r="MSR10" s="479"/>
      <c r="MSS10" s="479"/>
      <c r="MST10" s="479"/>
      <c r="MSU10" s="479"/>
      <c r="MSV10" s="479"/>
      <c r="MSW10" s="593"/>
      <c r="MSX10" s="594"/>
      <c r="MSY10" s="594"/>
      <c r="MSZ10" s="594"/>
      <c r="MTA10" s="594"/>
      <c r="MTB10" s="594"/>
      <c r="MTC10" s="594"/>
      <c r="MTD10" s="594"/>
      <c r="MTE10" s="594"/>
      <c r="MTF10" s="594"/>
      <c r="MTG10" s="479"/>
      <c r="MTH10" s="479"/>
      <c r="MTI10" s="479"/>
      <c r="MTJ10" s="479"/>
      <c r="MTK10" s="479"/>
      <c r="MTL10" s="479"/>
      <c r="MTM10" s="479"/>
      <c r="MTN10" s="479"/>
      <c r="MTO10" s="479"/>
      <c r="MTP10" s="479"/>
      <c r="MTQ10" s="479"/>
      <c r="MTR10" s="593"/>
      <c r="MTS10" s="594"/>
      <c r="MTT10" s="594"/>
      <c r="MTU10" s="594"/>
      <c r="MTV10" s="594"/>
      <c r="MTW10" s="594"/>
      <c r="MTX10" s="594"/>
      <c r="MTY10" s="594"/>
      <c r="MTZ10" s="594"/>
      <c r="MUA10" s="594"/>
      <c r="MUB10" s="479"/>
      <c r="MUC10" s="479"/>
      <c r="MUD10" s="479"/>
      <c r="MUE10" s="479"/>
      <c r="MUF10" s="479"/>
      <c r="MUG10" s="479"/>
      <c r="MUH10" s="479"/>
      <c r="MUI10" s="479"/>
      <c r="MUJ10" s="479"/>
      <c r="MUK10" s="479"/>
      <c r="MUL10" s="479"/>
      <c r="MUM10" s="593"/>
      <c r="MUN10" s="594"/>
      <c r="MUO10" s="594"/>
      <c r="MUP10" s="594"/>
      <c r="MUQ10" s="594"/>
      <c r="MUR10" s="594"/>
      <c r="MUS10" s="594"/>
      <c r="MUT10" s="594"/>
      <c r="MUU10" s="594"/>
      <c r="MUV10" s="594"/>
      <c r="MUW10" s="479"/>
      <c r="MUX10" s="479"/>
      <c r="MUY10" s="479"/>
      <c r="MUZ10" s="479"/>
      <c r="MVA10" s="479"/>
      <c r="MVB10" s="479"/>
      <c r="MVC10" s="479"/>
      <c r="MVD10" s="479"/>
      <c r="MVE10" s="479"/>
      <c r="MVF10" s="479"/>
      <c r="MVG10" s="479"/>
      <c r="MVH10" s="593"/>
      <c r="MVI10" s="594"/>
      <c r="MVJ10" s="594"/>
      <c r="MVK10" s="594"/>
      <c r="MVL10" s="594"/>
      <c r="MVM10" s="594"/>
      <c r="MVN10" s="594"/>
      <c r="MVO10" s="594"/>
      <c r="MVP10" s="594"/>
      <c r="MVQ10" s="594"/>
      <c r="MVR10" s="479"/>
      <c r="MVS10" s="479"/>
      <c r="MVT10" s="479"/>
      <c r="MVU10" s="479"/>
      <c r="MVV10" s="479"/>
      <c r="MVW10" s="479"/>
      <c r="MVX10" s="479"/>
      <c r="MVY10" s="479"/>
      <c r="MVZ10" s="479"/>
      <c r="MWA10" s="479"/>
      <c r="MWB10" s="479"/>
      <c r="MWC10" s="593"/>
      <c r="MWD10" s="594"/>
      <c r="MWE10" s="594"/>
      <c r="MWF10" s="594"/>
      <c r="MWG10" s="594"/>
      <c r="MWH10" s="594"/>
      <c r="MWI10" s="594"/>
      <c r="MWJ10" s="594"/>
      <c r="MWK10" s="594"/>
      <c r="MWL10" s="594"/>
      <c r="MWM10" s="479"/>
      <c r="MWN10" s="479"/>
      <c r="MWO10" s="479"/>
      <c r="MWP10" s="479"/>
      <c r="MWQ10" s="479"/>
      <c r="MWR10" s="479"/>
      <c r="MWS10" s="479"/>
      <c r="MWT10" s="479"/>
      <c r="MWU10" s="479"/>
      <c r="MWV10" s="479"/>
      <c r="MWW10" s="479"/>
      <c r="MWX10" s="593"/>
      <c r="MWY10" s="594"/>
      <c r="MWZ10" s="594"/>
      <c r="MXA10" s="594"/>
      <c r="MXB10" s="594"/>
      <c r="MXC10" s="594"/>
      <c r="MXD10" s="594"/>
      <c r="MXE10" s="594"/>
      <c r="MXF10" s="594"/>
      <c r="MXG10" s="594"/>
      <c r="MXH10" s="479"/>
      <c r="MXI10" s="479"/>
      <c r="MXJ10" s="479"/>
      <c r="MXK10" s="479"/>
      <c r="MXL10" s="479"/>
      <c r="MXM10" s="479"/>
      <c r="MXN10" s="479"/>
      <c r="MXO10" s="479"/>
      <c r="MXP10" s="479"/>
      <c r="MXQ10" s="479"/>
      <c r="MXR10" s="479"/>
      <c r="MXS10" s="593"/>
      <c r="MXT10" s="594"/>
      <c r="MXU10" s="594"/>
      <c r="MXV10" s="594"/>
      <c r="MXW10" s="594"/>
      <c r="MXX10" s="594"/>
      <c r="MXY10" s="594"/>
      <c r="MXZ10" s="594"/>
      <c r="MYA10" s="594"/>
      <c r="MYB10" s="594"/>
      <c r="MYC10" s="479"/>
      <c r="MYD10" s="479"/>
      <c r="MYE10" s="479"/>
      <c r="MYF10" s="479"/>
      <c r="MYG10" s="479"/>
      <c r="MYH10" s="479"/>
      <c r="MYI10" s="479"/>
      <c r="MYJ10" s="479"/>
      <c r="MYK10" s="479"/>
      <c r="MYL10" s="479"/>
      <c r="MYM10" s="479"/>
      <c r="MYN10" s="593"/>
      <c r="MYO10" s="594"/>
      <c r="MYP10" s="594"/>
      <c r="MYQ10" s="594"/>
      <c r="MYR10" s="594"/>
      <c r="MYS10" s="594"/>
      <c r="MYT10" s="594"/>
      <c r="MYU10" s="594"/>
      <c r="MYV10" s="594"/>
      <c r="MYW10" s="594"/>
      <c r="MYX10" s="479"/>
      <c r="MYY10" s="479"/>
      <c r="MYZ10" s="479"/>
      <c r="MZA10" s="479"/>
      <c r="MZB10" s="479"/>
      <c r="MZC10" s="479"/>
      <c r="MZD10" s="479"/>
      <c r="MZE10" s="479"/>
      <c r="MZF10" s="479"/>
      <c r="MZG10" s="479"/>
      <c r="MZH10" s="479"/>
      <c r="MZI10" s="593"/>
      <c r="MZJ10" s="594"/>
      <c r="MZK10" s="594"/>
      <c r="MZL10" s="594"/>
      <c r="MZM10" s="594"/>
      <c r="MZN10" s="594"/>
      <c r="MZO10" s="594"/>
      <c r="MZP10" s="594"/>
      <c r="MZQ10" s="594"/>
      <c r="MZR10" s="594"/>
      <c r="MZS10" s="479"/>
      <c r="MZT10" s="479"/>
      <c r="MZU10" s="479"/>
      <c r="MZV10" s="479"/>
      <c r="MZW10" s="479"/>
      <c r="MZX10" s="479"/>
      <c r="MZY10" s="479"/>
      <c r="MZZ10" s="479"/>
      <c r="NAA10" s="479"/>
      <c r="NAB10" s="479"/>
      <c r="NAC10" s="479"/>
      <c r="NAD10" s="593"/>
      <c r="NAE10" s="594"/>
      <c r="NAF10" s="594"/>
      <c r="NAG10" s="594"/>
      <c r="NAH10" s="594"/>
      <c r="NAI10" s="594"/>
      <c r="NAJ10" s="594"/>
      <c r="NAK10" s="594"/>
      <c r="NAL10" s="594"/>
      <c r="NAM10" s="594"/>
      <c r="NAN10" s="479"/>
      <c r="NAO10" s="479"/>
      <c r="NAP10" s="479"/>
      <c r="NAQ10" s="479"/>
      <c r="NAR10" s="479"/>
      <c r="NAS10" s="479"/>
      <c r="NAT10" s="479"/>
      <c r="NAU10" s="479"/>
      <c r="NAV10" s="479"/>
      <c r="NAW10" s="479"/>
      <c r="NAX10" s="479"/>
      <c r="NAY10" s="593"/>
      <c r="NAZ10" s="594"/>
      <c r="NBA10" s="594"/>
      <c r="NBB10" s="594"/>
      <c r="NBC10" s="594"/>
      <c r="NBD10" s="594"/>
      <c r="NBE10" s="594"/>
      <c r="NBF10" s="594"/>
      <c r="NBG10" s="594"/>
      <c r="NBH10" s="594"/>
      <c r="NBI10" s="479"/>
      <c r="NBJ10" s="479"/>
      <c r="NBK10" s="479"/>
      <c r="NBL10" s="479"/>
      <c r="NBM10" s="479"/>
      <c r="NBN10" s="479"/>
      <c r="NBO10" s="479"/>
      <c r="NBP10" s="479"/>
      <c r="NBQ10" s="479"/>
      <c r="NBR10" s="479"/>
      <c r="NBS10" s="479"/>
      <c r="NBT10" s="593"/>
      <c r="NBU10" s="594"/>
      <c r="NBV10" s="594"/>
      <c r="NBW10" s="594"/>
      <c r="NBX10" s="594"/>
      <c r="NBY10" s="594"/>
      <c r="NBZ10" s="594"/>
      <c r="NCA10" s="594"/>
      <c r="NCB10" s="594"/>
      <c r="NCC10" s="594"/>
      <c r="NCD10" s="479"/>
      <c r="NCE10" s="479"/>
      <c r="NCF10" s="479"/>
      <c r="NCG10" s="479"/>
      <c r="NCH10" s="479"/>
      <c r="NCI10" s="479"/>
      <c r="NCJ10" s="479"/>
      <c r="NCK10" s="479"/>
      <c r="NCL10" s="479"/>
      <c r="NCM10" s="479"/>
      <c r="NCN10" s="479"/>
      <c r="NCO10" s="593"/>
      <c r="NCP10" s="594"/>
      <c r="NCQ10" s="594"/>
      <c r="NCR10" s="594"/>
      <c r="NCS10" s="594"/>
      <c r="NCT10" s="594"/>
      <c r="NCU10" s="594"/>
      <c r="NCV10" s="594"/>
      <c r="NCW10" s="594"/>
      <c r="NCX10" s="594"/>
      <c r="NCY10" s="479"/>
      <c r="NCZ10" s="479"/>
      <c r="NDA10" s="479"/>
      <c r="NDB10" s="479"/>
      <c r="NDC10" s="479"/>
      <c r="NDD10" s="479"/>
      <c r="NDE10" s="479"/>
      <c r="NDF10" s="479"/>
      <c r="NDG10" s="479"/>
      <c r="NDH10" s="479"/>
      <c r="NDI10" s="479"/>
      <c r="NDJ10" s="593"/>
      <c r="NDK10" s="594"/>
      <c r="NDL10" s="594"/>
      <c r="NDM10" s="594"/>
      <c r="NDN10" s="594"/>
      <c r="NDO10" s="594"/>
      <c r="NDP10" s="594"/>
      <c r="NDQ10" s="594"/>
      <c r="NDR10" s="594"/>
      <c r="NDS10" s="594"/>
      <c r="NDT10" s="479"/>
      <c r="NDU10" s="479"/>
      <c r="NDV10" s="479"/>
      <c r="NDW10" s="479"/>
      <c r="NDX10" s="479"/>
      <c r="NDY10" s="479"/>
      <c r="NDZ10" s="479"/>
      <c r="NEA10" s="479"/>
      <c r="NEB10" s="479"/>
      <c r="NEC10" s="479"/>
      <c r="NED10" s="479"/>
      <c r="NEE10" s="593"/>
      <c r="NEF10" s="594"/>
      <c r="NEG10" s="594"/>
      <c r="NEH10" s="594"/>
      <c r="NEI10" s="594"/>
      <c r="NEJ10" s="594"/>
      <c r="NEK10" s="594"/>
      <c r="NEL10" s="594"/>
      <c r="NEM10" s="594"/>
      <c r="NEN10" s="594"/>
      <c r="NEO10" s="479"/>
      <c r="NEP10" s="479"/>
      <c r="NEQ10" s="479"/>
      <c r="NER10" s="479"/>
      <c r="NES10" s="479"/>
      <c r="NET10" s="479"/>
      <c r="NEU10" s="479"/>
      <c r="NEV10" s="479"/>
      <c r="NEW10" s="479"/>
      <c r="NEX10" s="479"/>
      <c r="NEY10" s="479"/>
      <c r="NEZ10" s="593"/>
      <c r="NFA10" s="594"/>
      <c r="NFB10" s="594"/>
      <c r="NFC10" s="594"/>
      <c r="NFD10" s="594"/>
      <c r="NFE10" s="594"/>
      <c r="NFF10" s="594"/>
      <c r="NFG10" s="594"/>
      <c r="NFH10" s="594"/>
      <c r="NFI10" s="594"/>
      <c r="NFJ10" s="479"/>
      <c r="NFK10" s="479"/>
      <c r="NFL10" s="479"/>
      <c r="NFM10" s="479"/>
      <c r="NFN10" s="479"/>
      <c r="NFO10" s="479"/>
      <c r="NFP10" s="479"/>
      <c r="NFQ10" s="479"/>
      <c r="NFR10" s="479"/>
      <c r="NFS10" s="479"/>
      <c r="NFT10" s="479"/>
      <c r="NFU10" s="593"/>
      <c r="NFV10" s="594"/>
      <c r="NFW10" s="594"/>
      <c r="NFX10" s="594"/>
      <c r="NFY10" s="594"/>
      <c r="NFZ10" s="594"/>
      <c r="NGA10" s="594"/>
      <c r="NGB10" s="594"/>
      <c r="NGC10" s="594"/>
      <c r="NGD10" s="594"/>
      <c r="NGE10" s="479"/>
      <c r="NGF10" s="479"/>
      <c r="NGG10" s="479"/>
      <c r="NGH10" s="479"/>
      <c r="NGI10" s="479"/>
      <c r="NGJ10" s="479"/>
      <c r="NGK10" s="479"/>
      <c r="NGL10" s="479"/>
      <c r="NGM10" s="479"/>
      <c r="NGN10" s="479"/>
      <c r="NGO10" s="479"/>
      <c r="NGP10" s="593"/>
      <c r="NGQ10" s="594"/>
      <c r="NGR10" s="594"/>
      <c r="NGS10" s="594"/>
      <c r="NGT10" s="594"/>
      <c r="NGU10" s="594"/>
      <c r="NGV10" s="594"/>
      <c r="NGW10" s="594"/>
      <c r="NGX10" s="594"/>
      <c r="NGY10" s="594"/>
      <c r="NGZ10" s="479"/>
      <c r="NHA10" s="479"/>
      <c r="NHB10" s="479"/>
      <c r="NHC10" s="479"/>
      <c r="NHD10" s="479"/>
      <c r="NHE10" s="479"/>
      <c r="NHF10" s="479"/>
      <c r="NHG10" s="479"/>
      <c r="NHH10" s="479"/>
      <c r="NHI10" s="479"/>
      <c r="NHJ10" s="479"/>
      <c r="NHK10" s="593"/>
      <c r="NHL10" s="594"/>
      <c r="NHM10" s="594"/>
      <c r="NHN10" s="594"/>
      <c r="NHO10" s="594"/>
      <c r="NHP10" s="594"/>
      <c r="NHQ10" s="594"/>
      <c r="NHR10" s="594"/>
      <c r="NHS10" s="594"/>
      <c r="NHT10" s="594"/>
      <c r="NHU10" s="479"/>
      <c r="NHV10" s="479"/>
      <c r="NHW10" s="479"/>
      <c r="NHX10" s="479"/>
      <c r="NHY10" s="479"/>
      <c r="NHZ10" s="479"/>
      <c r="NIA10" s="479"/>
      <c r="NIB10" s="479"/>
      <c r="NIC10" s="479"/>
      <c r="NID10" s="479"/>
      <c r="NIE10" s="479"/>
      <c r="NIF10" s="593"/>
      <c r="NIG10" s="594"/>
      <c r="NIH10" s="594"/>
      <c r="NII10" s="594"/>
      <c r="NIJ10" s="594"/>
      <c r="NIK10" s="594"/>
      <c r="NIL10" s="594"/>
      <c r="NIM10" s="594"/>
      <c r="NIN10" s="594"/>
      <c r="NIO10" s="594"/>
      <c r="NIP10" s="479"/>
      <c r="NIQ10" s="479"/>
      <c r="NIR10" s="479"/>
      <c r="NIS10" s="479"/>
      <c r="NIT10" s="479"/>
      <c r="NIU10" s="479"/>
      <c r="NIV10" s="479"/>
      <c r="NIW10" s="479"/>
      <c r="NIX10" s="479"/>
      <c r="NIY10" s="479"/>
      <c r="NIZ10" s="479"/>
      <c r="NJA10" s="593"/>
      <c r="NJB10" s="594"/>
      <c r="NJC10" s="594"/>
      <c r="NJD10" s="594"/>
      <c r="NJE10" s="594"/>
      <c r="NJF10" s="594"/>
      <c r="NJG10" s="594"/>
      <c r="NJH10" s="594"/>
      <c r="NJI10" s="594"/>
      <c r="NJJ10" s="594"/>
      <c r="NJK10" s="479"/>
      <c r="NJL10" s="479"/>
      <c r="NJM10" s="479"/>
      <c r="NJN10" s="479"/>
      <c r="NJO10" s="479"/>
      <c r="NJP10" s="479"/>
      <c r="NJQ10" s="479"/>
      <c r="NJR10" s="479"/>
      <c r="NJS10" s="479"/>
      <c r="NJT10" s="479"/>
      <c r="NJU10" s="479"/>
      <c r="NJV10" s="593"/>
      <c r="NJW10" s="594"/>
      <c r="NJX10" s="594"/>
      <c r="NJY10" s="594"/>
      <c r="NJZ10" s="594"/>
      <c r="NKA10" s="594"/>
      <c r="NKB10" s="594"/>
      <c r="NKC10" s="594"/>
      <c r="NKD10" s="594"/>
      <c r="NKE10" s="594"/>
      <c r="NKF10" s="479"/>
      <c r="NKG10" s="479"/>
      <c r="NKH10" s="479"/>
      <c r="NKI10" s="479"/>
      <c r="NKJ10" s="479"/>
      <c r="NKK10" s="479"/>
      <c r="NKL10" s="479"/>
      <c r="NKM10" s="479"/>
      <c r="NKN10" s="479"/>
      <c r="NKO10" s="479"/>
      <c r="NKP10" s="479"/>
      <c r="NKQ10" s="593"/>
      <c r="NKR10" s="594"/>
      <c r="NKS10" s="594"/>
      <c r="NKT10" s="594"/>
      <c r="NKU10" s="594"/>
      <c r="NKV10" s="594"/>
      <c r="NKW10" s="594"/>
      <c r="NKX10" s="594"/>
      <c r="NKY10" s="594"/>
      <c r="NKZ10" s="594"/>
      <c r="NLA10" s="479"/>
      <c r="NLB10" s="479"/>
      <c r="NLC10" s="479"/>
      <c r="NLD10" s="479"/>
      <c r="NLE10" s="479"/>
      <c r="NLF10" s="479"/>
      <c r="NLG10" s="479"/>
      <c r="NLH10" s="479"/>
      <c r="NLI10" s="479"/>
      <c r="NLJ10" s="479"/>
      <c r="NLK10" s="479"/>
      <c r="NLL10" s="593"/>
      <c r="NLM10" s="594"/>
      <c r="NLN10" s="594"/>
      <c r="NLO10" s="594"/>
      <c r="NLP10" s="594"/>
      <c r="NLQ10" s="594"/>
      <c r="NLR10" s="594"/>
      <c r="NLS10" s="594"/>
      <c r="NLT10" s="594"/>
      <c r="NLU10" s="594"/>
      <c r="NLV10" s="479"/>
      <c r="NLW10" s="479"/>
      <c r="NLX10" s="479"/>
      <c r="NLY10" s="479"/>
      <c r="NLZ10" s="479"/>
      <c r="NMA10" s="479"/>
      <c r="NMB10" s="479"/>
      <c r="NMC10" s="479"/>
      <c r="NMD10" s="479"/>
      <c r="NME10" s="479"/>
      <c r="NMF10" s="479"/>
      <c r="NMG10" s="593"/>
      <c r="NMH10" s="594"/>
      <c r="NMI10" s="594"/>
      <c r="NMJ10" s="594"/>
      <c r="NMK10" s="594"/>
      <c r="NML10" s="594"/>
      <c r="NMM10" s="594"/>
      <c r="NMN10" s="594"/>
      <c r="NMO10" s="594"/>
      <c r="NMP10" s="594"/>
      <c r="NMQ10" s="479"/>
      <c r="NMR10" s="479"/>
      <c r="NMS10" s="479"/>
      <c r="NMT10" s="479"/>
      <c r="NMU10" s="479"/>
      <c r="NMV10" s="479"/>
      <c r="NMW10" s="479"/>
      <c r="NMX10" s="479"/>
      <c r="NMY10" s="479"/>
      <c r="NMZ10" s="479"/>
      <c r="NNA10" s="479"/>
      <c r="NNB10" s="593"/>
      <c r="NNC10" s="594"/>
      <c r="NND10" s="594"/>
      <c r="NNE10" s="594"/>
      <c r="NNF10" s="594"/>
      <c r="NNG10" s="594"/>
      <c r="NNH10" s="594"/>
      <c r="NNI10" s="594"/>
      <c r="NNJ10" s="594"/>
      <c r="NNK10" s="594"/>
      <c r="NNL10" s="479"/>
      <c r="NNM10" s="479"/>
      <c r="NNN10" s="479"/>
      <c r="NNO10" s="479"/>
      <c r="NNP10" s="479"/>
      <c r="NNQ10" s="479"/>
      <c r="NNR10" s="479"/>
      <c r="NNS10" s="479"/>
      <c r="NNT10" s="479"/>
      <c r="NNU10" s="479"/>
      <c r="NNV10" s="479"/>
      <c r="NNW10" s="593"/>
      <c r="NNX10" s="594"/>
      <c r="NNY10" s="594"/>
      <c r="NNZ10" s="594"/>
      <c r="NOA10" s="594"/>
      <c r="NOB10" s="594"/>
      <c r="NOC10" s="594"/>
      <c r="NOD10" s="594"/>
      <c r="NOE10" s="594"/>
      <c r="NOF10" s="594"/>
      <c r="NOG10" s="479"/>
      <c r="NOH10" s="479"/>
      <c r="NOI10" s="479"/>
      <c r="NOJ10" s="479"/>
      <c r="NOK10" s="479"/>
      <c r="NOL10" s="479"/>
      <c r="NOM10" s="479"/>
      <c r="NON10" s="479"/>
      <c r="NOO10" s="479"/>
      <c r="NOP10" s="479"/>
      <c r="NOQ10" s="479"/>
      <c r="NOR10" s="593"/>
      <c r="NOS10" s="594"/>
      <c r="NOT10" s="594"/>
      <c r="NOU10" s="594"/>
      <c r="NOV10" s="594"/>
      <c r="NOW10" s="594"/>
      <c r="NOX10" s="594"/>
      <c r="NOY10" s="594"/>
      <c r="NOZ10" s="594"/>
      <c r="NPA10" s="594"/>
      <c r="NPB10" s="479"/>
      <c r="NPC10" s="479"/>
      <c r="NPD10" s="479"/>
      <c r="NPE10" s="479"/>
      <c r="NPF10" s="479"/>
      <c r="NPG10" s="479"/>
      <c r="NPH10" s="479"/>
      <c r="NPI10" s="479"/>
      <c r="NPJ10" s="479"/>
      <c r="NPK10" s="479"/>
      <c r="NPL10" s="479"/>
      <c r="NPM10" s="593"/>
      <c r="NPN10" s="594"/>
      <c r="NPO10" s="594"/>
      <c r="NPP10" s="594"/>
      <c r="NPQ10" s="594"/>
      <c r="NPR10" s="594"/>
      <c r="NPS10" s="594"/>
      <c r="NPT10" s="594"/>
      <c r="NPU10" s="594"/>
      <c r="NPV10" s="594"/>
      <c r="NPW10" s="479"/>
      <c r="NPX10" s="479"/>
      <c r="NPY10" s="479"/>
      <c r="NPZ10" s="479"/>
      <c r="NQA10" s="479"/>
      <c r="NQB10" s="479"/>
      <c r="NQC10" s="479"/>
      <c r="NQD10" s="479"/>
      <c r="NQE10" s="479"/>
      <c r="NQF10" s="479"/>
      <c r="NQG10" s="479"/>
      <c r="NQH10" s="593"/>
      <c r="NQI10" s="594"/>
      <c r="NQJ10" s="594"/>
      <c r="NQK10" s="594"/>
      <c r="NQL10" s="594"/>
      <c r="NQM10" s="594"/>
      <c r="NQN10" s="594"/>
      <c r="NQO10" s="594"/>
      <c r="NQP10" s="594"/>
      <c r="NQQ10" s="594"/>
      <c r="NQR10" s="479"/>
      <c r="NQS10" s="479"/>
      <c r="NQT10" s="479"/>
      <c r="NQU10" s="479"/>
      <c r="NQV10" s="479"/>
      <c r="NQW10" s="479"/>
      <c r="NQX10" s="479"/>
      <c r="NQY10" s="479"/>
      <c r="NQZ10" s="479"/>
      <c r="NRA10" s="479"/>
      <c r="NRB10" s="479"/>
      <c r="NRC10" s="593"/>
      <c r="NRD10" s="594"/>
      <c r="NRE10" s="594"/>
      <c r="NRF10" s="594"/>
      <c r="NRG10" s="594"/>
      <c r="NRH10" s="594"/>
      <c r="NRI10" s="594"/>
      <c r="NRJ10" s="594"/>
      <c r="NRK10" s="594"/>
      <c r="NRL10" s="594"/>
      <c r="NRM10" s="479"/>
      <c r="NRN10" s="479"/>
      <c r="NRO10" s="479"/>
      <c r="NRP10" s="479"/>
      <c r="NRQ10" s="479"/>
      <c r="NRR10" s="479"/>
      <c r="NRS10" s="479"/>
      <c r="NRT10" s="479"/>
      <c r="NRU10" s="479"/>
      <c r="NRV10" s="479"/>
      <c r="NRW10" s="479"/>
      <c r="NRX10" s="593"/>
      <c r="NRY10" s="594"/>
      <c r="NRZ10" s="594"/>
      <c r="NSA10" s="594"/>
      <c r="NSB10" s="594"/>
      <c r="NSC10" s="594"/>
      <c r="NSD10" s="594"/>
      <c r="NSE10" s="594"/>
      <c r="NSF10" s="594"/>
      <c r="NSG10" s="594"/>
      <c r="NSH10" s="479"/>
      <c r="NSI10" s="479"/>
      <c r="NSJ10" s="479"/>
      <c r="NSK10" s="479"/>
      <c r="NSL10" s="479"/>
      <c r="NSM10" s="479"/>
      <c r="NSN10" s="479"/>
      <c r="NSO10" s="479"/>
      <c r="NSP10" s="479"/>
      <c r="NSQ10" s="479"/>
      <c r="NSR10" s="479"/>
      <c r="NSS10" s="593"/>
      <c r="NST10" s="594"/>
      <c r="NSU10" s="594"/>
      <c r="NSV10" s="594"/>
      <c r="NSW10" s="594"/>
      <c r="NSX10" s="594"/>
      <c r="NSY10" s="594"/>
      <c r="NSZ10" s="594"/>
      <c r="NTA10" s="594"/>
      <c r="NTB10" s="594"/>
      <c r="NTC10" s="479"/>
      <c r="NTD10" s="479"/>
      <c r="NTE10" s="479"/>
      <c r="NTF10" s="479"/>
      <c r="NTG10" s="479"/>
      <c r="NTH10" s="479"/>
      <c r="NTI10" s="479"/>
      <c r="NTJ10" s="479"/>
      <c r="NTK10" s="479"/>
      <c r="NTL10" s="479"/>
      <c r="NTM10" s="479"/>
      <c r="NTN10" s="593"/>
      <c r="NTO10" s="594"/>
      <c r="NTP10" s="594"/>
      <c r="NTQ10" s="594"/>
      <c r="NTR10" s="594"/>
      <c r="NTS10" s="594"/>
      <c r="NTT10" s="594"/>
      <c r="NTU10" s="594"/>
      <c r="NTV10" s="594"/>
      <c r="NTW10" s="594"/>
      <c r="NTX10" s="479"/>
      <c r="NTY10" s="479"/>
      <c r="NTZ10" s="479"/>
      <c r="NUA10" s="479"/>
      <c r="NUB10" s="479"/>
      <c r="NUC10" s="479"/>
      <c r="NUD10" s="479"/>
      <c r="NUE10" s="479"/>
      <c r="NUF10" s="479"/>
      <c r="NUG10" s="479"/>
      <c r="NUH10" s="479"/>
      <c r="NUI10" s="593"/>
      <c r="NUJ10" s="594"/>
      <c r="NUK10" s="594"/>
      <c r="NUL10" s="594"/>
      <c r="NUM10" s="594"/>
      <c r="NUN10" s="594"/>
      <c r="NUO10" s="594"/>
      <c r="NUP10" s="594"/>
      <c r="NUQ10" s="594"/>
      <c r="NUR10" s="594"/>
      <c r="NUS10" s="479"/>
      <c r="NUT10" s="479"/>
      <c r="NUU10" s="479"/>
      <c r="NUV10" s="479"/>
      <c r="NUW10" s="479"/>
      <c r="NUX10" s="479"/>
      <c r="NUY10" s="479"/>
      <c r="NUZ10" s="479"/>
      <c r="NVA10" s="479"/>
      <c r="NVB10" s="479"/>
      <c r="NVC10" s="479"/>
      <c r="NVD10" s="593"/>
      <c r="NVE10" s="594"/>
      <c r="NVF10" s="594"/>
      <c r="NVG10" s="594"/>
      <c r="NVH10" s="594"/>
      <c r="NVI10" s="594"/>
      <c r="NVJ10" s="594"/>
      <c r="NVK10" s="594"/>
      <c r="NVL10" s="594"/>
      <c r="NVM10" s="594"/>
      <c r="NVN10" s="479"/>
      <c r="NVO10" s="479"/>
      <c r="NVP10" s="479"/>
      <c r="NVQ10" s="479"/>
      <c r="NVR10" s="479"/>
      <c r="NVS10" s="479"/>
      <c r="NVT10" s="479"/>
      <c r="NVU10" s="479"/>
      <c r="NVV10" s="479"/>
      <c r="NVW10" s="479"/>
      <c r="NVX10" s="479"/>
      <c r="NVY10" s="593"/>
      <c r="NVZ10" s="594"/>
      <c r="NWA10" s="594"/>
      <c r="NWB10" s="594"/>
      <c r="NWC10" s="594"/>
      <c r="NWD10" s="594"/>
      <c r="NWE10" s="594"/>
      <c r="NWF10" s="594"/>
      <c r="NWG10" s="594"/>
      <c r="NWH10" s="594"/>
      <c r="NWI10" s="479"/>
      <c r="NWJ10" s="479"/>
      <c r="NWK10" s="479"/>
      <c r="NWL10" s="479"/>
      <c r="NWM10" s="479"/>
      <c r="NWN10" s="479"/>
      <c r="NWO10" s="479"/>
      <c r="NWP10" s="479"/>
      <c r="NWQ10" s="479"/>
      <c r="NWR10" s="479"/>
      <c r="NWS10" s="479"/>
      <c r="NWT10" s="593"/>
      <c r="NWU10" s="594"/>
      <c r="NWV10" s="594"/>
      <c r="NWW10" s="594"/>
      <c r="NWX10" s="594"/>
      <c r="NWY10" s="594"/>
      <c r="NWZ10" s="594"/>
      <c r="NXA10" s="594"/>
      <c r="NXB10" s="594"/>
      <c r="NXC10" s="594"/>
      <c r="NXD10" s="479"/>
      <c r="NXE10" s="479"/>
      <c r="NXF10" s="479"/>
      <c r="NXG10" s="479"/>
      <c r="NXH10" s="479"/>
      <c r="NXI10" s="479"/>
      <c r="NXJ10" s="479"/>
      <c r="NXK10" s="479"/>
      <c r="NXL10" s="479"/>
      <c r="NXM10" s="479"/>
      <c r="NXN10" s="479"/>
      <c r="NXO10" s="593"/>
      <c r="NXP10" s="594"/>
      <c r="NXQ10" s="594"/>
      <c r="NXR10" s="594"/>
      <c r="NXS10" s="594"/>
      <c r="NXT10" s="594"/>
      <c r="NXU10" s="594"/>
      <c r="NXV10" s="594"/>
      <c r="NXW10" s="594"/>
      <c r="NXX10" s="594"/>
      <c r="NXY10" s="479"/>
      <c r="NXZ10" s="479"/>
      <c r="NYA10" s="479"/>
      <c r="NYB10" s="479"/>
      <c r="NYC10" s="479"/>
      <c r="NYD10" s="479"/>
      <c r="NYE10" s="479"/>
      <c r="NYF10" s="479"/>
      <c r="NYG10" s="479"/>
      <c r="NYH10" s="479"/>
      <c r="NYI10" s="479"/>
      <c r="NYJ10" s="593"/>
      <c r="NYK10" s="594"/>
      <c r="NYL10" s="594"/>
      <c r="NYM10" s="594"/>
      <c r="NYN10" s="594"/>
      <c r="NYO10" s="594"/>
      <c r="NYP10" s="594"/>
      <c r="NYQ10" s="594"/>
      <c r="NYR10" s="594"/>
      <c r="NYS10" s="594"/>
      <c r="NYT10" s="479"/>
      <c r="NYU10" s="479"/>
      <c r="NYV10" s="479"/>
      <c r="NYW10" s="479"/>
      <c r="NYX10" s="479"/>
      <c r="NYY10" s="479"/>
      <c r="NYZ10" s="479"/>
      <c r="NZA10" s="479"/>
      <c r="NZB10" s="479"/>
      <c r="NZC10" s="479"/>
      <c r="NZD10" s="479"/>
      <c r="NZE10" s="593"/>
      <c r="NZF10" s="594"/>
      <c r="NZG10" s="594"/>
      <c r="NZH10" s="594"/>
      <c r="NZI10" s="594"/>
      <c r="NZJ10" s="594"/>
      <c r="NZK10" s="594"/>
      <c r="NZL10" s="594"/>
      <c r="NZM10" s="594"/>
      <c r="NZN10" s="594"/>
      <c r="NZO10" s="479"/>
      <c r="NZP10" s="479"/>
      <c r="NZQ10" s="479"/>
      <c r="NZR10" s="479"/>
      <c r="NZS10" s="479"/>
      <c r="NZT10" s="479"/>
      <c r="NZU10" s="479"/>
      <c r="NZV10" s="479"/>
      <c r="NZW10" s="479"/>
      <c r="NZX10" s="479"/>
      <c r="NZY10" s="479"/>
      <c r="NZZ10" s="593"/>
      <c r="OAA10" s="594"/>
      <c r="OAB10" s="594"/>
      <c r="OAC10" s="594"/>
      <c r="OAD10" s="594"/>
      <c r="OAE10" s="594"/>
      <c r="OAF10" s="594"/>
      <c r="OAG10" s="594"/>
      <c r="OAH10" s="594"/>
      <c r="OAI10" s="594"/>
      <c r="OAJ10" s="479"/>
      <c r="OAK10" s="479"/>
      <c r="OAL10" s="479"/>
      <c r="OAM10" s="479"/>
      <c r="OAN10" s="479"/>
      <c r="OAO10" s="479"/>
      <c r="OAP10" s="479"/>
      <c r="OAQ10" s="479"/>
      <c r="OAR10" s="479"/>
      <c r="OAS10" s="479"/>
      <c r="OAT10" s="479"/>
      <c r="OAU10" s="593"/>
      <c r="OAV10" s="594"/>
      <c r="OAW10" s="594"/>
      <c r="OAX10" s="594"/>
      <c r="OAY10" s="594"/>
      <c r="OAZ10" s="594"/>
      <c r="OBA10" s="594"/>
      <c r="OBB10" s="594"/>
      <c r="OBC10" s="594"/>
      <c r="OBD10" s="594"/>
      <c r="OBE10" s="479"/>
      <c r="OBF10" s="479"/>
      <c r="OBG10" s="479"/>
      <c r="OBH10" s="479"/>
      <c r="OBI10" s="479"/>
      <c r="OBJ10" s="479"/>
      <c r="OBK10" s="479"/>
      <c r="OBL10" s="479"/>
      <c r="OBM10" s="479"/>
      <c r="OBN10" s="479"/>
      <c r="OBO10" s="479"/>
      <c r="OBP10" s="593"/>
      <c r="OBQ10" s="594"/>
      <c r="OBR10" s="594"/>
      <c r="OBS10" s="594"/>
      <c r="OBT10" s="594"/>
      <c r="OBU10" s="594"/>
      <c r="OBV10" s="594"/>
      <c r="OBW10" s="594"/>
      <c r="OBX10" s="594"/>
      <c r="OBY10" s="594"/>
      <c r="OBZ10" s="479"/>
      <c r="OCA10" s="479"/>
      <c r="OCB10" s="479"/>
      <c r="OCC10" s="479"/>
      <c r="OCD10" s="479"/>
      <c r="OCE10" s="479"/>
      <c r="OCF10" s="479"/>
      <c r="OCG10" s="479"/>
      <c r="OCH10" s="479"/>
      <c r="OCI10" s="479"/>
      <c r="OCJ10" s="479"/>
      <c r="OCK10" s="593"/>
      <c r="OCL10" s="594"/>
      <c r="OCM10" s="594"/>
      <c r="OCN10" s="594"/>
      <c r="OCO10" s="594"/>
      <c r="OCP10" s="594"/>
      <c r="OCQ10" s="594"/>
      <c r="OCR10" s="594"/>
      <c r="OCS10" s="594"/>
      <c r="OCT10" s="594"/>
      <c r="OCU10" s="479"/>
      <c r="OCV10" s="479"/>
      <c r="OCW10" s="479"/>
      <c r="OCX10" s="479"/>
      <c r="OCY10" s="479"/>
      <c r="OCZ10" s="479"/>
      <c r="ODA10" s="479"/>
      <c r="ODB10" s="479"/>
      <c r="ODC10" s="479"/>
      <c r="ODD10" s="479"/>
      <c r="ODE10" s="479"/>
      <c r="ODF10" s="593"/>
      <c r="ODG10" s="594"/>
      <c r="ODH10" s="594"/>
      <c r="ODI10" s="594"/>
      <c r="ODJ10" s="594"/>
      <c r="ODK10" s="594"/>
      <c r="ODL10" s="594"/>
      <c r="ODM10" s="594"/>
      <c r="ODN10" s="594"/>
      <c r="ODO10" s="594"/>
      <c r="ODP10" s="479"/>
      <c r="ODQ10" s="479"/>
      <c r="ODR10" s="479"/>
      <c r="ODS10" s="479"/>
      <c r="ODT10" s="479"/>
      <c r="ODU10" s="479"/>
      <c r="ODV10" s="479"/>
      <c r="ODW10" s="479"/>
      <c r="ODX10" s="479"/>
      <c r="ODY10" s="479"/>
      <c r="ODZ10" s="479"/>
      <c r="OEA10" s="593"/>
      <c r="OEB10" s="594"/>
      <c r="OEC10" s="594"/>
      <c r="OED10" s="594"/>
      <c r="OEE10" s="594"/>
      <c r="OEF10" s="594"/>
      <c r="OEG10" s="594"/>
      <c r="OEH10" s="594"/>
      <c r="OEI10" s="594"/>
      <c r="OEJ10" s="594"/>
      <c r="OEK10" s="479"/>
      <c r="OEL10" s="479"/>
      <c r="OEM10" s="479"/>
      <c r="OEN10" s="479"/>
      <c r="OEO10" s="479"/>
      <c r="OEP10" s="479"/>
      <c r="OEQ10" s="479"/>
      <c r="OER10" s="479"/>
      <c r="OES10" s="479"/>
      <c r="OET10" s="479"/>
      <c r="OEU10" s="479"/>
      <c r="OEV10" s="593"/>
      <c r="OEW10" s="594"/>
      <c r="OEX10" s="594"/>
      <c r="OEY10" s="594"/>
      <c r="OEZ10" s="594"/>
      <c r="OFA10" s="594"/>
      <c r="OFB10" s="594"/>
      <c r="OFC10" s="594"/>
      <c r="OFD10" s="594"/>
      <c r="OFE10" s="594"/>
      <c r="OFF10" s="479"/>
      <c r="OFG10" s="479"/>
      <c r="OFH10" s="479"/>
      <c r="OFI10" s="479"/>
      <c r="OFJ10" s="479"/>
      <c r="OFK10" s="479"/>
      <c r="OFL10" s="479"/>
      <c r="OFM10" s="479"/>
      <c r="OFN10" s="479"/>
      <c r="OFO10" s="479"/>
      <c r="OFP10" s="479"/>
      <c r="OFQ10" s="593"/>
      <c r="OFR10" s="594"/>
      <c r="OFS10" s="594"/>
      <c r="OFT10" s="594"/>
      <c r="OFU10" s="594"/>
      <c r="OFV10" s="594"/>
      <c r="OFW10" s="594"/>
      <c r="OFX10" s="594"/>
      <c r="OFY10" s="594"/>
      <c r="OFZ10" s="594"/>
      <c r="OGA10" s="479"/>
      <c r="OGB10" s="479"/>
      <c r="OGC10" s="479"/>
      <c r="OGD10" s="479"/>
      <c r="OGE10" s="479"/>
      <c r="OGF10" s="479"/>
      <c r="OGG10" s="479"/>
      <c r="OGH10" s="479"/>
      <c r="OGI10" s="479"/>
      <c r="OGJ10" s="479"/>
      <c r="OGK10" s="479"/>
      <c r="OGL10" s="593"/>
      <c r="OGM10" s="594"/>
      <c r="OGN10" s="594"/>
      <c r="OGO10" s="594"/>
      <c r="OGP10" s="594"/>
      <c r="OGQ10" s="594"/>
      <c r="OGR10" s="594"/>
      <c r="OGS10" s="594"/>
      <c r="OGT10" s="594"/>
      <c r="OGU10" s="594"/>
      <c r="OGV10" s="479"/>
      <c r="OGW10" s="479"/>
      <c r="OGX10" s="479"/>
      <c r="OGY10" s="479"/>
      <c r="OGZ10" s="479"/>
      <c r="OHA10" s="479"/>
      <c r="OHB10" s="479"/>
      <c r="OHC10" s="479"/>
      <c r="OHD10" s="479"/>
      <c r="OHE10" s="479"/>
      <c r="OHF10" s="479"/>
      <c r="OHG10" s="593"/>
      <c r="OHH10" s="594"/>
      <c r="OHI10" s="594"/>
      <c r="OHJ10" s="594"/>
      <c r="OHK10" s="594"/>
      <c r="OHL10" s="594"/>
      <c r="OHM10" s="594"/>
      <c r="OHN10" s="594"/>
      <c r="OHO10" s="594"/>
      <c r="OHP10" s="594"/>
      <c r="OHQ10" s="479"/>
      <c r="OHR10" s="479"/>
      <c r="OHS10" s="479"/>
      <c r="OHT10" s="479"/>
      <c r="OHU10" s="479"/>
      <c r="OHV10" s="479"/>
      <c r="OHW10" s="479"/>
      <c r="OHX10" s="479"/>
      <c r="OHY10" s="479"/>
      <c r="OHZ10" s="479"/>
      <c r="OIA10" s="479"/>
      <c r="OIB10" s="593"/>
      <c r="OIC10" s="594"/>
      <c r="OID10" s="594"/>
      <c r="OIE10" s="594"/>
      <c r="OIF10" s="594"/>
      <c r="OIG10" s="594"/>
      <c r="OIH10" s="594"/>
      <c r="OII10" s="594"/>
      <c r="OIJ10" s="594"/>
      <c r="OIK10" s="594"/>
      <c r="OIL10" s="479"/>
      <c r="OIM10" s="479"/>
      <c r="OIN10" s="479"/>
      <c r="OIO10" s="479"/>
      <c r="OIP10" s="479"/>
      <c r="OIQ10" s="479"/>
      <c r="OIR10" s="479"/>
      <c r="OIS10" s="479"/>
      <c r="OIT10" s="479"/>
      <c r="OIU10" s="479"/>
      <c r="OIV10" s="479"/>
      <c r="OIW10" s="593"/>
      <c r="OIX10" s="594"/>
      <c r="OIY10" s="594"/>
      <c r="OIZ10" s="594"/>
      <c r="OJA10" s="594"/>
      <c r="OJB10" s="594"/>
      <c r="OJC10" s="594"/>
      <c r="OJD10" s="594"/>
      <c r="OJE10" s="594"/>
      <c r="OJF10" s="594"/>
      <c r="OJG10" s="479"/>
      <c r="OJH10" s="479"/>
      <c r="OJI10" s="479"/>
      <c r="OJJ10" s="479"/>
      <c r="OJK10" s="479"/>
      <c r="OJL10" s="479"/>
      <c r="OJM10" s="479"/>
      <c r="OJN10" s="479"/>
      <c r="OJO10" s="479"/>
      <c r="OJP10" s="479"/>
      <c r="OJQ10" s="479"/>
      <c r="OJR10" s="593"/>
      <c r="OJS10" s="594"/>
      <c r="OJT10" s="594"/>
      <c r="OJU10" s="594"/>
      <c r="OJV10" s="594"/>
      <c r="OJW10" s="594"/>
      <c r="OJX10" s="594"/>
      <c r="OJY10" s="594"/>
      <c r="OJZ10" s="594"/>
      <c r="OKA10" s="594"/>
      <c r="OKB10" s="479"/>
      <c r="OKC10" s="479"/>
      <c r="OKD10" s="479"/>
      <c r="OKE10" s="479"/>
      <c r="OKF10" s="479"/>
      <c r="OKG10" s="479"/>
      <c r="OKH10" s="479"/>
      <c r="OKI10" s="479"/>
      <c r="OKJ10" s="479"/>
      <c r="OKK10" s="479"/>
      <c r="OKL10" s="479"/>
      <c r="OKM10" s="593"/>
      <c r="OKN10" s="594"/>
      <c r="OKO10" s="594"/>
      <c r="OKP10" s="594"/>
      <c r="OKQ10" s="594"/>
      <c r="OKR10" s="594"/>
      <c r="OKS10" s="594"/>
      <c r="OKT10" s="594"/>
      <c r="OKU10" s="594"/>
      <c r="OKV10" s="594"/>
      <c r="OKW10" s="479"/>
      <c r="OKX10" s="479"/>
      <c r="OKY10" s="479"/>
      <c r="OKZ10" s="479"/>
      <c r="OLA10" s="479"/>
      <c r="OLB10" s="479"/>
      <c r="OLC10" s="479"/>
      <c r="OLD10" s="479"/>
      <c r="OLE10" s="479"/>
      <c r="OLF10" s="479"/>
      <c r="OLG10" s="479"/>
      <c r="OLH10" s="593"/>
      <c r="OLI10" s="594"/>
      <c r="OLJ10" s="594"/>
      <c r="OLK10" s="594"/>
      <c r="OLL10" s="594"/>
      <c r="OLM10" s="594"/>
      <c r="OLN10" s="594"/>
      <c r="OLO10" s="594"/>
      <c r="OLP10" s="594"/>
      <c r="OLQ10" s="594"/>
      <c r="OLR10" s="479"/>
      <c r="OLS10" s="479"/>
      <c r="OLT10" s="479"/>
      <c r="OLU10" s="479"/>
      <c r="OLV10" s="479"/>
      <c r="OLW10" s="479"/>
      <c r="OLX10" s="479"/>
      <c r="OLY10" s="479"/>
      <c r="OLZ10" s="479"/>
      <c r="OMA10" s="479"/>
      <c r="OMB10" s="479"/>
      <c r="OMC10" s="593"/>
      <c r="OMD10" s="594"/>
      <c r="OME10" s="594"/>
      <c r="OMF10" s="594"/>
      <c r="OMG10" s="594"/>
      <c r="OMH10" s="594"/>
      <c r="OMI10" s="594"/>
      <c r="OMJ10" s="594"/>
      <c r="OMK10" s="594"/>
      <c r="OML10" s="594"/>
      <c r="OMM10" s="479"/>
      <c r="OMN10" s="479"/>
      <c r="OMO10" s="479"/>
      <c r="OMP10" s="479"/>
      <c r="OMQ10" s="479"/>
      <c r="OMR10" s="479"/>
      <c r="OMS10" s="479"/>
      <c r="OMT10" s="479"/>
      <c r="OMU10" s="479"/>
      <c r="OMV10" s="479"/>
      <c r="OMW10" s="479"/>
      <c r="OMX10" s="593"/>
      <c r="OMY10" s="594"/>
      <c r="OMZ10" s="594"/>
      <c r="ONA10" s="594"/>
      <c r="ONB10" s="594"/>
      <c r="ONC10" s="594"/>
      <c r="OND10" s="594"/>
      <c r="ONE10" s="594"/>
      <c r="ONF10" s="594"/>
      <c r="ONG10" s="594"/>
      <c r="ONH10" s="479"/>
      <c r="ONI10" s="479"/>
      <c r="ONJ10" s="479"/>
      <c r="ONK10" s="479"/>
      <c r="ONL10" s="479"/>
      <c r="ONM10" s="479"/>
      <c r="ONN10" s="479"/>
      <c r="ONO10" s="479"/>
      <c r="ONP10" s="479"/>
      <c r="ONQ10" s="479"/>
      <c r="ONR10" s="479"/>
      <c r="ONS10" s="593"/>
      <c r="ONT10" s="594"/>
      <c r="ONU10" s="594"/>
      <c r="ONV10" s="594"/>
      <c r="ONW10" s="594"/>
      <c r="ONX10" s="594"/>
      <c r="ONY10" s="594"/>
      <c r="ONZ10" s="594"/>
      <c r="OOA10" s="594"/>
      <c r="OOB10" s="594"/>
      <c r="OOC10" s="479"/>
      <c r="OOD10" s="479"/>
      <c r="OOE10" s="479"/>
      <c r="OOF10" s="479"/>
      <c r="OOG10" s="479"/>
      <c r="OOH10" s="479"/>
      <c r="OOI10" s="479"/>
      <c r="OOJ10" s="479"/>
      <c r="OOK10" s="479"/>
      <c r="OOL10" s="479"/>
      <c r="OOM10" s="479"/>
      <c r="OON10" s="593"/>
      <c r="OOO10" s="594"/>
      <c r="OOP10" s="594"/>
      <c r="OOQ10" s="594"/>
      <c r="OOR10" s="594"/>
      <c r="OOS10" s="594"/>
      <c r="OOT10" s="594"/>
      <c r="OOU10" s="594"/>
      <c r="OOV10" s="594"/>
      <c r="OOW10" s="594"/>
      <c r="OOX10" s="479"/>
      <c r="OOY10" s="479"/>
      <c r="OOZ10" s="479"/>
      <c r="OPA10" s="479"/>
      <c r="OPB10" s="479"/>
      <c r="OPC10" s="479"/>
      <c r="OPD10" s="479"/>
      <c r="OPE10" s="479"/>
      <c r="OPF10" s="479"/>
      <c r="OPG10" s="479"/>
      <c r="OPH10" s="479"/>
      <c r="OPI10" s="593"/>
      <c r="OPJ10" s="594"/>
      <c r="OPK10" s="594"/>
      <c r="OPL10" s="594"/>
      <c r="OPM10" s="594"/>
      <c r="OPN10" s="594"/>
      <c r="OPO10" s="594"/>
      <c r="OPP10" s="594"/>
      <c r="OPQ10" s="594"/>
      <c r="OPR10" s="594"/>
      <c r="OPS10" s="479"/>
      <c r="OPT10" s="479"/>
      <c r="OPU10" s="479"/>
      <c r="OPV10" s="479"/>
      <c r="OPW10" s="479"/>
      <c r="OPX10" s="479"/>
      <c r="OPY10" s="479"/>
      <c r="OPZ10" s="479"/>
      <c r="OQA10" s="479"/>
      <c r="OQB10" s="479"/>
      <c r="OQC10" s="479"/>
      <c r="OQD10" s="593"/>
      <c r="OQE10" s="594"/>
      <c r="OQF10" s="594"/>
      <c r="OQG10" s="594"/>
      <c r="OQH10" s="594"/>
      <c r="OQI10" s="594"/>
      <c r="OQJ10" s="594"/>
      <c r="OQK10" s="594"/>
      <c r="OQL10" s="594"/>
      <c r="OQM10" s="594"/>
      <c r="OQN10" s="479"/>
      <c r="OQO10" s="479"/>
      <c r="OQP10" s="479"/>
      <c r="OQQ10" s="479"/>
      <c r="OQR10" s="479"/>
      <c r="OQS10" s="479"/>
      <c r="OQT10" s="479"/>
      <c r="OQU10" s="479"/>
      <c r="OQV10" s="479"/>
      <c r="OQW10" s="479"/>
      <c r="OQX10" s="479"/>
      <c r="OQY10" s="593"/>
      <c r="OQZ10" s="594"/>
      <c r="ORA10" s="594"/>
      <c r="ORB10" s="594"/>
      <c r="ORC10" s="594"/>
      <c r="ORD10" s="594"/>
      <c r="ORE10" s="594"/>
      <c r="ORF10" s="594"/>
      <c r="ORG10" s="594"/>
      <c r="ORH10" s="594"/>
      <c r="ORI10" s="479"/>
      <c r="ORJ10" s="479"/>
      <c r="ORK10" s="479"/>
      <c r="ORL10" s="479"/>
      <c r="ORM10" s="479"/>
      <c r="ORN10" s="479"/>
      <c r="ORO10" s="479"/>
      <c r="ORP10" s="479"/>
      <c r="ORQ10" s="479"/>
      <c r="ORR10" s="479"/>
      <c r="ORS10" s="479"/>
      <c r="ORT10" s="593"/>
      <c r="ORU10" s="594"/>
      <c r="ORV10" s="594"/>
      <c r="ORW10" s="594"/>
      <c r="ORX10" s="594"/>
      <c r="ORY10" s="594"/>
      <c r="ORZ10" s="594"/>
      <c r="OSA10" s="594"/>
      <c r="OSB10" s="594"/>
      <c r="OSC10" s="594"/>
      <c r="OSD10" s="479"/>
      <c r="OSE10" s="479"/>
      <c r="OSF10" s="479"/>
      <c r="OSG10" s="479"/>
      <c r="OSH10" s="479"/>
      <c r="OSI10" s="479"/>
      <c r="OSJ10" s="479"/>
      <c r="OSK10" s="479"/>
      <c r="OSL10" s="479"/>
      <c r="OSM10" s="479"/>
      <c r="OSN10" s="479"/>
      <c r="OSO10" s="593"/>
      <c r="OSP10" s="594"/>
      <c r="OSQ10" s="594"/>
      <c r="OSR10" s="594"/>
      <c r="OSS10" s="594"/>
      <c r="OST10" s="594"/>
      <c r="OSU10" s="594"/>
      <c r="OSV10" s="594"/>
      <c r="OSW10" s="594"/>
      <c r="OSX10" s="594"/>
      <c r="OSY10" s="479"/>
      <c r="OSZ10" s="479"/>
      <c r="OTA10" s="479"/>
      <c r="OTB10" s="479"/>
      <c r="OTC10" s="479"/>
      <c r="OTD10" s="479"/>
      <c r="OTE10" s="479"/>
      <c r="OTF10" s="479"/>
      <c r="OTG10" s="479"/>
      <c r="OTH10" s="479"/>
      <c r="OTI10" s="479"/>
      <c r="OTJ10" s="593"/>
      <c r="OTK10" s="594"/>
      <c r="OTL10" s="594"/>
      <c r="OTM10" s="594"/>
      <c r="OTN10" s="594"/>
      <c r="OTO10" s="594"/>
      <c r="OTP10" s="594"/>
      <c r="OTQ10" s="594"/>
      <c r="OTR10" s="594"/>
      <c r="OTS10" s="594"/>
      <c r="OTT10" s="479"/>
      <c r="OTU10" s="479"/>
      <c r="OTV10" s="479"/>
      <c r="OTW10" s="479"/>
      <c r="OTX10" s="479"/>
      <c r="OTY10" s="479"/>
      <c r="OTZ10" s="479"/>
      <c r="OUA10" s="479"/>
      <c r="OUB10" s="479"/>
      <c r="OUC10" s="479"/>
      <c r="OUD10" s="479"/>
      <c r="OUE10" s="593"/>
      <c r="OUF10" s="594"/>
      <c r="OUG10" s="594"/>
      <c r="OUH10" s="594"/>
      <c r="OUI10" s="594"/>
      <c r="OUJ10" s="594"/>
      <c r="OUK10" s="594"/>
      <c r="OUL10" s="594"/>
      <c r="OUM10" s="594"/>
      <c r="OUN10" s="594"/>
      <c r="OUO10" s="479"/>
      <c r="OUP10" s="479"/>
      <c r="OUQ10" s="479"/>
      <c r="OUR10" s="479"/>
      <c r="OUS10" s="479"/>
      <c r="OUT10" s="479"/>
      <c r="OUU10" s="479"/>
      <c r="OUV10" s="479"/>
      <c r="OUW10" s="479"/>
      <c r="OUX10" s="479"/>
      <c r="OUY10" s="479"/>
      <c r="OUZ10" s="593"/>
      <c r="OVA10" s="594"/>
      <c r="OVB10" s="594"/>
      <c r="OVC10" s="594"/>
      <c r="OVD10" s="594"/>
      <c r="OVE10" s="594"/>
      <c r="OVF10" s="594"/>
      <c r="OVG10" s="594"/>
      <c r="OVH10" s="594"/>
      <c r="OVI10" s="594"/>
      <c r="OVJ10" s="479"/>
      <c r="OVK10" s="479"/>
      <c r="OVL10" s="479"/>
      <c r="OVM10" s="479"/>
      <c r="OVN10" s="479"/>
      <c r="OVO10" s="479"/>
      <c r="OVP10" s="479"/>
      <c r="OVQ10" s="479"/>
      <c r="OVR10" s="479"/>
      <c r="OVS10" s="479"/>
      <c r="OVT10" s="479"/>
      <c r="OVU10" s="593"/>
      <c r="OVV10" s="594"/>
      <c r="OVW10" s="594"/>
      <c r="OVX10" s="594"/>
      <c r="OVY10" s="594"/>
      <c r="OVZ10" s="594"/>
      <c r="OWA10" s="594"/>
      <c r="OWB10" s="594"/>
      <c r="OWC10" s="594"/>
      <c r="OWD10" s="594"/>
      <c r="OWE10" s="479"/>
      <c r="OWF10" s="479"/>
      <c r="OWG10" s="479"/>
      <c r="OWH10" s="479"/>
      <c r="OWI10" s="479"/>
      <c r="OWJ10" s="479"/>
      <c r="OWK10" s="479"/>
      <c r="OWL10" s="479"/>
      <c r="OWM10" s="479"/>
      <c r="OWN10" s="479"/>
      <c r="OWO10" s="479"/>
      <c r="OWP10" s="593"/>
      <c r="OWQ10" s="594"/>
      <c r="OWR10" s="594"/>
      <c r="OWS10" s="594"/>
      <c r="OWT10" s="594"/>
      <c r="OWU10" s="594"/>
      <c r="OWV10" s="594"/>
      <c r="OWW10" s="594"/>
      <c r="OWX10" s="594"/>
      <c r="OWY10" s="594"/>
      <c r="OWZ10" s="479"/>
      <c r="OXA10" s="479"/>
      <c r="OXB10" s="479"/>
      <c r="OXC10" s="479"/>
      <c r="OXD10" s="479"/>
      <c r="OXE10" s="479"/>
      <c r="OXF10" s="479"/>
      <c r="OXG10" s="479"/>
      <c r="OXH10" s="479"/>
      <c r="OXI10" s="479"/>
      <c r="OXJ10" s="479"/>
      <c r="OXK10" s="593"/>
      <c r="OXL10" s="594"/>
      <c r="OXM10" s="594"/>
      <c r="OXN10" s="594"/>
      <c r="OXO10" s="594"/>
      <c r="OXP10" s="594"/>
      <c r="OXQ10" s="594"/>
      <c r="OXR10" s="594"/>
      <c r="OXS10" s="594"/>
      <c r="OXT10" s="594"/>
      <c r="OXU10" s="479"/>
      <c r="OXV10" s="479"/>
      <c r="OXW10" s="479"/>
      <c r="OXX10" s="479"/>
      <c r="OXY10" s="479"/>
      <c r="OXZ10" s="479"/>
      <c r="OYA10" s="479"/>
      <c r="OYB10" s="479"/>
      <c r="OYC10" s="479"/>
      <c r="OYD10" s="479"/>
      <c r="OYE10" s="479"/>
      <c r="OYF10" s="593"/>
      <c r="OYG10" s="594"/>
      <c r="OYH10" s="594"/>
      <c r="OYI10" s="594"/>
      <c r="OYJ10" s="594"/>
      <c r="OYK10" s="594"/>
      <c r="OYL10" s="594"/>
      <c r="OYM10" s="594"/>
      <c r="OYN10" s="594"/>
      <c r="OYO10" s="594"/>
      <c r="OYP10" s="479"/>
      <c r="OYQ10" s="479"/>
      <c r="OYR10" s="479"/>
      <c r="OYS10" s="479"/>
      <c r="OYT10" s="479"/>
      <c r="OYU10" s="479"/>
      <c r="OYV10" s="479"/>
      <c r="OYW10" s="479"/>
      <c r="OYX10" s="479"/>
      <c r="OYY10" s="479"/>
      <c r="OYZ10" s="479"/>
      <c r="OZA10" s="593"/>
      <c r="OZB10" s="594"/>
      <c r="OZC10" s="594"/>
      <c r="OZD10" s="594"/>
      <c r="OZE10" s="594"/>
      <c r="OZF10" s="594"/>
      <c r="OZG10" s="594"/>
      <c r="OZH10" s="594"/>
      <c r="OZI10" s="594"/>
      <c r="OZJ10" s="594"/>
      <c r="OZK10" s="479"/>
      <c r="OZL10" s="479"/>
      <c r="OZM10" s="479"/>
      <c r="OZN10" s="479"/>
      <c r="OZO10" s="479"/>
      <c r="OZP10" s="479"/>
      <c r="OZQ10" s="479"/>
      <c r="OZR10" s="479"/>
      <c r="OZS10" s="479"/>
      <c r="OZT10" s="479"/>
      <c r="OZU10" s="479"/>
      <c r="OZV10" s="593"/>
      <c r="OZW10" s="594"/>
      <c r="OZX10" s="594"/>
      <c r="OZY10" s="594"/>
      <c r="OZZ10" s="594"/>
      <c r="PAA10" s="594"/>
      <c r="PAB10" s="594"/>
      <c r="PAC10" s="594"/>
      <c r="PAD10" s="594"/>
      <c r="PAE10" s="594"/>
      <c r="PAF10" s="479"/>
      <c r="PAG10" s="479"/>
      <c r="PAH10" s="479"/>
      <c r="PAI10" s="479"/>
      <c r="PAJ10" s="479"/>
      <c r="PAK10" s="479"/>
      <c r="PAL10" s="479"/>
      <c r="PAM10" s="479"/>
      <c r="PAN10" s="479"/>
      <c r="PAO10" s="479"/>
      <c r="PAP10" s="479"/>
      <c r="PAQ10" s="593"/>
      <c r="PAR10" s="594"/>
      <c r="PAS10" s="594"/>
      <c r="PAT10" s="594"/>
      <c r="PAU10" s="594"/>
      <c r="PAV10" s="594"/>
      <c r="PAW10" s="594"/>
      <c r="PAX10" s="594"/>
      <c r="PAY10" s="594"/>
      <c r="PAZ10" s="594"/>
      <c r="PBA10" s="479"/>
      <c r="PBB10" s="479"/>
      <c r="PBC10" s="479"/>
      <c r="PBD10" s="479"/>
      <c r="PBE10" s="479"/>
      <c r="PBF10" s="479"/>
      <c r="PBG10" s="479"/>
      <c r="PBH10" s="479"/>
      <c r="PBI10" s="479"/>
      <c r="PBJ10" s="479"/>
      <c r="PBK10" s="479"/>
      <c r="PBL10" s="593"/>
      <c r="PBM10" s="594"/>
      <c r="PBN10" s="594"/>
      <c r="PBO10" s="594"/>
      <c r="PBP10" s="594"/>
      <c r="PBQ10" s="594"/>
      <c r="PBR10" s="594"/>
      <c r="PBS10" s="594"/>
      <c r="PBT10" s="594"/>
      <c r="PBU10" s="594"/>
      <c r="PBV10" s="479"/>
      <c r="PBW10" s="479"/>
      <c r="PBX10" s="479"/>
      <c r="PBY10" s="479"/>
      <c r="PBZ10" s="479"/>
      <c r="PCA10" s="479"/>
      <c r="PCB10" s="479"/>
      <c r="PCC10" s="479"/>
      <c r="PCD10" s="479"/>
      <c r="PCE10" s="479"/>
      <c r="PCF10" s="479"/>
      <c r="PCG10" s="593"/>
      <c r="PCH10" s="594"/>
      <c r="PCI10" s="594"/>
      <c r="PCJ10" s="594"/>
      <c r="PCK10" s="594"/>
      <c r="PCL10" s="594"/>
      <c r="PCM10" s="594"/>
      <c r="PCN10" s="594"/>
      <c r="PCO10" s="594"/>
      <c r="PCP10" s="594"/>
      <c r="PCQ10" s="479"/>
      <c r="PCR10" s="479"/>
      <c r="PCS10" s="479"/>
      <c r="PCT10" s="479"/>
      <c r="PCU10" s="479"/>
      <c r="PCV10" s="479"/>
      <c r="PCW10" s="479"/>
      <c r="PCX10" s="479"/>
      <c r="PCY10" s="479"/>
      <c r="PCZ10" s="479"/>
      <c r="PDA10" s="479"/>
      <c r="PDB10" s="593"/>
      <c r="PDC10" s="594"/>
      <c r="PDD10" s="594"/>
      <c r="PDE10" s="594"/>
      <c r="PDF10" s="594"/>
      <c r="PDG10" s="594"/>
      <c r="PDH10" s="594"/>
      <c r="PDI10" s="594"/>
      <c r="PDJ10" s="594"/>
      <c r="PDK10" s="594"/>
      <c r="PDL10" s="479"/>
      <c r="PDM10" s="479"/>
      <c r="PDN10" s="479"/>
      <c r="PDO10" s="479"/>
      <c r="PDP10" s="479"/>
      <c r="PDQ10" s="479"/>
      <c r="PDR10" s="479"/>
      <c r="PDS10" s="479"/>
      <c r="PDT10" s="479"/>
      <c r="PDU10" s="479"/>
      <c r="PDV10" s="479"/>
      <c r="PDW10" s="593"/>
      <c r="PDX10" s="594"/>
      <c r="PDY10" s="594"/>
      <c r="PDZ10" s="594"/>
      <c r="PEA10" s="594"/>
      <c r="PEB10" s="594"/>
      <c r="PEC10" s="594"/>
      <c r="PED10" s="594"/>
      <c r="PEE10" s="594"/>
      <c r="PEF10" s="594"/>
      <c r="PEG10" s="479"/>
      <c r="PEH10" s="479"/>
      <c r="PEI10" s="479"/>
      <c r="PEJ10" s="479"/>
      <c r="PEK10" s="479"/>
      <c r="PEL10" s="479"/>
      <c r="PEM10" s="479"/>
      <c r="PEN10" s="479"/>
      <c r="PEO10" s="479"/>
      <c r="PEP10" s="479"/>
      <c r="PEQ10" s="479"/>
      <c r="PER10" s="593"/>
      <c r="PES10" s="594"/>
      <c r="PET10" s="594"/>
      <c r="PEU10" s="594"/>
      <c r="PEV10" s="594"/>
      <c r="PEW10" s="594"/>
      <c r="PEX10" s="594"/>
      <c r="PEY10" s="594"/>
      <c r="PEZ10" s="594"/>
      <c r="PFA10" s="594"/>
      <c r="PFB10" s="479"/>
      <c r="PFC10" s="479"/>
      <c r="PFD10" s="479"/>
      <c r="PFE10" s="479"/>
      <c r="PFF10" s="479"/>
      <c r="PFG10" s="479"/>
      <c r="PFH10" s="479"/>
      <c r="PFI10" s="479"/>
      <c r="PFJ10" s="479"/>
      <c r="PFK10" s="479"/>
      <c r="PFL10" s="479"/>
      <c r="PFM10" s="593"/>
      <c r="PFN10" s="594"/>
      <c r="PFO10" s="594"/>
      <c r="PFP10" s="594"/>
      <c r="PFQ10" s="594"/>
      <c r="PFR10" s="594"/>
      <c r="PFS10" s="594"/>
      <c r="PFT10" s="594"/>
      <c r="PFU10" s="594"/>
      <c r="PFV10" s="594"/>
      <c r="PFW10" s="479"/>
      <c r="PFX10" s="479"/>
      <c r="PFY10" s="479"/>
      <c r="PFZ10" s="479"/>
      <c r="PGA10" s="479"/>
      <c r="PGB10" s="479"/>
      <c r="PGC10" s="479"/>
      <c r="PGD10" s="479"/>
      <c r="PGE10" s="479"/>
      <c r="PGF10" s="479"/>
      <c r="PGG10" s="479"/>
      <c r="PGH10" s="593"/>
      <c r="PGI10" s="594"/>
      <c r="PGJ10" s="594"/>
      <c r="PGK10" s="594"/>
      <c r="PGL10" s="594"/>
      <c r="PGM10" s="594"/>
      <c r="PGN10" s="594"/>
      <c r="PGO10" s="594"/>
      <c r="PGP10" s="594"/>
      <c r="PGQ10" s="594"/>
      <c r="PGR10" s="479"/>
      <c r="PGS10" s="479"/>
      <c r="PGT10" s="479"/>
      <c r="PGU10" s="479"/>
      <c r="PGV10" s="479"/>
      <c r="PGW10" s="479"/>
      <c r="PGX10" s="479"/>
      <c r="PGY10" s="479"/>
      <c r="PGZ10" s="479"/>
      <c r="PHA10" s="479"/>
      <c r="PHB10" s="479"/>
      <c r="PHC10" s="593"/>
      <c r="PHD10" s="594"/>
      <c r="PHE10" s="594"/>
      <c r="PHF10" s="594"/>
      <c r="PHG10" s="594"/>
      <c r="PHH10" s="594"/>
      <c r="PHI10" s="594"/>
      <c r="PHJ10" s="594"/>
      <c r="PHK10" s="594"/>
      <c r="PHL10" s="594"/>
      <c r="PHM10" s="479"/>
      <c r="PHN10" s="479"/>
      <c r="PHO10" s="479"/>
      <c r="PHP10" s="479"/>
      <c r="PHQ10" s="479"/>
      <c r="PHR10" s="479"/>
      <c r="PHS10" s="479"/>
      <c r="PHT10" s="479"/>
      <c r="PHU10" s="479"/>
      <c r="PHV10" s="479"/>
      <c r="PHW10" s="479"/>
      <c r="PHX10" s="593"/>
      <c r="PHY10" s="594"/>
      <c r="PHZ10" s="594"/>
      <c r="PIA10" s="594"/>
      <c r="PIB10" s="594"/>
      <c r="PIC10" s="594"/>
      <c r="PID10" s="594"/>
      <c r="PIE10" s="594"/>
      <c r="PIF10" s="594"/>
      <c r="PIG10" s="594"/>
      <c r="PIH10" s="479"/>
      <c r="PII10" s="479"/>
      <c r="PIJ10" s="479"/>
      <c r="PIK10" s="479"/>
      <c r="PIL10" s="479"/>
      <c r="PIM10" s="479"/>
      <c r="PIN10" s="479"/>
      <c r="PIO10" s="479"/>
      <c r="PIP10" s="479"/>
      <c r="PIQ10" s="479"/>
      <c r="PIR10" s="479"/>
      <c r="PIS10" s="593"/>
      <c r="PIT10" s="594"/>
      <c r="PIU10" s="594"/>
      <c r="PIV10" s="594"/>
      <c r="PIW10" s="594"/>
      <c r="PIX10" s="594"/>
      <c r="PIY10" s="594"/>
      <c r="PIZ10" s="594"/>
      <c r="PJA10" s="594"/>
      <c r="PJB10" s="594"/>
      <c r="PJC10" s="479"/>
      <c r="PJD10" s="479"/>
      <c r="PJE10" s="479"/>
      <c r="PJF10" s="479"/>
      <c r="PJG10" s="479"/>
      <c r="PJH10" s="479"/>
      <c r="PJI10" s="479"/>
      <c r="PJJ10" s="479"/>
      <c r="PJK10" s="479"/>
      <c r="PJL10" s="479"/>
      <c r="PJM10" s="479"/>
      <c r="PJN10" s="593"/>
      <c r="PJO10" s="594"/>
      <c r="PJP10" s="594"/>
      <c r="PJQ10" s="594"/>
      <c r="PJR10" s="594"/>
      <c r="PJS10" s="594"/>
      <c r="PJT10" s="594"/>
      <c r="PJU10" s="594"/>
      <c r="PJV10" s="594"/>
      <c r="PJW10" s="594"/>
      <c r="PJX10" s="479"/>
      <c r="PJY10" s="479"/>
      <c r="PJZ10" s="479"/>
      <c r="PKA10" s="479"/>
      <c r="PKB10" s="479"/>
      <c r="PKC10" s="479"/>
      <c r="PKD10" s="479"/>
      <c r="PKE10" s="479"/>
      <c r="PKF10" s="479"/>
      <c r="PKG10" s="479"/>
      <c r="PKH10" s="479"/>
      <c r="PKI10" s="593"/>
      <c r="PKJ10" s="594"/>
      <c r="PKK10" s="594"/>
      <c r="PKL10" s="594"/>
      <c r="PKM10" s="594"/>
      <c r="PKN10" s="594"/>
      <c r="PKO10" s="594"/>
      <c r="PKP10" s="594"/>
      <c r="PKQ10" s="594"/>
      <c r="PKR10" s="594"/>
      <c r="PKS10" s="479"/>
      <c r="PKT10" s="479"/>
      <c r="PKU10" s="479"/>
      <c r="PKV10" s="479"/>
      <c r="PKW10" s="479"/>
      <c r="PKX10" s="479"/>
      <c r="PKY10" s="479"/>
      <c r="PKZ10" s="479"/>
      <c r="PLA10" s="479"/>
      <c r="PLB10" s="479"/>
      <c r="PLC10" s="479"/>
      <c r="PLD10" s="593"/>
      <c r="PLE10" s="594"/>
      <c r="PLF10" s="594"/>
      <c r="PLG10" s="594"/>
      <c r="PLH10" s="594"/>
      <c r="PLI10" s="594"/>
      <c r="PLJ10" s="594"/>
      <c r="PLK10" s="594"/>
      <c r="PLL10" s="594"/>
      <c r="PLM10" s="594"/>
      <c r="PLN10" s="479"/>
      <c r="PLO10" s="479"/>
      <c r="PLP10" s="479"/>
      <c r="PLQ10" s="479"/>
      <c r="PLR10" s="479"/>
      <c r="PLS10" s="479"/>
      <c r="PLT10" s="479"/>
      <c r="PLU10" s="479"/>
      <c r="PLV10" s="479"/>
      <c r="PLW10" s="479"/>
      <c r="PLX10" s="479"/>
      <c r="PLY10" s="593"/>
      <c r="PLZ10" s="594"/>
      <c r="PMA10" s="594"/>
      <c r="PMB10" s="594"/>
      <c r="PMC10" s="594"/>
      <c r="PMD10" s="594"/>
      <c r="PME10" s="594"/>
      <c r="PMF10" s="594"/>
      <c r="PMG10" s="594"/>
      <c r="PMH10" s="594"/>
      <c r="PMI10" s="479"/>
      <c r="PMJ10" s="479"/>
      <c r="PMK10" s="479"/>
      <c r="PML10" s="479"/>
      <c r="PMM10" s="479"/>
      <c r="PMN10" s="479"/>
      <c r="PMO10" s="479"/>
      <c r="PMP10" s="479"/>
      <c r="PMQ10" s="479"/>
      <c r="PMR10" s="479"/>
      <c r="PMS10" s="479"/>
      <c r="PMT10" s="593"/>
      <c r="PMU10" s="594"/>
      <c r="PMV10" s="594"/>
      <c r="PMW10" s="594"/>
      <c r="PMX10" s="594"/>
      <c r="PMY10" s="594"/>
      <c r="PMZ10" s="594"/>
      <c r="PNA10" s="594"/>
      <c r="PNB10" s="594"/>
      <c r="PNC10" s="594"/>
      <c r="PND10" s="479"/>
      <c r="PNE10" s="479"/>
      <c r="PNF10" s="479"/>
      <c r="PNG10" s="479"/>
      <c r="PNH10" s="479"/>
      <c r="PNI10" s="479"/>
      <c r="PNJ10" s="479"/>
      <c r="PNK10" s="479"/>
      <c r="PNL10" s="479"/>
      <c r="PNM10" s="479"/>
      <c r="PNN10" s="479"/>
      <c r="PNO10" s="593"/>
      <c r="PNP10" s="594"/>
      <c r="PNQ10" s="594"/>
      <c r="PNR10" s="594"/>
      <c r="PNS10" s="594"/>
      <c r="PNT10" s="594"/>
      <c r="PNU10" s="594"/>
      <c r="PNV10" s="594"/>
      <c r="PNW10" s="594"/>
      <c r="PNX10" s="594"/>
      <c r="PNY10" s="479"/>
      <c r="PNZ10" s="479"/>
      <c r="POA10" s="479"/>
      <c r="POB10" s="479"/>
      <c r="POC10" s="479"/>
      <c r="POD10" s="479"/>
      <c r="POE10" s="479"/>
      <c r="POF10" s="479"/>
      <c r="POG10" s="479"/>
      <c r="POH10" s="479"/>
      <c r="POI10" s="479"/>
      <c r="POJ10" s="593"/>
      <c r="POK10" s="594"/>
      <c r="POL10" s="594"/>
      <c r="POM10" s="594"/>
      <c r="PON10" s="594"/>
      <c r="POO10" s="594"/>
      <c r="POP10" s="594"/>
      <c r="POQ10" s="594"/>
      <c r="POR10" s="594"/>
      <c r="POS10" s="594"/>
      <c r="POT10" s="479"/>
      <c r="POU10" s="479"/>
      <c r="POV10" s="479"/>
      <c r="POW10" s="479"/>
      <c r="POX10" s="479"/>
      <c r="POY10" s="479"/>
      <c r="POZ10" s="479"/>
      <c r="PPA10" s="479"/>
      <c r="PPB10" s="479"/>
      <c r="PPC10" s="479"/>
      <c r="PPD10" s="479"/>
      <c r="PPE10" s="593"/>
      <c r="PPF10" s="594"/>
      <c r="PPG10" s="594"/>
      <c r="PPH10" s="594"/>
      <c r="PPI10" s="594"/>
      <c r="PPJ10" s="594"/>
      <c r="PPK10" s="594"/>
      <c r="PPL10" s="594"/>
      <c r="PPM10" s="594"/>
      <c r="PPN10" s="594"/>
      <c r="PPO10" s="479"/>
      <c r="PPP10" s="479"/>
      <c r="PPQ10" s="479"/>
      <c r="PPR10" s="479"/>
      <c r="PPS10" s="479"/>
      <c r="PPT10" s="479"/>
      <c r="PPU10" s="479"/>
      <c r="PPV10" s="479"/>
      <c r="PPW10" s="479"/>
      <c r="PPX10" s="479"/>
      <c r="PPY10" s="479"/>
      <c r="PPZ10" s="593"/>
      <c r="PQA10" s="594"/>
      <c r="PQB10" s="594"/>
      <c r="PQC10" s="594"/>
      <c r="PQD10" s="594"/>
      <c r="PQE10" s="594"/>
      <c r="PQF10" s="594"/>
      <c r="PQG10" s="594"/>
      <c r="PQH10" s="594"/>
      <c r="PQI10" s="594"/>
      <c r="PQJ10" s="479"/>
      <c r="PQK10" s="479"/>
      <c r="PQL10" s="479"/>
      <c r="PQM10" s="479"/>
      <c r="PQN10" s="479"/>
      <c r="PQO10" s="479"/>
      <c r="PQP10" s="479"/>
      <c r="PQQ10" s="479"/>
      <c r="PQR10" s="479"/>
      <c r="PQS10" s="479"/>
      <c r="PQT10" s="479"/>
      <c r="PQU10" s="593"/>
      <c r="PQV10" s="594"/>
      <c r="PQW10" s="594"/>
      <c r="PQX10" s="594"/>
      <c r="PQY10" s="594"/>
      <c r="PQZ10" s="594"/>
      <c r="PRA10" s="594"/>
      <c r="PRB10" s="594"/>
      <c r="PRC10" s="594"/>
      <c r="PRD10" s="594"/>
      <c r="PRE10" s="479"/>
      <c r="PRF10" s="479"/>
      <c r="PRG10" s="479"/>
      <c r="PRH10" s="479"/>
      <c r="PRI10" s="479"/>
      <c r="PRJ10" s="479"/>
      <c r="PRK10" s="479"/>
      <c r="PRL10" s="479"/>
      <c r="PRM10" s="479"/>
      <c r="PRN10" s="479"/>
      <c r="PRO10" s="479"/>
      <c r="PRP10" s="593"/>
      <c r="PRQ10" s="594"/>
      <c r="PRR10" s="594"/>
      <c r="PRS10" s="594"/>
      <c r="PRT10" s="594"/>
      <c r="PRU10" s="594"/>
      <c r="PRV10" s="594"/>
      <c r="PRW10" s="594"/>
      <c r="PRX10" s="594"/>
      <c r="PRY10" s="594"/>
      <c r="PRZ10" s="479"/>
      <c r="PSA10" s="479"/>
      <c r="PSB10" s="479"/>
      <c r="PSC10" s="479"/>
      <c r="PSD10" s="479"/>
      <c r="PSE10" s="479"/>
      <c r="PSF10" s="479"/>
      <c r="PSG10" s="479"/>
      <c r="PSH10" s="479"/>
      <c r="PSI10" s="479"/>
      <c r="PSJ10" s="479"/>
      <c r="PSK10" s="593"/>
      <c r="PSL10" s="594"/>
      <c r="PSM10" s="594"/>
      <c r="PSN10" s="594"/>
      <c r="PSO10" s="594"/>
      <c r="PSP10" s="594"/>
      <c r="PSQ10" s="594"/>
      <c r="PSR10" s="594"/>
      <c r="PSS10" s="594"/>
      <c r="PST10" s="594"/>
      <c r="PSU10" s="479"/>
      <c r="PSV10" s="479"/>
      <c r="PSW10" s="479"/>
      <c r="PSX10" s="479"/>
      <c r="PSY10" s="479"/>
      <c r="PSZ10" s="479"/>
      <c r="PTA10" s="479"/>
      <c r="PTB10" s="479"/>
      <c r="PTC10" s="479"/>
      <c r="PTD10" s="479"/>
      <c r="PTE10" s="479"/>
      <c r="PTF10" s="593"/>
      <c r="PTG10" s="594"/>
      <c r="PTH10" s="594"/>
      <c r="PTI10" s="594"/>
      <c r="PTJ10" s="594"/>
      <c r="PTK10" s="594"/>
      <c r="PTL10" s="594"/>
      <c r="PTM10" s="594"/>
      <c r="PTN10" s="594"/>
      <c r="PTO10" s="594"/>
      <c r="PTP10" s="479"/>
      <c r="PTQ10" s="479"/>
      <c r="PTR10" s="479"/>
      <c r="PTS10" s="479"/>
      <c r="PTT10" s="479"/>
      <c r="PTU10" s="479"/>
      <c r="PTV10" s="479"/>
      <c r="PTW10" s="479"/>
      <c r="PTX10" s="479"/>
      <c r="PTY10" s="479"/>
      <c r="PTZ10" s="479"/>
      <c r="PUA10" s="593"/>
      <c r="PUB10" s="594"/>
      <c r="PUC10" s="594"/>
      <c r="PUD10" s="594"/>
      <c r="PUE10" s="594"/>
      <c r="PUF10" s="594"/>
      <c r="PUG10" s="594"/>
      <c r="PUH10" s="594"/>
      <c r="PUI10" s="594"/>
      <c r="PUJ10" s="594"/>
      <c r="PUK10" s="479"/>
      <c r="PUL10" s="479"/>
      <c r="PUM10" s="479"/>
      <c r="PUN10" s="479"/>
      <c r="PUO10" s="479"/>
      <c r="PUP10" s="479"/>
      <c r="PUQ10" s="479"/>
      <c r="PUR10" s="479"/>
      <c r="PUS10" s="479"/>
      <c r="PUT10" s="479"/>
      <c r="PUU10" s="479"/>
      <c r="PUV10" s="593"/>
      <c r="PUW10" s="594"/>
      <c r="PUX10" s="594"/>
      <c r="PUY10" s="594"/>
      <c r="PUZ10" s="594"/>
      <c r="PVA10" s="594"/>
      <c r="PVB10" s="594"/>
      <c r="PVC10" s="594"/>
      <c r="PVD10" s="594"/>
      <c r="PVE10" s="594"/>
      <c r="PVF10" s="479"/>
      <c r="PVG10" s="479"/>
      <c r="PVH10" s="479"/>
      <c r="PVI10" s="479"/>
      <c r="PVJ10" s="479"/>
      <c r="PVK10" s="479"/>
      <c r="PVL10" s="479"/>
      <c r="PVM10" s="479"/>
      <c r="PVN10" s="479"/>
      <c r="PVO10" s="479"/>
      <c r="PVP10" s="479"/>
      <c r="PVQ10" s="593"/>
      <c r="PVR10" s="594"/>
      <c r="PVS10" s="594"/>
      <c r="PVT10" s="594"/>
      <c r="PVU10" s="594"/>
      <c r="PVV10" s="594"/>
      <c r="PVW10" s="594"/>
      <c r="PVX10" s="594"/>
      <c r="PVY10" s="594"/>
      <c r="PVZ10" s="594"/>
      <c r="PWA10" s="479"/>
      <c r="PWB10" s="479"/>
      <c r="PWC10" s="479"/>
      <c r="PWD10" s="479"/>
      <c r="PWE10" s="479"/>
      <c r="PWF10" s="479"/>
      <c r="PWG10" s="479"/>
      <c r="PWH10" s="479"/>
      <c r="PWI10" s="479"/>
      <c r="PWJ10" s="479"/>
      <c r="PWK10" s="479"/>
      <c r="PWL10" s="593"/>
      <c r="PWM10" s="594"/>
      <c r="PWN10" s="594"/>
      <c r="PWO10" s="594"/>
      <c r="PWP10" s="594"/>
      <c r="PWQ10" s="594"/>
      <c r="PWR10" s="594"/>
      <c r="PWS10" s="594"/>
      <c r="PWT10" s="594"/>
      <c r="PWU10" s="594"/>
      <c r="PWV10" s="479"/>
      <c r="PWW10" s="479"/>
      <c r="PWX10" s="479"/>
      <c r="PWY10" s="479"/>
      <c r="PWZ10" s="479"/>
      <c r="PXA10" s="479"/>
      <c r="PXB10" s="479"/>
      <c r="PXC10" s="479"/>
      <c r="PXD10" s="479"/>
      <c r="PXE10" s="479"/>
      <c r="PXF10" s="479"/>
      <c r="PXG10" s="593"/>
      <c r="PXH10" s="594"/>
      <c r="PXI10" s="594"/>
      <c r="PXJ10" s="594"/>
      <c r="PXK10" s="594"/>
      <c r="PXL10" s="594"/>
      <c r="PXM10" s="594"/>
      <c r="PXN10" s="594"/>
      <c r="PXO10" s="594"/>
      <c r="PXP10" s="594"/>
      <c r="PXQ10" s="479"/>
      <c r="PXR10" s="479"/>
      <c r="PXS10" s="479"/>
      <c r="PXT10" s="479"/>
      <c r="PXU10" s="479"/>
      <c r="PXV10" s="479"/>
      <c r="PXW10" s="479"/>
      <c r="PXX10" s="479"/>
      <c r="PXY10" s="479"/>
      <c r="PXZ10" s="479"/>
      <c r="PYA10" s="479"/>
      <c r="PYB10" s="593"/>
      <c r="PYC10" s="594"/>
      <c r="PYD10" s="594"/>
      <c r="PYE10" s="594"/>
      <c r="PYF10" s="594"/>
      <c r="PYG10" s="594"/>
      <c r="PYH10" s="594"/>
      <c r="PYI10" s="594"/>
      <c r="PYJ10" s="594"/>
      <c r="PYK10" s="594"/>
      <c r="PYL10" s="479"/>
      <c r="PYM10" s="479"/>
      <c r="PYN10" s="479"/>
      <c r="PYO10" s="479"/>
      <c r="PYP10" s="479"/>
      <c r="PYQ10" s="479"/>
      <c r="PYR10" s="479"/>
      <c r="PYS10" s="479"/>
      <c r="PYT10" s="479"/>
      <c r="PYU10" s="479"/>
      <c r="PYV10" s="479"/>
      <c r="PYW10" s="593"/>
      <c r="PYX10" s="594"/>
      <c r="PYY10" s="594"/>
      <c r="PYZ10" s="594"/>
      <c r="PZA10" s="594"/>
      <c r="PZB10" s="594"/>
      <c r="PZC10" s="594"/>
      <c r="PZD10" s="594"/>
      <c r="PZE10" s="594"/>
      <c r="PZF10" s="594"/>
      <c r="PZG10" s="479"/>
      <c r="PZH10" s="479"/>
      <c r="PZI10" s="479"/>
      <c r="PZJ10" s="479"/>
      <c r="PZK10" s="479"/>
      <c r="PZL10" s="479"/>
      <c r="PZM10" s="479"/>
      <c r="PZN10" s="479"/>
      <c r="PZO10" s="479"/>
      <c r="PZP10" s="479"/>
      <c r="PZQ10" s="479"/>
      <c r="PZR10" s="593"/>
      <c r="PZS10" s="594"/>
      <c r="PZT10" s="594"/>
      <c r="PZU10" s="594"/>
      <c r="PZV10" s="594"/>
      <c r="PZW10" s="594"/>
      <c r="PZX10" s="594"/>
      <c r="PZY10" s="594"/>
      <c r="PZZ10" s="594"/>
      <c r="QAA10" s="594"/>
      <c r="QAB10" s="479"/>
      <c r="QAC10" s="479"/>
      <c r="QAD10" s="479"/>
      <c r="QAE10" s="479"/>
      <c r="QAF10" s="479"/>
      <c r="QAG10" s="479"/>
      <c r="QAH10" s="479"/>
      <c r="QAI10" s="479"/>
      <c r="QAJ10" s="479"/>
      <c r="QAK10" s="479"/>
      <c r="QAL10" s="479"/>
      <c r="QAM10" s="593"/>
      <c r="QAN10" s="594"/>
      <c r="QAO10" s="594"/>
      <c r="QAP10" s="594"/>
      <c r="QAQ10" s="594"/>
      <c r="QAR10" s="594"/>
      <c r="QAS10" s="594"/>
      <c r="QAT10" s="594"/>
      <c r="QAU10" s="594"/>
      <c r="QAV10" s="594"/>
      <c r="QAW10" s="479"/>
      <c r="QAX10" s="479"/>
      <c r="QAY10" s="479"/>
      <c r="QAZ10" s="479"/>
      <c r="QBA10" s="479"/>
      <c r="QBB10" s="479"/>
      <c r="QBC10" s="479"/>
      <c r="QBD10" s="479"/>
      <c r="QBE10" s="479"/>
      <c r="QBF10" s="479"/>
      <c r="QBG10" s="479"/>
      <c r="QBH10" s="593"/>
      <c r="QBI10" s="594"/>
      <c r="QBJ10" s="594"/>
      <c r="QBK10" s="594"/>
      <c r="QBL10" s="594"/>
      <c r="QBM10" s="594"/>
      <c r="QBN10" s="594"/>
      <c r="QBO10" s="594"/>
      <c r="QBP10" s="594"/>
      <c r="QBQ10" s="594"/>
      <c r="QBR10" s="479"/>
      <c r="QBS10" s="479"/>
      <c r="QBT10" s="479"/>
      <c r="QBU10" s="479"/>
      <c r="QBV10" s="479"/>
      <c r="QBW10" s="479"/>
      <c r="QBX10" s="479"/>
      <c r="QBY10" s="479"/>
      <c r="QBZ10" s="479"/>
      <c r="QCA10" s="479"/>
      <c r="QCB10" s="479"/>
      <c r="QCC10" s="593"/>
      <c r="QCD10" s="594"/>
      <c r="QCE10" s="594"/>
      <c r="QCF10" s="594"/>
      <c r="QCG10" s="594"/>
      <c r="QCH10" s="594"/>
      <c r="QCI10" s="594"/>
      <c r="QCJ10" s="594"/>
      <c r="QCK10" s="594"/>
      <c r="QCL10" s="594"/>
      <c r="QCM10" s="479"/>
      <c r="QCN10" s="479"/>
      <c r="QCO10" s="479"/>
      <c r="QCP10" s="479"/>
      <c r="QCQ10" s="479"/>
      <c r="QCR10" s="479"/>
      <c r="QCS10" s="479"/>
      <c r="QCT10" s="479"/>
      <c r="QCU10" s="479"/>
      <c r="QCV10" s="479"/>
      <c r="QCW10" s="479"/>
      <c r="QCX10" s="593"/>
      <c r="QCY10" s="594"/>
      <c r="QCZ10" s="594"/>
      <c r="QDA10" s="594"/>
      <c r="QDB10" s="594"/>
      <c r="QDC10" s="594"/>
      <c r="QDD10" s="594"/>
      <c r="QDE10" s="594"/>
      <c r="QDF10" s="594"/>
      <c r="QDG10" s="594"/>
      <c r="QDH10" s="479"/>
      <c r="QDI10" s="479"/>
      <c r="QDJ10" s="479"/>
      <c r="QDK10" s="479"/>
      <c r="QDL10" s="479"/>
      <c r="QDM10" s="479"/>
      <c r="QDN10" s="479"/>
      <c r="QDO10" s="479"/>
      <c r="QDP10" s="479"/>
      <c r="QDQ10" s="479"/>
      <c r="QDR10" s="479"/>
      <c r="QDS10" s="593"/>
      <c r="QDT10" s="594"/>
      <c r="QDU10" s="594"/>
      <c r="QDV10" s="594"/>
      <c r="QDW10" s="594"/>
      <c r="QDX10" s="594"/>
      <c r="QDY10" s="594"/>
      <c r="QDZ10" s="594"/>
      <c r="QEA10" s="594"/>
      <c r="QEB10" s="594"/>
      <c r="QEC10" s="479"/>
      <c r="QED10" s="479"/>
      <c r="QEE10" s="479"/>
      <c r="QEF10" s="479"/>
      <c r="QEG10" s="479"/>
      <c r="QEH10" s="479"/>
      <c r="QEI10" s="479"/>
      <c r="QEJ10" s="479"/>
      <c r="QEK10" s="479"/>
      <c r="QEL10" s="479"/>
      <c r="QEM10" s="479"/>
      <c r="QEN10" s="593"/>
      <c r="QEO10" s="594"/>
      <c r="QEP10" s="594"/>
      <c r="QEQ10" s="594"/>
      <c r="QER10" s="594"/>
      <c r="QES10" s="594"/>
      <c r="QET10" s="594"/>
      <c r="QEU10" s="594"/>
      <c r="QEV10" s="594"/>
      <c r="QEW10" s="594"/>
      <c r="QEX10" s="479"/>
      <c r="QEY10" s="479"/>
      <c r="QEZ10" s="479"/>
      <c r="QFA10" s="479"/>
      <c r="QFB10" s="479"/>
      <c r="QFC10" s="479"/>
      <c r="QFD10" s="479"/>
      <c r="QFE10" s="479"/>
      <c r="QFF10" s="479"/>
      <c r="QFG10" s="479"/>
      <c r="QFH10" s="479"/>
      <c r="QFI10" s="593"/>
      <c r="QFJ10" s="594"/>
      <c r="QFK10" s="594"/>
      <c r="QFL10" s="594"/>
      <c r="QFM10" s="594"/>
      <c r="QFN10" s="594"/>
      <c r="QFO10" s="594"/>
      <c r="QFP10" s="594"/>
      <c r="QFQ10" s="594"/>
      <c r="QFR10" s="594"/>
      <c r="QFS10" s="479"/>
      <c r="QFT10" s="479"/>
      <c r="QFU10" s="479"/>
      <c r="QFV10" s="479"/>
      <c r="QFW10" s="479"/>
      <c r="QFX10" s="479"/>
      <c r="QFY10" s="479"/>
      <c r="QFZ10" s="479"/>
      <c r="QGA10" s="479"/>
      <c r="QGB10" s="479"/>
      <c r="QGC10" s="479"/>
      <c r="QGD10" s="593"/>
      <c r="QGE10" s="594"/>
      <c r="QGF10" s="594"/>
      <c r="QGG10" s="594"/>
      <c r="QGH10" s="594"/>
      <c r="QGI10" s="594"/>
      <c r="QGJ10" s="594"/>
      <c r="QGK10" s="594"/>
      <c r="QGL10" s="594"/>
      <c r="QGM10" s="594"/>
      <c r="QGN10" s="479"/>
      <c r="QGO10" s="479"/>
      <c r="QGP10" s="479"/>
      <c r="QGQ10" s="479"/>
      <c r="QGR10" s="479"/>
      <c r="QGS10" s="479"/>
      <c r="QGT10" s="479"/>
      <c r="QGU10" s="479"/>
      <c r="QGV10" s="479"/>
      <c r="QGW10" s="479"/>
      <c r="QGX10" s="479"/>
      <c r="QGY10" s="593"/>
      <c r="QGZ10" s="594"/>
      <c r="QHA10" s="594"/>
      <c r="QHB10" s="594"/>
      <c r="QHC10" s="594"/>
      <c r="QHD10" s="594"/>
      <c r="QHE10" s="594"/>
      <c r="QHF10" s="594"/>
      <c r="QHG10" s="594"/>
      <c r="QHH10" s="594"/>
      <c r="QHI10" s="479"/>
      <c r="QHJ10" s="479"/>
      <c r="QHK10" s="479"/>
      <c r="QHL10" s="479"/>
      <c r="QHM10" s="479"/>
      <c r="QHN10" s="479"/>
      <c r="QHO10" s="479"/>
      <c r="QHP10" s="479"/>
      <c r="QHQ10" s="479"/>
      <c r="QHR10" s="479"/>
      <c r="QHS10" s="479"/>
      <c r="QHT10" s="593"/>
      <c r="QHU10" s="594"/>
      <c r="QHV10" s="594"/>
      <c r="QHW10" s="594"/>
      <c r="QHX10" s="594"/>
      <c r="QHY10" s="594"/>
      <c r="QHZ10" s="594"/>
      <c r="QIA10" s="594"/>
      <c r="QIB10" s="594"/>
      <c r="QIC10" s="594"/>
      <c r="QID10" s="479"/>
      <c r="QIE10" s="479"/>
      <c r="QIF10" s="479"/>
      <c r="QIG10" s="479"/>
      <c r="QIH10" s="479"/>
      <c r="QII10" s="479"/>
      <c r="QIJ10" s="479"/>
      <c r="QIK10" s="479"/>
      <c r="QIL10" s="479"/>
      <c r="QIM10" s="479"/>
      <c r="QIN10" s="479"/>
      <c r="QIO10" s="593"/>
      <c r="QIP10" s="594"/>
      <c r="QIQ10" s="594"/>
      <c r="QIR10" s="594"/>
      <c r="QIS10" s="594"/>
      <c r="QIT10" s="594"/>
      <c r="QIU10" s="594"/>
      <c r="QIV10" s="594"/>
      <c r="QIW10" s="594"/>
      <c r="QIX10" s="594"/>
      <c r="QIY10" s="479"/>
      <c r="QIZ10" s="479"/>
      <c r="QJA10" s="479"/>
      <c r="QJB10" s="479"/>
      <c r="QJC10" s="479"/>
      <c r="QJD10" s="479"/>
      <c r="QJE10" s="479"/>
      <c r="QJF10" s="479"/>
      <c r="QJG10" s="479"/>
      <c r="QJH10" s="479"/>
      <c r="QJI10" s="479"/>
      <c r="QJJ10" s="593"/>
      <c r="QJK10" s="594"/>
      <c r="QJL10" s="594"/>
      <c r="QJM10" s="594"/>
      <c r="QJN10" s="594"/>
      <c r="QJO10" s="594"/>
      <c r="QJP10" s="594"/>
      <c r="QJQ10" s="594"/>
      <c r="QJR10" s="594"/>
      <c r="QJS10" s="594"/>
      <c r="QJT10" s="479"/>
      <c r="QJU10" s="479"/>
      <c r="QJV10" s="479"/>
      <c r="QJW10" s="479"/>
      <c r="QJX10" s="479"/>
      <c r="QJY10" s="479"/>
      <c r="QJZ10" s="479"/>
      <c r="QKA10" s="479"/>
      <c r="QKB10" s="479"/>
      <c r="QKC10" s="479"/>
      <c r="QKD10" s="479"/>
      <c r="QKE10" s="593"/>
      <c r="QKF10" s="594"/>
      <c r="QKG10" s="594"/>
      <c r="QKH10" s="594"/>
      <c r="QKI10" s="594"/>
      <c r="QKJ10" s="594"/>
      <c r="QKK10" s="594"/>
      <c r="QKL10" s="594"/>
      <c r="QKM10" s="594"/>
      <c r="QKN10" s="594"/>
      <c r="QKO10" s="479"/>
      <c r="QKP10" s="479"/>
      <c r="QKQ10" s="479"/>
      <c r="QKR10" s="479"/>
      <c r="QKS10" s="479"/>
      <c r="QKT10" s="479"/>
      <c r="QKU10" s="479"/>
      <c r="QKV10" s="479"/>
      <c r="QKW10" s="479"/>
      <c r="QKX10" s="479"/>
      <c r="QKY10" s="479"/>
      <c r="QKZ10" s="593"/>
      <c r="QLA10" s="594"/>
      <c r="QLB10" s="594"/>
      <c r="QLC10" s="594"/>
      <c r="QLD10" s="594"/>
      <c r="QLE10" s="594"/>
      <c r="QLF10" s="594"/>
      <c r="QLG10" s="594"/>
      <c r="QLH10" s="594"/>
      <c r="QLI10" s="594"/>
      <c r="QLJ10" s="479"/>
      <c r="QLK10" s="479"/>
      <c r="QLL10" s="479"/>
      <c r="QLM10" s="479"/>
      <c r="QLN10" s="479"/>
      <c r="QLO10" s="479"/>
      <c r="QLP10" s="479"/>
      <c r="QLQ10" s="479"/>
      <c r="QLR10" s="479"/>
      <c r="QLS10" s="479"/>
      <c r="QLT10" s="479"/>
      <c r="QLU10" s="593"/>
      <c r="QLV10" s="594"/>
      <c r="QLW10" s="594"/>
      <c r="QLX10" s="594"/>
      <c r="QLY10" s="594"/>
      <c r="QLZ10" s="594"/>
      <c r="QMA10" s="594"/>
      <c r="QMB10" s="594"/>
      <c r="QMC10" s="594"/>
      <c r="QMD10" s="594"/>
      <c r="QME10" s="479"/>
      <c r="QMF10" s="479"/>
      <c r="QMG10" s="479"/>
      <c r="QMH10" s="479"/>
      <c r="QMI10" s="479"/>
      <c r="QMJ10" s="479"/>
      <c r="QMK10" s="479"/>
      <c r="QML10" s="479"/>
      <c r="QMM10" s="479"/>
      <c r="QMN10" s="479"/>
      <c r="QMO10" s="479"/>
      <c r="QMP10" s="593"/>
      <c r="QMQ10" s="594"/>
      <c r="QMR10" s="594"/>
      <c r="QMS10" s="594"/>
      <c r="QMT10" s="594"/>
      <c r="QMU10" s="594"/>
      <c r="QMV10" s="594"/>
      <c r="QMW10" s="594"/>
      <c r="QMX10" s="594"/>
      <c r="QMY10" s="594"/>
      <c r="QMZ10" s="479"/>
      <c r="QNA10" s="479"/>
      <c r="QNB10" s="479"/>
      <c r="QNC10" s="479"/>
      <c r="QND10" s="479"/>
      <c r="QNE10" s="479"/>
      <c r="QNF10" s="479"/>
      <c r="QNG10" s="479"/>
      <c r="QNH10" s="479"/>
      <c r="QNI10" s="479"/>
      <c r="QNJ10" s="479"/>
      <c r="QNK10" s="593"/>
      <c r="QNL10" s="594"/>
      <c r="QNM10" s="594"/>
      <c r="QNN10" s="594"/>
      <c r="QNO10" s="594"/>
      <c r="QNP10" s="594"/>
      <c r="QNQ10" s="594"/>
      <c r="QNR10" s="594"/>
      <c r="QNS10" s="594"/>
      <c r="QNT10" s="594"/>
      <c r="QNU10" s="479"/>
      <c r="QNV10" s="479"/>
      <c r="QNW10" s="479"/>
      <c r="QNX10" s="479"/>
      <c r="QNY10" s="479"/>
      <c r="QNZ10" s="479"/>
      <c r="QOA10" s="479"/>
      <c r="QOB10" s="479"/>
      <c r="QOC10" s="479"/>
      <c r="QOD10" s="479"/>
      <c r="QOE10" s="479"/>
      <c r="QOF10" s="593"/>
      <c r="QOG10" s="594"/>
      <c r="QOH10" s="594"/>
      <c r="QOI10" s="594"/>
      <c r="QOJ10" s="594"/>
      <c r="QOK10" s="594"/>
      <c r="QOL10" s="594"/>
      <c r="QOM10" s="594"/>
      <c r="QON10" s="594"/>
      <c r="QOO10" s="594"/>
      <c r="QOP10" s="479"/>
      <c r="QOQ10" s="479"/>
      <c r="QOR10" s="479"/>
      <c r="QOS10" s="479"/>
      <c r="QOT10" s="479"/>
      <c r="QOU10" s="479"/>
      <c r="QOV10" s="479"/>
      <c r="QOW10" s="479"/>
      <c r="QOX10" s="479"/>
      <c r="QOY10" s="479"/>
      <c r="QOZ10" s="479"/>
      <c r="QPA10" s="593"/>
      <c r="QPB10" s="594"/>
      <c r="QPC10" s="594"/>
      <c r="QPD10" s="594"/>
      <c r="QPE10" s="594"/>
      <c r="QPF10" s="594"/>
      <c r="QPG10" s="594"/>
      <c r="QPH10" s="594"/>
      <c r="QPI10" s="594"/>
      <c r="QPJ10" s="594"/>
      <c r="QPK10" s="479"/>
      <c r="QPL10" s="479"/>
      <c r="QPM10" s="479"/>
      <c r="QPN10" s="479"/>
      <c r="QPO10" s="479"/>
      <c r="QPP10" s="479"/>
      <c r="QPQ10" s="479"/>
      <c r="QPR10" s="479"/>
      <c r="QPS10" s="479"/>
      <c r="QPT10" s="479"/>
      <c r="QPU10" s="479"/>
      <c r="QPV10" s="593"/>
      <c r="QPW10" s="594"/>
      <c r="QPX10" s="594"/>
      <c r="QPY10" s="594"/>
      <c r="QPZ10" s="594"/>
      <c r="QQA10" s="594"/>
      <c r="QQB10" s="594"/>
      <c r="QQC10" s="594"/>
      <c r="QQD10" s="594"/>
      <c r="QQE10" s="594"/>
      <c r="QQF10" s="479"/>
      <c r="QQG10" s="479"/>
      <c r="QQH10" s="479"/>
      <c r="QQI10" s="479"/>
      <c r="QQJ10" s="479"/>
      <c r="QQK10" s="479"/>
      <c r="QQL10" s="479"/>
      <c r="QQM10" s="479"/>
      <c r="QQN10" s="479"/>
      <c r="QQO10" s="479"/>
      <c r="QQP10" s="479"/>
      <c r="QQQ10" s="593"/>
      <c r="QQR10" s="594"/>
      <c r="QQS10" s="594"/>
      <c r="QQT10" s="594"/>
      <c r="QQU10" s="594"/>
      <c r="QQV10" s="594"/>
      <c r="QQW10" s="594"/>
      <c r="QQX10" s="594"/>
      <c r="QQY10" s="594"/>
      <c r="QQZ10" s="594"/>
      <c r="QRA10" s="479"/>
      <c r="QRB10" s="479"/>
      <c r="QRC10" s="479"/>
      <c r="QRD10" s="479"/>
      <c r="QRE10" s="479"/>
      <c r="QRF10" s="479"/>
      <c r="QRG10" s="479"/>
      <c r="QRH10" s="479"/>
      <c r="QRI10" s="479"/>
      <c r="QRJ10" s="479"/>
      <c r="QRK10" s="479"/>
      <c r="QRL10" s="593"/>
      <c r="QRM10" s="594"/>
      <c r="QRN10" s="594"/>
      <c r="QRO10" s="594"/>
      <c r="QRP10" s="594"/>
      <c r="QRQ10" s="594"/>
      <c r="QRR10" s="594"/>
      <c r="QRS10" s="594"/>
      <c r="QRT10" s="594"/>
      <c r="QRU10" s="594"/>
      <c r="QRV10" s="479"/>
      <c r="QRW10" s="479"/>
      <c r="QRX10" s="479"/>
      <c r="QRY10" s="479"/>
      <c r="QRZ10" s="479"/>
      <c r="QSA10" s="479"/>
      <c r="QSB10" s="479"/>
      <c r="QSC10" s="479"/>
      <c r="QSD10" s="479"/>
      <c r="QSE10" s="479"/>
      <c r="QSF10" s="479"/>
      <c r="QSG10" s="593"/>
      <c r="QSH10" s="594"/>
      <c r="QSI10" s="594"/>
      <c r="QSJ10" s="594"/>
      <c r="QSK10" s="594"/>
      <c r="QSL10" s="594"/>
      <c r="QSM10" s="594"/>
      <c r="QSN10" s="594"/>
      <c r="QSO10" s="594"/>
      <c r="QSP10" s="594"/>
      <c r="QSQ10" s="479"/>
      <c r="QSR10" s="479"/>
      <c r="QSS10" s="479"/>
      <c r="QST10" s="479"/>
      <c r="QSU10" s="479"/>
      <c r="QSV10" s="479"/>
      <c r="QSW10" s="479"/>
      <c r="QSX10" s="479"/>
      <c r="QSY10" s="479"/>
      <c r="QSZ10" s="479"/>
      <c r="QTA10" s="479"/>
      <c r="QTB10" s="593"/>
      <c r="QTC10" s="594"/>
      <c r="QTD10" s="594"/>
      <c r="QTE10" s="594"/>
      <c r="QTF10" s="594"/>
      <c r="QTG10" s="594"/>
      <c r="QTH10" s="594"/>
      <c r="QTI10" s="594"/>
      <c r="QTJ10" s="594"/>
      <c r="QTK10" s="594"/>
      <c r="QTL10" s="479"/>
      <c r="QTM10" s="479"/>
      <c r="QTN10" s="479"/>
      <c r="QTO10" s="479"/>
      <c r="QTP10" s="479"/>
      <c r="QTQ10" s="479"/>
      <c r="QTR10" s="479"/>
      <c r="QTS10" s="479"/>
      <c r="QTT10" s="479"/>
      <c r="QTU10" s="479"/>
      <c r="QTV10" s="479"/>
      <c r="QTW10" s="593"/>
      <c r="QTX10" s="594"/>
      <c r="QTY10" s="594"/>
      <c r="QTZ10" s="594"/>
      <c r="QUA10" s="594"/>
      <c r="QUB10" s="594"/>
      <c r="QUC10" s="594"/>
      <c r="QUD10" s="594"/>
      <c r="QUE10" s="594"/>
      <c r="QUF10" s="594"/>
      <c r="QUG10" s="479"/>
      <c r="QUH10" s="479"/>
      <c r="QUI10" s="479"/>
      <c r="QUJ10" s="479"/>
      <c r="QUK10" s="479"/>
      <c r="QUL10" s="479"/>
      <c r="QUM10" s="479"/>
      <c r="QUN10" s="479"/>
      <c r="QUO10" s="479"/>
      <c r="QUP10" s="479"/>
      <c r="QUQ10" s="479"/>
      <c r="QUR10" s="593"/>
      <c r="QUS10" s="594"/>
      <c r="QUT10" s="594"/>
      <c r="QUU10" s="594"/>
      <c r="QUV10" s="594"/>
      <c r="QUW10" s="594"/>
      <c r="QUX10" s="594"/>
      <c r="QUY10" s="594"/>
      <c r="QUZ10" s="594"/>
      <c r="QVA10" s="594"/>
      <c r="QVB10" s="479"/>
      <c r="QVC10" s="479"/>
      <c r="QVD10" s="479"/>
      <c r="QVE10" s="479"/>
      <c r="QVF10" s="479"/>
      <c r="QVG10" s="479"/>
      <c r="QVH10" s="479"/>
      <c r="QVI10" s="479"/>
      <c r="QVJ10" s="479"/>
      <c r="QVK10" s="479"/>
      <c r="QVL10" s="479"/>
      <c r="QVM10" s="593"/>
      <c r="QVN10" s="594"/>
      <c r="QVO10" s="594"/>
      <c r="QVP10" s="594"/>
      <c r="QVQ10" s="594"/>
      <c r="QVR10" s="594"/>
      <c r="QVS10" s="594"/>
      <c r="QVT10" s="594"/>
      <c r="QVU10" s="594"/>
      <c r="QVV10" s="594"/>
      <c r="QVW10" s="479"/>
      <c r="QVX10" s="479"/>
      <c r="QVY10" s="479"/>
      <c r="QVZ10" s="479"/>
      <c r="QWA10" s="479"/>
      <c r="QWB10" s="479"/>
      <c r="QWC10" s="479"/>
      <c r="QWD10" s="479"/>
      <c r="QWE10" s="479"/>
      <c r="QWF10" s="479"/>
      <c r="QWG10" s="479"/>
      <c r="QWH10" s="593"/>
      <c r="QWI10" s="594"/>
      <c r="QWJ10" s="594"/>
      <c r="QWK10" s="594"/>
      <c r="QWL10" s="594"/>
      <c r="QWM10" s="594"/>
      <c r="QWN10" s="594"/>
      <c r="QWO10" s="594"/>
      <c r="QWP10" s="594"/>
      <c r="QWQ10" s="594"/>
      <c r="QWR10" s="479"/>
      <c r="QWS10" s="479"/>
      <c r="QWT10" s="479"/>
      <c r="QWU10" s="479"/>
      <c r="QWV10" s="479"/>
      <c r="QWW10" s="479"/>
      <c r="QWX10" s="479"/>
      <c r="QWY10" s="479"/>
      <c r="QWZ10" s="479"/>
      <c r="QXA10" s="479"/>
      <c r="QXB10" s="479"/>
      <c r="QXC10" s="593"/>
      <c r="QXD10" s="594"/>
      <c r="QXE10" s="594"/>
      <c r="QXF10" s="594"/>
      <c r="QXG10" s="594"/>
      <c r="QXH10" s="594"/>
      <c r="QXI10" s="594"/>
      <c r="QXJ10" s="594"/>
      <c r="QXK10" s="594"/>
      <c r="QXL10" s="594"/>
      <c r="QXM10" s="479"/>
      <c r="QXN10" s="479"/>
      <c r="QXO10" s="479"/>
      <c r="QXP10" s="479"/>
      <c r="QXQ10" s="479"/>
      <c r="QXR10" s="479"/>
      <c r="QXS10" s="479"/>
      <c r="QXT10" s="479"/>
      <c r="QXU10" s="479"/>
      <c r="QXV10" s="479"/>
      <c r="QXW10" s="479"/>
      <c r="QXX10" s="593"/>
      <c r="QXY10" s="594"/>
      <c r="QXZ10" s="594"/>
      <c r="QYA10" s="594"/>
      <c r="QYB10" s="594"/>
      <c r="QYC10" s="594"/>
      <c r="QYD10" s="594"/>
      <c r="QYE10" s="594"/>
      <c r="QYF10" s="594"/>
      <c r="QYG10" s="594"/>
      <c r="QYH10" s="479"/>
      <c r="QYI10" s="479"/>
      <c r="QYJ10" s="479"/>
      <c r="QYK10" s="479"/>
      <c r="QYL10" s="479"/>
      <c r="QYM10" s="479"/>
      <c r="QYN10" s="479"/>
      <c r="QYO10" s="479"/>
      <c r="QYP10" s="479"/>
      <c r="QYQ10" s="479"/>
      <c r="QYR10" s="479"/>
      <c r="QYS10" s="593"/>
      <c r="QYT10" s="594"/>
      <c r="QYU10" s="594"/>
      <c r="QYV10" s="594"/>
      <c r="QYW10" s="594"/>
      <c r="QYX10" s="594"/>
      <c r="QYY10" s="594"/>
      <c r="QYZ10" s="594"/>
      <c r="QZA10" s="594"/>
      <c r="QZB10" s="594"/>
      <c r="QZC10" s="479"/>
      <c r="QZD10" s="479"/>
      <c r="QZE10" s="479"/>
      <c r="QZF10" s="479"/>
      <c r="QZG10" s="479"/>
      <c r="QZH10" s="479"/>
      <c r="QZI10" s="479"/>
      <c r="QZJ10" s="479"/>
      <c r="QZK10" s="479"/>
      <c r="QZL10" s="479"/>
      <c r="QZM10" s="479"/>
      <c r="QZN10" s="593"/>
      <c r="QZO10" s="594"/>
      <c r="QZP10" s="594"/>
      <c r="QZQ10" s="594"/>
      <c r="QZR10" s="594"/>
      <c r="QZS10" s="594"/>
      <c r="QZT10" s="594"/>
      <c r="QZU10" s="594"/>
      <c r="QZV10" s="594"/>
      <c r="QZW10" s="594"/>
      <c r="QZX10" s="479"/>
      <c r="QZY10" s="479"/>
      <c r="QZZ10" s="479"/>
      <c r="RAA10" s="479"/>
      <c r="RAB10" s="479"/>
      <c r="RAC10" s="479"/>
      <c r="RAD10" s="479"/>
      <c r="RAE10" s="479"/>
      <c r="RAF10" s="479"/>
      <c r="RAG10" s="479"/>
      <c r="RAH10" s="479"/>
      <c r="RAI10" s="593"/>
      <c r="RAJ10" s="594"/>
      <c r="RAK10" s="594"/>
      <c r="RAL10" s="594"/>
      <c r="RAM10" s="594"/>
      <c r="RAN10" s="594"/>
      <c r="RAO10" s="594"/>
      <c r="RAP10" s="594"/>
      <c r="RAQ10" s="594"/>
      <c r="RAR10" s="594"/>
      <c r="RAS10" s="479"/>
      <c r="RAT10" s="479"/>
      <c r="RAU10" s="479"/>
      <c r="RAV10" s="479"/>
      <c r="RAW10" s="479"/>
      <c r="RAX10" s="479"/>
      <c r="RAY10" s="479"/>
      <c r="RAZ10" s="479"/>
      <c r="RBA10" s="479"/>
      <c r="RBB10" s="479"/>
      <c r="RBC10" s="479"/>
      <c r="RBD10" s="593"/>
      <c r="RBE10" s="594"/>
      <c r="RBF10" s="594"/>
      <c r="RBG10" s="594"/>
      <c r="RBH10" s="594"/>
      <c r="RBI10" s="594"/>
      <c r="RBJ10" s="594"/>
      <c r="RBK10" s="594"/>
      <c r="RBL10" s="594"/>
      <c r="RBM10" s="594"/>
      <c r="RBN10" s="479"/>
      <c r="RBO10" s="479"/>
      <c r="RBP10" s="479"/>
      <c r="RBQ10" s="479"/>
      <c r="RBR10" s="479"/>
      <c r="RBS10" s="479"/>
      <c r="RBT10" s="479"/>
      <c r="RBU10" s="479"/>
      <c r="RBV10" s="479"/>
      <c r="RBW10" s="479"/>
      <c r="RBX10" s="479"/>
      <c r="RBY10" s="593"/>
      <c r="RBZ10" s="594"/>
      <c r="RCA10" s="594"/>
      <c r="RCB10" s="594"/>
      <c r="RCC10" s="594"/>
      <c r="RCD10" s="594"/>
      <c r="RCE10" s="594"/>
      <c r="RCF10" s="594"/>
      <c r="RCG10" s="594"/>
      <c r="RCH10" s="594"/>
      <c r="RCI10" s="479"/>
      <c r="RCJ10" s="479"/>
      <c r="RCK10" s="479"/>
      <c r="RCL10" s="479"/>
      <c r="RCM10" s="479"/>
      <c r="RCN10" s="479"/>
      <c r="RCO10" s="479"/>
      <c r="RCP10" s="479"/>
      <c r="RCQ10" s="479"/>
      <c r="RCR10" s="479"/>
      <c r="RCS10" s="479"/>
      <c r="RCT10" s="593"/>
      <c r="RCU10" s="594"/>
      <c r="RCV10" s="594"/>
      <c r="RCW10" s="594"/>
      <c r="RCX10" s="594"/>
      <c r="RCY10" s="594"/>
      <c r="RCZ10" s="594"/>
      <c r="RDA10" s="594"/>
      <c r="RDB10" s="594"/>
      <c r="RDC10" s="594"/>
      <c r="RDD10" s="479"/>
      <c r="RDE10" s="479"/>
      <c r="RDF10" s="479"/>
      <c r="RDG10" s="479"/>
      <c r="RDH10" s="479"/>
      <c r="RDI10" s="479"/>
      <c r="RDJ10" s="479"/>
      <c r="RDK10" s="479"/>
      <c r="RDL10" s="479"/>
      <c r="RDM10" s="479"/>
      <c r="RDN10" s="479"/>
      <c r="RDO10" s="593"/>
      <c r="RDP10" s="594"/>
      <c r="RDQ10" s="594"/>
      <c r="RDR10" s="594"/>
      <c r="RDS10" s="594"/>
      <c r="RDT10" s="594"/>
      <c r="RDU10" s="594"/>
      <c r="RDV10" s="594"/>
      <c r="RDW10" s="594"/>
      <c r="RDX10" s="594"/>
      <c r="RDY10" s="479"/>
      <c r="RDZ10" s="479"/>
      <c r="REA10" s="479"/>
      <c r="REB10" s="479"/>
      <c r="REC10" s="479"/>
      <c r="RED10" s="479"/>
      <c r="REE10" s="479"/>
      <c r="REF10" s="479"/>
      <c r="REG10" s="479"/>
      <c r="REH10" s="479"/>
      <c r="REI10" s="479"/>
      <c r="REJ10" s="593"/>
      <c r="REK10" s="594"/>
      <c r="REL10" s="594"/>
      <c r="REM10" s="594"/>
      <c r="REN10" s="594"/>
      <c r="REO10" s="594"/>
      <c r="REP10" s="594"/>
      <c r="REQ10" s="594"/>
      <c r="RER10" s="594"/>
      <c r="RES10" s="594"/>
      <c r="RET10" s="479"/>
      <c r="REU10" s="479"/>
      <c r="REV10" s="479"/>
      <c r="REW10" s="479"/>
      <c r="REX10" s="479"/>
      <c r="REY10" s="479"/>
      <c r="REZ10" s="479"/>
      <c r="RFA10" s="479"/>
      <c r="RFB10" s="479"/>
      <c r="RFC10" s="479"/>
      <c r="RFD10" s="479"/>
      <c r="RFE10" s="593"/>
      <c r="RFF10" s="594"/>
      <c r="RFG10" s="594"/>
      <c r="RFH10" s="594"/>
      <c r="RFI10" s="594"/>
      <c r="RFJ10" s="594"/>
      <c r="RFK10" s="594"/>
      <c r="RFL10" s="594"/>
      <c r="RFM10" s="594"/>
      <c r="RFN10" s="594"/>
      <c r="RFO10" s="479"/>
      <c r="RFP10" s="479"/>
      <c r="RFQ10" s="479"/>
      <c r="RFR10" s="479"/>
      <c r="RFS10" s="479"/>
      <c r="RFT10" s="479"/>
      <c r="RFU10" s="479"/>
      <c r="RFV10" s="479"/>
      <c r="RFW10" s="479"/>
      <c r="RFX10" s="479"/>
      <c r="RFY10" s="479"/>
      <c r="RFZ10" s="593"/>
      <c r="RGA10" s="594"/>
      <c r="RGB10" s="594"/>
      <c r="RGC10" s="594"/>
      <c r="RGD10" s="594"/>
      <c r="RGE10" s="594"/>
      <c r="RGF10" s="594"/>
      <c r="RGG10" s="594"/>
      <c r="RGH10" s="594"/>
      <c r="RGI10" s="594"/>
      <c r="RGJ10" s="479"/>
      <c r="RGK10" s="479"/>
      <c r="RGL10" s="479"/>
      <c r="RGM10" s="479"/>
      <c r="RGN10" s="479"/>
      <c r="RGO10" s="479"/>
      <c r="RGP10" s="479"/>
      <c r="RGQ10" s="479"/>
      <c r="RGR10" s="479"/>
      <c r="RGS10" s="479"/>
      <c r="RGT10" s="479"/>
      <c r="RGU10" s="593"/>
      <c r="RGV10" s="594"/>
      <c r="RGW10" s="594"/>
      <c r="RGX10" s="594"/>
      <c r="RGY10" s="594"/>
      <c r="RGZ10" s="594"/>
      <c r="RHA10" s="594"/>
      <c r="RHB10" s="594"/>
      <c r="RHC10" s="594"/>
      <c r="RHD10" s="594"/>
      <c r="RHE10" s="479"/>
      <c r="RHF10" s="479"/>
      <c r="RHG10" s="479"/>
      <c r="RHH10" s="479"/>
      <c r="RHI10" s="479"/>
      <c r="RHJ10" s="479"/>
      <c r="RHK10" s="479"/>
      <c r="RHL10" s="479"/>
      <c r="RHM10" s="479"/>
      <c r="RHN10" s="479"/>
      <c r="RHO10" s="479"/>
      <c r="RHP10" s="593"/>
      <c r="RHQ10" s="594"/>
      <c r="RHR10" s="594"/>
      <c r="RHS10" s="594"/>
      <c r="RHT10" s="594"/>
      <c r="RHU10" s="594"/>
      <c r="RHV10" s="594"/>
      <c r="RHW10" s="594"/>
      <c r="RHX10" s="594"/>
      <c r="RHY10" s="594"/>
      <c r="RHZ10" s="479"/>
      <c r="RIA10" s="479"/>
      <c r="RIB10" s="479"/>
      <c r="RIC10" s="479"/>
      <c r="RID10" s="479"/>
      <c r="RIE10" s="479"/>
      <c r="RIF10" s="479"/>
      <c r="RIG10" s="479"/>
      <c r="RIH10" s="479"/>
      <c r="RII10" s="479"/>
      <c r="RIJ10" s="479"/>
      <c r="RIK10" s="593"/>
      <c r="RIL10" s="594"/>
      <c r="RIM10" s="594"/>
      <c r="RIN10" s="594"/>
      <c r="RIO10" s="594"/>
      <c r="RIP10" s="594"/>
      <c r="RIQ10" s="594"/>
      <c r="RIR10" s="594"/>
      <c r="RIS10" s="594"/>
      <c r="RIT10" s="594"/>
      <c r="RIU10" s="479"/>
      <c r="RIV10" s="479"/>
      <c r="RIW10" s="479"/>
      <c r="RIX10" s="479"/>
      <c r="RIY10" s="479"/>
      <c r="RIZ10" s="479"/>
      <c r="RJA10" s="479"/>
      <c r="RJB10" s="479"/>
      <c r="RJC10" s="479"/>
      <c r="RJD10" s="479"/>
      <c r="RJE10" s="479"/>
      <c r="RJF10" s="593"/>
      <c r="RJG10" s="594"/>
      <c r="RJH10" s="594"/>
      <c r="RJI10" s="594"/>
      <c r="RJJ10" s="594"/>
      <c r="RJK10" s="594"/>
      <c r="RJL10" s="594"/>
      <c r="RJM10" s="594"/>
      <c r="RJN10" s="594"/>
      <c r="RJO10" s="594"/>
      <c r="RJP10" s="479"/>
      <c r="RJQ10" s="479"/>
      <c r="RJR10" s="479"/>
      <c r="RJS10" s="479"/>
      <c r="RJT10" s="479"/>
      <c r="RJU10" s="479"/>
      <c r="RJV10" s="479"/>
      <c r="RJW10" s="479"/>
      <c r="RJX10" s="479"/>
      <c r="RJY10" s="479"/>
      <c r="RJZ10" s="479"/>
      <c r="RKA10" s="593"/>
      <c r="RKB10" s="594"/>
      <c r="RKC10" s="594"/>
      <c r="RKD10" s="594"/>
      <c r="RKE10" s="594"/>
      <c r="RKF10" s="594"/>
      <c r="RKG10" s="594"/>
      <c r="RKH10" s="594"/>
      <c r="RKI10" s="594"/>
      <c r="RKJ10" s="594"/>
      <c r="RKK10" s="479"/>
      <c r="RKL10" s="479"/>
      <c r="RKM10" s="479"/>
      <c r="RKN10" s="479"/>
      <c r="RKO10" s="479"/>
      <c r="RKP10" s="479"/>
      <c r="RKQ10" s="479"/>
      <c r="RKR10" s="479"/>
      <c r="RKS10" s="479"/>
      <c r="RKT10" s="479"/>
      <c r="RKU10" s="479"/>
      <c r="RKV10" s="593"/>
      <c r="RKW10" s="594"/>
      <c r="RKX10" s="594"/>
      <c r="RKY10" s="594"/>
      <c r="RKZ10" s="594"/>
      <c r="RLA10" s="594"/>
      <c r="RLB10" s="594"/>
      <c r="RLC10" s="594"/>
      <c r="RLD10" s="594"/>
      <c r="RLE10" s="594"/>
      <c r="RLF10" s="479"/>
      <c r="RLG10" s="479"/>
      <c r="RLH10" s="479"/>
      <c r="RLI10" s="479"/>
      <c r="RLJ10" s="479"/>
      <c r="RLK10" s="479"/>
      <c r="RLL10" s="479"/>
      <c r="RLM10" s="479"/>
      <c r="RLN10" s="479"/>
      <c r="RLO10" s="479"/>
      <c r="RLP10" s="479"/>
      <c r="RLQ10" s="593"/>
      <c r="RLR10" s="594"/>
      <c r="RLS10" s="594"/>
      <c r="RLT10" s="594"/>
      <c r="RLU10" s="594"/>
      <c r="RLV10" s="594"/>
      <c r="RLW10" s="594"/>
      <c r="RLX10" s="594"/>
      <c r="RLY10" s="594"/>
      <c r="RLZ10" s="594"/>
      <c r="RMA10" s="479"/>
      <c r="RMB10" s="479"/>
      <c r="RMC10" s="479"/>
      <c r="RMD10" s="479"/>
      <c r="RME10" s="479"/>
      <c r="RMF10" s="479"/>
      <c r="RMG10" s="479"/>
      <c r="RMH10" s="479"/>
      <c r="RMI10" s="479"/>
      <c r="RMJ10" s="479"/>
      <c r="RMK10" s="479"/>
      <c r="RML10" s="593"/>
      <c r="RMM10" s="594"/>
      <c r="RMN10" s="594"/>
      <c r="RMO10" s="594"/>
      <c r="RMP10" s="594"/>
      <c r="RMQ10" s="594"/>
      <c r="RMR10" s="594"/>
      <c r="RMS10" s="594"/>
      <c r="RMT10" s="594"/>
      <c r="RMU10" s="594"/>
      <c r="RMV10" s="479"/>
      <c r="RMW10" s="479"/>
      <c r="RMX10" s="479"/>
      <c r="RMY10" s="479"/>
      <c r="RMZ10" s="479"/>
      <c r="RNA10" s="479"/>
      <c r="RNB10" s="479"/>
      <c r="RNC10" s="479"/>
      <c r="RND10" s="479"/>
      <c r="RNE10" s="479"/>
      <c r="RNF10" s="479"/>
      <c r="RNG10" s="593"/>
      <c r="RNH10" s="594"/>
      <c r="RNI10" s="594"/>
      <c r="RNJ10" s="594"/>
      <c r="RNK10" s="594"/>
      <c r="RNL10" s="594"/>
      <c r="RNM10" s="594"/>
      <c r="RNN10" s="594"/>
      <c r="RNO10" s="594"/>
      <c r="RNP10" s="594"/>
      <c r="RNQ10" s="479"/>
      <c r="RNR10" s="479"/>
      <c r="RNS10" s="479"/>
      <c r="RNT10" s="479"/>
      <c r="RNU10" s="479"/>
      <c r="RNV10" s="479"/>
      <c r="RNW10" s="479"/>
      <c r="RNX10" s="479"/>
      <c r="RNY10" s="479"/>
      <c r="RNZ10" s="479"/>
      <c r="ROA10" s="479"/>
      <c r="ROB10" s="593"/>
      <c r="ROC10" s="594"/>
      <c r="ROD10" s="594"/>
      <c r="ROE10" s="594"/>
      <c r="ROF10" s="594"/>
      <c r="ROG10" s="594"/>
      <c r="ROH10" s="594"/>
      <c r="ROI10" s="594"/>
      <c r="ROJ10" s="594"/>
      <c r="ROK10" s="594"/>
      <c r="ROL10" s="479"/>
      <c r="ROM10" s="479"/>
      <c r="RON10" s="479"/>
      <c r="ROO10" s="479"/>
      <c r="ROP10" s="479"/>
      <c r="ROQ10" s="479"/>
      <c r="ROR10" s="479"/>
      <c r="ROS10" s="479"/>
      <c r="ROT10" s="479"/>
      <c r="ROU10" s="479"/>
      <c r="ROV10" s="479"/>
      <c r="ROW10" s="593"/>
      <c r="ROX10" s="594"/>
      <c r="ROY10" s="594"/>
      <c r="ROZ10" s="594"/>
      <c r="RPA10" s="594"/>
      <c r="RPB10" s="594"/>
      <c r="RPC10" s="594"/>
      <c r="RPD10" s="594"/>
      <c r="RPE10" s="594"/>
      <c r="RPF10" s="594"/>
      <c r="RPG10" s="479"/>
      <c r="RPH10" s="479"/>
      <c r="RPI10" s="479"/>
      <c r="RPJ10" s="479"/>
      <c r="RPK10" s="479"/>
      <c r="RPL10" s="479"/>
      <c r="RPM10" s="479"/>
      <c r="RPN10" s="479"/>
      <c r="RPO10" s="479"/>
      <c r="RPP10" s="479"/>
      <c r="RPQ10" s="479"/>
      <c r="RPR10" s="593"/>
      <c r="RPS10" s="594"/>
      <c r="RPT10" s="594"/>
      <c r="RPU10" s="594"/>
      <c r="RPV10" s="594"/>
      <c r="RPW10" s="594"/>
      <c r="RPX10" s="594"/>
      <c r="RPY10" s="594"/>
      <c r="RPZ10" s="594"/>
      <c r="RQA10" s="594"/>
      <c r="RQB10" s="479"/>
      <c r="RQC10" s="479"/>
      <c r="RQD10" s="479"/>
      <c r="RQE10" s="479"/>
      <c r="RQF10" s="479"/>
      <c r="RQG10" s="479"/>
      <c r="RQH10" s="479"/>
      <c r="RQI10" s="479"/>
      <c r="RQJ10" s="479"/>
      <c r="RQK10" s="479"/>
      <c r="RQL10" s="479"/>
      <c r="RQM10" s="593"/>
      <c r="RQN10" s="594"/>
      <c r="RQO10" s="594"/>
      <c r="RQP10" s="594"/>
      <c r="RQQ10" s="594"/>
      <c r="RQR10" s="594"/>
      <c r="RQS10" s="594"/>
      <c r="RQT10" s="594"/>
      <c r="RQU10" s="594"/>
      <c r="RQV10" s="594"/>
      <c r="RQW10" s="479"/>
      <c r="RQX10" s="479"/>
      <c r="RQY10" s="479"/>
      <c r="RQZ10" s="479"/>
      <c r="RRA10" s="479"/>
      <c r="RRB10" s="479"/>
      <c r="RRC10" s="479"/>
      <c r="RRD10" s="479"/>
      <c r="RRE10" s="479"/>
      <c r="RRF10" s="479"/>
      <c r="RRG10" s="479"/>
      <c r="RRH10" s="593"/>
      <c r="RRI10" s="594"/>
      <c r="RRJ10" s="594"/>
      <c r="RRK10" s="594"/>
      <c r="RRL10" s="594"/>
      <c r="RRM10" s="594"/>
      <c r="RRN10" s="594"/>
      <c r="RRO10" s="594"/>
      <c r="RRP10" s="594"/>
      <c r="RRQ10" s="594"/>
      <c r="RRR10" s="479"/>
      <c r="RRS10" s="479"/>
      <c r="RRT10" s="479"/>
      <c r="RRU10" s="479"/>
      <c r="RRV10" s="479"/>
      <c r="RRW10" s="479"/>
      <c r="RRX10" s="479"/>
      <c r="RRY10" s="479"/>
      <c r="RRZ10" s="479"/>
      <c r="RSA10" s="479"/>
      <c r="RSB10" s="479"/>
      <c r="RSC10" s="593"/>
      <c r="RSD10" s="594"/>
      <c r="RSE10" s="594"/>
      <c r="RSF10" s="594"/>
      <c r="RSG10" s="594"/>
      <c r="RSH10" s="594"/>
      <c r="RSI10" s="594"/>
      <c r="RSJ10" s="594"/>
      <c r="RSK10" s="594"/>
      <c r="RSL10" s="594"/>
      <c r="RSM10" s="479"/>
      <c r="RSN10" s="479"/>
      <c r="RSO10" s="479"/>
      <c r="RSP10" s="479"/>
      <c r="RSQ10" s="479"/>
      <c r="RSR10" s="479"/>
      <c r="RSS10" s="479"/>
      <c r="RST10" s="479"/>
      <c r="RSU10" s="479"/>
      <c r="RSV10" s="479"/>
      <c r="RSW10" s="479"/>
      <c r="RSX10" s="593"/>
      <c r="RSY10" s="594"/>
      <c r="RSZ10" s="594"/>
      <c r="RTA10" s="594"/>
      <c r="RTB10" s="594"/>
      <c r="RTC10" s="594"/>
      <c r="RTD10" s="594"/>
      <c r="RTE10" s="594"/>
      <c r="RTF10" s="594"/>
      <c r="RTG10" s="594"/>
      <c r="RTH10" s="479"/>
      <c r="RTI10" s="479"/>
      <c r="RTJ10" s="479"/>
      <c r="RTK10" s="479"/>
      <c r="RTL10" s="479"/>
      <c r="RTM10" s="479"/>
      <c r="RTN10" s="479"/>
      <c r="RTO10" s="479"/>
      <c r="RTP10" s="479"/>
      <c r="RTQ10" s="479"/>
      <c r="RTR10" s="479"/>
      <c r="RTS10" s="593"/>
      <c r="RTT10" s="594"/>
      <c r="RTU10" s="594"/>
      <c r="RTV10" s="594"/>
      <c r="RTW10" s="594"/>
      <c r="RTX10" s="594"/>
      <c r="RTY10" s="594"/>
      <c r="RTZ10" s="594"/>
      <c r="RUA10" s="594"/>
      <c r="RUB10" s="594"/>
      <c r="RUC10" s="479"/>
      <c r="RUD10" s="479"/>
      <c r="RUE10" s="479"/>
      <c r="RUF10" s="479"/>
      <c r="RUG10" s="479"/>
      <c r="RUH10" s="479"/>
      <c r="RUI10" s="479"/>
      <c r="RUJ10" s="479"/>
      <c r="RUK10" s="479"/>
      <c r="RUL10" s="479"/>
      <c r="RUM10" s="479"/>
      <c r="RUN10" s="593"/>
      <c r="RUO10" s="594"/>
      <c r="RUP10" s="594"/>
      <c r="RUQ10" s="594"/>
      <c r="RUR10" s="594"/>
      <c r="RUS10" s="594"/>
      <c r="RUT10" s="594"/>
      <c r="RUU10" s="594"/>
      <c r="RUV10" s="594"/>
      <c r="RUW10" s="594"/>
      <c r="RUX10" s="479"/>
      <c r="RUY10" s="479"/>
      <c r="RUZ10" s="479"/>
      <c r="RVA10" s="479"/>
      <c r="RVB10" s="479"/>
      <c r="RVC10" s="479"/>
      <c r="RVD10" s="479"/>
      <c r="RVE10" s="479"/>
      <c r="RVF10" s="479"/>
      <c r="RVG10" s="479"/>
      <c r="RVH10" s="479"/>
      <c r="RVI10" s="593"/>
      <c r="RVJ10" s="594"/>
      <c r="RVK10" s="594"/>
      <c r="RVL10" s="594"/>
      <c r="RVM10" s="594"/>
      <c r="RVN10" s="594"/>
      <c r="RVO10" s="594"/>
      <c r="RVP10" s="594"/>
      <c r="RVQ10" s="594"/>
      <c r="RVR10" s="594"/>
      <c r="RVS10" s="479"/>
      <c r="RVT10" s="479"/>
      <c r="RVU10" s="479"/>
      <c r="RVV10" s="479"/>
      <c r="RVW10" s="479"/>
      <c r="RVX10" s="479"/>
      <c r="RVY10" s="479"/>
      <c r="RVZ10" s="479"/>
      <c r="RWA10" s="479"/>
      <c r="RWB10" s="479"/>
      <c r="RWC10" s="479"/>
      <c r="RWD10" s="593"/>
      <c r="RWE10" s="594"/>
      <c r="RWF10" s="594"/>
      <c r="RWG10" s="594"/>
      <c r="RWH10" s="594"/>
      <c r="RWI10" s="594"/>
      <c r="RWJ10" s="594"/>
      <c r="RWK10" s="594"/>
      <c r="RWL10" s="594"/>
      <c r="RWM10" s="594"/>
      <c r="RWN10" s="479"/>
      <c r="RWO10" s="479"/>
      <c r="RWP10" s="479"/>
      <c r="RWQ10" s="479"/>
      <c r="RWR10" s="479"/>
      <c r="RWS10" s="479"/>
      <c r="RWT10" s="479"/>
      <c r="RWU10" s="479"/>
      <c r="RWV10" s="479"/>
      <c r="RWW10" s="479"/>
      <c r="RWX10" s="479"/>
      <c r="RWY10" s="593"/>
      <c r="RWZ10" s="594"/>
      <c r="RXA10" s="594"/>
      <c r="RXB10" s="594"/>
      <c r="RXC10" s="594"/>
      <c r="RXD10" s="594"/>
      <c r="RXE10" s="594"/>
      <c r="RXF10" s="594"/>
      <c r="RXG10" s="594"/>
      <c r="RXH10" s="594"/>
      <c r="RXI10" s="479"/>
      <c r="RXJ10" s="479"/>
      <c r="RXK10" s="479"/>
      <c r="RXL10" s="479"/>
      <c r="RXM10" s="479"/>
      <c r="RXN10" s="479"/>
      <c r="RXO10" s="479"/>
      <c r="RXP10" s="479"/>
      <c r="RXQ10" s="479"/>
      <c r="RXR10" s="479"/>
      <c r="RXS10" s="479"/>
      <c r="RXT10" s="593"/>
      <c r="RXU10" s="594"/>
      <c r="RXV10" s="594"/>
      <c r="RXW10" s="594"/>
      <c r="RXX10" s="594"/>
      <c r="RXY10" s="594"/>
      <c r="RXZ10" s="594"/>
      <c r="RYA10" s="594"/>
      <c r="RYB10" s="594"/>
      <c r="RYC10" s="594"/>
      <c r="RYD10" s="479"/>
      <c r="RYE10" s="479"/>
      <c r="RYF10" s="479"/>
      <c r="RYG10" s="479"/>
      <c r="RYH10" s="479"/>
      <c r="RYI10" s="479"/>
      <c r="RYJ10" s="479"/>
      <c r="RYK10" s="479"/>
      <c r="RYL10" s="479"/>
      <c r="RYM10" s="479"/>
      <c r="RYN10" s="479"/>
      <c r="RYO10" s="593"/>
      <c r="RYP10" s="594"/>
      <c r="RYQ10" s="594"/>
      <c r="RYR10" s="594"/>
      <c r="RYS10" s="594"/>
      <c r="RYT10" s="594"/>
      <c r="RYU10" s="594"/>
      <c r="RYV10" s="594"/>
      <c r="RYW10" s="594"/>
      <c r="RYX10" s="594"/>
      <c r="RYY10" s="479"/>
      <c r="RYZ10" s="479"/>
      <c r="RZA10" s="479"/>
      <c r="RZB10" s="479"/>
      <c r="RZC10" s="479"/>
      <c r="RZD10" s="479"/>
      <c r="RZE10" s="479"/>
      <c r="RZF10" s="479"/>
      <c r="RZG10" s="479"/>
      <c r="RZH10" s="479"/>
      <c r="RZI10" s="479"/>
      <c r="RZJ10" s="593"/>
      <c r="RZK10" s="594"/>
      <c r="RZL10" s="594"/>
      <c r="RZM10" s="594"/>
      <c r="RZN10" s="594"/>
      <c r="RZO10" s="594"/>
      <c r="RZP10" s="594"/>
      <c r="RZQ10" s="594"/>
      <c r="RZR10" s="594"/>
      <c r="RZS10" s="594"/>
      <c r="RZT10" s="479"/>
      <c r="RZU10" s="479"/>
      <c r="RZV10" s="479"/>
      <c r="RZW10" s="479"/>
      <c r="RZX10" s="479"/>
      <c r="RZY10" s="479"/>
      <c r="RZZ10" s="479"/>
      <c r="SAA10" s="479"/>
      <c r="SAB10" s="479"/>
      <c r="SAC10" s="479"/>
      <c r="SAD10" s="479"/>
      <c r="SAE10" s="593"/>
      <c r="SAF10" s="594"/>
      <c r="SAG10" s="594"/>
      <c r="SAH10" s="594"/>
      <c r="SAI10" s="594"/>
      <c r="SAJ10" s="594"/>
      <c r="SAK10" s="594"/>
      <c r="SAL10" s="594"/>
      <c r="SAM10" s="594"/>
      <c r="SAN10" s="594"/>
      <c r="SAO10" s="479"/>
      <c r="SAP10" s="479"/>
      <c r="SAQ10" s="479"/>
      <c r="SAR10" s="479"/>
      <c r="SAS10" s="479"/>
      <c r="SAT10" s="479"/>
      <c r="SAU10" s="479"/>
      <c r="SAV10" s="479"/>
      <c r="SAW10" s="479"/>
      <c r="SAX10" s="479"/>
      <c r="SAY10" s="479"/>
      <c r="SAZ10" s="593"/>
      <c r="SBA10" s="594"/>
      <c r="SBB10" s="594"/>
      <c r="SBC10" s="594"/>
      <c r="SBD10" s="594"/>
      <c r="SBE10" s="594"/>
      <c r="SBF10" s="594"/>
      <c r="SBG10" s="594"/>
      <c r="SBH10" s="594"/>
      <c r="SBI10" s="594"/>
      <c r="SBJ10" s="479"/>
      <c r="SBK10" s="479"/>
      <c r="SBL10" s="479"/>
      <c r="SBM10" s="479"/>
      <c r="SBN10" s="479"/>
      <c r="SBO10" s="479"/>
      <c r="SBP10" s="479"/>
      <c r="SBQ10" s="479"/>
      <c r="SBR10" s="479"/>
      <c r="SBS10" s="479"/>
      <c r="SBT10" s="479"/>
      <c r="SBU10" s="593"/>
      <c r="SBV10" s="594"/>
      <c r="SBW10" s="594"/>
      <c r="SBX10" s="594"/>
      <c r="SBY10" s="594"/>
      <c r="SBZ10" s="594"/>
      <c r="SCA10" s="594"/>
      <c r="SCB10" s="594"/>
      <c r="SCC10" s="594"/>
      <c r="SCD10" s="594"/>
      <c r="SCE10" s="479"/>
      <c r="SCF10" s="479"/>
      <c r="SCG10" s="479"/>
      <c r="SCH10" s="479"/>
      <c r="SCI10" s="479"/>
      <c r="SCJ10" s="479"/>
      <c r="SCK10" s="479"/>
      <c r="SCL10" s="479"/>
      <c r="SCM10" s="479"/>
      <c r="SCN10" s="479"/>
      <c r="SCO10" s="479"/>
      <c r="SCP10" s="593"/>
      <c r="SCQ10" s="594"/>
      <c r="SCR10" s="594"/>
      <c r="SCS10" s="594"/>
      <c r="SCT10" s="594"/>
      <c r="SCU10" s="594"/>
      <c r="SCV10" s="594"/>
      <c r="SCW10" s="594"/>
      <c r="SCX10" s="594"/>
      <c r="SCY10" s="594"/>
      <c r="SCZ10" s="479"/>
      <c r="SDA10" s="479"/>
      <c r="SDB10" s="479"/>
      <c r="SDC10" s="479"/>
      <c r="SDD10" s="479"/>
      <c r="SDE10" s="479"/>
      <c r="SDF10" s="479"/>
      <c r="SDG10" s="479"/>
      <c r="SDH10" s="479"/>
      <c r="SDI10" s="479"/>
      <c r="SDJ10" s="479"/>
      <c r="SDK10" s="593"/>
      <c r="SDL10" s="594"/>
      <c r="SDM10" s="594"/>
      <c r="SDN10" s="594"/>
      <c r="SDO10" s="594"/>
      <c r="SDP10" s="594"/>
      <c r="SDQ10" s="594"/>
      <c r="SDR10" s="594"/>
      <c r="SDS10" s="594"/>
      <c r="SDT10" s="594"/>
      <c r="SDU10" s="479"/>
      <c r="SDV10" s="479"/>
      <c r="SDW10" s="479"/>
      <c r="SDX10" s="479"/>
      <c r="SDY10" s="479"/>
      <c r="SDZ10" s="479"/>
      <c r="SEA10" s="479"/>
      <c r="SEB10" s="479"/>
      <c r="SEC10" s="479"/>
      <c r="SED10" s="479"/>
      <c r="SEE10" s="479"/>
      <c r="SEF10" s="593"/>
      <c r="SEG10" s="594"/>
      <c r="SEH10" s="594"/>
      <c r="SEI10" s="594"/>
      <c r="SEJ10" s="594"/>
      <c r="SEK10" s="594"/>
      <c r="SEL10" s="594"/>
      <c r="SEM10" s="594"/>
      <c r="SEN10" s="594"/>
      <c r="SEO10" s="594"/>
      <c r="SEP10" s="479"/>
      <c r="SEQ10" s="479"/>
      <c r="SER10" s="479"/>
      <c r="SES10" s="479"/>
      <c r="SET10" s="479"/>
      <c r="SEU10" s="479"/>
      <c r="SEV10" s="479"/>
      <c r="SEW10" s="479"/>
      <c r="SEX10" s="479"/>
      <c r="SEY10" s="479"/>
      <c r="SEZ10" s="479"/>
      <c r="SFA10" s="593"/>
      <c r="SFB10" s="594"/>
      <c r="SFC10" s="594"/>
      <c r="SFD10" s="594"/>
      <c r="SFE10" s="594"/>
      <c r="SFF10" s="594"/>
      <c r="SFG10" s="594"/>
      <c r="SFH10" s="594"/>
      <c r="SFI10" s="594"/>
      <c r="SFJ10" s="594"/>
      <c r="SFK10" s="479"/>
      <c r="SFL10" s="479"/>
      <c r="SFM10" s="479"/>
      <c r="SFN10" s="479"/>
      <c r="SFO10" s="479"/>
      <c r="SFP10" s="479"/>
      <c r="SFQ10" s="479"/>
      <c r="SFR10" s="479"/>
      <c r="SFS10" s="479"/>
      <c r="SFT10" s="479"/>
      <c r="SFU10" s="479"/>
      <c r="SFV10" s="593"/>
      <c r="SFW10" s="594"/>
      <c r="SFX10" s="594"/>
      <c r="SFY10" s="594"/>
      <c r="SFZ10" s="594"/>
      <c r="SGA10" s="594"/>
      <c r="SGB10" s="594"/>
      <c r="SGC10" s="594"/>
      <c r="SGD10" s="594"/>
      <c r="SGE10" s="594"/>
      <c r="SGF10" s="479"/>
      <c r="SGG10" s="479"/>
      <c r="SGH10" s="479"/>
      <c r="SGI10" s="479"/>
      <c r="SGJ10" s="479"/>
      <c r="SGK10" s="479"/>
      <c r="SGL10" s="479"/>
      <c r="SGM10" s="479"/>
      <c r="SGN10" s="479"/>
      <c r="SGO10" s="479"/>
      <c r="SGP10" s="479"/>
      <c r="SGQ10" s="593"/>
      <c r="SGR10" s="594"/>
      <c r="SGS10" s="594"/>
      <c r="SGT10" s="594"/>
      <c r="SGU10" s="594"/>
      <c r="SGV10" s="594"/>
      <c r="SGW10" s="594"/>
      <c r="SGX10" s="594"/>
      <c r="SGY10" s="594"/>
      <c r="SGZ10" s="594"/>
      <c r="SHA10" s="479"/>
      <c r="SHB10" s="479"/>
      <c r="SHC10" s="479"/>
      <c r="SHD10" s="479"/>
      <c r="SHE10" s="479"/>
      <c r="SHF10" s="479"/>
      <c r="SHG10" s="479"/>
      <c r="SHH10" s="479"/>
      <c r="SHI10" s="479"/>
      <c r="SHJ10" s="479"/>
      <c r="SHK10" s="479"/>
      <c r="SHL10" s="593"/>
      <c r="SHM10" s="594"/>
      <c r="SHN10" s="594"/>
      <c r="SHO10" s="594"/>
      <c r="SHP10" s="594"/>
      <c r="SHQ10" s="594"/>
      <c r="SHR10" s="594"/>
      <c r="SHS10" s="594"/>
      <c r="SHT10" s="594"/>
      <c r="SHU10" s="594"/>
      <c r="SHV10" s="479"/>
      <c r="SHW10" s="479"/>
      <c r="SHX10" s="479"/>
      <c r="SHY10" s="479"/>
      <c r="SHZ10" s="479"/>
      <c r="SIA10" s="479"/>
      <c r="SIB10" s="479"/>
      <c r="SIC10" s="479"/>
      <c r="SID10" s="479"/>
      <c r="SIE10" s="479"/>
      <c r="SIF10" s="479"/>
      <c r="SIG10" s="593"/>
      <c r="SIH10" s="594"/>
      <c r="SII10" s="594"/>
      <c r="SIJ10" s="594"/>
      <c r="SIK10" s="594"/>
      <c r="SIL10" s="594"/>
      <c r="SIM10" s="594"/>
      <c r="SIN10" s="594"/>
      <c r="SIO10" s="594"/>
      <c r="SIP10" s="594"/>
      <c r="SIQ10" s="479"/>
      <c r="SIR10" s="479"/>
      <c r="SIS10" s="479"/>
      <c r="SIT10" s="479"/>
      <c r="SIU10" s="479"/>
      <c r="SIV10" s="479"/>
      <c r="SIW10" s="479"/>
      <c r="SIX10" s="479"/>
      <c r="SIY10" s="479"/>
      <c r="SIZ10" s="479"/>
      <c r="SJA10" s="479"/>
      <c r="SJB10" s="593"/>
      <c r="SJC10" s="594"/>
      <c r="SJD10" s="594"/>
      <c r="SJE10" s="594"/>
      <c r="SJF10" s="594"/>
      <c r="SJG10" s="594"/>
      <c r="SJH10" s="594"/>
      <c r="SJI10" s="594"/>
      <c r="SJJ10" s="594"/>
      <c r="SJK10" s="594"/>
      <c r="SJL10" s="479"/>
      <c r="SJM10" s="479"/>
      <c r="SJN10" s="479"/>
      <c r="SJO10" s="479"/>
      <c r="SJP10" s="479"/>
      <c r="SJQ10" s="479"/>
      <c r="SJR10" s="479"/>
      <c r="SJS10" s="479"/>
      <c r="SJT10" s="479"/>
      <c r="SJU10" s="479"/>
      <c r="SJV10" s="479"/>
      <c r="SJW10" s="593"/>
      <c r="SJX10" s="594"/>
      <c r="SJY10" s="594"/>
      <c r="SJZ10" s="594"/>
      <c r="SKA10" s="594"/>
      <c r="SKB10" s="594"/>
      <c r="SKC10" s="594"/>
      <c r="SKD10" s="594"/>
      <c r="SKE10" s="594"/>
      <c r="SKF10" s="594"/>
      <c r="SKG10" s="479"/>
      <c r="SKH10" s="479"/>
      <c r="SKI10" s="479"/>
      <c r="SKJ10" s="479"/>
      <c r="SKK10" s="479"/>
      <c r="SKL10" s="479"/>
      <c r="SKM10" s="479"/>
      <c r="SKN10" s="479"/>
      <c r="SKO10" s="479"/>
      <c r="SKP10" s="479"/>
      <c r="SKQ10" s="479"/>
      <c r="SKR10" s="593"/>
      <c r="SKS10" s="594"/>
      <c r="SKT10" s="594"/>
      <c r="SKU10" s="594"/>
      <c r="SKV10" s="594"/>
      <c r="SKW10" s="594"/>
      <c r="SKX10" s="594"/>
      <c r="SKY10" s="594"/>
      <c r="SKZ10" s="594"/>
      <c r="SLA10" s="594"/>
      <c r="SLB10" s="479"/>
      <c r="SLC10" s="479"/>
      <c r="SLD10" s="479"/>
      <c r="SLE10" s="479"/>
      <c r="SLF10" s="479"/>
      <c r="SLG10" s="479"/>
      <c r="SLH10" s="479"/>
      <c r="SLI10" s="479"/>
      <c r="SLJ10" s="479"/>
      <c r="SLK10" s="479"/>
      <c r="SLL10" s="479"/>
      <c r="SLM10" s="593"/>
      <c r="SLN10" s="594"/>
      <c r="SLO10" s="594"/>
      <c r="SLP10" s="594"/>
      <c r="SLQ10" s="594"/>
      <c r="SLR10" s="594"/>
      <c r="SLS10" s="594"/>
      <c r="SLT10" s="594"/>
      <c r="SLU10" s="594"/>
      <c r="SLV10" s="594"/>
      <c r="SLW10" s="479"/>
      <c r="SLX10" s="479"/>
      <c r="SLY10" s="479"/>
      <c r="SLZ10" s="479"/>
      <c r="SMA10" s="479"/>
      <c r="SMB10" s="479"/>
      <c r="SMC10" s="479"/>
      <c r="SMD10" s="479"/>
      <c r="SME10" s="479"/>
      <c r="SMF10" s="479"/>
      <c r="SMG10" s="479"/>
      <c r="SMH10" s="593"/>
      <c r="SMI10" s="594"/>
      <c r="SMJ10" s="594"/>
      <c r="SMK10" s="594"/>
      <c r="SML10" s="594"/>
      <c r="SMM10" s="594"/>
      <c r="SMN10" s="594"/>
      <c r="SMO10" s="594"/>
      <c r="SMP10" s="594"/>
      <c r="SMQ10" s="594"/>
      <c r="SMR10" s="479"/>
      <c r="SMS10" s="479"/>
      <c r="SMT10" s="479"/>
      <c r="SMU10" s="479"/>
      <c r="SMV10" s="479"/>
      <c r="SMW10" s="479"/>
      <c r="SMX10" s="479"/>
      <c r="SMY10" s="479"/>
      <c r="SMZ10" s="479"/>
      <c r="SNA10" s="479"/>
      <c r="SNB10" s="479"/>
      <c r="SNC10" s="593"/>
      <c r="SND10" s="594"/>
      <c r="SNE10" s="594"/>
      <c r="SNF10" s="594"/>
      <c r="SNG10" s="594"/>
      <c r="SNH10" s="594"/>
      <c r="SNI10" s="594"/>
      <c r="SNJ10" s="594"/>
      <c r="SNK10" s="594"/>
      <c r="SNL10" s="594"/>
      <c r="SNM10" s="479"/>
      <c r="SNN10" s="479"/>
      <c r="SNO10" s="479"/>
      <c r="SNP10" s="479"/>
      <c r="SNQ10" s="479"/>
      <c r="SNR10" s="479"/>
      <c r="SNS10" s="479"/>
      <c r="SNT10" s="479"/>
      <c r="SNU10" s="479"/>
      <c r="SNV10" s="479"/>
      <c r="SNW10" s="479"/>
      <c r="SNX10" s="593"/>
      <c r="SNY10" s="594"/>
      <c r="SNZ10" s="594"/>
      <c r="SOA10" s="594"/>
      <c r="SOB10" s="594"/>
      <c r="SOC10" s="594"/>
      <c r="SOD10" s="594"/>
      <c r="SOE10" s="594"/>
      <c r="SOF10" s="594"/>
      <c r="SOG10" s="594"/>
      <c r="SOH10" s="479"/>
      <c r="SOI10" s="479"/>
      <c r="SOJ10" s="479"/>
      <c r="SOK10" s="479"/>
      <c r="SOL10" s="479"/>
      <c r="SOM10" s="479"/>
      <c r="SON10" s="479"/>
      <c r="SOO10" s="479"/>
      <c r="SOP10" s="479"/>
      <c r="SOQ10" s="479"/>
      <c r="SOR10" s="479"/>
      <c r="SOS10" s="593"/>
      <c r="SOT10" s="594"/>
      <c r="SOU10" s="594"/>
      <c r="SOV10" s="594"/>
      <c r="SOW10" s="594"/>
      <c r="SOX10" s="594"/>
      <c r="SOY10" s="594"/>
      <c r="SOZ10" s="594"/>
      <c r="SPA10" s="594"/>
      <c r="SPB10" s="594"/>
      <c r="SPC10" s="479"/>
      <c r="SPD10" s="479"/>
      <c r="SPE10" s="479"/>
      <c r="SPF10" s="479"/>
      <c r="SPG10" s="479"/>
      <c r="SPH10" s="479"/>
      <c r="SPI10" s="479"/>
      <c r="SPJ10" s="479"/>
      <c r="SPK10" s="479"/>
      <c r="SPL10" s="479"/>
      <c r="SPM10" s="479"/>
      <c r="SPN10" s="593"/>
      <c r="SPO10" s="594"/>
      <c r="SPP10" s="594"/>
      <c r="SPQ10" s="594"/>
      <c r="SPR10" s="594"/>
      <c r="SPS10" s="594"/>
      <c r="SPT10" s="594"/>
      <c r="SPU10" s="594"/>
      <c r="SPV10" s="594"/>
      <c r="SPW10" s="594"/>
      <c r="SPX10" s="479"/>
      <c r="SPY10" s="479"/>
      <c r="SPZ10" s="479"/>
      <c r="SQA10" s="479"/>
      <c r="SQB10" s="479"/>
      <c r="SQC10" s="479"/>
      <c r="SQD10" s="479"/>
      <c r="SQE10" s="479"/>
      <c r="SQF10" s="479"/>
      <c r="SQG10" s="479"/>
      <c r="SQH10" s="479"/>
      <c r="SQI10" s="593"/>
      <c r="SQJ10" s="594"/>
      <c r="SQK10" s="594"/>
      <c r="SQL10" s="594"/>
      <c r="SQM10" s="594"/>
      <c r="SQN10" s="594"/>
      <c r="SQO10" s="594"/>
      <c r="SQP10" s="594"/>
      <c r="SQQ10" s="594"/>
      <c r="SQR10" s="594"/>
      <c r="SQS10" s="479"/>
      <c r="SQT10" s="479"/>
      <c r="SQU10" s="479"/>
      <c r="SQV10" s="479"/>
      <c r="SQW10" s="479"/>
      <c r="SQX10" s="479"/>
      <c r="SQY10" s="479"/>
      <c r="SQZ10" s="479"/>
      <c r="SRA10" s="479"/>
      <c r="SRB10" s="479"/>
      <c r="SRC10" s="479"/>
      <c r="SRD10" s="593"/>
      <c r="SRE10" s="594"/>
      <c r="SRF10" s="594"/>
      <c r="SRG10" s="594"/>
      <c r="SRH10" s="594"/>
      <c r="SRI10" s="594"/>
      <c r="SRJ10" s="594"/>
      <c r="SRK10" s="594"/>
      <c r="SRL10" s="594"/>
      <c r="SRM10" s="594"/>
      <c r="SRN10" s="479"/>
      <c r="SRO10" s="479"/>
      <c r="SRP10" s="479"/>
      <c r="SRQ10" s="479"/>
      <c r="SRR10" s="479"/>
      <c r="SRS10" s="479"/>
      <c r="SRT10" s="479"/>
      <c r="SRU10" s="479"/>
      <c r="SRV10" s="479"/>
      <c r="SRW10" s="479"/>
      <c r="SRX10" s="479"/>
      <c r="SRY10" s="593"/>
      <c r="SRZ10" s="594"/>
      <c r="SSA10" s="594"/>
      <c r="SSB10" s="594"/>
      <c r="SSC10" s="594"/>
      <c r="SSD10" s="594"/>
      <c r="SSE10" s="594"/>
      <c r="SSF10" s="594"/>
      <c r="SSG10" s="594"/>
      <c r="SSH10" s="594"/>
      <c r="SSI10" s="479"/>
      <c r="SSJ10" s="479"/>
      <c r="SSK10" s="479"/>
      <c r="SSL10" s="479"/>
      <c r="SSM10" s="479"/>
      <c r="SSN10" s="479"/>
      <c r="SSO10" s="479"/>
      <c r="SSP10" s="479"/>
      <c r="SSQ10" s="479"/>
      <c r="SSR10" s="479"/>
      <c r="SSS10" s="479"/>
      <c r="SST10" s="593"/>
      <c r="SSU10" s="594"/>
      <c r="SSV10" s="594"/>
      <c r="SSW10" s="594"/>
      <c r="SSX10" s="594"/>
      <c r="SSY10" s="594"/>
      <c r="SSZ10" s="594"/>
      <c r="STA10" s="594"/>
      <c r="STB10" s="594"/>
      <c r="STC10" s="594"/>
      <c r="STD10" s="479"/>
      <c r="STE10" s="479"/>
      <c r="STF10" s="479"/>
      <c r="STG10" s="479"/>
      <c r="STH10" s="479"/>
      <c r="STI10" s="479"/>
      <c r="STJ10" s="479"/>
      <c r="STK10" s="479"/>
      <c r="STL10" s="479"/>
      <c r="STM10" s="479"/>
      <c r="STN10" s="479"/>
      <c r="STO10" s="593"/>
      <c r="STP10" s="594"/>
      <c r="STQ10" s="594"/>
      <c r="STR10" s="594"/>
      <c r="STS10" s="594"/>
      <c r="STT10" s="594"/>
      <c r="STU10" s="594"/>
      <c r="STV10" s="594"/>
      <c r="STW10" s="594"/>
      <c r="STX10" s="594"/>
      <c r="STY10" s="479"/>
      <c r="STZ10" s="479"/>
      <c r="SUA10" s="479"/>
      <c r="SUB10" s="479"/>
      <c r="SUC10" s="479"/>
      <c r="SUD10" s="479"/>
      <c r="SUE10" s="479"/>
      <c r="SUF10" s="479"/>
      <c r="SUG10" s="479"/>
      <c r="SUH10" s="479"/>
      <c r="SUI10" s="479"/>
      <c r="SUJ10" s="593"/>
      <c r="SUK10" s="594"/>
      <c r="SUL10" s="594"/>
      <c r="SUM10" s="594"/>
      <c r="SUN10" s="594"/>
      <c r="SUO10" s="594"/>
      <c r="SUP10" s="594"/>
      <c r="SUQ10" s="594"/>
      <c r="SUR10" s="594"/>
      <c r="SUS10" s="594"/>
      <c r="SUT10" s="479"/>
      <c r="SUU10" s="479"/>
      <c r="SUV10" s="479"/>
      <c r="SUW10" s="479"/>
      <c r="SUX10" s="479"/>
      <c r="SUY10" s="479"/>
      <c r="SUZ10" s="479"/>
      <c r="SVA10" s="479"/>
      <c r="SVB10" s="479"/>
      <c r="SVC10" s="479"/>
      <c r="SVD10" s="479"/>
      <c r="SVE10" s="593"/>
      <c r="SVF10" s="594"/>
      <c r="SVG10" s="594"/>
      <c r="SVH10" s="594"/>
      <c r="SVI10" s="594"/>
      <c r="SVJ10" s="594"/>
      <c r="SVK10" s="594"/>
      <c r="SVL10" s="594"/>
      <c r="SVM10" s="594"/>
      <c r="SVN10" s="594"/>
      <c r="SVO10" s="479"/>
      <c r="SVP10" s="479"/>
      <c r="SVQ10" s="479"/>
      <c r="SVR10" s="479"/>
      <c r="SVS10" s="479"/>
      <c r="SVT10" s="479"/>
      <c r="SVU10" s="479"/>
      <c r="SVV10" s="479"/>
      <c r="SVW10" s="479"/>
      <c r="SVX10" s="479"/>
      <c r="SVY10" s="479"/>
      <c r="SVZ10" s="593"/>
      <c r="SWA10" s="594"/>
      <c r="SWB10" s="594"/>
      <c r="SWC10" s="594"/>
      <c r="SWD10" s="594"/>
      <c r="SWE10" s="594"/>
      <c r="SWF10" s="594"/>
      <c r="SWG10" s="594"/>
      <c r="SWH10" s="594"/>
      <c r="SWI10" s="594"/>
      <c r="SWJ10" s="479"/>
      <c r="SWK10" s="479"/>
      <c r="SWL10" s="479"/>
      <c r="SWM10" s="479"/>
      <c r="SWN10" s="479"/>
      <c r="SWO10" s="479"/>
      <c r="SWP10" s="479"/>
      <c r="SWQ10" s="479"/>
      <c r="SWR10" s="479"/>
      <c r="SWS10" s="479"/>
      <c r="SWT10" s="479"/>
      <c r="SWU10" s="593"/>
      <c r="SWV10" s="594"/>
      <c r="SWW10" s="594"/>
      <c r="SWX10" s="594"/>
      <c r="SWY10" s="594"/>
      <c r="SWZ10" s="594"/>
      <c r="SXA10" s="594"/>
      <c r="SXB10" s="594"/>
      <c r="SXC10" s="594"/>
      <c r="SXD10" s="594"/>
      <c r="SXE10" s="479"/>
      <c r="SXF10" s="479"/>
      <c r="SXG10" s="479"/>
      <c r="SXH10" s="479"/>
      <c r="SXI10" s="479"/>
      <c r="SXJ10" s="479"/>
      <c r="SXK10" s="479"/>
      <c r="SXL10" s="479"/>
      <c r="SXM10" s="479"/>
      <c r="SXN10" s="479"/>
      <c r="SXO10" s="479"/>
      <c r="SXP10" s="593"/>
      <c r="SXQ10" s="594"/>
      <c r="SXR10" s="594"/>
      <c r="SXS10" s="594"/>
      <c r="SXT10" s="594"/>
      <c r="SXU10" s="594"/>
      <c r="SXV10" s="594"/>
      <c r="SXW10" s="594"/>
      <c r="SXX10" s="594"/>
      <c r="SXY10" s="594"/>
      <c r="SXZ10" s="479"/>
      <c r="SYA10" s="479"/>
      <c r="SYB10" s="479"/>
      <c r="SYC10" s="479"/>
      <c r="SYD10" s="479"/>
      <c r="SYE10" s="479"/>
      <c r="SYF10" s="479"/>
      <c r="SYG10" s="479"/>
      <c r="SYH10" s="479"/>
      <c r="SYI10" s="479"/>
      <c r="SYJ10" s="479"/>
      <c r="SYK10" s="593"/>
      <c r="SYL10" s="594"/>
      <c r="SYM10" s="594"/>
      <c r="SYN10" s="594"/>
      <c r="SYO10" s="594"/>
      <c r="SYP10" s="594"/>
      <c r="SYQ10" s="594"/>
      <c r="SYR10" s="594"/>
      <c r="SYS10" s="594"/>
      <c r="SYT10" s="594"/>
      <c r="SYU10" s="479"/>
      <c r="SYV10" s="479"/>
      <c r="SYW10" s="479"/>
      <c r="SYX10" s="479"/>
      <c r="SYY10" s="479"/>
      <c r="SYZ10" s="479"/>
      <c r="SZA10" s="479"/>
      <c r="SZB10" s="479"/>
      <c r="SZC10" s="479"/>
      <c r="SZD10" s="479"/>
      <c r="SZE10" s="479"/>
      <c r="SZF10" s="593"/>
      <c r="SZG10" s="594"/>
      <c r="SZH10" s="594"/>
      <c r="SZI10" s="594"/>
      <c r="SZJ10" s="594"/>
      <c r="SZK10" s="594"/>
      <c r="SZL10" s="594"/>
      <c r="SZM10" s="594"/>
      <c r="SZN10" s="594"/>
      <c r="SZO10" s="594"/>
      <c r="SZP10" s="479"/>
      <c r="SZQ10" s="479"/>
      <c r="SZR10" s="479"/>
      <c r="SZS10" s="479"/>
      <c r="SZT10" s="479"/>
      <c r="SZU10" s="479"/>
      <c r="SZV10" s="479"/>
      <c r="SZW10" s="479"/>
      <c r="SZX10" s="479"/>
      <c r="SZY10" s="479"/>
      <c r="SZZ10" s="479"/>
      <c r="TAA10" s="593"/>
      <c r="TAB10" s="594"/>
      <c r="TAC10" s="594"/>
      <c r="TAD10" s="594"/>
      <c r="TAE10" s="594"/>
      <c r="TAF10" s="594"/>
      <c r="TAG10" s="594"/>
      <c r="TAH10" s="594"/>
      <c r="TAI10" s="594"/>
      <c r="TAJ10" s="594"/>
      <c r="TAK10" s="479"/>
      <c r="TAL10" s="479"/>
      <c r="TAM10" s="479"/>
      <c r="TAN10" s="479"/>
      <c r="TAO10" s="479"/>
      <c r="TAP10" s="479"/>
      <c r="TAQ10" s="479"/>
      <c r="TAR10" s="479"/>
      <c r="TAS10" s="479"/>
      <c r="TAT10" s="479"/>
      <c r="TAU10" s="479"/>
      <c r="TAV10" s="593"/>
      <c r="TAW10" s="594"/>
      <c r="TAX10" s="594"/>
      <c r="TAY10" s="594"/>
      <c r="TAZ10" s="594"/>
      <c r="TBA10" s="594"/>
      <c r="TBB10" s="594"/>
      <c r="TBC10" s="594"/>
      <c r="TBD10" s="594"/>
      <c r="TBE10" s="594"/>
      <c r="TBF10" s="479"/>
      <c r="TBG10" s="479"/>
      <c r="TBH10" s="479"/>
      <c r="TBI10" s="479"/>
      <c r="TBJ10" s="479"/>
      <c r="TBK10" s="479"/>
      <c r="TBL10" s="479"/>
      <c r="TBM10" s="479"/>
      <c r="TBN10" s="479"/>
      <c r="TBO10" s="479"/>
      <c r="TBP10" s="479"/>
      <c r="TBQ10" s="593"/>
      <c r="TBR10" s="594"/>
      <c r="TBS10" s="594"/>
      <c r="TBT10" s="594"/>
      <c r="TBU10" s="594"/>
      <c r="TBV10" s="594"/>
      <c r="TBW10" s="594"/>
      <c r="TBX10" s="594"/>
      <c r="TBY10" s="594"/>
      <c r="TBZ10" s="594"/>
      <c r="TCA10" s="479"/>
      <c r="TCB10" s="479"/>
      <c r="TCC10" s="479"/>
      <c r="TCD10" s="479"/>
      <c r="TCE10" s="479"/>
      <c r="TCF10" s="479"/>
      <c r="TCG10" s="479"/>
      <c r="TCH10" s="479"/>
      <c r="TCI10" s="479"/>
      <c r="TCJ10" s="479"/>
      <c r="TCK10" s="479"/>
      <c r="TCL10" s="593"/>
      <c r="TCM10" s="594"/>
      <c r="TCN10" s="594"/>
      <c r="TCO10" s="594"/>
      <c r="TCP10" s="594"/>
      <c r="TCQ10" s="594"/>
      <c r="TCR10" s="594"/>
      <c r="TCS10" s="594"/>
      <c r="TCT10" s="594"/>
      <c r="TCU10" s="594"/>
      <c r="TCV10" s="479"/>
      <c r="TCW10" s="479"/>
      <c r="TCX10" s="479"/>
      <c r="TCY10" s="479"/>
      <c r="TCZ10" s="479"/>
      <c r="TDA10" s="479"/>
      <c r="TDB10" s="479"/>
      <c r="TDC10" s="479"/>
      <c r="TDD10" s="479"/>
      <c r="TDE10" s="479"/>
      <c r="TDF10" s="479"/>
      <c r="TDG10" s="593"/>
      <c r="TDH10" s="594"/>
      <c r="TDI10" s="594"/>
      <c r="TDJ10" s="594"/>
      <c r="TDK10" s="594"/>
      <c r="TDL10" s="594"/>
      <c r="TDM10" s="594"/>
      <c r="TDN10" s="594"/>
      <c r="TDO10" s="594"/>
      <c r="TDP10" s="594"/>
      <c r="TDQ10" s="479"/>
      <c r="TDR10" s="479"/>
      <c r="TDS10" s="479"/>
      <c r="TDT10" s="479"/>
      <c r="TDU10" s="479"/>
      <c r="TDV10" s="479"/>
      <c r="TDW10" s="479"/>
      <c r="TDX10" s="479"/>
      <c r="TDY10" s="479"/>
      <c r="TDZ10" s="479"/>
      <c r="TEA10" s="479"/>
      <c r="TEB10" s="593"/>
      <c r="TEC10" s="594"/>
      <c r="TED10" s="594"/>
      <c r="TEE10" s="594"/>
      <c r="TEF10" s="594"/>
      <c r="TEG10" s="594"/>
      <c r="TEH10" s="594"/>
      <c r="TEI10" s="594"/>
      <c r="TEJ10" s="594"/>
      <c r="TEK10" s="594"/>
      <c r="TEL10" s="479"/>
      <c r="TEM10" s="479"/>
      <c r="TEN10" s="479"/>
      <c r="TEO10" s="479"/>
      <c r="TEP10" s="479"/>
      <c r="TEQ10" s="479"/>
      <c r="TER10" s="479"/>
      <c r="TES10" s="479"/>
      <c r="TET10" s="479"/>
      <c r="TEU10" s="479"/>
      <c r="TEV10" s="479"/>
      <c r="TEW10" s="593"/>
      <c r="TEX10" s="594"/>
      <c r="TEY10" s="594"/>
      <c r="TEZ10" s="594"/>
      <c r="TFA10" s="594"/>
      <c r="TFB10" s="594"/>
      <c r="TFC10" s="594"/>
      <c r="TFD10" s="594"/>
      <c r="TFE10" s="594"/>
      <c r="TFF10" s="594"/>
      <c r="TFG10" s="479"/>
      <c r="TFH10" s="479"/>
      <c r="TFI10" s="479"/>
      <c r="TFJ10" s="479"/>
      <c r="TFK10" s="479"/>
      <c r="TFL10" s="479"/>
      <c r="TFM10" s="479"/>
      <c r="TFN10" s="479"/>
      <c r="TFO10" s="479"/>
      <c r="TFP10" s="479"/>
      <c r="TFQ10" s="479"/>
      <c r="TFR10" s="593"/>
      <c r="TFS10" s="594"/>
      <c r="TFT10" s="594"/>
      <c r="TFU10" s="594"/>
      <c r="TFV10" s="594"/>
      <c r="TFW10" s="594"/>
      <c r="TFX10" s="594"/>
      <c r="TFY10" s="594"/>
      <c r="TFZ10" s="594"/>
      <c r="TGA10" s="594"/>
      <c r="TGB10" s="479"/>
      <c r="TGC10" s="479"/>
      <c r="TGD10" s="479"/>
      <c r="TGE10" s="479"/>
      <c r="TGF10" s="479"/>
      <c r="TGG10" s="479"/>
      <c r="TGH10" s="479"/>
      <c r="TGI10" s="479"/>
      <c r="TGJ10" s="479"/>
      <c r="TGK10" s="479"/>
      <c r="TGL10" s="479"/>
      <c r="TGM10" s="593"/>
      <c r="TGN10" s="594"/>
      <c r="TGO10" s="594"/>
      <c r="TGP10" s="594"/>
      <c r="TGQ10" s="594"/>
      <c r="TGR10" s="594"/>
      <c r="TGS10" s="594"/>
      <c r="TGT10" s="594"/>
      <c r="TGU10" s="594"/>
      <c r="TGV10" s="594"/>
      <c r="TGW10" s="479"/>
      <c r="TGX10" s="479"/>
      <c r="TGY10" s="479"/>
      <c r="TGZ10" s="479"/>
      <c r="THA10" s="479"/>
      <c r="THB10" s="479"/>
      <c r="THC10" s="479"/>
      <c r="THD10" s="479"/>
      <c r="THE10" s="479"/>
      <c r="THF10" s="479"/>
      <c r="THG10" s="479"/>
      <c r="THH10" s="593"/>
      <c r="THI10" s="594"/>
      <c r="THJ10" s="594"/>
      <c r="THK10" s="594"/>
      <c r="THL10" s="594"/>
      <c r="THM10" s="594"/>
      <c r="THN10" s="594"/>
      <c r="THO10" s="594"/>
      <c r="THP10" s="594"/>
      <c r="THQ10" s="594"/>
      <c r="THR10" s="479"/>
      <c r="THS10" s="479"/>
      <c r="THT10" s="479"/>
      <c r="THU10" s="479"/>
      <c r="THV10" s="479"/>
      <c r="THW10" s="479"/>
      <c r="THX10" s="479"/>
      <c r="THY10" s="479"/>
      <c r="THZ10" s="479"/>
      <c r="TIA10" s="479"/>
      <c r="TIB10" s="479"/>
      <c r="TIC10" s="593"/>
      <c r="TID10" s="594"/>
      <c r="TIE10" s="594"/>
      <c r="TIF10" s="594"/>
      <c r="TIG10" s="594"/>
      <c r="TIH10" s="594"/>
      <c r="TII10" s="594"/>
      <c r="TIJ10" s="594"/>
      <c r="TIK10" s="594"/>
      <c r="TIL10" s="594"/>
      <c r="TIM10" s="479"/>
      <c r="TIN10" s="479"/>
      <c r="TIO10" s="479"/>
      <c r="TIP10" s="479"/>
      <c r="TIQ10" s="479"/>
      <c r="TIR10" s="479"/>
      <c r="TIS10" s="479"/>
      <c r="TIT10" s="479"/>
      <c r="TIU10" s="479"/>
      <c r="TIV10" s="479"/>
      <c r="TIW10" s="479"/>
      <c r="TIX10" s="593"/>
      <c r="TIY10" s="594"/>
      <c r="TIZ10" s="594"/>
      <c r="TJA10" s="594"/>
      <c r="TJB10" s="594"/>
      <c r="TJC10" s="594"/>
      <c r="TJD10" s="594"/>
      <c r="TJE10" s="594"/>
      <c r="TJF10" s="594"/>
      <c r="TJG10" s="594"/>
      <c r="TJH10" s="479"/>
      <c r="TJI10" s="479"/>
      <c r="TJJ10" s="479"/>
      <c r="TJK10" s="479"/>
      <c r="TJL10" s="479"/>
      <c r="TJM10" s="479"/>
      <c r="TJN10" s="479"/>
      <c r="TJO10" s="479"/>
      <c r="TJP10" s="479"/>
      <c r="TJQ10" s="479"/>
      <c r="TJR10" s="479"/>
      <c r="TJS10" s="593"/>
      <c r="TJT10" s="594"/>
      <c r="TJU10" s="594"/>
      <c r="TJV10" s="594"/>
      <c r="TJW10" s="594"/>
      <c r="TJX10" s="594"/>
      <c r="TJY10" s="594"/>
      <c r="TJZ10" s="594"/>
      <c r="TKA10" s="594"/>
      <c r="TKB10" s="594"/>
      <c r="TKC10" s="479"/>
      <c r="TKD10" s="479"/>
      <c r="TKE10" s="479"/>
      <c r="TKF10" s="479"/>
      <c r="TKG10" s="479"/>
      <c r="TKH10" s="479"/>
      <c r="TKI10" s="479"/>
      <c r="TKJ10" s="479"/>
      <c r="TKK10" s="479"/>
      <c r="TKL10" s="479"/>
      <c r="TKM10" s="479"/>
      <c r="TKN10" s="593"/>
      <c r="TKO10" s="594"/>
      <c r="TKP10" s="594"/>
      <c r="TKQ10" s="594"/>
      <c r="TKR10" s="594"/>
      <c r="TKS10" s="594"/>
      <c r="TKT10" s="594"/>
      <c r="TKU10" s="594"/>
      <c r="TKV10" s="594"/>
      <c r="TKW10" s="594"/>
      <c r="TKX10" s="479"/>
      <c r="TKY10" s="479"/>
      <c r="TKZ10" s="479"/>
      <c r="TLA10" s="479"/>
      <c r="TLB10" s="479"/>
      <c r="TLC10" s="479"/>
      <c r="TLD10" s="479"/>
      <c r="TLE10" s="479"/>
      <c r="TLF10" s="479"/>
      <c r="TLG10" s="479"/>
      <c r="TLH10" s="479"/>
      <c r="TLI10" s="593"/>
      <c r="TLJ10" s="594"/>
      <c r="TLK10" s="594"/>
      <c r="TLL10" s="594"/>
      <c r="TLM10" s="594"/>
      <c r="TLN10" s="594"/>
      <c r="TLO10" s="594"/>
      <c r="TLP10" s="594"/>
      <c r="TLQ10" s="594"/>
      <c r="TLR10" s="594"/>
      <c r="TLS10" s="479"/>
      <c r="TLT10" s="479"/>
      <c r="TLU10" s="479"/>
      <c r="TLV10" s="479"/>
      <c r="TLW10" s="479"/>
      <c r="TLX10" s="479"/>
      <c r="TLY10" s="479"/>
      <c r="TLZ10" s="479"/>
      <c r="TMA10" s="479"/>
      <c r="TMB10" s="479"/>
      <c r="TMC10" s="479"/>
      <c r="TMD10" s="593"/>
      <c r="TME10" s="594"/>
      <c r="TMF10" s="594"/>
      <c r="TMG10" s="594"/>
      <c r="TMH10" s="594"/>
      <c r="TMI10" s="594"/>
      <c r="TMJ10" s="594"/>
      <c r="TMK10" s="594"/>
      <c r="TML10" s="594"/>
      <c r="TMM10" s="594"/>
      <c r="TMN10" s="479"/>
      <c r="TMO10" s="479"/>
      <c r="TMP10" s="479"/>
      <c r="TMQ10" s="479"/>
      <c r="TMR10" s="479"/>
      <c r="TMS10" s="479"/>
      <c r="TMT10" s="479"/>
      <c r="TMU10" s="479"/>
      <c r="TMV10" s="479"/>
      <c r="TMW10" s="479"/>
      <c r="TMX10" s="479"/>
      <c r="TMY10" s="593"/>
      <c r="TMZ10" s="594"/>
      <c r="TNA10" s="594"/>
      <c r="TNB10" s="594"/>
      <c r="TNC10" s="594"/>
      <c r="TND10" s="594"/>
      <c r="TNE10" s="594"/>
      <c r="TNF10" s="594"/>
      <c r="TNG10" s="594"/>
      <c r="TNH10" s="594"/>
      <c r="TNI10" s="479"/>
      <c r="TNJ10" s="479"/>
      <c r="TNK10" s="479"/>
      <c r="TNL10" s="479"/>
      <c r="TNM10" s="479"/>
      <c r="TNN10" s="479"/>
      <c r="TNO10" s="479"/>
      <c r="TNP10" s="479"/>
      <c r="TNQ10" s="479"/>
      <c r="TNR10" s="479"/>
      <c r="TNS10" s="479"/>
      <c r="TNT10" s="593"/>
      <c r="TNU10" s="594"/>
      <c r="TNV10" s="594"/>
      <c r="TNW10" s="594"/>
      <c r="TNX10" s="594"/>
      <c r="TNY10" s="594"/>
      <c r="TNZ10" s="594"/>
      <c r="TOA10" s="594"/>
      <c r="TOB10" s="594"/>
      <c r="TOC10" s="594"/>
      <c r="TOD10" s="479"/>
      <c r="TOE10" s="479"/>
      <c r="TOF10" s="479"/>
      <c r="TOG10" s="479"/>
      <c r="TOH10" s="479"/>
      <c r="TOI10" s="479"/>
      <c r="TOJ10" s="479"/>
      <c r="TOK10" s="479"/>
      <c r="TOL10" s="479"/>
      <c r="TOM10" s="479"/>
      <c r="TON10" s="479"/>
      <c r="TOO10" s="593"/>
      <c r="TOP10" s="594"/>
      <c r="TOQ10" s="594"/>
      <c r="TOR10" s="594"/>
      <c r="TOS10" s="594"/>
      <c r="TOT10" s="594"/>
      <c r="TOU10" s="594"/>
      <c r="TOV10" s="594"/>
      <c r="TOW10" s="594"/>
      <c r="TOX10" s="594"/>
      <c r="TOY10" s="479"/>
      <c r="TOZ10" s="479"/>
      <c r="TPA10" s="479"/>
      <c r="TPB10" s="479"/>
      <c r="TPC10" s="479"/>
      <c r="TPD10" s="479"/>
      <c r="TPE10" s="479"/>
      <c r="TPF10" s="479"/>
      <c r="TPG10" s="479"/>
      <c r="TPH10" s="479"/>
      <c r="TPI10" s="479"/>
      <c r="TPJ10" s="593"/>
      <c r="TPK10" s="594"/>
      <c r="TPL10" s="594"/>
      <c r="TPM10" s="594"/>
      <c r="TPN10" s="594"/>
      <c r="TPO10" s="594"/>
      <c r="TPP10" s="594"/>
      <c r="TPQ10" s="594"/>
      <c r="TPR10" s="594"/>
      <c r="TPS10" s="594"/>
      <c r="TPT10" s="479"/>
      <c r="TPU10" s="479"/>
      <c r="TPV10" s="479"/>
      <c r="TPW10" s="479"/>
      <c r="TPX10" s="479"/>
      <c r="TPY10" s="479"/>
      <c r="TPZ10" s="479"/>
      <c r="TQA10" s="479"/>
      <c r="TQB10" s="479"/>
      <c r="TQC10" s="479"/>
      <c r="TQD10" s="479"/>
      <c r="TQE10" s="593"/>
      <c r="TQF10" s="594"/>
      <c r="TQG10" s="594"/>
      <c r="TQH10" s="594"/>
      <c r="TQI10" s="594"/>
      <c r="TQJ10" s="594"/>
      <c r="TQK10" s="594"/>
      <c r="TQL10" s="594"/>
      <c r="TQM10" s="594"/>
      <c r="TQN10" s="594"/>
      <c r="TQO10" s="479"/>
      <c r="TQP10" s="479"/>
      <c r="TQQ10" s="479"/>
      <c r="TQR10" s="479"/>
      <c r="TQS10" s="479"/>
      <c r="TQT10" s="479"/>
      <c r="TQU10" s="479"/>
      <c r="TQV10" s="479"/>
      <c r="TQW10" s="479"/>
      <c r="TQX10" s="479"/>
      <c r="TQY10" s="479"/>
      <c r="TQZ10" s="593"/>
      <c r="TRA10" s="594"/>
      <c r="TRB10" s="594"/>
      <c r="TRC10" s="594"/>
      <c r="TRD10" s="594"/>
      <c r="TRE10" s="594"/>
      <c r="TRF10" s="594"/>
      <c r="TRG10" s="594"/>
      <c r="TRH10" s="594"/>
      <c r="TRI10" s="594"/>
      <c r="TRJ10" s="479"/>
      <c r="TRK10" s="479"/>
      <c r="TRL10" s="479"/>
      <c r="TRM10" s="479"/>
      <c r="TRN10" s="479"/>
      <c r="TRO10" s="479"/>
      <c r="TRP10" s="479"/>
      <c r="TRQ10" s="479"/>
      <c r="TRR10" s="479"/>
      <c r="TRS10" s="479"/>
      <c r="TRT10" s="479"/>
      <c r="TRU10" s="593"/>
      <c r="TRV10" s="594"/>
      <c r="TRW10" s="594"/>
      <c r="TRX10" s="594"/>
      <c r="TRY10" s="594"/>
      <c r="TRZ10" s="594"/>
      <c r="TSA10" s="594"/>
      <c r="TSB10" s="594"/>
      <c r="TSC10" s="594"/>
      <c r="TSD10" s="594"/>
      <c r="TSE10" s="479"/>
      <c r="TSF10" s="479"/>
      <c r="TSG10" s="479"/>
      <c r="TSH10" s="479"/>
      <c r="TSI10" s="479"/>
      <c r="TSJ10" s="479"/>
      <c r="TSK10" s="479"/>
      <c r="TSL10" s="479"/>
      <c r="TSM10" s="479"/>
      <c r="TSN10" s="479"/>
      <c r="TSO10" s="479"/>
      <c r="TSP10" s="593"/>
      <c r="TSQ10" s="594"/>
      <c r="TSR10" s="594"/>
      <c r="TSS10" s="594"/>
      <c r="TST10" s="594"/>
      <c r="TSU10" s="594"/>
      <c r="TSV10" s="594"/>
      <c r="TSW10" s="594"/>
      <c r="TSX10" s="594"/>
      <c r="TSY10" s="594"/>
      <c r="TSZ10" s="479"/>
      <c r="TTA10" s="479"/>
      <c r="TTB10" s="479"/>
      <c r="TTC10" s="479"/>
      <c r="TTD10" s="479"/>
      <c r="TTE10" s="479"/>
      <c r="TTF10" s="479"/>
      <c r="TTG10" s="479"/>
      <c r="TTH10" s="479"/>
      <c r="TTI10" s="479"/>
      <c r="TTJ10" s="479"/>
      <c r="TTK10" s="593"/>
      <c r="TTL10" s="594"/>
      <c r="TTM10" s="594"/>
      <c r="TTN10" s="594"/>
      <c r="TTO10" s="594"/>
      <c r="TTP10" s="594"/>
      <c r="TTQ10" s="594"/>
      <c r="TTR10" s="594"/>
      <c r="TTS10" s="594"/>
      <c r="TTT10" s="594"/>
      <c r="TTU10" s="479"/>
      <c r="TTV10" s="479"/>
      <c r="TTW10" s="479"/>
      <c r="TTX10" s="479"/>
      <c r="TTY10" s="479"/>
      <c r="TTZ10" s="479"/>
      <c r="TUA10" s="479"/>
      <c r="TUB10" s="479"/>
      <c r="TUC10" s="479"/>
      <c r="TUD10" s="479"/>
      <c r="TUE10" s="479"/>
      <c r="TUF10" s="593"/>
      <c r="TUG10" s="594"/>
      <c r="TUH10" s="594"/>
      <c r="TUI10" s="594"/>
      <c r="TUJ10" s="594"/>
      <c r="TUK10" s="594"/>
      <c r="TUL10" s="594"/>
      <c r="TUM10" s="594"/>
      <c r="TUN10" s="594"/>
      <c r="TUO10" s="594"/>
      <c r="TUP10" s="479"/>
      <c r="TUQ10" s="479"/>
      <c r="TUR10" s="479"/>
      <c r="TUS10" s="479"/>
      <c r="TUT10" s="479"/>
      <c r="TUU10" s="479"/>
      <c r="TUV10" s="479"/>
      <c r="TUW10" s="479"/>
      <c r="TUX10" s="479"/>
      <c r="TUY10" s="479"/>
      <c r="TUZ10" s="479"/>
      <c r="TVA10" s="593"/>
      <c r="TVB10" s="594"/>
      <c r="TVC10" s="594"/>
      <c r="TVD10" s="594"/>
      <c r="TVE10" s="594"/>
      <c r="TVF10" s="594"/>
      <c r="TVG10" s="594"/>
      <c r="TVH10" s="594"/>
      <c r="TVI10" s="594"/>
      <c r="TVJ10" s="594"/>
      <c r="TVK10" s="479"/>
      <c r="TVL10" s="479"/>
      <c r="TVM10" s="479"/>
      <c r="TVN10" s="479"/>
      <c r="TVO10" s="479"/>
      <c r="TVP10" s="479"/>
      <c r="TVQ10" s="479"/>
      <c r="TVR10" s="479"/>
      <c r="TVS10" s="479"/>
      <c r="TVT10" s="479"/>
      <c r="TVU10" s="479"/>
      <c r="TVV10" s="593"/>
      <c r="TVW10" s="594"/>
      <c r="TVX10" s="594"/>
      <c r="TVY10" s="594"/>
      <c r="TVZ10" s="594"/>
      <c r="TWA10" s="594"/>
      <c r="TWB10" s="594"/>
      <c r="TWC10" s="594"/>
      <c r="TWD10" s="594"/>
      <c r="TWE10" s="594"/>
      <c r="TWF10" s="479"/>
      <c r="TWG10" s="479"/>
      <c r="TWH10" s="479"/>
      <c r="TWI10" s="479"/>
      <c r="TWJ10" s="479"/>
      <c r="TWK10" s="479"/>
      <c r="TWL10" s="479"/>
      <c r="TWM10" s="479"/>
      <c r="TWN10" s="479"/>
      <c r="TWO10" s="479"/>
      <c r="TWP10" s="479"/>
      <c r="TWQ10" s="593"/>
      <c r="TWR10" s="594"/>
      <c r="TWS10" s="594"/>
      <c r="TWT10" s="594"/>
      <c r="TWU10" s="594"/>
      <c r="TWV10" s="594"/>
      <c r="TWW10" s="594"/>
      <c r="TWX10" s="594"/>
      <c r="TWY10" s="594"/>
      <c r="TWZ10" s="594"/>
      <c r="TXA10" s="479"/>
      <c r="TXB10" s="479"/>
      <c r="TXC10" s="479"/>
      <c r="TXD10" s="479"/>
      <c r="TXE10" s="479"/>
      <c r="TXF10" s="479"/>
      <c r="TXG10" s="479"/>
      <c r="TXH10" s="479"/>
      <c r="TXI10" s="479"/>
      <c r="TXJ10" s="479"/>
      <c r="TXK10" s="479"/>
      <c r="TXL10" s="593"/>
      <c r="TXM10" s="594"/>
      <c r="TXN10" s="594"/>
      <c r="TXO10" s="594"/>
      <c r="TXP10" s="594"/>
      <c r="TXQ10" s="594"/>
      <c r="TXR10" s="594"/>
      <c r="TXS10" s="594"/>
      <c r="TXT10" s="594"/>
      <c r="TXU10" s="594"/>
      <c r="TXV10" s="479"/>
      <c r="TXW10" s="479"/>
      <c r="TXX10" s="479"/>
      <c r="TXY10" s="479"/>
      <c r="TXZ10" s="479"/>
      <c r="TYA10" s="479"/>
      <c r="TYB10" s="479"/>
      <c r="TYC10" s="479"/>
      <c r="TYD10" s="479"/>
      <c r="TYE10" s="479"/>
      <c r="TYF10" s="479"/>
      <c r="TYG10" s="593"/>
      <c r="TYH10" s="594"/>
      <c r="TYI10" s="594"/>
      <c r="TYJ10" s="594"/>
      <c r="TYK10" s="594"/>
      <c r="TYL10" s="594"/>
      <c r="TYM10" s="594"/>
      <c r="TYN10" s="594"/>
      <c r="TYO10" s="594"/>
      <c r="TYP10" s="594"/>
      <c r="TYQ10" s="479"/>
      <c r="TYR10" s="479"/>
      <c r="TYS10" s="479"/>
      <c r="TYT10" s="479"/>
      <c r="TYU10" s="479"/>
      <c r="TYV10" s="479"/>
      <c r="TYW10" s="479"/>
      <c r="TYX10" s="479"/>
      <c r="TYY10" s="479"/>
      <c r="TYZ10" s="479"/>
      <c r="TZA10" s="479"/>
      <c r="TZB10" s="593"/>
      <c r="TZC10" s="594"/>
      <c r="TZD10" s="594"/>
      <c r="TZE10" s="594"/>
      <c r="TZF10" s="594"/>
      <c r="TZG10" s="594"/>
      <c r="TZH10" s="594"/>
      <c r="TZI10" s="594"/>
      <c r="TZJ10" s="594"/>
      <c r="TZK10" s="594"/>
      <c r="TZL10" s="479"/>
      <c r="TZM10" s="479"/>
      <c r="TZN10" s="479"/>
      <c r="TZO10" s="479"/>
      <c r="TZP10" s="479"/>
      <c r="TZQ10" s="479"/>
      <c r="TZR10" s="479"/>
      <c r="TZS10" s="479"/>
      <c r="TZT10" s="479"/>
      <c r="TZU10" s="479"/>
      <c r="TZV10" s="479"/>
      <c r="TZW10" s="593"/>
      <c r="TZX10" s="594"/>
      <c r="TZY10" s="594"/>
      <c r="TZZ10" s="594"/>
      <c r="UAA10" s="594"/>
      <c r="UAB10" s="594"/>
      <c r="UAC10" s="594"/>
      <c r="UAD10" s="594"/>
      <c r="UAE10" s="594"/>
      <c r="UAF10" s="594"/>
      <c r="UAG10" s="479"/>
      <c r="UAH10" s="479"/>
      <c r="UAI10" s="479"/>
      <c r="UAJ10" s="479"/>
      <c r="UAK10" s="479"/>
      <c r="UAL10" s="479"/>
      <c r="UAM10" s="479"/>
      <c r="UAN10" s="479"/>
      <c r="UAO10" s="479"/>
      <c r="UAP10" s="479"/>
      <c r="UAQ10" s="479"/>
      <c r="UAR10" s="593"/>
      <c r="UAS10" s="594"/>
      <c r="UAT10" s="594"/>
      <c r="UAU10" s="594"/>
      <c r="UAV10" s="594"/>
      <c r="UAW10" s="594"/>
      <c r="UAX10" s="594"/>
      <c r="UAY10" s="594"/>
      <c r="UAZ10" s="594"/>
      <c r="UBA10" s="594"/>
      <c r="UBB10" s="479"/>
      <c r="UBC10" s="479"/>
      <c r="UBD10" s="479"/>
      <c r="UBE10" s="479"/>
      <c r="UBF10" s="479"/>
      <c r="UBG10" s="479"/>
      <c r="UBH10" s="479"/>
      <c r="UBI10" s="479"/>
      <c r="UBJ10" s="479"/>
      <c r="UBK10" s="479"/>
      <c r="UBL10" s="479"/>
      <c r="UBM10" s="593"/>
      <c r="UBN10" s="594"/>
      <c r="UBO10" s="594"/>
      <c r="UBP10" s="594"/>
      <c r="UBQ10" s="594"/>
      <c r="UBR10" s="594"/>
      <c r="UBS10" s="594"/>
      <c r="UBT10" s="594"/>
      <c r="UBU10" s="594"/>
      <c r="UBV10" s="594"/>
      <c r="UBW10" s="479"/>
      <c r="UBX10" s="479"/>
      <c r="UBY10" s="479"/>
      <c r="UBZ10" s="479"/>
      <c r="UCA10" s="479"/>
      <c r="UCB10" s="479"/>
      <c r="UCC10" s="479"/>
      <c r="UCD10" s="479"/>
      <c r="UCE10" s="479"/>
      <c r="UCF10" s="479"/>
      <c r="UCG10" s="479"/>
      <c r="UCH10" s="593"/>
      <c r="UCI10" s="594"/>
      <c r="UCJ10" s="594"/>
      <c r="UCK10" s="594"/>
      <c r="UCL10" s="594"/>
      <c r="UCM10" s="594"/>
      <c r="UCN10" s="594"/>
      <c r="UCO10" s="594"/>
      <c r="UCP10" s="594"/>
      <c r="UCQ10" s="594"/>
      <c r="UCR10" s="479"/>
      <c r="UCS10" s="479"/>
      <c r="UCT10" s="479"/>
      <c r="UCU10" s="479"/>
      <c r="UCV10" s="479"/>
      <c r="UCW10" s="479"/>
      <c r="UCX10" s="479"/>
      <c r="UCY10" s="479"/>
      <c r="UCZ10" s="479"/>
      <c r="UDA10" s="479"/>
      <c r="UDB10" s="479"/>
      <c r="UDC10" s="593"/>
      <c r="UDD10" s="594"/>
      <c r="UDE10" s="594"/>
      <c r="UDF10" s="594"/>
      <c r="UDG10" s="594"/>
      <c r="UDH10" s="594"/>
      <c r="UDI10" s="594"/>
      <c r="UDJ10" s="594"/>
      <c r="UDK10" s="594"/>
      <c r="UDL10" s="594"/>
      <c r="UDM10" s="479"/>
      <c r="UDN10" s="479"/>
      <c r="UDO10" s="479"/>
      <c r="UDP10" s="479"/>
      <c r="UDQ10" s="479"/>
      <c r="UDR10" s="479"/>
      <c r="UDS10" s="479"/>
      <c r="UDT10" s="479"/>
      <c r="UDU10" s="479"/>
      <c r="UDV10" s="479"/>
      <c r="UDW10" s="479"/>
      <c r="UDX10" s="593"/>
      <c r="UDY10" s="594"/>
      <c r="UDZ10" s="594"/>
      <c r="UEA10" s="594"/>
      <c r="UEB10" s="594"/>
      <c r="UEC10" s="594"/>
      <c r="UED10" s="594"/>
      <c r="UEE10" s="594"/>
      <c r="UEF10" s="594"/>
      <c r="UEG10" s="594"/>
      <c r="UEH10" s="479"/>
      <c r="UEI10" s="479"/>
      <c r="UEJ10" s="479"/>
      <c r="UEK10" s="479"/>
      <c r="UEL10" s="479"/>
      <c r="UEM10" s="479"/>
      <c r="UEN10" s="479"/>
      <c r="UEO10" s="479"/>
      <c r="UEP10" s="479"/>
      <c r="UEQ10" s="479"/>
      <c r="UER10" s="479"/>
      <c r="UES10" s="593"/>
      <c r="UET10" s="594"/>
      <c r="UEU10" s="594"/>
      <c r="UEV10" s="594"/>
      <c r="UEW10" s="594"/>
      <c r="UEX10" s="594"/>
      <c r="UEY10" s="594"/>
      <c r="UEZ10" s="594"/>
      <c r="UFA10" s="594"/>
      <c r="UFB10" s="594"/>
      <c r="UFC10" s="479"/>
      <c r="UFD10" s="479"/>
      <c r="UFE10" s="479"/>
      <c r="UFF10" s="479"/>
      <c r="UFG10" s="479"/>
      <c r="UFH10" s="479"/>
      <c r="UFI10" s="479"/>
      <c r="UFJ10" s="479"/>
      <c r="UFK10" s="479"/>
      <c r="UFL10" s="479"/>
      <c r="UFM10" s="479"/>
      <c r="UFN10" s="593"/>
      <c r="UFO10" s="594"/>
      <c r="UFP10" s="594"/>
      <c r="UFQ10" s="594"/>
      <c r="UFR10" s="594"/>
      <c r="UFS10" s="594"/>
      <c r="UFT10" s="594"/>
      <c r="UFU10" s="594"/>
      <c r="UFV10" s="594"/>
      <c r="UFW10" s="594"/>
      <c r="UFX10" s="479"/>
      <c r="UFY10" s="479"/>
      <c r="UFZ10" s="479"/>
      <c r="UGA10" s="479"/>
      <c r="UGB10" s="479"/>
      <c r="UGC10" s="479"/>
      <c r="UGD10" s="479"/>
      <c r="UGE10" s="479"/>
      <c r="UGF10" s="479"/>
      <c r="UGG10" s="479"/>
      <c r="UGH10" s="479"/>
      <c r="UGI10" s="593"/>
      <c r="UGJ10" s="594"/>
      <c r="UGK10" s="594"/>
      <c r="UGL10" s="594"/>
      <c r="UGM10" s="594"/>
      <c r="UGN10" s="594"/>
      <c r="UGO10" s="594"/>
      <c r="UGP10" s="594"/>
      <c r="UGQ10" s="594"/>
      <c r="UGR10" s="594"/>
      <c r="UGS10" s="479"/>
      <c r="UGT10" s="479"/>
      <c r="UGU10" s="479"/>
      <c r="UGV10" s="479"/>
      <c r="UGW10" s="479"/>
      <c r="UGX10" s="479"/>
      <c r="UGY10" s="479"/>
      <c r="UGZ10" s="479"/>
      <c r="UHA10" s="479"/>
      <c r="UHB10" s="479"/>
      <c r="UHC10" s="479"/>
      <c r="UHD10" s="593"/>
      <c r="UHE10" s="594"/>
      <c r="UHF10" s="594"/>
      <c r="UHG10" s="594"/>
      <c r="UHH10" s="594"/>
      <c r="UHI10" s="594"/>
      <c r="UHJ10" s="594"/>
      <c r="UHK10" s="594"/>
      <c r="UHL10" s="594"/>
      <c r="UHM10" s="594"/>
      <c r="UHN10" s="479"/>
      <c r="UHO10" s="479"/>
      <c r="UHP10" s="479"/>
      <c r="UHQ10" s="479"/>
      <c r="UHR10" s="479"/>
      <c r="UHS10" s="479"/>
      <c r="UHT10" s="479"/>
      <c r="UHU10" s="479"/>
      <c r="UHV10" s="479"/>
      <c r="UHW10" s="479"/>
      <c r="UHX10" s="479"/>
      <c r="UHY10" s="593"/>
      <c r="UHZ10" s="594"/>
      <c r="UIA10" s="594"/>
      <c r="UIB10" s="594"/>
      <c r="UIC10" s="594"/>
      <c r="UID10" s="594"/>
      <c r="UIE10" s="594"/>
      <c r="UIF10" s="594"/>
      <c r="UIG10" s="594"/>
      <c r="UIH10" s="594"/>
      <c r="UII10" s="479"/>
      <c r="UIJ10" s="479"/>
      <c r="UIK10" s="479"/>
      <c r="UIL10" s="479"/>
      <c r="UIM10" s="479"/>
      <c r="UIN10" s="479"/>
      <c r="UIO10" s="479"/>
      <c r="UIP10" s="479"/>
      <c r="UIQ10" s="479"/>
      <c r="UIR10" s="479"/>
      <c r="UIS10" s="479"/>
      <c r="UIT10" s="593"/>
      <c r="UIU10" s="594"/>
      <c r="UIV10" s="594"/>
      <c r="UIW10" s="594"/>
      <c r="UIX10" s="594"/>
      <c r="UIY10" s="594"/>
      <c r="UIZ10" s="594"/>
      <c r="UJA10" s="594"/>
      <c r="UJB10" s="594"/>
      <c r="UJC10" s="594"/>
      <c r="UJD10" s="479"/>
      <c r="UJE10" s="479"/>
      <c r="UJF10" s="479"/>
      <c r="UJG10" s="479"/>
      <c r="UJH10" s="479"/>
      <c r="UJI10" s="479"/>
      <c r="UJJ10" s="479"/>
      <c r="UJK10" s="479"/>
      <c r="UJL10" s="479"/>
      <c r="UJM10" s="479"/>
      <c r="UJN10" s="479"/>
      <c r="UJO10" s="593"/>
      <c r="UJP10" s="594"/>
      <c r="UJQ10" s="594"/>
      <c r="UJR10" s="594"/>
      <c r="UJS10" s="594"/>
      <c r="UJT10" s="594"/>
      <c r="UJU10" s="594"/>
      <c r="UJV10" s="594"/>
      <c r="UJW10" s="594"/>
      <c r="UJX10" s="594"/>
      <c r="UJY10" s="479"/>
      <c r="UJZ10" s="479"/>
      <c r="UKA10" s="479"/>
      <c r="UKB10" s="479"/>
      <c r="UKC10" s="479"/>
      <c r="UKD10" s="479"/>
      <c r="UKE10" s="479"/>
      <c r="UKF10" s="479"/>
      <c r="UKG10" s="479"/>
      <c r="UKH10" s="479"/>
      <c r="UKI10" s="479"/>
      <c r="UKJ10" s="593"/>
      <c r="UKK10" s="594"/>
      <c r="UKL10" s="594"/>
      <c r="UKM10" s="594"/>
      <c r="UKN10" s="594"/>
      <c r="UKO10" s="594"/>
      <c r="UKP10" s="594"/>
      <c r="UKQ10" s="594"/>
      <c r="UKR10" s="594"/>
      <c r="UKS10" s="594"/>
      <c r="UKT10" s="479"/>
      <c r="UKU10" s="479"/>
      <c r="UKV10" s="479"/>
      <c r="UKW10" s="479"/>
      <c r="UKX10" s="479"/>
      <c r="UKY10" s="479"/>
      <c r="UKZ10" s="479"/>
      <c r="ULA10" s="479"/>
      <c r="ULB10" s="479"/>
      <c r="ULC10" s="479"/>
      <c r="ULD10" s="479"/>
      <c r="ULE10" s="593"/>
      <c r="ULF10" s="594"/>
      <c r="ULG10" s="594"/>
      <c r="ULH10" s="594"/>
      <c r="ULI10" s="594"/>
      <c r="ULJ10" s="594"/>
      <c r="ULK10" s="594"/>
      <c r="ULL10" s="594"/>
      <c r="ULM10" s="594"/>
      <c r="ULN10" s="594"/>
      <c r="ULO10" s="479"/>
      <c r="ULP10" s="479"/>
      <c r="ULQ10" s="479"/>
      <c r="ULR10" s="479"/>
      <c r="ULS10" s="479"/>
      <c r="ULT10" s="479"/>
      <c r="ULU10" s="479"/>
      <c r="ULV10" s="479"/>
      <c r="ULW10" s="479"/>
      <c r="ULX10" s="479"/>
      <c r="ULY10" s="479"/>
      <c r="ULZ10" s="593"/>
      <c r="UMA10" s="594"/>
      <c r="UMB10" s="594"/>
      <c r="UMC10" s="594"/>
      <c r="UMD10" s="594"/>
      <c r="UME10" s="594"/>
      <c r="UMF10" s="594"/>
      <c r="UMG10" s="594"/>
      <c r="UMH10" s="594"/>
      <c r="UMI10" s="594"/>
      <c r="UMJ10" s="479"/>
      <c r="UMK10" s="479"/>
      <c r="UML10" s="479"/>
      <c r="UMM10" s="479"/>
      <c r="UMN10" s="479"/>
      <c r="UMO10" s="479"/>
      <c r="UMP10" s="479"/>
      <c r="UMQ10" s="479"/>
      <c r="UMR10" s="479"/>
      <c r="UMS10" s="479"/>
      <c r="UMT10" s="479"/>
      <c r="UMU10" s="593"/>
      <c r="UMV10" s="594"/>
      <c r="UMW10" s="594"/>
      <c r="UMX10" s="594"/>
      <c r="UMY10" s="594"/>
      <c r="UMZ10" s="594"/>
      <c r="UNA10" s="594"/>
      <c r="UNB10" s="594"/>
      <c r="UNC10" s="594"/>
      <c r="UND10" s="594"/>
      <c r="UNE10" s="479"/>
      <c r="UNF10" s="479"/>
      <c r="UNG10" s="479"/>
      <c r="UNH10" s="479"/>
      <c r="UNI10" s="479"/>
      <c r="UNJ10" s="479"/>
      <c r="UNK10" s="479"/>
      <c r="UNL10" s="479"/>
      <c r="UNM10" s="479"/>
      <c r="UNN10" s="479"/>
      <c r="UNO10" s="479"/>
      <c r="UNP10" s="593"/>
      <c r="UNQ10" s="594"/>
      <c r="UNR10" s="594"/>
      <c r="UNS10" s="594"/>
      <c r="UNT10" s="594"/>
      <c r="UNU10" s="594"/>
      <c r="UNV10" s="594"/>
      <c r="UNW10" s="594"/>
      <c r="UNX10" s="594"/>
      <c r="UNY10" s="594"/>
      <c r="UNZ10" s="479"/>
      <c r="UOA10" s="479"/>
      <c r="UOB10" s="479"/>
      <c r="UOC10" s="479"/>
      <c r="UOD10" s="479"/>
      <c r="UOE10" s="479"/>
      <c r="UOF10" s="479"/>
      <c r="UOG10" s="479"/>
      <c r="UOH10" s="479"/>
      <c r="UOI10" s="479"/>
      <c r="UOJ10" s="479"/>
      <c r="UOK10" s="593"/>
      <c r="UOL10" s="594"/>
      <c r="UOM10" s="594"/>
      <c r="UON10" s="594"/>
      <c r="UOO10" s="594"/>
      <c r="UOP10" s="594"/>
      <c r="UOQ10" s="594"/>
      <c r="UOR10" s="594"/>
      <c r="UOS10" s="594"/>
      <c r="UOT10" s="594"/>
      <c r="UOU10" s="479"/>
      <c r="UOV10" s="479"/>
      <c r="UOW10" s="479"/>
      <c r="UOX10" s="479"/>
      <c r="UOY10" s="479"/>
      <c r="UOZ10" s="479"/>
      <c r="UPA10" s="479"/>
      <c r="UPB10" s="479"/>
      <c r="UPC10" s="479"/>
      <c r="UPD10" s="479"/>
      <c r="UPE10" s="479"/>
      <c r="UPF10" s="593"/>
      <c r="UPG10" s="594"/>
      <c r="UPH10" s="594"/>
      <c r="UPI10" s="594"/>
      <c r="UPJ10" s="594"/>
      <c r="UPK10" s="594"/>
      <c r="UPL10" s="594"/>
      <c r="UPM10" s="594"/>
      <c r="UPN10" s="594"/>
      <c r="UPO10" s="594"/>
      <c r="UPP10" s="479"/>
      <c r="UPQ10" s="479"/>
      <c r="UPR10" s="479"/>
      <c r="UPS10" s="479"/>
      <c r="UPT10" s="479"/>
      <c r="UPU10" s="479"/>
      <c r="UPV10" s="479"/>
      <c r="UPW10" s="479"/>
      <c r="UPX10" s="479"/>
      <c r="UPY10" s="479"/>
      <c r="UPZ10" s="479"/>
      <c r="UQA10" s="593"/>
      <c r="UQB10" s="594"/>
      <c r="UQC10" s="594"/>
      <c r="UQD10" s="594"/>
      <c r="UQE10" s="594"/>
      <c r="UQF10" s="594"/>
      <c r="UQG10" s="594"/>
      <c r="UQH10" s="594"/>
      <c r="UQI10" s="594"/>
      <c r="UQJ10" s="594"/>
      <c r="UQK10" s="479"/>
      <c r="UQL10" s="479"/>
      <c r="UQM10" s="479"/>
      <c r="UQN10" s="479"/>
      <c r="UQO10" s="479"/>
      <c r="UQP10" s="479"/>
      <c r="UQQ10" s="479"/>
      <c r="UQR10" s="479"/>
      <c r="UQS10" s="479"/>
      <c r="UQT10" s="479"/>
      <c r="UQU10" s="479"/>
      <c r="UQV10" s="593"/>
      <c r="UQW10" s="594"/>
      <c r="UQX10" s="594"/>
      <c r="UQY10" s="594"/>
      <c r="UQZ10" s="594"/>
      <c r="URA10" s="594"/>
      <c r="URB10" s="594"/>
      <c r="URC10" s="594"/>
      <c r="URD10" s="594"/>
      <c r="URE10" s="594"/>
      <c r="URF10" s="479"/>
      <c r="URG10" s="479"/>
      <c r="URH10" s="479"/>
      <c r="URI10" s="479"/>
      <c r="URJ10" s="479"/>
      <c r="URK10" s="479"/>
      <c r="URL10" s="479"/>
      <c r="URM10" s="479"/>
      <c r="URN10" s="479"/>
      <c r="URO10" s="479"/>
      <c r="URP10" s="479"/>
      <c r="URQ10" s="593"/>
      <c r="URR10" s="594"/>
      <c r="URS10" s="594"/>
      <c r="URT10" s="594"/>
      <c r="URU10" s="594"/>
      <c r="URV10" s="594"/>
      <c r="URW10" s="594"/>
      <c r="URX10" s="594"/>
      <c r="URY10" s="594"/>
      <c r="URZ10" s="594"/>
      <c r="USA10" s="479"/>
      <c r="USB10" s="479"/>
      <c r="USC10" s="479"/>
      <c r="USD10" s="479"/>
      <c r="USE10" s="479"/>
      <c r="USF10" s="479"/>
      <c r="USG10" s="479"/>
      <c r="USH10" s="479"/>
      <c r="USI10" s="479"/>
      <c r="USJ10" s="479"/>
      <c r="USK10" s="479"/>
      <c r="USL10" s="593"/>
      <c r="USM10" s="594"/>
      <c r="USN10" s="594"/>
      <c r="USO10" s="594"/>
      <c r="USP10" s="594"/>
      <c r="USQ10" s="594"/>
      <c r="USR10" s="594"/>
      <c r="USS10" s="594"/>
      <c r="UST10" s="594"/>
      <c r="USU10" s="594"/>
      <c r="USV10" s="479"/>
      <c r="USW10" s="479"/>
      <c r="USX10" s="479"/>
      <c r="USY10" s="479"/>
      <c r="USZ10" s="479"/>
      <c r="UTA10" s="479"/>
      <c r="UTB10" s="479"/>
      <c r="UTC10" s="479"/>
      <c r="UTD10" s="479"/>
      <c r="UTE10" s="479"/>
      <c r="UTF10" s="479"/>
      <c r="UTG10" s="593"/>
      <c r="UTH10" s="594"/>
      <c r="UTI10" s="594"/>
      <c r="UTJ10" s="594"/>
      <c r="UTK10" s="594"/>
      <c r="UTL10" s="594"/>
      <c r="UTM10" s="594"/>
      <c r="UTN10" s="594"/>
      <c r="UTO10" s="594"/>
      <c r="UTP10" s="594"/>
      <c r="UTQ10" s="479"/>
      <c r="UTR10" s="479"/>
      <c r="UTS10" s="479"/>
      <c r="UTT10" s="479"/>
      <c r="UTU10" s="479"/>
      <c r="UTV10" s="479"/>
      <c r="UTW10" s="479"/>
      <c r="UTX10" s="479"/>
      <c r="UTY10" s="479"/>
      <c r="UTZ10" s="479"/>
      <c r="UUA10" s="479"/>
      <c r="UUB10" s="593"/>
      <c r="UUC10" s="594"/>
      <c r="UUD10" s="594"/>
      <c r="UUE10" s="594"/>
      <c r="UUF10" s="594"/>
      <c r="UUG10" s="594"/>
      <c r="UUH10" s="594"/>
      <c r="UUI10" s="594"/>
      <c r="UUJ10" s="594"/>
      <c r="UUK10" s="594"/>
      <c r="UUL10" s="479"/>
      <c r="UUM10" s="479"/>
      <c r="UUN10" s="479"/>
      <c r="UUO10" s="479"/>
      <c r="UUP10" s="479"/>
      <c r="UUQ10" s="479"/>
      <c r="UUR10" s="479"/>
      <c r="UUS10" s="479"/>
      <c r="UUT10" s="479"/>
      <c r="UUU10" s="479"/>
      <c r="UUV10" s="479"/>
      <c r="UUW10" s="593"/>
      <c r="UUX10" s="594"/>
      <c r="UUY10" s="594"/>
      <c r="UUZ10" s="594"/>
      <c r="UVA10" s="594"/>
      <c r="UVB10" s="594"/>
      <c r="UVC10" s="594"/>
      <c r="UVD10" s="594"/>
      <c r="UVE10" s="594"/>
      <c r="UVF10" s="594"/>
      <c r="UVG10" s="479"/>
      <c r="UVH10" s="479"/>
      <c r="UVI10" s="479"/>
      <c r="UVJ10" s="479"/>
      <c r="UVK10" s="479"/>
      <c r="UVL10" s="479"/>
      <c r="UVM10" s="479"/>
      <c r="UVN10" s="479"/>
      <c r="UVO10" s="479"/>
      <c r="UVP10" s="479"/>
      <c r="UVQ10" s="479"/>
      <c r="UVR10" s="593"/>
      <c r="UVS10" s="594"/>
      <c r="UVT10" s="594"/>
      <c r="UVU10" s="594"/>
      <c r="UVV10" s="594"/>
      <c r="UVW10" s="594"/>
      <c r="UVX10" s="594"/>
      <c r="UVY10" s="594"/>
      <c r="UVZ10" s="594"/>
      <c r="UWA10" s="594"/>
      <c r="UWB10" s="479"/>
      <c r="UWC10" s="479"/>
      <c r="UWD10" s="479"/>
      <c r="UWE10" s="479"/>
      <c r="UWF10" s="479"/>
      <c r="UWG10" s="479"/>
      <c r="UWH10" s="479"/>
      <c r="UWI10" s="479"/>
      <c r="UWJ10" s="479"/>
      <c r="UWK10" s="479"/>
      <c r="UWL10" s="479"/>
      <c r="UWM10" s="593"/>
      <c r="UWN10" s="594"/>
      <c r="UWO10" s="594"/>
      <c r="UWP10" s="594"/>
      <c r="UWQ10" s="594"/>
      <c r="UWR10" s="594"/>
      <c r="UWS10" s="594"/>
      <c r="UWT10" s="594"/>
      <c r="UWU10" s="594"/>
      <c r="UWV10" s="594"/>
      <c r="UWW10" s="479"/>
      <c r="UWX10" s="479"/>
      <c r="UWY10" s="479"/>
      <c r="UWZ10" s="479"/>
      <c r="UXA10" s="479"/>
      <c r="UXB10" s="479"/>
      <c r="UXC10" s="479"/>
      <c r="UXD10" s="479"/>
      <c r="UXE10" s="479"/>
      <c r="UXF10" s="479"/>
      <c r="UXG10" s="479"/>
      <c r="UXH10" s="593"/>
      <c r="UXI10" s="594"/>
      <c r="UXJ10" s="594"/>
      <c r="UXK10" s="594"/>
      <c r="UXL10" s="594"/>
      <c r="UXM10" s="594"/>
      <c r="UXN10" s="594"/>
      <c r="UXO10" s="594"/>
      <c r="UXP10" s="594"/>
      <c r="UXQ10" s="594"/>
      <c r="UXR10" s="479"/>
      <c r="UXS10" s="479"/>
      <c r="UXT10" s="479"/>
      <c r="UXU10" s="479"/>
      <c r="UXV10" s="479"/>
      <c r="UXW10" s="479"/>
      <c r="UXX10" s="479"/>
      <c r="UXY10" s="479"/>
      <c r="UXZ10" s="479"/>
      <c r="UYA10" s="479"/>
      <c r="UYB10" s="479"/>
      <c r="UYC10" s="593"/>
      <c r="UYD10" s="594"/>
      <c r="UYE10" s="594"/>
      <c r="UYF10" s="594"/>
      <c r="UYG10" s="594"/>
      <c r="UYH10" s="594"/>
      <c r="UYI10" s="594"/>
      <c r="UYJ10" s="594"/>
      <c r="UYK10" s="594"/>
      <c r="UYL10" s="594"/>
      <c r="UYM10" s="479"/>
      <c r="UYN10" s="479"/>
      <c r="UYO10" s="479"/>
      <c r="UYP10" s="479"/>
      <c r="UYQ10" s="479"/>
      <c r="UYR10" s="479"/>
      <c r="UYS10" s="479"/>
      <c r="UYT10" s="479"/>
      <c r="UYU10" s="479"/>
      <c r="UYV10" s="479"/>
      <c r="UYW10" s="479"/>
      <c r="UYX10" s="593"/>
      <c r="UYY10" s="594"/>
      <c r="UYZ10" s="594"/>
      <c r="UZA10" s="594"/>
      <c r="UZB10" s="594"/>
      <c r="UZC10" s="594"/>
      <c r="UZD10" s="594"/>
      <c r="UZE10" s="594"/>
      <c r="UZF10" s="594"/>
      <c r="UZG10" s="594"/>
      <c r="UZH10" s="479"/>
      <c r="UZI10" s="479"/>
      <c r="UZJ10" s="479"/>
      <c r="UZK10" s="479"/>
      <c r="UZL10" s="479"/>
      <c r="UZM10" s="479"/>
      <c r="UZN10" s="479"/>
      <c r="UZO10" s="479"/>
      <c r="UZP10" s="479"/>
      <c r="UZQ10" s="479"/>
      <c r="UZR10" s="479"/>
      <c r="UZS10" s="593"/>
      <c r="UZT10" s="594"/>
      <c r="UZU10" s="594"/>
      <c r="UZV10" s="594"/>
      <c r="UZW10" s="594"/>
      <c r="UZX10" s="594"/>
      <c r="UZY10" s="594"/>
      <c r="UZZ10" s="594"/>
      <c r="VAA10" s="594"/>
      <c r="VAB10" s="594"/>
      <c r="VAC10" s="479"/>
      <c r="VAD10" s="479"/>
      <c r="VAE10" s="479"/>
      <c r="VAF10" s="479"/>
      <c r="VAG10" s="479"/>
      <c r="VAH10" s="479"/>
      <c r="VAI10" s="479"/>
      <c r="VAJ10" s="479"/>
      <c r="VAK10" s="479"/>
      <c r="VAL10" s="479"/>
      <c r="VAM10" s="479"/>
      <c r="VAN10" s="593"/>
      <c r="VAO10" s="594"/>
      <c r="VAP10" s="594"/>
      <c r="VAQ10" s="594"/>
      <c r="VAR10" s="594"/>
      <c r="VAS10" s="594"/>
      <c r="VAT10" s="594"/>
      <c r="VAU10" s="594"/>
      <c r="VAV10" s="594"/>
      <c r="VAW10" s="594"/>
      <c r="VAX10" s="479"/>
      <c r="VAY10" s="479"/>
      <c r="VAZ10" s="479"/>
      <c r="VBA10" s="479"/>
      <c r="VBB10" s="479"/>
      <c r="VBC10" s="479"/>
      <c r="VBD10" s="479"/>
      <c r="VBE10" s="479"/>
      <c r="VBF10" s="479"/>
      <c r="VBG10" s="479"/>
      <c r="VBH10" s="479"/>
      <c r="VBI10" s="593"/>
      <c r="VBJ10" s="594"/>
      <c r="VBK10" s="594"/>
      <c r="VBL10" s="594"/>
      <c r="VBM10" s="594"/>
      <c r="VBN10" s="594"/>
      <c r="VBO10" s="594"/>
      <c r="VBP10" s="594"/>
      <c r="VBQ10" s="594"/>
      <c r="VBR10" s="594"/>
      <c r="VBS10" s="479"/>
      <c r="VBT10" s="479"/>
      <c r="VBU10" s="479"/>
      <c r="VBV10" s="479"/>
      <c r="VBW10" s="479"/>
      <c r="VBX10" s="479"/>
      <c r="VBY10" s="479"/>
      <c r="VBZ10" s="479"/>
      <c r="VCA10" s="479"/>
      <c r="VCB10" s="479"/>
      <c r="VCC10" s="479"/>
      <c r="VCD10" s="593"/>
      <c r="VCE10" s="594"/>
      <c r="VCF10" s="594"/>
      <c r="VCG10" s="594"/>
      <c r="VCH10" s="594"/>
      <c r="VCI10" s="594"/>
      <c r="VCJ10" s="594"/>
      <c r="VCK10" s="594"/>
      <c r="VCL10" s="594"/>
      <c r="VCM10" s="594"/>
      <c r="VCN10" s="479"/>
      <c r="VCO10" s="479"/>
      <c r="VCP10" s="479"/>
      <c r="VCQ10" s="479"/>
      <c r="VCR10" s="479"/>
      <c r="VCS10" s="479"/>
      <c r="VCT10" s="479"/>
      <c r="VCU10" s="479"/>
      <c r="VCV10" s="479"/>
      <c r="VCW10" s="479"/>
      <c r="VCX10" s="479"/>
      <c r="VCY10" s="593"/>
      <c r="VCZ10" s="594"/>
      <c r="VDA10" s="594"/>
      <c r="VDB10" s="594"/>
      <c r="VDC10" s="594"/>
      <c r="VDD10" s="594"/>
      <c r="VDE10" s="594"/>
      <c r="VDF10" s="594"/>
      <c r="VDG10" s="594"/>
      <c r="VDH10" s="594"/>
      <c r="VDI10" s="479"/>
      <c r="VDJ10" s="479"/>
      <c r="VDK10" s="479"/>
      <c r="VDL10" s="479"/>
      <c r="VDM10" s="479"/>
      <c r="VDN10" s="479"/>
      <c r="VDO10" s="479"/>
      <c r="VDP10" s="479"/>
      <c r="VDQ10" s="479"/>
      <c r="VDR10" s="479"/>
      <c r="VDS10" s="479"/>
      <c r="VDT10" s="593"/>
      <c r="VDU10" s="594"/>
      <c r="VDV10" s="594"/>
      <c r="VDW10" s="594"/>
      <c r="VDX10" s="594"/>
      <c r="VDY10" s="594"/>
      <c r="VDZ10" s="594"/>
      <c r="VEA10" s="594"/>
      <c r="VEB10" s="594"/>
      <c r="VEC10" s="594"/>
      <c r="VED10" s="479"/>
      <c r="VEE10" s="479"/>
      <c r="VEF10" s="479"/>
      <c r="VEG10" s="479"/>
      <c r="VEH10" s="479"/>
      <c r="VEI10" s="479"/>
      <c r="VEJ10" s="479"/>
      <c r="VEK10" s="479"/>
      <c r="VEL10" s="479"/>
      <c r="VEM10" s="479"/>
      <c r="VEN10" s="479"/>
      <c r="VEO10" s="593"/>
      <c r="VEP10" s="594"/>
      <c r="VEQ10" s="594"/>
      <c r="VER10" s="594"/>
      <c r="VES10" s="594"/>
      <c r="VET10" s="594"/>
      <c r="VEU10" s="594"/>
      <c r="VEV10" s="594"/>
      <c r="VEW10" s="594"/>
      <c r="VEX10" s="594"/>
      <c r="VEY10" s="479"/>
      <c r="VEZ10" s="479"/>
      <c r="VFA10" s="479"/>
      <c r="VFB10" s="479"/>
      <c r="VFC10" s="479"/>
      <c r="VFD10" s="479"/>
      <c r="VFE10" s="479"/>
      <c r="VFF10" s="479"/>
      <c r="VFG10" s="479"/>
      <c r="VFH10" s="479"/>
      <c r="VFI10" s="479"/>
      <c r="VFJ10" s="593"/>
      <c r="VFK10" s="594"/>
      <c r="VFL10" s="594"/>
      <c r="VFM10" s="594"/>
      <c r="VFN10" s="594"/>
      <c r="VFO10" s="594"/>
      <c r="VFP10" s="594"/>
      <c r="VFQ10" s="594"/>
      <c r="VFR10" s="594"/>
      <c r="VFS10" s="594"/>
      <c r="VFT10" s="479"/>
      <c r="VFU10" s="479"/>
      <c r="VFV10" s="479"/>
      <c r="VFW10" s="479"/>
      <c r="VFX10" s="479"/>
      <c r="VFY10" s="479"/>
      <c r="VFZ10" s="479"/>
      <c r="VGA10" s="479"/>
      <c r="VGB10" s="479"/>
      <c r="VGC10" s="479"/>
      <c r="VGD10" s="479"/>
      <c r="VGE10" s="593"/>
      <c r="VGF10" s="594"/>
      <c r="VGG10" s="594"/>
      <c r="VGH10" s="594"/>
      <c r="VGI10" s="594"/>
      <c r="VGJ10" s="594"/>
      <c r="VGK10" s="594"/>
      <c r="VGL10" s="594"/>
      <c r="VGM10" s="594"/>
      <c r="VGN10" s="594"/>
      <c r="VGO10" s="479"/>
      <c r="VGP10" s="479"/>
      <c r="VGQ10" s="479"/>
      <c r="VGR10" s="479"/>
      <c r="VGS10" s="479"/>
      <c r="VGT10" s="479"/>
      <c r="VGU10" s="479"/>
      <c r="VGV10" s="479"/>
      <c r="VGW10" s="479"/>
      <c r="VGX10" s="479"/>
      <c r="VGY10" s="479"/>
      <c r="VGZ10" s="593"/>
      <c r="VHA10" s="594"/>
      <c r="VHB10" s="594"/>
      <c r="VHC10" s="594"/>
      <c r="VHD10" s="594"/>
      <c r="VHE10" s="594"/>
      <c r="VHF10" s="594"/>
      <c r="VHG10" s="594"/>
      <c r="VHH10" s="594"/>
      <c r="VHI10" s="594"/>
      <c r="VHJ10" s="479"/>
      <c r="VHK10" s="479"/>
      <c r="VHL10" s="479"/>
      <c r="VHM10" s="479"/>
      <c r="VHN10" s="479"/>
      <c r="VHO10" s="479"/>
      <c r="VHP10" s="479"/>
      <c r="VHQ10" s="479"/>
      <c r="VHR10" s="479"/>
      <c r="VHS10" s="479"/>
      <c r="VHT10" s="479"/>
      <c r="VHU10" s="593"/>
      <c r="VHV10" s="594"/>
      <c r="VHW10" s="594"/>
      <c r="VHX10" s="594"/>
      <c r="VHY10" s="594"/>
      <c r="VHZ10" s="594"/>
      <c r="VIA10" s="594"/>
      <c r="VIB10" s="594"/>
      <c r="VIC10" s="594"/>
      <c r="VID10" s="594"/>
      <c r="VIE10" s="479"/>
      <c r="VIF10" s="479"/>
      <c r="VIG10" s="479"/>
      <c r="VIH10" s="479"/>
      <c r="VII10" s="479"/>
      <c r="VIJ10" s="479"/>
      <c r="VIK10" s="479"/>
      <c r="VIL10" s="479"/>
      <c r="VIM10" s="479"/>
      <c r="VIN10" s="479"/>
      <c r="VIO10" s="479"/>
      <c r="VIP10" s="593"/>
      <c r="VIQ10" s="594"/>
      <c r="VIR10" s="594"/>
      <c r="VIS10" s="594"/>
      <c r="VIT10" s="594"/>
      <c r="VIU10" s="594"/>
      <c r="VIV10" s="594"/>
      <c r="VIW10" s="594"/>
      <c r="VIX10" s="594"/>
      <c r="VIY10" s="594"/>
      <c r="VIZ10" s="479"/>
      <c r="VJA10" s="479"/>
      <c r="VJB10" s="479"/>
      <c r="VJC10" s="479"/>
      <c r="VJD10" s="479"/>
      <c r="VJE10" s="479"/>
      <c r="VJF10" s="479"/>
      <c r="VJG10" s="479"/>
      <c r="VJH10" s="479"/>
      <c r="VJI10" s="479"/>
      <c r="VJJ10" s="479"/>
      <c r="VJK10" s="593"/>
      <c r="VJL10" s="594"/>
      <c r="VJM10" s="594"/>
      <c r="VJN10" s="594"/>
      <c r="VJO10" s="594"/>
      <c r="VJP10" s="594"/>
      <c r="VJQ10" s="594"/>
      <c r="VJR10" s="594"/>
      <c r="VJS10" s="594"/>
      <c r="VJT10" s="594"/>
      <c r="VJU10" s="479"/>
      <c r="VJV10" s="479"/>
      <c r="VJW10" s="479"/>
      <c r="VJX10" s="479"/>
      <c r="VJY10" s="479"/>
      <c r="VJZ10" s="479"/>
      <c r="VKA10" s="479"/>
      <c r="VKB10" s="479"/>
      <c r="VKC10" s="479"/>
      <c r="VKD10" s="479"/>
      <c r="VKE10" s="479"/>
      <c r="VKF10" s="593"/>
      <c r="VKG10" s="594"/>
      <c r="VKH10" s="594"/>
      <c r="VKI10" s="594"/>
      <c r="VKJ10" s="594"/>
      <c r="VKK10" s="594"/>
      <c r="VKL10" s="594"/>
      <c r="VKM10" s="594"/>
      <c r="VKN10" s="594"/>
      <c r="VKO10" s="594"/>
      <c r="VKP10" s="479"/>
      <c r="VKQ10" s="479"/>
      <c r="VKR10" s="479"/>
      <c r="VKS10" s="479"/>
      <c r="VKT10" s="479"/>
      <c r="VKU10" s="479"/>
      <c r="VKV10" s="479"/>
      <c r="VKW10" s="479"/>
      <c r="VKX10" s="479"/>
      <c r="VKY10" s="479"/>
      <c r="VKZ10" s="479"/>
      <c r="VLA10" s="593"/>
      <c r="VLB10" s="594"/>
      <c r="VLC10" s="594"/>
      <c r="VLD10" s="594"/>
      <c r="VLE10" s="594"/>
      <c r="VLF10" s="594"/>
      <c r="VLG10" s="594"/>
      <c r="VLH10" s="594"/>
      <c r="VLI10" s="594"/>
      <c r="VLJ10" s="594"/>
      <c r="VLK10" s="479"/>
      <c r="VLL10" s="479"/>
      <c r="VLM10" s="479"/>
      <c r="VLN10" s="479"/>
      <c r="VLO10" s="479"/>
      <c r="VLP10" s="479"/>
      <c r="VLQ10" s="479"/>
      <c r="VLR10" s="479"/>
      <c r="VLS10" s="479"/>
      <c r="VLT10" s="479"/>
      <c r="VLU10" s="479"/>
      <c r="VLV10" s="593"/>
      <c r="VLW10" s="594"/>
      <c r="VLX10" s="594"/>
      <c r="VLY10" s="594"/>
      <c r="VLZ10" s="594"/>
      <c r="VMA10" s="594"/>
      <c r="VMB10" s="594"/>
      <c r="VMC10" s="594"/>
      <c r="VMD10" s="594"/>
      <c r="VME10" s="594"/>
      <c r="VMF10" s="479"/>
      <c r="VMG10" s="479"/>
      <c r="VMH10" s="479"/>
      <c r="VMI10" s="479"/>
      <c r="VMJ10" s="479"/>
      <c r="VMK10" s="479"/>
      <c r="VML10" s="479"/>
      <c r="VMM10" s="479"/>
      <c r="VMN10" s="479"/>
      <c r="VMO10" s="479"/>
      <c r="VMP10" s="479"/>
      <c r="VMQ10" s="593"/>
      <c r="VMR10" s="594"/>
      <c r="VMS10" s="594"/>
      <c r="VMT10" s="594"/>
      <c r="VMU10" s="594"/>
      <c r="VMV10" s="594"/>
      <c r="VMW10" s="594"/>
      <c r="VMX10" s="594"/>
      <c r="VMY10" s="594"/>
      <c r="VMZ10" s="594"/>
      <c r="VNA10" s="479"/>
      <c r="VNB10" s="479"/>
      <c r="VNC10" s="479"/>
      <c r="VND10" s="479"/>
      <c r="VNE10" s="479"/>
      <c r="VNF10" s="479"/>
      <c r="VNG10" s="479"/>
      <c r="VNH10" s="479"/>
      <c r="VNI10" s="479"/>
      <c r="VNJ10" s="479"/>
      <c r="VNK10" s="479"/>
      <c r="VNL10" s="593"/>
      <c r="VNM10" s="594"/>
      <c r="VNN10" s="594"/>
      <c r="VNO10" s="594"/>
      <c r="VNP10" s="594"/>
      <c r="VNQ10" s="594"/>
      <c r="VNR10" s="594"/>
      <c r="VNS10" s="594"/>
      <c r="VNT10" s="594"/>
      <c r="VNU10" s="594"/>
      <c r="VNV10" s="479"/>
      <c r="VNW10" s="479"/>
      <c r="VNX10" s="479"/>
      <c r="VNY10" s="479"/>
      <c r="VNZ10" s="479"/>
      <c r="VOA10" s="479"/>
      <c r="VOB10" s="479"/>
      <c r="VOC10" s="479"/>
      <c r="VOD10" s="479"/>
      <c r="VOE10" s="479"/>
      <c r="VOF10" s="479"/>
      <c r="VOG10" s="593"/>
      <c r="VOH10" s="594"/>
      <c r="VOI10" s="594"/>
      <c r="VOJ10" s="594"/>
      <c r="VOK10" s="594"/>
      <c r="VOL10" s="594"/>
      <c r="VOM10" s="594"/>
      <c r="VON10" s="594"/>
      <c r="VOO10" s="594"/>
      <c r="VOP10" s="594"/>
      <c r="VOQ10" s="479"/>
      <c r="VOR10" s="479"/>
      <c r="VOS10" s="479"/>
      <c r="VOT10" s="479"/>
      <c r="VOU10" s="479"/>
      <c r="VOV10" s="479"/>
      <c r="VOW10" s="479"/>
      <c r="VOX10" s="479"/>
      <c r="VOY10" s="479"/>
      <c r="VOZ10" s="479"/>
      <c r="VPA10" s="479"/>
      <c r="VPB10" s="593"/>
      <c r="VPC10" s="594"/>
      <c r="VPD10" s="594"/>
      <c r="VPE10" s="594"/>
      <c r="VPF10" s="594"/>
      <c r="VPG10" s="594"/>
      <c r="VPH10" s="594"/>
      <c r="VPI10" s="594"/>
      <c r="VPJ10" s="594"/>
      <c r="VPK10" s="594"/>
      <c r="VPL10" s="479"/>
      <c r="VPM10" s="479"/>
      <c r="VPN10" s="479"/>
      <c r="VPO10" s="479"/>
      <c r="VPP10" s="479"/>
      <c r="VPQ10" s="479"/>
      <c r="VPR10" s="479"/>
      <c r="VPS10" s="479"/>
      <c r="VPT10" s="479"/>
      <c r="VPU10" s="479"/>
      <c r="VPV10" s="479"/>
      <c r="VPW10" s="593"/>
      <c r="VPX10" s="594"/>
      <c r="VPY10" s="594"/>
      <c r="VPZ10" s="594"/>
      <c r="VQA10" s="594"/>
      <c r="VQB10" s="594"/>
      <c r="VQC10" s="594"/>
      <c r="VQD10" s="594"/>
      <c r="VQE10" s="594"/>
      <c r="VQF10" s="594"/>
      <c r="VQG10" s="479"/>
      <c r="VQH10" s="479"/>
      <c r="VQI10" s="479"/>
      <c r="VQJ10" s="479"/>
      <c r="VQK10" s="479"/>
      <c r="VQL10" s="479"/>
      <c r="VQM10" s="479"/>
      <c r="VQN10" s="479"/>
      <c r="VQO10" s="479"/>
      <c r="VQP10" s="479"/>
      <c r="VQQ10" s="479"/>
      <c r="VQR10" s="593"/>
      <c r="VQS10" s="594"/>
      <c r="VQT10" s="594"/>
      <c r="VQU10" s="594"/>
      <c r="VQV10" s="594"/>
      <c r="VQW10" s="594"/>
      <c r="VQX10" s="594"/>
      <c r="VQY10" s="594"/>
      <c r="VQZ10" s="594"/>
      <c r="VRA10" s="594"/>
      <c r="VRB10" s="479"/>
      <c r="VRC10" s="479"/>
      <c r="VRD10" s="479"/>
      <c r="VRE10" s="479"/>
      <c r="VRF10" s="479"/>
      <c r="VRG10" s="479"/>
      <c r="VRH10" s="479"/>
      <c r="VRI10" s="479"/>
      <c r="VRJ10" s="479"/>
      <c r="VRK10" s="479"/>
      <c r="VRL10" s="479"/>
      <c r="VRM10" s="593"/>
      <c r="VRN10" s="594"/>
      <c r="VRO10" s="594"/>
      <c r="VRP10" s="594"/>
      <c r="VRQ10" s="594"/>
      <c r="VRR10" s="594"/>
      <c r="VRS10" s="594"/>
      <c r="VRT10" s="594"/>
      <c r="VRU10" s="594"/>
      <c r="VRV10" s="594"/>
      <c r="VRW10" s="479"/>
      <c r="VRX10" s="479"/>
      <c r="VRY10" s="479"/>
      <c r="VRZ10" s="479"/>
      <c r="VSA10" s="479"/>
      <c r="VSB10" s="479"/>
      <c r="VSC10" s="479"/>
      <c r="VSD10" s="479"/>
      <c r="VSE10" s="479"/>
      <c r="VSF10" s="479"/>
      <c r="VSG10" s="479"/>
      <c r="VSH10" s="593"/>
      <c r="VSI10" s="594"/>
      <c r="VSJ10" s="594"/>
      <c r="VSK10" s="594"/>
      <c r="VSL10" s="594"/>
      <c r="VSM10" s="594"/>
      <c r="VSN10" s="594"/>
      <c r="VSO10" s="594"/>
      <c r="VSP10" s="594"/>
      <c r="VSQ10" s="594"/>
      <c r="VSR10" s="479"/>
      <c r="VSS10" s="479"/>
      <c r="VST10" s="479"/>
      <c r="VSU10" s="479"/>
      <c r="VSV10" s="479"/>
      <c r="VSW10" s="479"/>
      <c r="VSX10" s="479"/>
      <c r="VSY10" s="479"/>
      <c r="VSZ10" s="479"/>
      <c r="VTA10" s="479"/>
      <c r="VTB10" s="479"/>
      <c r="VTC10" s="593"/>
      <c r="VTD10" s="594"/>
      <c r="VTE10" s="594"/>
      <c r="VTF10" s="594"/>
      <c r="VTG10" s="594"/>
      <c r="VTH10" s="594"/>
      <c r="VTI10" s="594"/>
      <c r="VTJ10" s="594"/>
      <c r="VTK10" s="594"/>
      <c r="VTL10" s="594"/>
      <c r="VTM10" s="479"/>
      <c r="VTN10" s="479"/>
      <c r="VTO10" s="479"/>
      <c r="VTP10" s="479"/>
      <c r="VTQ10" s="479"/>
      <c r="VTR10" s="479"/>
      <c r="VTS10" s="479"/>
      <c r="VTT10" s="479"/>
      <c r="VTU10" s="479"/>
      <c r="VTV10" s="479"/>
      <c r="VTW10" s="479"/>
      <c r="VTX10" s="593"/>
      <c r="VTY10" s="594"/>
      <c r="VTZ10" s="594"/>
      <c r="VUA10" s="594"/>
      <c r="VUB10" s="594"/>
      <c r="VUC10" s="594"/>
      <c r="VUD10" s="594"/>
      <c r="VUE10" s="594"/>
      <c r="VUF10" s="594"/>
      <c r="VUG10" s="594"/>
      <c r="VUH10" s="479"/>
      <c r="VUI10" s="479"/>
      <c r="VUJ10" s="479"/>
      <c r="VUK10" s="479"/>
      <c r="VUL10" s="479"/>
      <c r="VUM10" s="479"/>
      <c r="VUN10" s="479"/>
      <c r="VUO10" s="479"/>
      <c r="VUP10" s="479"/>
      <c r="VUQ10" s="479"/>
      <c r="VUR10" s="479"/>
      <c r="VUS10" s="593"/>
      <c r="VUT10" s="594"/>
      <c r="VUU10" s="594"/>
      <c r="VUV10" s="594"/>
      <c r="VUW10" s="594"/>
      <c r="VUX10" s="594"/>
      <c r="VUY10" s="594"/>
      <c r="VUZ10" s="594"/>
      <c r="VVA10" s="594"/>
      <c r="VVB10" s="594"/>
      <c r="VVC10" s="479"/>
      <c r="VVD10" s="479"/>
      <c r="VVE10" s="479"/>
      <c r="VVF10" s="479"/>
      <c r="VVG10" s="479"/>
      <c r="VVH10" s="479"/>
      <c r="VVI10" s="479"/>
      <c r="VVJ10" s="479"/>
      <c r="VVK10" s="479"/>
      <c r="VVL10" s="479"/>
      <c r="VVM10" s="479"/>
      <c r="VVN10" s="593"/>
      <c r="VVO10" s="594"/>
      <c r="VVP10" s="594"/>
      <c r="VVQ10" s="594"/>
      <c r="VVR10" s="594"/>
      <c r="VVS10" s="594"/>
      <c r="VVT10" s="594"/>
      <c r="VVU10" s="594"/>
      <c r="VVV10" s="594"/>
      <c r="VVW10" s="594"/>
      <c r="VVX10" s="479"/>
      <c r="VVY10" s="479"/>
      <c r="VVZ10" s="479"/>
      <c r="VWA10" s="479"/>
      <c r="VWB10" s="479"/>
      <c r="VWC10" s="479"/>
      <c r="VWD10" s="479"/>
      <c r="VWE10" s="479"/>
      <c r="VWF10" s="479"/>
      <c r="VWG10" s="479"/>
      <c r="VWH10" s="479"/>
      <c r="VWI10" s="593"/>
      <c r="VWJ10" s="594"/>
      <c r="VWK10" s="594"/>
      <c r="VWL10" s="594"/>
      <c r="VWM10" s="594"/>
      <c r="VWN10" s="594"/>
      <c r="VWO10" s="594"/>
      <c r="VWP10" s="594"/>
      <c r="VWQ10" s="594"/>
      <c r="VWR10" s="594"/>
      <c r="VWS10" s="479"/>
      <c r="VWT10" s="479"/>
      <c r="VWU10" s="479"/>
      <c r="VWV10" s="479"/>
      <c r="VWW10" s="479"/>
      <c r="VWX10" s="479"/>
      <c r="VWY10" s="479"/>
      <c r="VWZ10" s="479"/>
      <c r="VXA10" s="479"/>
      <c r="VXB10" s="479"/>
      <c r="VXC10" s="479"/>
      <c r="VXD10" s="593"/>
      <c r="VXE10" s="594"/>
      <c r="VXF10" s="594"/>
      <c r="VXG10" s="594"/>
      <c r="VXH10" s="594"/>
      <c r="VXI10" s="594"/>
      <c r="VXJ10" s="594"/>
      <c r="VXK10" s="594"/>
      <c r="VXL10" s="594"/>
      <c r="VXM10" s="594"/>
      <c r="VXN10" s="479"/>
      <c r="VXO10" s="479"/>
      <c r="VXP10" s="479"/>
      <c r="VXQ10" s="479"/>
      <c r="VXR10" s="479"/>
      <c r="VXS10" s="479"/>
      <c r="VXT10" s="479"/>
      <c r="VXU10" s="479"/>
      <c r="VXV10" s="479"/>
      <c r="VXW10" s="479"/>
      <c r="VXX10" s="479"/>
      <c r="VXY10" s="593"/>
      <c r="VXZ10" s="594"/>
      <c r="VYA10" s="594"/>
      <c r="VYB10" s="594"/>
      <c r="VYC10" s="594"/>
      <c r="VYD10" s="594"/>
      <c r="VYE10" s="594"/>
      <c r="VYF10" s="594"/>
      <c r="VYG10" s="594"/>
      <c r="VYH10" s="594"/>
      <c r="VYI10" s="479"/>
      <c r="VYJ10" s="479"/>
      <c r="VYK10" s="479"/>
      <c r="VYL10" s="479"/>
      <c r="VYM10" s="479"/>
      <c r="VYN10" s="479"/>
      <c r="VYO10" s="479"/>
      <c r="VYP10" s="479"/>
      <c r="VYQ10" s="479"/>
      <c r="VYR10" s="479"/>
      <c r="VYS10" s="479"/>
      <c r="VYT10" s="593"/>
      <c r="VYU10" s="594"/>
      <c r="VYV10" s="594"/>
      <c r="VYW10" s="594"/>
      <c r="VYX10" s="594"/>
      <c r="VYY10" s="594"/>
      <c r="VYZ10" s="594"/>
      <c r="VZA10" s="594"/>
      <c r="VZB10" s="594"/>
      <c r="VZC10" s="594"/>
      <c r="VZD10" s="479"/>
      <c r="VZE10" s="479"/>
      <c r="VZF10" s="479"/>
      <c r="VZG10" s="479"/>
      <c r="VZH10" s="479"/>
      <c r="VZI10" s="479"/>
      <c r="VZJ10" s="479"/>
      <c r="VZK10" s="479"/>
      <c r="VZL10" s="479"/>
      <c r="VZM10" s="479"/>
      <c r="VZN10" s="479"/>
      <c r="VZO10" s="593"/>
      <c r="VZP10" s="594"/>
      <c r="VZQ10" s="594"/>
      <c r="VZR10" s="594"/>
      <c r="VZS10" s="594"/>
      <c r="VZT10" s="594"/>
      <c r="VZU10" s="594"/>
      <c r="VZV10" s="594"/>
      <c r="VZW10" s="594"/>
      <c r="VZX10" s="594"/>
      <c r="VZY10" s="479"/>
      <c r="VZZ10" s="479"/>
      <c r="WAA10" s="479"/>
      <c r="WAB10" s="479"/>
      <c r="WAC10" s="479"/>
      <c r="WAD10" s="479"/>
      <c r="WAE10" s="479"/>
      <c r="WAF10" s="479"/>
      <c r="WAG10" s="479"/>
      <c r="WAH10" s="479"/>
      <c r="WAI10" s="479"/>
      <c r="WAJ10" s="593"/>
      <c r="WAK10" s="594"/>
      <c r="WAL10" s="594"/>
      <c r="WAM10" s="594"/>
      <c r="WAN10" s="594"/>
      <c r="WAO10" s="594"/>
      <c r="WAP10" s="594"/>
      <c r="WAQ10" s="594"/>
      <c r="WAR10" s="594"/>
      <c r="WAS10" s="594"/>
      <c r="WAT10" s="479"/>
      <c r="WAU10" s="479"/>
      <c r="WAV10" s="479"/>
      <c r="WAW10" s="479"/>
      <c r="WAX10" s="479"/>
      <c r="WAY10" s="479"/>
      <c r="WAZ10" s="479"/>
      <c r="WBA10" s="479"/>
      <c r="WBB10" s="479"/>
      <c r="WBC10" s="479"/>
      <c r="WBD10" s="479"/>
      <c r="WBE10" s="593"/>
      <c r="WBF10" s="594"/>
      <c r="WBG10" s="594"/>
      <c r="WBH10" s="594"/>
      <c r="WBI10" s="594"/>
      <c r="WBJ10" s="594"/>
      <c r="WBK10" s="594"/>
      <c r="WBL10" s="594"/>
      <c r="WBM10" s="594"/>
      <c r="WBN10" s="594"/>
      <c r="WBO10" s="479"/>
      <c r="WBP10" s="479"/>
      <c r="WBQ10" s="479"/>
      <c r="WBR10" s="479"/>
      <c r="WBS10" s="479"/>
      <c r="WBT10" s="479"/>
      <c r="WBU10" s="479"/>
      <c r="WBV10" s="479"/>
      <c r="WBW10" s="479"/>
      <c r="WBX10" s="479"/>
      <c r="WBY10" s="479"/>
      <c r="WBZ10" s="593"/>
      <c r="WCA10" s="594"/>
      <c r="WCB10" s="594"/>
      <c r="WCC10" s="594"/>
      <c r="WCD10" s="594"/>
      <c r="WCE10" s="594"/>
      <c r="WCF10" s="594"/>
      <c r="WCG10" s="594"/>
      <c r="WCH10" s="594"/>
      <c r="WCI10" s="594"/>
      <c r="WCJ10" s="479"/>
      <c r="WCK10" s="479"/>
      <c r="WCL10" s="479"/>
      <c r="WCM10" s="479"/>
      <c r="WCN10" s="479"/>
      <c r="WCO10" s="479"/>
      <c r="WCP10" s="479"/>
      <c r="WCQ10" s="479"/>
      <c r="WCR10" s="479"/>
      <c r="WCS10" s="479"/>
      <c r="WCT10" s="479"/>
      <c r="WCU10" s="593"/>
      <c r="WCV10" s="594"/>
      <c r="WCW10" s="594"/>
      <c r="WCX10" s="594"/>
      <c r="WCY10" s="594"/>
      <c r="WCZ10" s="594"/>
      <c r="WDA10" s="594"/>
      <c r="WDB10" s="594"/>
      <c r="WDC10" s="594"/>
      <c r="WDD10" s="594"/>
      <c r="WDE10" s="479"/>
      <c r="WDF10" s="479"/>
      <c r="WDG10" s="479"/>
      <c r="WDH10" s="479"/>
      <c r="WDI10" s="479"/>
      <c r="WDJ10" s="479"/>
      <c r="WDK10" s="479"/>
      <c r="WDL10" s="479"/>
      <c r="WDM10" s="479"/>
      <c r="WDN10" s="479"/>
      <c r="WDO10" s="479"/>
      <c r="WDP10" s="593"/>
      <c r="WDQ10" s="594"/>
      <c r="WDR10" s="594"/>
      <c r="WDS10" s="594"/>
      <c r="WDT10" s="594"/>
      <c r="WDU10" s="594"/>
      <c r="WDV10" s="594"/>
      <c r="WDW10" s="594"/>
      <c r="WDX10" s="594"/>
      <c r="WDY10" s="594"/>
      <c r="WDZ10" s="479"/>
      <c r="WEA10" s="479"/>
      <c r="WEB10" s="479"/>
      <c r="WEC10" s="479"/>
      <c r="WED10" s="479"/>
      <c r="WEE10" s="479"/>
      <c r="WEF10" s="479"/>
      <c r="WEG10" s="479"/>
      <c r="WEH10" s="479"/>
      <c r="WEI10" s="479"/>
      <c r="WEJ10" s="479"/>
      <c r="WEK10" s="593"/>
      <c r="WEL10" s="594"/>
      <c r="WEM10" s="594"/>
      <c r="WEN10" s="594"/>
      <c r="WEO10" s="594"/>
      <c r="WEP10" s="594"/>
      <c r="WEQ10" s="594"/>
      <c r="WER10" s="594"/>
      <c r="WES10" s="594"/>
      <c r="WET10" s="594"/>
      <c r="WEU10" s="479"/>
      <c r="WEV10" s="479"/>
      <c r="WEW10" s="479"/>
      <c r="WEX10" s="479"/>
      <c r="WEY10" s="479"/>
      <c r="WEZ10" s="479"/>
      <c r="WFA10" s="479"/>
      <c r="WFB10" s="479"/>
      <c r="WFC10" s="479"/>
      <c r="WFD10" s="479"/>
      <c r="WFE10" s="479"/>
      <c r="WFF10" s="593"/>
      <c r="WFG10" s="594"/>
      <c r="WFH10" s="594"/>
      <c r="WFI10" s="594"/>
      <c r="WFJ10" s="594"/>
      <c r="WFK10" s="594"/>
      <c r="WFL10" s="594"/>
      <c r="WFM10" s="594"/>
      <c r="WFN10" s="594"/>
      <c r="WFO10" s="594"/>
      <c r="WFP10" s="479"/>
      <c r="WFQ10" s="479"/>
      <c r="WFR10" s="479"/>
      <c r="WFS10" s="479"/>
      <c r="WFT10" s="479"/>
      <c r="WFU10" s="479"/>
      <c r="WFV10" s="479"/>
      <c r="WFW10" s="479"/>
      <c r="WFX10" s="479"/>
      <c r="WFY10" s="479"/>
      <c r="WFZ10" s="479"/>
      <c r="WGA10" s="593"/>
      <c r="WGB10" s="594"/>
      <c r="WGC10" s="594"/>
      <c r="WGD10" s="594"/>
      <c r="WGE10" s="594"/>
      <c r="WGF10" s="594"/>
      <c r="WGG10" s="594"/>
      <c r="WGH10" s="594"/>
      <c r="WGI10" s="594"/>
      <c r="WGJ10" s="594"/>
      <c r="WGK10" s="479"/>
      <c r="WGL10" s="479"/>
      <c r="WGM10" s="479"/>
      <c r="WGN10" s="479"/>
      <c r="WGO10" s="479"/>
      <c r="WGP10" s="479"/>
      <c r="WGQ10" s="479"/>
      <c r="WGR10" s="479"/>
      <c r="WGS10" s="479"/>
      <c r="WGT10" s="479"/>
      <c r="WGU10" s="479"/>
      <c r="WGV10" s="593"/>
      <c r="WGW10" s="594"/>
      <c r="WGX10" s="594"/>
      <c r="WGY10" s="594"/>
      <c r="WGZ10" s="594"/>
      <c r="WHA10" s="594"/>
      <c r="WHB10" s="594"/>
      <c r="WHC10" s="594"/>
      <c r="WHD10" s="594"/>
      <c r="WHE10" s="594"/>
      <c r="WHF10" s="479"/>
      <c r="WHG10" s="479"/>
      <c r="WHH10" s="479"/>
      <c r="WHI10" s="479"/>
      <c r="WHJ10" s="479"/>
      <c r="WHK10" s="479"/>
      <c r="WHL10" s="479"/>
      <c r="WHM10" s="479"/>
      <c r="WHN10" s="479"/>
      <c r="WHO10" s="479"/>
      <c r="WHP10" s="479"/>
      <c r="WHQ10" s="593"/>
      <c r="WHR10" s="594"/>
      <c r="WHS10" s="594"/>
      <c r="WHT10" s="594"/>
      <c r="WHU10" s="594"/>
      <c r="WHV10" s="594"/>
      <c r="WHW10" s="594"/>
      <c r="WHX10" s="594"/>
      <c r="WHY10" s="594"/>
      <c r="WHZ10" s="594"/>
      <c r="WIA10" s="479"/>
      <c r="WIB10" s="479"/>
      <c r="WIC10" s="479"/>
      <c r="WID10" s="479"/>
      <c r="WIE10" s="479"/>
      <c r="WIF10" s="479"/>
      <c r="WIG10" s="479"/>
      <c r="WIH10" s="479"/>
      <c r="WII10" s="479"/>
      <c r="WIJ10" s="479"/>
      <c r="WIK10" s="479"/>
      <c r="WIL10" s="593"/>
      <c r="WIM10" s="594"/>
      <c r="WIN10" s="594"/>
      <c r="WIO10" s="594"/>
      <c r="WIP10" s="594"/>
      <c r="WIQ10" s="594"/>
      <c r="WIR10" s="594"/>
      <c r="WIS10" s="594"/>
      <c r="WIT10" s="594"/>
      <c r="WIU10" s="594"/>
      <c r="WIV10" s="479"/>
      <c r="WIW10" s="479"/>
      <c r="WIX10" s="479"/>
      <c r="WIY10" s="479"/>
      <c r="WIZ10" s="479"/>
      <c r="WJA10" s="479"/>
      <c r="WJB10" s="479"/>
      <c r="WJC10" s="479"/>
      <c r="WJD10" s="479"/>
      <c r="WJE10" s="479"/>
      <c r="WJF10" s="479"/>
      <c r="WJG10" s="593"/>
      <c r="WJH10" s="594"/>
      <c r="WJI10" s="594"/>
      <c r="WJJ10" s="594"/>
      <c r="WJK10" s="594"/>
      <c r="WJL10" s="594"/>
      <c r="WJM10" s="594"/>
      <c r="WJN10" s="594"/>
      <c r="WJO10" s="594"/>
      <c r="WJP10" s="594"/>
      <c r="WJQ10" s="479"/>
      <c r="WJR10" s="479"/>
      <c r="WJS10" s="479"/>
      <c r="WJT10" s="479"/>
      <c r="WJU10" s="479"/>
      <c r="WJV10" s="479"/>
      <c r="WJW10" s="479"/>
      <c r="WJX10" s="479"/>
      <c r="WJY10" s="479"/>
      <c r="WJZ10" s="479"/>
      <c r="WKA10" s="479"/>
      <c r="WKB10" s="593"/>
      <c r="WKC10" s="594"/>
      <c r="WKD10" s="594"/>
      <c r="WKE10" s="594"/>
      <c r="WKF10" s="594"/>
      <c r="WKG10" s="594"/>
      <c r="WKH10" s="594"/>
      <c r="WKI10" s="594"/>
      <c r="WKJ10" s="594"/>
      <c r="WKK10" s="594"/>
      <c r="WKL10" s="479"/>
      <c r="WKM10" s="479"/>
      <c r="WKN10" s="479"/>
      <c r="WKO10" s="479"/>
      <c r="WKP10" s="479"/>
      <c r="WKQ10" s="479"/>
      <c r="WKR10" s="479"/>
      <c r="WKS10" s="479"/>
      <c r="WKT10" s="479"/>
      <c r="WKU10" s="479"/>
      <c r="WKV10" s="479"/>
      <c r="WKW10" s="593"/>
      <c r="WKX10" s="594"/>
      <c r="WKY10" s="594"/>
      <c r="WKZ10" s="594"/>
      <c r="WLA10" s="594"/>
      <c r="WLB10" s="594"/>
      <c r="WLC10" s="594"/>
      <c r="WLD10" s="594"/>
      <c r="WLE10" s="594"/>
      <c r="WLF10" s="594"/>
      <c r="WLG10" s="479"/>
      <c r="WLH10" s="479"/>
      <c r="WLI10" s="479"/>
      <c r="WLJ10" s="479"/>
      <c r="WLK10" s="479"/>
      <c r="WLL10" s="479"/>
      <c r="WLM10" s="479"/>
      <c r="WLN10" s="479"/>
      <c r="WLO10" s="479"/>
      <c r="WLP10" s="479"/>
      <c r="WLQ10" s="479"/>
      <c r="WLR10" s="593"/>
      <c r="WLS10" s="594"/>
      <c r="WLT10" s="594"/>
      <c r="WLU10" s="594"/>
      <c r="WLV10" s="594"/>
      <c r="WLW10" s="594"/>
      <c r="WLX10" s="594"/>
      <c r="WLY10" s="594"/>
      <c r="WLZ10" s="594"/>
      <c r="WMA10" s="594"/>
      <c r="WMB10" s="479"/>
      <c r="WMC10" s="479"/>
      <c r="WMD10" s="479"/>
      <c r="WME10" s="479"/>
      <c r="WMF10" s="479"/>
      <c r="WMG10" s="479"/>
      <c r="WMH10" s="479"/>
      <c r="WMI10" s="479"/>
      <c r="WMJ10" s="479"/>
      <c r="WMK10" s="479"/>
      <c r="WML10" s="479"/>
      <c r="WMM10" s="593"/>
      <c r="WMN10" s="594"/>
      <c r="WMO10" s="594"/>
      <c r="WMP10" s="594"/>
      <c r="WMQ10" s="594"/>
      <c r="WMR10" s="594"/>
      <c r="WMS10" s="594"/>
      <c r="WMT10" s="594"/>
      <c r="WMU10" s="594"/>
      <c r="WMV10" s="594"/>
      <c r="WMW10" s="479"/>
      <c r="WMX10" s="479"/>
      <c r="WMY10" s="479"/>
      <c r="WMZ10" s="479"/>
      <c r="WNA10" s="479"/>
      <c r="WNB10" s="479"/>
      <c r="WNC10" s="479"/>
      <c r="WND10" s="479"/>
      <c r="WNE10" s="479"/>
      <c r="WNF10" s="479"/>
      <c r="WNG10" s="479"/>
      <c r="WNH10" s="593"/>
      <c r="WNI10" s="594"/>
      <c r="WNJ10" s="594"/>
      <c r="WNK10" s="594"/>
      <c r="WNL10" s="594"/>
      <c r="WNM10" s="594"/>
      <c r="WNN10" s="594"/>
      <c r="WNO10" s="594"/>
      <c r="WNP10" s="594"/>
      <c r="WNQ10" s="594"/>
      <c r="WNR10" s="479"/>
      <c r="WNS10" s="479"/>
      <c r="WNT10" s="479"/>
      <c r="WNU10" s="479"/>
      <c r="WNV10" s="479"/>
      <c r="WNW10" s="479"/>
      <c r="WNX10" s="479"/>
      <c r="WNY10" s="479"/>
      <c r="WNZ10" s="479"/>
      <c r="WOA10" s="479"/>
      <c r="WOB10" s="479"/>
      <c r="WOC10" s="593"/>
      <c r="WOD10" s="594"/>
      <c r="WOE10" s="594"/>
      <c r="WOF10" s="594"/>
      <c r="WOG10" s="594"/>
      <c r="WOH10" s="594"/>
      <c r="WOI10" s="594"/>
      <c r="WOJ10" s="594"/>
      <c r="WOK10" s="594"/>
      <c r="WOL10" s="594"/>
      <c r="WOM10" s="479"/>
      <c r="WON10" s="479"/>
      <c r="WOO10" s="479"/>
      <c r="WOP10" s="479"/>
      <c r="WOQ10" s="479"/>
      <c r="WOR10" s="479"/>
      <c r="WOS10" s="479"/>
      <c r="WOT10" s="479"/>
      <c r="WOU10" s="479"/>
      <c r="WOV10" s="479"/>
      <c r="WOW10" s="479"/>
      <c r="WOX10" s="593"/>
      <c r="WOY10" s="594"/>
      <c r="WOZ10" s="594"/>
      <c r="WPA10" s="594"/>
      <c r="WPB10" s="594"/>
      <c r="WPC10" s="594"/>
      <c r="WPD10" s="594"/>
      <c r="WPE10" s="594"/>
      <c r="WPF10" s="594"/>
      <c r="WPG10" s="594"/>
      <c r="WPH10" s="479"/>
      <c r="WPI10" s="479"/>
      <c r="WPJ10" s="479"/>
      <c r="WPK10" s="479"/>
      <c r="WPL10" s="479"/>
      <c r="WPM10" s="479"/>
      <c r="WPN10" s="479"/>
      <c r="WPO10" s="479"/>
      <c r="WPP10" s="479"/>
      <c r="WPQ10" s="479"/>
      <c r="WPR10" s="479"/>
      <c r="WPS10" s="593"/>
      <c r="WPT10" s="594"/>
      <c r="WPU10" s="594"/>
      <c r="WPV10" s="594"/>
      <c r="WPW10" s="594"/>
      <c r="WPX10" s="594"/>
      <c r="WPY10" s="594"/>
      <c r="WPZ10" s="594"/>
      <c r="WQA10" s="594"/>
      <c r="WQB10" s="594"/>
      <c r="WQC10" s="479"/>
      <c r="WQD10" s="479"/>
      <c r="WQE10" s="479"/>
      <c r="WQF10" s="479"/>
      <c r="WQG10" s="479"/>
      <c r="WQH10" s="479"/>
      <c r="WQI10" s="479"/>
      <c r="WQJ10" s="479"/>
      <c r="WQK10" s="479"/>
      <c r="WQL10" s="479"/>
      <c r="WQM10" s="479"/>
      <c r="WQN10" s="593"/>
      <c r="WQO10" s="594"/>
      <c r="WQP10" s="594"/>
      <c r="WQQ10" s="594"/>
      <c r="WQR10" s="594"/>
      <c r="WQS10" s="594"/>
      <c r="WQT10" s="594"/>
      <c r="WQU10" s="594"/>
      <c r="WQV10" s="594"/>
      <c r="WQW10" s="594"/>
      <c r="WQX10" s="479"/>
      <c r="WQY10" s="479"/>
      <c r="WQZ10" s="479"/>
      <c r="WRA10" s="479"/>
      <c r="WRB10" s="479"/>
      <c r="WRC10" s="479"/>
      <c r="WRD10" s="479"/>
      <c r="WRE10" s="479"/>
      <c r="WRF10" s="479"/>
      <c r="WRG10" s="479"/>
      <c r="WRH10" s="479"/>
      <c r="WRI10" s="593"/>
      <c r="WRJ10" s="594"/>
      <c r="WRK10" s="594"/>
      <c r="WRL10" s="594"/>
      <c r="WRM10" s="594"/>
      <c r="WRN10" s="594"/>
      <c r="WRO10" s="594"/>
      <c r="WRP10" s="594"/>
      <c r="WRQ10" s="594"/>
      <c r="WRR10" s="594"/>
      <c r="WRS10" s="479"/>
      <c r="WRT10" s="479"/>
      <c r="WRU10" s="479"/>
      <c r="WRV10" s="479"/>
      <c r="WRW10" s="479"/>
      <c r="WRX10" s="479"/>
      <c r="WRY10" s="479"/>
      <c r="WRZ10" s="479"/>
      <c r="WSA10" s="479"/>
      <c r="WSB10" s="479"/>
      <c r="WSC10" s="479"/>
      <c r="WSD10" s="593"/>
      <c r="WSE10" s="594"/>
      <c r="WSF10" s="594"/>
      <c r="WSG10" s="594"/>
      <c r="WSH10" s="594"/>
      <c r="WSI10" s="594"/>
      <c r="WSJ10" s="594"/>
      <c r="WSK10" s="594"/>
      <c r="WSL10" s="594"/>
      <c r="WSM10" s="594"/>
      <c r="WSN10" s="479"/>
      <c r="WSO10" s="479"/>
      <c r="WSP10" s="479"/>
      <c r="WSQ10" s="479"/>
      <c r="WSR10" s="479"/>
      <c r="WSS10" s="479"/>
      <c r="WST10" s="479"/>
      <c r="WSU10" s="479"/>
      <c r="WSV10" s="479"/>
      <c r="WSW10" s="479"/>
      <c r="WSX10" s="479"/>
      <c r="WSY10" s="593"/>
      <c r="WSZ10" s="594"/>
      <c r="WTA10" s="594"/>
      <c r="WTB10" s="594"/>
      <c r="WTC10" s="594"/>
      <c r="WTD10" s="594"/>
      <c r="WTE10" s="594"/>
      <c r="WTF10" s="594"/>
      <c r="WTG10" s="594"/>
      <c r="WTH10" s="594"/>
      <c r="WTI10" s="479"/>
      <c r="WTJ10" s="479"/>
      <c r="WTK10" s="479"/>
      <c r="WTL10" s="479"/>
      <c r="WTM10" s="479"/>
      <c r="WTN10" s="479"/>
      <c r="WTO10" s="479"/>
      <c r="WTP10" s="479"/>
      <c r="WTQ10" s="479"/>
      <c r="WTR10" s="479"/>
      <c r="WTS10" s="479"/>
      <c r="WTT10" s="593"/>
      <c r="WTU10" s="594"/>
      <c r="WTV10" s="594"/>
      <c r="WTW10" s="594"/>
      <c r="WTX10" s="594"/>
      <c r="WTY10" s="594"/>
      <c r="WTZ10" s="594"/>
      <c r="WUA10" s="594"/>
      <c r="WUB10" s="594"/>
      <c r="WUC10" s="594"/>
      <c r="WUD10" s="479"/>
      <c r="WUE10" s="479"/>
      <c r="WUF10" s="479"/>
      <c r="WUG10" s="479"/>
      <c r="WUH10" s="479"/>
      <c r="WUI10" s="479"/>
      <c r="WUJ10" s="479"/>
      <c r="WUK10" s="479"/>
      <c r="WUL10" s="479"/>
      <c r="WUM10" s="479"/>
      <c r="WUN10" s="479"/>
      <c r="WUO10" s="593"/>
      <c r="WUP10" s="594"/>
      <c r="WUQ10" s="594"/>
      <c r="WUR10" s="594"/>
      <c r="WUS10" s="594"/>
      <c r="WUT10" s="594"/>
      <c r="WUU10" s="594"/>
      <c r="WUV10" s="594"/>
      <c r="WUW10" s="594"/>
      <c r="WUX10" s="594"/>
      <c r="WUY10" s="479"/>
      <c r="WUZ10" s="479"/>
      <c r="WVA10" s="479"/>
      <c r="WVB10" s="479"/>
      <c r="WVC10" s="479"/>
      <c r="WVD10" s="479"/>
      <c r="WVE10" s="479"/>
      <c r="WVF10" s="479"/>
      <c r="WVG10" s="479"/>
      <c r="WVH10" s="479"/>
      <c r="WVI10" s="479"/>
      <c r="WVJ10" s="593"/>
      <c r="WVK10" s="594"/>
      <c r="WVL10" s="594"/>
      <c r="WVM10" s="594"/>
      <c r="WVN10" s="594"/>
      <c r="WVO10" s="594"/>
      <c r="WVP10" s="594"/>
      <c r="WVQ10" s="594"/>
      <c r="WVR10" s="594"/>
      <c r="WVS10" s="594"/>
      <c r="WVT10" s="479"/>
      <c r="WVU10" s="479"/>
      <c r="WVV10" s="479"/>
      <c r="WVW10" s="479"/>
      <c r="WVX10" s="479"/>
      <c r="WVY10" s="479"/>
      <c r="WVZ10" s="479"/>
      <c r="WWA10" s="479"/>
      <c r="WWB10" s="479"/>
      <c r="WWC10" s="479"/>
      <c r="WWD10" s="479"/>
      <c r="WWE10" s="593"/>
      <c r="WWF10" s="594"/>
      <c r="WWG10" s="594"/>
      <c r="WWH10" s="594"/>
      <c r="WWI10" s="594"/>
      <c r="WWJ10" s="594"/>
      <c r="WWK10" s="594"/>
      <c r="WWL10" s="594"/>
      <c r="WWM10" s="594"/>
      <c r="WWN10" s="594"/>
      <c r="WWO10" s="479"/>
      <c r="WWP10" s="479"/>
      <c r="WWQ10" s="479"/>
      <c r="WWR10" s="479"/>
      <c r="WWS10" s="479"/>
      <c r="WWT10" s="479"/>
      <c r="WWU10" s="479"/>
      <c r="WWV10" s="479"/>
      <c r="WWW10" s="479"/>
      <c r="WWX10" s="479"/>
      <c r="WWY10" s="479"/>
      <c r="WWZ10" s="593"/>
      <c r="WXA10" s="594"/>
      <c r="WXB10" s="594"/>
      <c r="WXC10" s="594"/>
      <c r="WXD10" s="594"/>
      <c r="WXE10" s="594"/>
      <c r="WXF10" s="594"/>
      <c r="WXG10" s="594"/>
      <c r="WXH10" s="594"/>
      <c r="WXI10" s="594"/>
      <c r="WXJ10" s="479"/>
      <c r="WXK10" s="479"/>
      <c r="WXL10" s="479"/>
      <c r="WXM10" s="479"/>
      <c r="WXN10" s="479"/>
      <c r="WXO10" s="479"/>
      <c r="WXP10" s="479"/>
      <c r="WXQ10" s="479"/>
      <c r="WXR10" s="479"/>
      <c r="WXS10" s="479"/>
      <c r="WXT10" s="479"/>
      <c r="WXU10" s="593"/>
      <c r="WXV10" s="594"/>
      <c r="WXW10" s="594"/>
      <c r="WXX10" s="594"/>
      <c r="WXY10" s="594"/>
      <c r="WXZ10" s="594"/>
      <c r="WYA10" s="594"/>
      <c r="WYB10" s="594"/>
      <c r="WYC10" s="594"/>
      <c r="WYD10" s="594"/>
      <c r="WYE10" s="479"/>
      <c r="WYF10" s="479"/>
      <c r="WYG10" s="479"/>
      <c r="WYH10" s="479"/>
      <c r="WYI10" s="479"/>
      <c r="WYJ10" s="479"/>
      <c r="WYK10" s="479"/>
      <c r="WYL10" s="479"/>
      <c r="WYM10" s="479"/>
      <c r="WYN10" s="479"/>
      <c r="WYO10" s="479"/>
      <c r="WYP10" s="593"/>
      <c r="WYQ10" s="594"/>
      <c r="WYR10" s="594"/>
      <c r="WYS10" s="594"/>
      <c r="WYT10" s="594"/>
      <c r="WYU10" s="594"/>
      <c r="WYV10" s="594"/>
      <c r="WYW10" s="594"/>
      <c r="WYX10" s="594"/>
      <c r="WYY10" s="594"/>
      <c r="WYZ10" s="479"/>
      <c r="WZA10" s="479"/>
      <c r="WZB10" s="479"/>
      <c r="WZC10" s="479"/>
      <c r="WZD10" s="479"/>
      <c r="WZE10" s="479"/>
      <c r="WZF10" s="479"/>
      <c r="WZG10" s="479"/>
      <c r="WZH10" s="479"/>
      <c r="WZI10" s="479"/>
      <c r="WZJ10" s="479"/>
      <c r="WZK10" s="593"/>
      <c r="WZL10" s="594"/>
      <c r="WZM10" s="594"/>
      <c r="WZN10" s="594"/>
      <c r="WZO10" s="594"/>
      <c r="WZP10" s="594"/>
      <c r="WZQ10" s="594"/>
      <c r="WZR10" s="594"/>
      <c r="WZS10" s="594"/>
      <c r="WZT10" s="594"/>
      <c r="WZU10" s="479"/>
      <c r="WZV10" s="479"/>
      <c r="WZW10" s="479"/>
      <c r="WZX10" s="479"/>
      <c r="WZY10" s="479"/>
      <c r="WZZ10" s="479"/>
      <c r="XAA10" s="479"/>
      <c r="XAB10" s="479"/>
      <c r="XAC10" s="479"/>
      <c r="XAD10" s="479"/>
      <c r="XAE10" s="479"/>
      <c r="XAF10" s="593"/>
      <c r="XAG10" s="594"/>
      <c r="XAH10" s="594"/>
      <c r="XAI10" s="594"/>
      <c r="XAJ10" s="594"/>
      <c r="XAK10" s="594"/>
      <c r="XAL10" s="594"/>
      <c r="XAM10" s="594"/>
      <c r="XAN10" s="594"/>
      <c r="XAO10" s="594"/>
      <c r="XAP10" s="479"/>
      <c r="XAQ10" s="479"/>
      <c r="XAR10" s="479"/>
      <c r="XAS10" s="479"/>
      <c r="XAT10" s="479"/>
      <c r="XAU10" s="479"/>
      <c r="XAV10" s="479"/>
      <c r="XAW10" s="479"/>
      <c r="XAX10" s="479"/>
      <c r="XAY10" s="479"/>
      <c r="XAZ10" s="479"/>
      <c r="XBA10" s="593"/>
      <c r="XBB10" s="594"/>
      <c r="XBC10" s="594"/>
      <c r="XBD10" s="594"/>
      <c r="XBE10" s="594"/>
      <c r="XBF10" s="594"/>
      <c r="XBG10" s="594"/>
      <c r="XBH10" s="594"/>
      <c r="XBI10" s="594"/>
      <c r="XBJ10" s="594"/>
      <c r="XBK10" s="479"/>
      <c r="XBL10" s="479"/>
      <c r="XBM10" s="479"/>
      <c r="XBN10" s="479"/>
      <c r="XBO10" s="479"/>
      <c r="XBP10" s="479"/>
      <c r="XBQ10" s="479"/>
      <c r="XBR10" s="479"/>
      <c r="XBS10" s="479"/>
      <c r="XBT10" s="479"/>
      <c r="XBU10" s="479"/>
      <c r="XBV10" s="593"/>
      <c r="XBW10" s="594"/>
      <c r="XBX10" s="594"/>
      <c r="XBY10" s="594"/>
      <c r="XBZ10" s="594"/>
      <c r="XCA10" s="594"/>
      <c r="XCB10" s="594"/>
      <c r="XCC10" s="594"/>
      <c r="XCD10" s="594"/>
      <c r="XCE10" s="594"/>
      <c r="XCF10" s="479"/>
      <c r="XCG10" s="479"/>
      <c r="XCH10" s="479"/>
      <c r="XCI10" s="479"/>
      <c r="XCJ10" s="479"/>
      <c r="XCK10" s="479"/>
      <c r="XCL10" s="479"/>
      <c r="XCM10" s="479"/>
      <c r="XCN10" s="479"/>
      <c r="XCO10" s="479"/>
      <c r="XCP10" s="479"/>
      <c r="XCQ10" s="593"/>
      <c r="XCR10" s="594"/>
      <c r="XCS10" s="594"/>
      <c r="XCT10" s="594"/>
      <c r="XCU10" s="594"/>
      <c r="XCV10" s="594"/>
      <c r="XCW10" s="594"/>
      <c r="XCX10" s="594"/>
      <c r="XCY10" s="594"/>
      <c r="XCZ10" s="594"/>
      <c r="XDA10" s="479"/>
      <c r="XDB10" s="479"/>
      <c r="XDC10" s="479"/>
      <c r="XDD10" s="479"/>
      <c r="XDE10" s="479"/>
      <c r="XDF10" s="479"/>
      <c r="XDG10" s="479"/>
      <c r="XDH10" s="479"/>
      <c r="XDI10" s="479"/>
      <c r="XDJ10" s="479"/>
      <c r="XDK10" s="479"/>
      <c r="XDL10" s="593"/>
      <c r="XDM10" s="594"/>
      <c r="XDN10" s="594"/>
      <c r="XDO10" s="594"/>
      <c r="XDP10" s="594"/>
      <c r="XDQ10" s="594"/>
      <c r="XDR10" s="594"/>
      <c r="XDS10" s="594"/>
      <c r="XDT10" s="594"/>
      <c r="XDU10" s="594"/>
      <c r="XDV10" s="479"/>
      <c r="XDW10" s="479"/>
      <c r="XDX10" s="479"/>
      <c r="XDY10" s="479"/>
      <c r="XDZ10" s="479"/>
      <c r="XEA10" s="479"/>
      <c r="XEB10" s="479"/>
      <c r="XEC10" s="479"/>
      <c r="XED10" s="479"/>
      <c r="XEE10" s="479"/>
      <c r="XEF10" s="479"/>
      <c r="XEG10" s="593"/>
      <c r="XEH10" s="594"/>
      <c r="XEI10" s="594"/>
      <c r="XEJ10" s="594"/>
      <c r="XEK10" s="594"/>
      <c r="XEL10" s="594"/>
      <c r="XEM10" s="594"/>
      <c r="XEN10" s="594"/>
      <c r="XEO10" s="594"/>
      <c r="XEP10" s="594"/>
      <c r="XEQ10" s="479"/>
      <c r="XER10" s="479"/>
      <c r="XES10" s="479"/>
      <c r="XET10" s="479"/>
      <c r="XEU10" s="479"/>
      <c r="XEV10" s="479"/>
      <c r="XEW10" s="479"/>
      <c r="XEX10" s="479"/>
      <c r="XEY10" s="479"/>
      <c r="XEZ10" s="479"/>
      <c r="XFA10" s="479"/>
    </row>
    <row r="11" spans="1:16381">
      <c r="A11">
        <f>'Input data'!A101</f>
        <v>2001</v>
      </c>
      <c r="C11" s="485">
        <f>'4A SWD Case 1'!BG70</f>
        <v>508.25703042216486</v>
      </c>
      <c r="D11" s="3">
        <f>'4B Biological treatment '!T64</f>
        <v>0</v>
      </c>
      <c r="E11" s="178">
        <f>'4B Biological treatment '!U64</f>
        <v>19.71083514566488</v>
      </c>
      <c r="F11" s="178">
        <f>'4B Biological treatment '!W64</f>
        <v>1.1826501087398928</v>
      </c>
      <c r="G11" s="3">
        <f>'4C2 Open-burning '!R71</f>
        <v>27.113189746525975</v>
      </c>
      <c r="H11" s="3">
        <f>'4C2 Open-burning '!Z71</f>
        <v>9.1227582692999984</v>
      </c>
      <c r="I11" s="3">
        <f>'4C2 Open-burning '!AH71</f>
        <v>0.12700419261223875</v>
      </c>
      <c r="J11" s="335">
        <f>'4D Wastewater treatment and dis'!AV108</f>
        <v>104.21284839843599</v>
      </c>
      <c r="K11" s="3">
        <f>'4D Wastewater treatment and dis'!AW108</f>
        <v>2.2644243904796704</v>
      </c>
      <c r="L11" s="485">
        <f t="shared" ref="L11:L27" si="8">C11*$B$3</f>
        <v>10673.397638865463</v>
      </c>
      <c r="M11" s="3">
        <f t="shared" si="0"/>
        <v>0</v>
      </c>
      <c r="N11" s="485">
        <f t="shared" ref="N11:N27" si="9">E11*$B$3+F11*$C$3</f>
        <v>780.54907176832921</v>
      </c>
      <c r="O11" s="597">
        <f t="shared" ref="O11:O27" si="10">G11+H11*$B$3+I11*$C$3</f>
        <v>258.06241311161995</v>
      </c>
      <c r="P11" s="485">
        <f t="shared" ref="P11:P27" si="11">J11*$B$3+K11*$C$3</f>
        <v>2890.4413774158538</v>
      </c>
      <c r="Q11" s="598">
        <f t="shared" ref="Q11:Q27" si="12">L11</f>
        <v>10673.397638865463</v>
      </c>
      <c r="R11" s="599">
        <f t="shared" ref="R11:R27" si="13">M11+N11</f>
        <v>780.54907176832921</v>
      </c>
      <c r="S11" s="597">
        <f t="shared" ref="S11:S27" si="14">O11</f>
        <v>258.06241311161995</v>
      </c>
      <c r="T11" s="598">
        <f t="shared" ref="T11:T27" si="15">P11</f>
        <v>2890.4413774158538</v>
      </c>
      <c r="U11" s="598">
        <f t="shared" ref="U11:U27" si="16">SUM(Q11:T11)</f>
        <v>14602.450501161267</v>
      </c>
      <c r="V11" s="3"/>
      <c r="W11" s="677">
        <f t="shared" ref="W11:W27" si="17">A11</f>
        <v>2001</v>
      </c>
      <c r="X11" s="1263">
        <f t="shared" ref="X11:X27" si="18">Q11</f>
        <v>10673.397638865463</v>
      </c>
      <c r="Y11" s="1264">
        <f t="shared" ref="Y11:Y27" si="19">R11</f>
        <v>780.54907176832921</v>
      </c>
      <c r="Z11" s="1264">
        <f t="shared" ref="Z11:Z27" si="20">S11</f>
        <v>258.06241311161995</v>
      </c>
      <c r="AA11" s="1264">
        <f t="shared" ref="AA11:AA27" si="21">T11</f>
        <v>2890.4413774158538</v>
      </c>
      <c r="AB11" s="1331">
        <f t="shared" ref="AB11:AB60" si="22">SUM(X11:AA11)</f>
        <v>14602.450501161267</v>
      </c>
      <c r="AC11" s="1264"/>
      <c r="AD11" s="1263">
        <f t="shared" ref="AD11:AD26" si="23">Q11</f>
        <v>10673.397638865463</v>
      </c>
      <c r="AE11" s="1264">
        <f t="shared" ref="AE11:AE27" si="24">R11</f>
        <v>780.54907176832921</v>
      </c>
      <c r="AF11" s="1264">
        <f t="shared" ref="AF11:AF27" si="25">S11</f>
        <v>258.06241311161995</v>
      </c>
      <c r="AG11" s="1264">
        <f t="shared" ref="AG11:AG27" si="26">T11</f>
        <v>2890.4413774158538</v>
      </c>
      <c r="AH11" s="1331">
        <f t="shared" ref="AH11:AH26" si="27">SUM(AD11:AG11)</f>
        <v>14602.450501161267</v>
      </c>
      <c r="AI11" s="118"/>
      <c r="AJ11" s="1263">
        <f t="shared" ref="AJ11:AJ27" si="28">X11</f>
        <v>10673.397638865463</v>
      </c>
      <c r="AK11" s="1264">
        <f t="shared" ref="AK11:AK27" si="29">Y11</f>
        <v>780.54907176832921</v>
      </c>
      <c r="AL11" s="1264">
        <f t="shared" ref="AL11:AL27" si="30">Z11</f>
        <v>258.06241311161995</v>
      </c>
      <c r="AM11" s="1264">
        <f t="shared" ref="AM11:AM27" si="31">AA11</f>
        <v>2890.4413774158538</v>
      </c>
      <c r="AN11" s="1331">
        <f t="shared" ref="AN11:AN27" si="32">AB11</f>
        <v>14602.450501161267</v>
      </c>
      <c r="AO11" s="118"/>
      <c r="AP11" s="1263">
        <f t="shared" ref="AP11:AP26" si="33">Q11</f>
        <v>10673.397638865463</v>
      </c>
      <c r="AQ11" s="1264">
        <f t="shared" ref="AQ11:AQ26" si="34">R11</f>
        <v>780.54907176832921</v>
      </c>
      <c r="AR11" s="1264">
        <f t="shared" ref="AR11:AR26" si="35">S11</f>
        <v>258.06241311161995</v>
      </c>
      <c r="AS11" s="1264">
        <f t="shared" ref="AS11:AS26" si="36">T11</f>
        <v>2890.4413774158538</v>
      </c>
      <c r="AT11" s="1331">
        <f t="shared" ref="AT11:AT60" si="37">SUM(AP11:AS11)</f>
        <v>14602.450501161267</v>
      </c>
      <c r="AU11" s="1330"/>
      <c r="AV11" s="1263">
        <f t="shared" ref="AV11:AV27" si="38">X11</f>
        <v>10673.397638865463</v>
      </c>
      <c r="AW11" s="1264">
        <f t="shared" ref="AW11:AW27" si="39">Y11</f>
        <v>780.54907176832921</v>
      </c>
      <c r="AX11" s="1264">
        <f t="shared" ref="AX11:AX27" si="40">Z11</f>
        <v>258.06241311161995</v>
      </c>
      <c r="AY11" s="1264">
        <f t="shared" ref="AY11:AY27" si="41">AA11</f>
        <v>2890.4413774158538</v>
      </c>
      <c r="AZ11" s="1331">
        <f t="shared" ref="AZ11:AZ27" si="42">AB11</f>
        <v>14602.450501161267</v>
      </c>
      <c r="BA11" s="1330"/>
      <c r="BB11" s="1263">
        <f t="shared" ref="BB11:BB27" si="43">Q11</f>
        <v>10673.397638865463</v>
      </c>
      <c r="BC11" s="1264">
        <f t="shared" ref="BC11:BC27" si="44">R11</f>
        <v>780.54907176832921</v>
      </c>
      <c r="BD11" s="1264">
        <f t="shared" ref="BD11:BD27" si="45">S11</f>
        <v>258.06241311161995</v>
      </c>
      <c r="BE11" s="1264">
        <f t="shared" ref="BE11:BE27" si="46">T11</f>
        <v>2890.4413774158538</v>
      </c>
      <c r="BF11" s="1331">
        <f t="shared" ref="BF11:BF60" si="47">SUM(BB11:BE11)</f>
        <v>14602.450501161267</v>
      </c>
      <c r="BG11" s="3"/>
      <c r="BH11" s="677">
        <f t="shared" ref="BH11:BH60" si="48">W11</f>
        <v>2001</v>
      </c>
      <c r="BI11" s="1264">
        <f>'Baseline data (from input)'!AZ58</f>
        <v>83.507652371610845</v>
      </c>
      <c r="BJ11" s="483">
        <f>'Baseline data (from input)'!BA58</f>
        <v>0.19244111347697429</v>
      </c>
      <c r="BK11" s="1265">
        <f>'Baseline data (from input)'!BB58</f>
        <v>33.26731157054634</v>
      </c>
      <c r="BL11" s="1263">
        <f>'Baseline data (from input)'!AZ57</f>
        <v>81.107570993730093</v>
      </c>
      <c r="BM11" s="483">
        <f>'Baseline data (from input)'!BA57</f>
        <v>0.19283372758765369</v>
      </c>
      <c r="BN11" s="1265">
        <f>'Baseline data (from input)'!BB57</f>
        <v>32.080220743665109</v>
      </c>
      <c r="BO11" s="1264">
        <f t="shared" si="6"/>
        <v>83.507652371610845</v>
      </c>
      <c r="BP11" s="483">
        <f t="shared" si="6"/>
        <v>0.19244111347697429</v>
      </c>
      <c r="BQ11" s="1265">
        <f t="shared" si="6"/>
        <v>33.26731157054634</v>
      </c>
      <c r="BR11" s="1263">
        <f>'Baseline data (from input)'!AZ58</f>
        <v>83.507652371610845</v>
      </c>
      <c r="BS11" s="483">
        <f>'Baseline data (from input)'!BA58</f>
        <v>0.19244111347697429</v>
      </c>
      <c r="BT11" s="1265">
        <f>'Baseline data (from input)'!BB58</f>
        <v>33.26731157054634</v>
      </c>
      <c r="BU11" s="1264">
        <f t="shared" si="7"/>
        <v>83.507652371610845</v>
      </c>
      <c r="BV11" s="483">
        <f t="shared" si="7"/>
        <v>0.19244111347697429</v>
      </c>
      <c r="BW11" s="1265">
        <f t="shared" si="7"/>
        <v>33.26731157054634</v>
      </c>
      <c r="BX11" s="1263">
        <f>'Baseline data (from input)'!AZ58</f>
        <v>83.507652371610845</v>
      </c>
      <c r="BY11" s="483">
        <f>'Baseline data (from input)'!BA58</f>
        <v>0.19244111347697429</v>
      </c>
      <c r="BZ11" s="1265">
        <f>'Baseline data (from input)'!BB58</f>
        <v>33.26731157054634</v>
      </c>
      <c r="CA11" s="677">
        <v>2001</v>
      </c>
      <c r="CB11" s="730">
        <v>0</v>
      </c>
      <c r="CC11" s="483">
        <v>0</v>
      </c>
      <c r="CD11" s="483">
        <v>0</v>
      </c>
      <c r="CE11" s="604">
        <v>0</v>
      </c>
      <c r="CF11" s="730">
        <v>0</v>
      </c>
      <c r="CG11" s="483">
        <v>0</v>
      </c>
      <c r="CH11" s="483">
        <v>0</v>
      </c>
      <c r="CI11" s="604">
        <v>0</v>
      </c>
      <c r="CJ11" s="730">
        <v>0</v>
      </c>
      <c r="CK11" s="483">
        <v>0</v>
      </c>
      <c r="CL11" s="483">
        <v>0</v>
      </c>
      <c r="CM11" s="604">
        <v>0</v>
      </c>
    </row>
    <row r="12" spans="1:16381">
      <c r="A12">
        <f>'Input data'!A102</f>
        <v>2002</v>
      </c>
      <c r="C12" s="485">
        <f>'4A SWD Case 1'!BG71</f>
        <v>525.24045569785801</v>
      </c>
      <c r="D12" s="3">
        <f>'4B Biological treatment '!T65</f>
        <v>0</v>
      </c>
      <c r="E12" s="178">
        <f>'4B Biological treatment '!U65</f>
        <v>20.350908415005701</v>
      </c>
      <c r="F12" s="178">
        <f>'4B Biological treatment '!W65</f>
        <v>1.2210545049003421</v>
      </c>
      <c r="G12" s="3">
        <f>'4C2 Open-burning '!R72</f>
        <v>27.489309034258905</v>
      </c>
      <c r="H12" s="3">
        <f>'4C2 Open-burning '!Z72</f>
        <v>9.2493108945899998</v>
      </c>
      <c r="I12" s="3">
        <f>'4C2 Open-burning '!AH72</f>
        <v>0.12876601875335264</v>
      </c>
      <c r="J12" s="335">
        <f>'4D Wastewater treatment and dis'!AV109</f>
        <v>105.6585087091068</v>
      </c>
      <c r="K12" s="3">
        <f>'4D Wastewater treatment and dis'!AW109</f>
        <v>2.2958369131977472</v>
      </c>
      <c r="L12" s="485">
        <f t="shared" si="8"/>
        <v>11030.049569655019</v>
      </c>
      <c r="M12" s="3">
        <f t="shared" si="0"/>
        <v>0</v>
      </c>
      <c r="N12" s="485">
        <f t="shared" si="9"/>
        <v>805.89597323422572</v>
      </c>
      <c r="O12" s="597">
        <f t="shared" si="10"/>
        <v>261.64230363418824</v>
      </c>
      <c r="P12" s="485">
        <f t="shared" si="11"/>
        <v>2930.5381259825444</v>
      </c>
      <c r="Q12" s="598">
        <f t="shared" si="12"/>
        <v>11030.049569655019</v>
      </c>
      <c r="R12" s="599">
        <f t="shared" si="13"/>
        <v>805.89597323422572</v>
      </c>
      <c r="S12" s="597">
        <f t="shared" si="14"/>
        <v>261.64230363418824</v>
      </c>
      <c r="T12" s="598">
        <f t="shared" si="15"/>
        <v>2930.5381259825444</v>
      </c>
      <c r="U12" s="598">
        <f t="shared" si="16"/>
        <v>15028.125972505977</v>
      </c>
      <c r="V12" s="3"/>
      <c r="W12" s="677">
        <f t="shared" si="17"/>
        <v>2002</v>
      </c>
      <c r="X12" s="1263">
        <f t="shared" si="18"/>
        <v>11030.049569655019</v>
      </c>
      <c r="Y12" s="1264">
        <f t="shared" si="19"/>
        <v>805.89597323422572</v>
      </c>
      <c r="Z12" s="1264">
        <f t="shared" si="20"/>
        <v>261.64230363418824</v>
      </c>
      <c r="AA12" s="1264">
        <f t="shared" si="21"/>
        <v>2930.5381259825444</v>
      </c>
      <c r="AB12" s="1331">
        <f t="shared" si="22"/>
        <v>15028.125972505977</v>
      </c>
      <c r="AC12" s="1264"/>
      <c r="AD12" s="1263">
        <f t="shared" si="23"/>
        <v>11030.049569655019</v>
      </c>
      <c r="AE12" s="1264">
        <f t="shared" si="24"/>
        <v>805.89597323422572</v>
      </c>
      <c r="AF12" s="1264">
        <f t="shared" si="25"/>
        <v>261.64230363418824</v>
      </c>
      <c r="AG12" s="1264">
        <f t="shared" si="26"/>
        <v>2930.5381259825444</v>
      </c>
      <c r="AH12" s="1331">
        <f t="shared" si="27"/>
        <v>15028.125972505977</v>
      </c>
      <c r="AI12" s="118"/>
      <c r="AJ12" s="1263">
        <f t="shared" si="28"/>
        <v>11030.049569655019</v>
      </c>
      <c r="AK12" s="1264">
        <f t="shared" si="29"/>
        <v>805.89597323422572</v>
      </c>
      <c r="AL12" s="1264">
        <f t="shared" si="30"/>
        <v>261.64230363418824</v>
      </c>
      <c r="AM12" s="1264">
        <f t="shared" si="31"/>
        <v>2930.5381259825444</v>
      </c>
      <c r="AN12" s="1331">
        <f t="shared" si="32"/>
        <v>15028.125972505977</v>
      </c>
      <c r="AO12" s="118"/>
      <c r="AP12" s="1263">
        <f t="shared" si="33"/>
        <v>11030.049569655019</v>
      </c>
      <c r="AQ12" s="1264">
        <f t="shared" si="34"/>
        <v>805.89597323422572</v>
      </c>
      <c r="AR12" s="1264">
        <f t="shared" si="35"/>
        <v>261.64230363418824</v>
      </c>
      <c r="AS12" s="1264">
        <f t="shared" si="36"/>
        <v>2930.5381259825444</v>
      </c>
      <c r="AT12" s="1331">
        <f t="shared" si="37"/>
        <v>15028.125972505977</v>
      </c>
      <c r="AU12" s="1330"/>
      <c r="AV12" s="1263">
        <f t="shared" si="38"/>
        <v>11030.049569655019</v>
      </c>
      <c r="AW12" s="1264">
        <f t="shared" si="39"/>
        <v>805.89597323422572</v>
      </c>
      <c r="AX12" s="1264">
        <f t="shared" si="40"/>
        <v>261.64230363418824</v>
      </c>
      <c r="AY12" s="1264">
        <f t="shared" si="41"/>
        <v>2930.5381259825444</v>
      </c>
      <c r="AZ12" s="1331">
        <f t="shared" si="42"/>
        <v>15028.125972505977</v>
      </c>
      <c r="BA12" s="1330"/>
      <c r="BB12" s="1263">
        <f t="shared" si="43"/>
        <v>11030.049569655019</v>
      </c>
      <c r="BC12" s="1264">
        <f t="shared" si="44"/>
        <v>805.89597323422572</v>
      </c>
      <c r="BD12" s="1264">
        <f t="shared" si="45"/>
        <v>261.64230363418824</v>
      </c>
      <c r="BE12" s="1264">
        <f t="shared" si="46"/>
        <v>2930.5381259825444</v>
      </c>
      <c r="BF12" s="1331">
        <f t="shared" si="47"/>
        <v>15028.125972505977</v>
      </c>
      <c r="BG12" s="3"/>
      <c r="BH12" s="677">
        <f t="shared" si="48"/>
        <v>2002</v>
      </c>
      <c r="BI12" s="1264">
        <f>'Baseline data (from input)'!AZ59</f>
        <v>85.530637638837788</v>
      </c>
      <c r="BJ12" s="483">
        <f>'Baseline data (from input)'!BA59</f>
        <v>0.1921588904207206</v>
      </c>
      <c r="BK12" s="1265">
        <f>'Baseline data (from input)'!BB59</f>
        <v>34.248390915514115</v>
      </c>
      <c r="BL12" s="1263">
        <f>'Baseline data (from input)'!AZ58</f>
        <v>83.507652371610845</v>
      </c>
      <c r="BM12" s="483">
        <f>'Baseline data (from input)'!BA58</f>
        <v>0.19244111347697429</v>
      </c>
      <c r="BN12" s="1265">
        <f>'Baseline data (from input)'!BB58</f>
        <v>33.26731157054634</v>
      </c>
      <c r="BO12" s="1264">
        <f t="shared" si="6"/>
        <v>85.530637638837788</v>
      </c>
      <c r="BP12" s="483">
        <f t="shared" si="6"/>
        <v>0.1921588904207206</v>
      </c>
      <c r="BQ12" s="1265">
        <f t="shared" si="6"/>
        <v>34.248390915514115</v>
      </c>
      <c r="BR12" s="1263">
        <f>'Baseline data (from input)'!AZ59</f>
        <v>85.530637638837788</v>
      </c>
      <c r="BS12" s="483">
        <f>'Baseline data (from input)'!BA59</f>
        <v>0.1921588904207206</v>
      </c>
      <c r="BT12" s="1265">
        <f>'Baseline data (from input)'!BB59</f>
        <v>34.248390915514115</v>
      </c>
      <c r="BU12" s="1264">
        <f t="shared" si="7"/>
        <v>85.530637638837788</v>
      </c>
      <c r="BV12" s="483">
        <f t="shared" si="7"/>
        <v>0.1921588904207206</v>
      </c>
      <c r="BW12" s="1265">
        <f t="shared" si="7"/>
        <v>34.248390915514115</v>
      </c>
      <c r="BX12" s="1263">
        <f>'Baseline data (from input)'!AZ59</f>
        <v>85.530637638837788</v>
      </c>
      <c r="BY12" s="483">
        <f>'Baseline data (from input)'!BA59</f>
        <v>0.1921588904207206</v>
      </c>
      <c r="BZ12" s="1265">
        <f>'Baseline data (from input)'!BB59</f>
        <v>34.248390915514115</v>
      </c>
      <c r="CA12" s="677">
        <v>2002</v>
      </c>
      <c r="CB12" s="730">
        <v>0</v>
      </c>
      <c r="CC12" s="483">
        <v>0</v>
      </c>
      <c r="CD12" s="483">
        <v>0</v>
      </c>
      <c r="CE12" s="604">
        <v>0</v>
      </c>
      <c r="CF12" s="730">
        <v>0</v>
      </c>
      <c r="CG12" s="483">
        <v>0</v>
      </c>
      <c r="CH12" s="483">
        <v>0</v>
      </c>
      <c r="CI12" s="604">
        <v>0</v>
      </c>
      <c r="CJ12" s="730">
        <v>0</v>
      </c>
      <c r="CK12" s="483">
        <v>0</v>
      </c>
      <c r="CL12" s="483">
        <v>0</v>
      </c>
      <c r="CM12" s="604">
        <v>0</v>
      </c>
    </row>
    <row r="13" spans="1:16381">
      <c r="A13">
        <f>'Input data'!A103</f>
        <v>2003</v>
      </c>
      <c r="C13" s="485">
        <f>'4A SWD Case 1'!BG72</f>
        <v>542.24159816813597</v>
      </c>
      <c r="D13" s="3">
        <f>'4B Biological treatment '!T66</f>
        <v>0</v>
      </c>
      <c r="E13" s="178">
        <f>'4B Biological treatment '!U66</f>
        <v>20.885756995820866</v>
      </c>
      <c r="F13" s="178">
        <f>'4B Biological treatment '!W66</f>
        <v>1.253145419749252</v>
      </c>
      <c r="G13" s="3">
        <f>'4C2 Open-burning '!R73</f>
        <v>27.841279411061944</v>
      </c>
      <c r="H13" s="3">
        <f>'4C2 Open-burning '!Z73</f>
        <v>9.3677381506799993</v>
      </c>
      <c r="I13" s="3">
        <f>'4C2 Open-burning '!AH73</f>
        <v>0.13041472604110449</v>
      </c>
      <c r="J13" s="335">
        <f>'4D Wastewater treatment and dis'!AV110</f>
        <v>107.01134973819363</v>
      </c>
      <c r="K13" s="3">
        <f>'4D Wastewater treatment and dis'!AW110</f>
        <v>2.3252325805246157</v>
      </c>
      <c r="L13" s="485">
        <f t="shared" si="8"/>
        <v>11387.073561530855</v>
      </c>
      <c r="M13" s="3">
        <f t="shared" si="0"/>
        <v>0</v>
      </c>
      <c r="N13" s="485">
        <f t="shared" si="9"/>
        <v>827.07597703450631</v>
      </c>
      <c r="O13" s="597">
        <f t="shared" si="10"/>
        <v>264.99234564808432</v>
      </c>
      <c r="P13" s="485">
        <f t="shared" si="11"/>
        <v>2968.0604444646974</v>
      </c>
      <c r="Q13" s="598">
        <f t="shared" si="12"/>
        <v>11387.073561530855</v>
      </c>
      <c r="R13" s="599">
        <f t="shared" si="13"/>
        <v>827.07597703450631</v>
      </c>
      <c r="S13" s="597">
        <f t="shared" si="14"/>
        <v>264.99234564808432</v>
      </c>
      <c r="T13" s="598">
        <f t="shared" si="15"/>
        <v>2968.0604444646974</v>
      </c>
      <c r="U13" s="598">
        <f t="shared" si="16"/>
        <v>15447.202328678144</v>
      </c>
      <c r="V13" s="3"/>
      <c r="W13" s="677">
        <f t="shared" si="17"/>
        <v>2003</v>
      </c>
      <c r="X13" s="1263">
        <f t="shared" si="18"/>
        <v>11387.073561530855</v>
      </c>
      <c r="Y13" s="1264">
        <f t="shared" si="19"/>
        <v>827.07597703450631</v>
      </c>
      <c r="Z13" s="1264">
        <f t="shared" si="20"/>
        <v>264.99234564808432</v>
      </c>
      <c r="AA13" s="1264">
        <f t="shared" si="21"/>
        <v>2968.0604444646974</v>
      </c>
      <c r="AB13" s="1331">
        <f t="shared" si="22"/>
        <v>15447.202328678144</v>
      </c>
      <c r="AC13" s="1264"/>
      <c r="AD13" s="1263">
        <f t="shared" si="23"/>
        <v>11387.073561530855</v>
      </c>
      <c r="AE13" s="1264">
        <f t="shared" si="24"/>
        <v>827.07597703450631</v>
      </c>
      <c r="AF13" s="1264">
        <f t="shared" si="25"/>
        <v>264.99234564808432</v>
      </c>
      <c r="AG13" s="1264">
        <f t="shared" si="26"/>
        <v>2968.0604444646974</v>
      </c>
      <c r="AH13" s="1331">
        <f t="shared" si="27"/>
        <v>15447.202328678144</v>
      </c>
      <c r="AI13" s="118"/>
      <c r="AJ13" s="1263">
        <f t="shared" si="28"/>
        <v>11387.073561530855</v>
      </c>
      <c r="AK13" s="1264">
        <f t="shared" si="29"/>
        <v>827.07597703450631</v>
      </c>
      <c r="AL13" s="1264">
        <f t="shared" si="30"/>
        <v>264.99234564808432</v>
      </c>
      <c r="AM13" s="1264">
        <f t="shared" si="31"/>
        <v>2968.0604444646974</v>
      </c>
      <c r="AN13" s="1331">
        <f t="shared" si="32"/>
        <v>15447.202328678144</v>
      </c>
      <c r="AO13" s="118"/>
      <c r="AP13" s="1263">
        <f t="shared" si="33"/>
        <v>11387.073561530855</v>
      </c>
      <c r="AQ13" s="1264">
        <f t="shared" si="34"/>
        <v>827.07597703450631</v>
      </c>
      <c r="AR13" s="1264">
        <f t="shared" si="35"/>
        <v>264.99234564808432</v>
      </c>
      <c r="AS13" s="1264">
        <f t="shared" si="36"/>
        <v>2968.0604444646974</v>
      </c>
      <c r="AT13" s="1331">
        <f t="shared" si="37"/>
        <v>15447.202328678144</v>
      </c>
      <c r="AU13" s="1330"/>
      <c r="AV13" s="1263">
        <f t="shared" si="38"/>
        <v>11387.073561530855</v>
      </c>
      <c r="AW13" s="1264">
        <f t="shared" si="39"/>
        <v>827.07597703450631</v>
      </c>
      <c r="AX13" s="1264">
        <f t="shared" si="40"/>
        <v>264.99234564808432</v>
      </c>
      <c r="AY13" s="1264">
        <f t="shared" si="41"/>
        <v>2968.0604444646974</v>
      </c>
      <c r="AZ13" s="1331">
        <f t="shared" si="42"/>
        <v>15447.202328678144</v>
      </c>
      <c r="BA13" s="1330"/>
      <c r="BB13" s="1263">
        <f t="shared" si="43"/>
        <v>11387.073561530855</v>
      </c>
      <c r="BC13" s="1264">
        <f t="shared" si="44"/>
        <v>827.07597703450631</v>
      </c>
      <c r="BD13" s="1264">
        <f t="shared" si="45"/>
        <v>264.99234564808432</v>
      </c>
      <c r="BE13" s="1264">
        <f t="shared" si="46"/>
        <v>2968.0604444646974</v>
      </c>
      <c r="BF13" s="1331">
        <f t="shared" si="47"/>
        <v>15447.202328678144</v>
      </c>
      <c r="BG13" s="3"/>
      <c r="BH13" s="677">
        <f t="shared" si="48"/>
        <v>2003</v>
      </c>
      <c r="BI13" s="1264">
        <f>'Baseline data (from input)'!AZ60</f>
        <v>88.528346917261359</v>
      </c>
      <c r="BJ13" s="483">
        <f>'Baseline data (from input)'!BA60</f>
        <v>0.19159968918099338</v>
      </c>
      <c r="BK13" s="1265">
        <f>'Baseline data (from input)'!BB60</f>
        <v>35.808251944074989</v>
      </c>
      <c r="BL13" s="1263">
        <f>'Baseline data (from input)'!AZ59</f>
        <v>85.530637638837788</v>
      </c>
      <c r="BM13" s="483">
        <f>'Baseline data (from input)'!BA59</f>
        <v>0.1921588904207206</v>
      </c>
      <c r="BN13" s="1265">
        <f>'Baseline data (from input)'!BB59</f>
        <v>34.248390915514115</v>
      </c>
      <c r="BO13" s="1264">
        <f t="shared" si="6"/>
        <v>88.528346917261359</v>
      </c>
      <c r="BP13" s="483">
        <f t="shared" si="6"/>
        <v>0.19159968918099338</v>
      </c>
      <c r="BQ13" s="1265">
        <f t="shared" si="6"/>
        <v>35.808251944074989</v>
      </c>
      <c r="BR13" s="1263">
        <f>'Baseline data (from input)'!AZ60</f>
        <v>88.528346917261359</v>
      </c>
      <c r="BS13" s="483">
        <f>'Baseline data (from input)'!BA60</f>
        <v>0.19159968918099338</v>
      </c>
      <c r="BT13" s="1265">
        <f>'Baseline data (from input)'!BB60</f>
        <v>35.808251944074989</v>
      </c>
      <c r="BU13" s="1264">
        <f t="shared" si="7"/>
        <v>88.528346917261359</v>
      </c>
      <c r="BV13" s="483">
        <f t="shared" si="7"/>
        <v>0.19159968918099338</v>
      </c>
      <c r="BW13" s="1265">
        <f t="shared" si="7"/>
        <v>35.808251944074989</v>
      </c>
      <c r="BX13" s="1263">
        <f>'Baseline data (from input)'!AZ60</f>
        <v>88.528346917261359</v>
      </c>
      <c r="BY13" s="483">
        <f>'Baseline data (from input)'!BA60</f>
        <v>0.19159968918099338</v>
      </c>
      <c r="BZ13" s="1265">
        <f>'Baseline data (from input)'!BB60</f>
        <v>35.808251944074989</v>
      </c>
      <c r="CA13" s="677">
        <v>2003</v>
      </c>
      <c r="CB13" s="730">
        <v>0</v>
      </c>
      <c r="CC13" s="483">
        <v>0</v>
      </c>
      <c r="CD13" s="483">
        <v>0</v>
      </c>
      <c r="CE13" s="604">
        <v>0</v>
      </c>
      <c r="CF13" s="730">
        <v>0</v>
      </c>
      <c r="CG13" s="483">
        <v>0</v>
      </c>
      <c r="CH13" s="483">
        <v>0</v>
      </c>
      <c r="CI13" s="604">
        <v>0</v>
      </c>
      <c r="CJ13" s="730">
        <v>0</v>
      </c>
      <c r="CK13" s="483">
        <v>0</v>
      </c>
      <c r="CL13" s="483">
        <v>0</v>
      </c>
      <c r="CM13" s="604">
        <v>0</v>
      </c>
    </row>
    <row r="14" spans="1:16381">
      <c r="A14">
        <f>'Input data'!A104</f>
        <v>2004</v>
      </c>
      <c r="C14" s="485">
        <f>'4A SWD Case 1'!BG73</f>
        <v>559.15670131397394</v>
      </c>
      <c r="D14" s="3">
        <f>'4B Biological treatment '!T67</f>
        <v>0</v>
      </c>
      <c r="E14" s="178">
        <f>'4B Biological treatment '!U67</f>
        <v>21.703647185208162</v>
      </c>
      <c r="F14" s="178">
        <f>'4B Biological treatment '!W67</f>
        <v>1.3022188311124896</v>
      </c>
      <c r="G14" s="3">
        <f>'4C2 Open-burning '!R74</f>
        <v>28.172723213574585</v>
      </c>
      <c r="H14" s="3">
        <f>'4C2 Open-burning '!Z74</f>
        <v>9.4792588429499975</v>
      </c>
      <c r="I14" s="3">
        <f>'4C2 Open-burning '!AH74</f>
        <v>0.13196728230349858</v>
      </c>
      <c r="J14" s="335">
        <f>'4D Wastewater treatment and dis'!AV111</f>
        <v>108.28529437793402</v>
      </c>
      <c r="K14" s="3">
        <f>'4D Wastewater treatment and dis'!AW111</f>
        <v>2.3529139207689562</v>
      </c>
      <c r="L14" s="485">
        <f t="shared" si="8"/>
        <v>11742.290727593452</v>
      </c>
      <c r="M14" s="3">
        <f t="shared" si="0"/>
        <v>0</v>
      </c>
      <c r="N14" s="485">
        <f t="shared" si="9"/>
        <v>859.4644285342431</v>
      </c>
      <c r="O14" s="597">
        <f t="shared" si="10"/>
        <v>268.1470164296091</v>
      </c>
      <c r="P14" s="485">
        <f t="shared" si="11"/>
        <v>3003.3944973749908</v>
      </c>
      <c r="Q14" s="598">
        <f t="shared" si="12"/>
        <v>11742.290727593452</v>
      </c>
      <c r="R14" s="599">
        <f t="shared" si="13"/>
        <v>859.4644285342431</v>
      </c>
      <c r="S14" s="597">
        <f t="shared" si="14"/>
        <v>268.1470164296091</v>
      </c>
      <c r="T14" s="598">
        <f t="shared" si="15"/>
        <v>3003.3944973749908</v>
      </c>
      <c r="U14" s="598">
        <f t="shared" si="16"/>
        <v>15873.296669932297</v>
      </c>
      <c r="V14" s="3"/>
      <c r="W14" s="677">
        <f t="shared" si="17"/>
        <v>2004</v>
      </c>
      <c r="X14" s="1263">
        <f t="shared" si="18"/>
        <v>11742.290727593452</v>
      </c>
      <c r="Y14" s="1264">
        <f t="shared" si="19"/>
        <v>859.4644285342431</v>
      </c>
      <c r="Z14" s="1264">
        <f t="shared" si="20"/>
        <v>268.1470164296091</v>
      </c>
      <c r="AA14" s="1264">
        <f t="shared" si="21"/>
        <v>3003.3944973749908</v>
      </c>
      <c r="AB14" s="1331">
        <f t="shared" si="22"/>
        <v>15873.296669932297</v>
      </c>
      <c r="AC14" s="1264"/>
      <c r="AD14" s="1263">
        <f t="shared" si="23"/>
        <v>11742.290727593452</v>
      </c>
      <c r="AE14" s="1264">
        <f t="shared" si="24"/>
        <v>859.4644285342431</v>
      </c>
      <c r="AF14" s="1264">
        <f t="shared" si="25"/>
        <v>268.1470164296091</v>
      </c>
      <c r="AG14" s="1264">
        <f t="shared" si="26"/>
        <v>3003.3944973749908</v>
      </c>
      <c r="AH14" s="1331">
        <f t="shared" si="27"/>
        <v>15873.296669932297</v>
      </c>
      <c r="AI14" s="118"/>
      <c r="AJ14" s="1263">
        <f t="shared" si="28"/>
        <v>11742.290727593452</v>
      </c>
      <c r="AK14" s="1264">
        <f t="shared" si="29"/>
        <v>859.4644285342431</v>
      </c>
      <c r="AL14" s="1264">
        <f t="shared" si="30"/>
        <v>268.1470164296091</v>
      </c>
      <c r="AM14" s="1264">
        <f t="shared" si="31"/>
        <v>3003.3944973749908</v>
      </c>
      <c r="AN14" s="1331">
        <f t="shared" si="32"/>
        <v>15873.296669932297</v>
      </c>
      <c r="AO14" s="118"/>
      <c r="AP14" s="1263">
        <f t="shared" si="33"/>
        <v>11742.290727593452</v>
      </c>
      <c r="AQ14" s="1264">
        <f t="shared" si="34"/>
        <v>859.4644285342431</v>
      </c>
      <c r="AR14" s="1264">
        <f t="shared" si="35"/>
        <v>268.1470164296091</v>
      </c>
      <c r="AS14" s="1264">
        <f t="shared" si="36"/>
        <v>3003.3944973749908</v>
      </c>
      <c r="AT14" s="1331">
        <f t="shared" si="37"/>
        <v>15873.296669932297</v>
      </c>
      <c r="AU14" s="1330"/>
      <c r="AV14" s="1263">
        <f t="shared" si="38"/>
        <v>11742.290727593452</v>
      </c>
      <c r="AW14" s="1264">
        <f t="shared" si="39"/>
        <v>859.4644285342431</v>
      </c>
      <c r="AX14" s="1264">
        <f t="shared" si="40"/>
        <v>268.1470164296091</v>
      </c>
      <c r="AY14" s="1264">
        <f t="shared" si="41"/>
        <v>3003.3944973749908</v>
      </c>
      <c r="AZ14" s="1331">
        <f t="shared" si="42"/>
        <v>15873.296669932297</v>
      </c>
      <c r="BA14" s="1330"/>
      <c r="BB14" s="1263">
        <f t="shared" si="43"/>
        <v>11742.290727593452</v>
      </c>
      <c r="BC14" s="1264">
        <f t="shared" si="44"/>
        <v>859.4644285342431</v>
      </c>
      <c r="BD14" s="1264">
        <f t="shared" si="45"/>
        <v>268.1470164296091</v>
      </c>
      <c r="BE14" s="1264">
        <f t="shared" si="46"/>
        <v>3003.3944973749908</v>
      </c>
      <c r="BF14" s="1331">
        <f t="shared" si="47"/>
        <v>15873.296669932297</v>
      </c>
      <c r="BG14" s="3"/>
      <c r="BH14" s="677">
        <f t="shared" si="48"/>
        <v>2004</v>
      </c>
      <c r="BI14" s="1264">
        <f>'Baseline data (from input)'!AZ61</f>
        <v>92.083355919607541</v>
      </c>
      <c r="BJ14" s="483">
        <f>'Baseline data (from input)'!BA61</f>
        <v>0.19092494708587937</v>
      </c>
      <c r="BK14" s="1265">
        <f>'Baseline data (from input)'!BB61</f>
        <v>37.697873563506654</v>
      </c>
      <c r="BL14" s="1263">
        <f>'Baseline data (from input)'!AZ60</f>
        <v>88.528346917261359</v>
      </c>
      <c r="BM14" s="483">
        <f>'Baseline data (from input)'!BA60</f>
        <v>0.19159968918099338</v>
      </c>
      <c r="BN14" s="1265">
        <f>'Baseline data (from input)'!BB60</f>
        <v>35.808251944074989</v>
      </c>
      <c r="BO14" s="1264">
        <f t="shared" si="6"/>
        <v>92.083355919607541</v>
      </c>
      <c r="BP14" s="483">
        <f t="shared" si="6"/>
        <v>0.19092494708587937</v>
      </c>
      <c r="BQ14" s="1265">
        <f t="shared" si="6"/>
        <v>37.697873563506654</v>
      </c>
      <c r="BR14" s="1263">
        <f>'Baseline data (from input)'!AZ61</f>
        <v>92.083355919607541</v>
      </c>
      <c r="BS14" s="483">
        <f>'Baseline data (from input)'!BA61</f>
        <v>0.19092494708587937</v>
      </c>
      <c r="BT14" s="1265">
        <f>'Baseline data (from input)'!BB61</f>
        <v>37.697873563506654</v>
      </c>
      <c r="BU14" s="1264">
        <f t="shared" si="7"/>
        <v>92.083355919607541</v>
      </c>
      <c r="BV14" s="483">
        <f t="shared" si="7"/>
        <v>0.19092494708587937</v>
      </c>
      <c r="BW14" s="1265">
        <f t="shared" si="7"/>
        <v>37.697873563506654</v>
      </c>
      <c r="BX14" s="1263">
        <f>'Baseline data (from input)'!AZ61</f>
        <v>92.083355919607541</v>
      </c>
      <c r="BY14" s="483">
        <f>'Baseline data (from input)'!BA61</f>
        <v>0.19092494708587937</v>
      </c>
      <c r="BZ14" s="1265">
        <f>'Baseline data (from input)'!BB61</f>
        <v>37.697873563506654</v>
      </c>
      <c r="CA14" s="677">
        <v>2004</v>
      </c>
      <c r="CB14" s="730">
        <v>0</v>
      </c>
      <c r="CC14" s="483">
        <v>0</v>
      </c>
      <c r="CD14" s="483">
        <v>0</v>
      </c>
      <c r="CE14" s="604">
        <v>0</v>
      </c>
      <c r="CF14" s="730">
        <v>0</v>
      </c>
      <c r="CG14" s="483">
        <v>0</v>
      </c>
      <c r="CH14" s="483">
        <v>0</v>
      </c>
      <c r="CI14" s="604">
        <v>0</v>
      </c>
      <c r="CJ14" s="730">
        <v>0</v>
      </c>
      <c r="CK14" s="483">
        <v>0</v>
      </c>
      <c r="CL14" s="483">
        <v>0</v>
      </c>
      <c r="CM14" s="604">
        <v>0</v>
      </c>
    </row>
    <row r="15" spans="1:16381">
      <c r="A15">
        <f>'Input data'!A105</f>
        <v>2005</v>
      </c>
      <c r="C15" s="485">
        <f>'4A SWD Case 1'!BG74</f>
        <v>576.18451223119371</v>
      </c>
      <c r="D15" s="3">
        <f>'4B Biological treatment '!T68</f>
        <v>0</v>
      </c>
      <c r="E15" s="178">
        <f>'4B Biological treatment '!U68</f>
        <v>22.683090023667262</v>
      </c>
      <c r="F15" s="178">
        <f>'4B Biological treatment '!W68</f>
        <v>1.3609854014200355</v>
      </c>
      <c r="G15" s="3">
        <f>'4C2 Open-burning '!R75</f>
        <v>28.494507451715279</v>
      </c>
      <c r="H15" s="3">
        <f>'4C2 Open-burning '!Z75</f>
        <v>9.5875293875400001</v>
      </c>
      <c r="I15" s="3">
        <f>'4C2 Open-burning '!AH75</f>
        <v>0.13347459102454787</v>
      </c>
      <c r="J15" s="335">
        <f>'4D Wastewater treatment and dis'!AV112</f>
        <v>109.52211130504081</v>
      </c>
      <c r="K15" s="3">
        <f>'4D Wastewater treatment and dis'!AW112</f>
        <v>2.3797885188568135</v>
      </c>
      <c r="L15" s="485">
        <f t="shared" si="8"/>
        <v>12099.874756855068</v>
      </c>
      <c r="M15" s="3">
        <f t="shared" si="0"/>
        <v>0</v>
      </c>
      <c r="N15" s="485">
        <f t="shared" si="9"/>
        <v>898.25036493722359</v>
      </c>
      <c r="O15" s="597">
        <f t="shared" si="10"/>
        <v>271.20974780766511</v>
      </c>
      <c r="P15" s="485">
        <f t="shared" si="11"/>
        <v>3037.6987782514689</v>
      </c>
      <c r="Q15" s="598">
        <f t="shared" si="12"/>
        <v>12099.874756855068</v>
      </c>
      <c r="R15" s="599">
        <f t="shared" si="13"/>
        <v>898.25036493722359</v>
      </c>
      <c r="S15" s="597">
        <f t="shared" si="14"/>
        <v>271.20974780766511</v>
      </c>
      <c r="T15" s="598">
        <f t="shared" si="15"/>
        <v>3037.6987782514689</v>
      </c>
      <c r="U15" s="598">
        <f t="shared" si="16"/>
        <v>16307.033647851425</v>
      </c>
      <c r="V15" s="3"/>
      <c r="W15" s="677">
        <f t="shared" si="17"/>
        <v>2005</v>
      </c>
      <c r="X15" s="1263">
        <f t="shared" si="18"/>
        <v>12099.874756855068</v>
      </c>
      <c r="Y15" s="1264">
        <f t="shared" si="19"/>
        <v>898.25036493722359</v>
      </c>
      <c r="Z15" s="1264">
        <f t="shared" si="20"/>
        <v>271.20974780766511</v>
      </c>
      <c r="AA15" s="1264">
        <f t="shared" si="21"/>
        <v>3037.6987782514689</v>
      </c>
      <c r="AB15" s="1331">
        <f t="shared" si="22"/>
        <v>16307.033647851425</v>
      </c>
      <c r="AC15" s="1264"/>
      <c r="AD15" s="1263">
        <f t="shared" si="23"/>
        <v>12099.874756855068</v>
      </c>
      <c r="AE15" s="1264">
        <f t="shared" si="24"/>
        <v>898.25036493722359</v>
      </c>
      <c r="AF15" s="1264">
        <f t="shared" si="25"/>
        <v>271.20974780766511</v>
      </c>
      <c r="AG15" s="1264">
        <f t="shared" si="26"/>
        <v>3037.6987782514689</v>
      </c>
      <c r="AH15" s="1331">
        <f t="shared" si="27"/>
        <v>16307.033647851425</v>
      </c>
      <c r="AI15" s="118"/>
      <c r="AJ15" s="1263">
        <f t="shared" si="28"/>
        <v>12099.874756855068</v>
      </c>
      <c r="AK15" s="1264">
        <f t="shared" si="29"/>
        <v>898.25036493722359</v>
      </c>
      <c r="AL15" s="1264">
        <f t="shared" si="30"/>
        <v>271.20974780766511</v>
      </c>
      <c r="AM15" s="1264">
        <f t="shared" si="31"/>
        <v>3037.6987782514689</v>
      </c>
      <c r="AN15" s="1331">
        <f t="shared" si="32"/>
        <v>16307.033647851425</v>
      </c>
      <c r="AO15" s="118"/>
      <c r="AP15" s="1263">
        <f t="shared" si="33"/>
        <v>12099.874756855068</v>
      </c>
      <c r="AQ15" s="1264">
        <f t="shared" si="34"/>
        <v>898.25036493722359</v>
      </c>
      <c r="AR15" s="1264">
        <f t="shared" si="35"/>
        <v>271.20974780766511</v>
      </c>
      <c r="AS15" s="1264">
        <f t="shared" si="36"/>
        <v>3037.6987782514689</v>
      </c>
      <c r="AT15" s="1331">
        <f t="shared" si="37"/>
        <v>16307.033647851425</v>
      </c>
      <c r="AU15" s="1330"/>
      <c r="AV15" s="1263">
        <f t="shared" si="38"/>
        <v>12099.874756855068</v>
      </c>
      <c r="AW15" s="1264">
        <f t="shared" si="39"/>
        <v>898.25036493722359</v>
      </c>
      <c r="AX15" s="1264">
        <f t="shared" si="40"/>
        <v>271.20974780766511</v>
      </c>
      <c r="AY15" s="1264">
        <f t="shared" si="41"/>
        <v>3037.6987782514689</v>
      </c>
      <c r="AZ15" s="1331">
        <f t="shared" si="42"/>
        <v>16307.033647851425</v>
      </c>
      <c r="BA15" s="1330"/>
      <c r="BB15" s="1263">
        <f t="shared" si="43"/>
        <v>12099.874756855068</v>
      </c>
      <c r="BC15" s="1264">
        <f t="shared" si="44"/>
        <v>898.25036493722359</v>
      </c>
      <c r="BD15" s="1264">
        <f t="shared" si="45"/>
        <v>271.20974780766511</v>
      </c>
      <c r="BE15" s="1264">
        <f t="shared" si="46"/>
        <v>3037.6987782514689</v>
      </c>
      <c r="BF15" s="1331">
        <f t="shared" si="47"/>
        <v>16307.033647851425</v>
      </c>
      <c r="BG15" s="3"/>
      <c r="BH15" s="677">
        <f t="shared" si="48"/>
        <v>2005</v>
      </c>
      <c r="BI15" s="1264">
        <f>'Baseline data (from input)'!AZ62</f>
        <v>96.021312306721029</v>
      </c>
      <c r="BJ15" s="483">
        <f>'Baseline data (from input)'!BA62</f>
        <v>0.19020897678168794</v>
      </c>
      <c r="BK15" s="1265">
        <f>'Baseline data (from input)'!BB62</f>
        <v>39.810386118997272</v>
      </c>
      <c r="BL15" s="1263">
        <f>'Baseline data (from input)'!AZ61</f>
        <v>92.083355919607541</v>
      </c>
      <c r="BM15" s="483">
        <f>'Baseline data (from input)'!BA61</f>
        <v>0.19092494708587937</v>
      </c>
      <c r="BN15" s="1265">
        <f>'Baseline data (from input)'!BB61</f>
        <v>37.697873563506654</v>
      </c>
      <c r="BO15" s="1264">
        <f t="shared" si="6"/>
        <v>96.021312306721029</v>
      </c>
      <c r="BP15" s="483">
        <f t="shared" si="6"/>
        <v>0.19020897678168794</v>
      </c>
      <c r="BQ15" s="1265">
        <f t="shared" si="6"/>
        <v>39.810386118997272</v>
      </c>
      <c r="BR15" s="1263">
        <f>'Baseline data (from input)'!AZ62</f>
        <v>96.021312306721029</v>
      </c>
      <c r="BS15" s="483">
        <f>'Baseline data (from input)'!BA62</f>
        <v>0.19020897678168794</v>
      </c>
      <c r="BT15" s="1265">
        <f>'Baseline data (from input)'!BB62</f>
        <v>39.810386118997272</v>
      </c>
      <c r="BU15" s="1264">
        <f t="shared" si="7"/>
        <v>96.021312306721029</v>
      </c>
      <c r="BV15" s="483">
        <f t="shared" si="7"/>
        <v>0.19020897678168794</v>
      </c>
      <c r="BW15" s="1265">
        <f t="shared" si="7"/>
        <v>39.810386118997272</v>
      </c>
      <c r="BX15" s="1263">
        <f>'Baseline data (from input)'!AZ62</f>
        <v>96.021312306721029</v>
      </c>
      <c r="BY15" s="483">
        <f>'Baseline data (from input)'!BA62</f>
        <v>0.19020897678168794</v>
      </c>
      <c r="BZ15" s="1265">
        <f>'Baseline data (from input)'!BB62</f>
        <v>39.810386118997272</v>
      </c>
      <c r="CA15" s="677">
        <v>2005</v>
      </c>
      <c r="CB15" s="730">
        <v>0</v>
      </c>
      <c r="CC15" s="483">
        <v>0</v>
      </c>
      <c r="CD15" s="483">
        <v>0</v>
      </c>
      <c r="CE15" s="604">
        <v>0</v>
      </c>
      <c r="CF15" s="730">
        <v>0</v>
      </c>
      <c r="CG15" s="483">
        <v>0</v>
      </c>
      <c r="CH15" s="483">
        <v>0</v>
      </c>
      <c r="CI15" s="604">
        <v>0</v>
      </c>
      <c r="CJ15" s="730">
        <v>0</v>
      </c>
      <c r="CK15" s="483">
        <v>0</v>
      </c>
      <c r="CL15" s="483">
        <v>0</v>
      </c>
      <c r="CM15" s="604">
        <v>0</v>
      </c>
    </row>
    <row r="16" spans="1:16381">
      <c r="A16">
        <f>'Input data'!A106</f>
        <v>2006</v>
      </c>
      <c r="C16" s="485">
        <f>'4A SWD Case 1'!BG75</f>
        <v>593.43266671127117</v>
      </c>
      <c r="D16" s="3">
        <f>'4B Biological treatment '!T69</f>
        <v>0</v>
      </c>
      <c r="E16" s="178">
        <f>'4B Biological treatment '!U69</f>
        <v>23.772658789073368</v>
      </c>
      <c r="F16" s="178">
        <f>'4B Biological treatment '!W69</f>
        <v>1.4263595273444021</v>
      </c>
      <c r="G16" s="3">
        <f>'4C2 Open-burning '!R76</f>
        <v>28.816291689855966</v>
      </c>
      <c r="H16" s="3">
        <f>'4C2 Open-burning '!Z76</f>
        <v>9.695799932129999</v>
      </c>
      <c r="I16" s="3">
        <f>'4C2 Open-burning '!AH76</f>
        <v>0.13498189974559716</v>
      </c>
      <c r="J16" s="335">
        <f>'4D Wastewater treatment and dis'!AV113</f>
        <v>110.75892823214762</v>
      </c>
      <c r="K16" s="3">
        <f>'4D Wastewater treatment and dis'!AW113</f>
        <v>2.4066631169446708</v>
      </c>
      <c r="L16" s="485">
        <f t="shared" si="8"/>
        <v>12462.086000936695</v>
      </c>
      <c r="M16" s="3">
        <f t="shared" si="0"/>
        <v>0</v>
      </c>
      <c r="N16" s="485">
        <f t="shared" si="9"/>
        <v>941.39728804730544</v>
      </c>
      <c r="O16" s="597">
        <f t="shared" si="10"/>
        <v>274.27247918572107</v>
      </c>
      <c r="P16" s="485">
        <f t="shared" si="11"/>
        <v>3072.0030591279478</v>
      </c>
      <c r="Q16" s="598">
        <f t="shared" si="12"/>
        <v>12462.086000936695</v>
      </c>
      <c r="R16" s="599">
        <f t="shared" si="13"/>
        <v>941.39728804730544</v>
      </c>
      <c r="S16" s="597">
        <f t="shared" si="14"/>
        <v>274.27247918572107</v>
      </c>
      <c r="T16" s="598">
        <f t="shared" si="15"/>
        <v>3072.0030591279478</v>
      </c>
      <c r="U16" s="598">
        <f t="shared" si="16"/>
        <v>16749.758827297668</v>
      </c>
      <c r="V16" s="3"/>
      <c r="W16" s="677">
        <f t="shared" si="17"/>
        <v>2006</v>
      </c>
      <c r="X16" s="1263">
        <f t="shared" si="18"/>
        <v>12462.086000936695</v>
      </c>
      <c r="Y16" s="1264">
        <f t="shared" si="19"/>
        <v>941.39728804730544</v>
      </c>
      <c r="Z16" s="1264">
        <f t="shared" si="20"/>
        <v>274.27247918572107</v>
      </c>
      <c r="AA16" s="1264">
        <f t="shared" si="21"/>
        <v>3072.0030591279478</v>
      </c>
      <c r="AB16" s="1331">
        <f t="shared" si="22"/>
        <v>16749.758827297668</v>
      </c>
      <c r="AC16" s="1264"/>
      <c r="AD16" s="1263">
        <f t="shared" si="23"/>
        <v>12462.086000936695</v>
      </c>
      <c r="AE16" s="1264">
        <f t="shared" si="24"/>
        <v>941.39728804730544</v>
      </c>
      <c r="AF16" s="1264">
        <f t="shared" si="25"/>
        <v>274.27247918572107</v>
      </c>
      <c r="AG16" s="1264">
        <f t="shared" si="26"/>
        <v>3072.0030591279478</v>
      </c>
      <c r="AH16" s="1331">
        <f t="shared" si="27"/>
        <v>16749.758827297668</v>
      </c>
      <c r="AI16" s="118"/>
      <c r="AJ16" s="1263">
        <f t="shared" si="28"/>
        <v>12462.086000936695</v>
      </c>
      <c r="AK16" s="1264">
        <f t="shared" si="29"/>
        <v>941.39728804730544</v>
      </c>
      <c r="AL16" s="1264">
        <f t="shared" si="30"/>
        <v>274.27247918572107</v>
      </c>
      <c r="AM16" s="1264">
        <f t="shared" si="31"/>
        <v>3072.0030591279478</v>
      </c>
      <c r="AN16" s="1331">
        <f t="shared" si="32"/>
        <v>16749.758827297668</v>
      </c>
      <c r="AO16" s="118"/>
      <c r="AP16" s="1263">
        <f t="shared" si="33"/>
        <v>12462.086000936695</v>
      </c>
      <c r="AQ16" s="1264">
        <f t="shared" si="34"/>
        <v>941.39728804730544</v>
      </c>
      <c r="AR16" s="1264">
        <f t="shared" si="35"/>
        <v>274.27247918572107</v>
      </c>
      <c r="AS16" s="1264">
        <f t="shared" si="36"/>
        <v>3072.0030591279478</v>
      </c>
      <c r="AT16" s="1331">
        <f t="shared" si="37"/>
        <v>16749.758827297668</v>
      </c>
      <c r="AU16" s="1330"/>
      <c r="AV16" s="1263">
        <f t="shared" si="38"/>
        <v>12462.086000936695</v>
      </c>
      <c r="AW16" s="1264">
        <f t="shared" si="39"/>
        <v>941.39728804730544</v>
      </c>
      <c r="AX16" s="1264">
        <f t="shared" si="40"/>
        <v>274.27247918572107</v>
      </c>
      <c r="AY16" s="1264">
        <f t="shared" si="41"/>
        <v>3072.0030591279478</v>
      </c>
      <c r="AZ16" s="1331">
        <f t="shared" si="42"/>
        <v>16749.758827297668</v>
      </c>
      <c r="BA16" s="1330"/>
      <c r="BB16" s="1263">
        <f t="shared" si="43"/>
        <v>12462.086000936695</v>
      </c>
      <c r="BC16" s="1264">
        <f t="shared" si="44"/>
        <v>941.39728804730544</v>
      </c>
      <c r="BD16" s="1264">
        <f t="shared" si="45"/>
        <v>274.27247918572107</v>
      </c>
      <c r="BE16" s="1264">
        <f t="shared" si="46"/>
        <v>3072.0030591279478</v>
      </c>
      <c r="BF16" s="1331">
        <f t="shared" si="47"/>
        <v>16749.758827297668</v>
      </c>
      <c r="BG16" s="3"/>
      <c r="BH16" s="677">
        <f t="shared" si="48"/>
        <v>2006</v>
      </c>
      <c r="BI16" s="1264">
        <f>'Baseline data (from input)'!AZ63</f>
        <v>99.992179942684729</v>
      </c>
      <c r="BJ16" s="483">
        <f>'Baseline data (from input)'!BA63</f>
        <v>0.18953960310810339</v>
      </c>
      <c r="BK16" s="1265">
        <f>'Baseline data (from input)'!BB63</f>
        <v>41.94441226902012</v>
      </c>
      <c r="BL16" s="1263">
        <f>'Baseline data (from input)'!AZ62</f>
        <v>96.021312306721029</v>
      </c>
      <c r="BM16" s="483">
        <f>'Baseline data (from input)'!BA62</f>
        <v>0.19020897678168794</v>
      </c>
      <c r="BN16" s="1265">
        <f>'Baseline data (from input)'!BB62</f>
        <v>39.810386118997272</v>
      </c>
      <c r="BO16" s="1264">
        <f t="shared" si="6"/>
        <v>99.992179942684729</v>
      </c>
      <c r="BP16" s="483">
        <f t="shared" si="6"/>
        <v>0.18953960310810339</v>
      </c>
      <c r="BQ16" s="1265">
        <f t="shared" si="6"/>
        <v>41.94441226902012</v>
      </c>
      <c r="BR16" s="1263">
        <f>'Baseline data (from input)'!AZ63</f>
        <v>99.992179942684729</v>
      </c>
      <c r="BS16" s="483">
        <f>'Baseline data (from input)'!BA63</f>
        <v>0.18953960310810339</v>
      </c>
      <c r="BT16" s="1265">
        <f>'Baseline data (from input)'!BB63</f>
        <v>41.94441226902012</v>
      </c>
      <c r="BU16" s="1264">
        <f t="shared" si="7"/>
        <v>99.992179942684729</v>
      </c>
      <c r="BV16" s="483">
        <f t="shared" si="7"/>
        <v>0.18953960310810339</v>
      </c>
      <c r="BW16" s="1265">
        <f t="shared" si="7"/>
        <v>41.94441226902012</v>
      </c>
      <c r="BX16" s="1263">
        <f>'Baseline data (from input)'!AZ63</f>
        <v>99.992179942684729</v>
      </c>
      <c r="BY16" s="483">
        <f>'Baseline data (from input)'!BA63</f>
        <v>0.18953960310810339</v>
      </c>
      <c r="BZ16" s="1265">
        <f>'Baseline data (from input)'!BB63</f>
        <v>41.94441226902012</v>
      </c>
      <c r="CA16" s="677">
        <v>2006</v>
      </c>
      <c r="CB16" s="730">
        <v>0</v>
      </c>
      <c r="CC16" s="483">
        <v>0</v>
      </c>
      <c r="CD16" s="483">
        <v>0</v>
      </c>
      <c r="CE16" s="604">
        <v>0</v>
      </c>
      <c r="CF16" s="730">
        <v>0</v>
      </c>
      <c r="CG16" s="483">
        <v>0</v>
      </c>
      <c r="CH16" s="483">
        <v>0</v>
      </c>
      <c r="CI16" s="604">
        <v>0</v>
      </c>
      <c r="CJ16" s="730">
        <v>0</v>
      </c>
      <c r="CK16" s="483">
        <v>0</v>
      </c>
      <c r="CL16" s="483">
        <v>0</v>
      </c>
      <c r="CM16" s="604">
        <v>0</v>
      </c>
    </row>
    <row r="17" spans="1:91">
      <c r="A17">
        <f>'Input data'!A107</f>
        <v>2007</v>
      </c>
      <c r="C17" s="485">
        <f>'4A SWD Case 1'!BG76</f>
        <v>610.97399966062619</v>
      </c>
      <c r="D17" s="3">
        <f>'4B Biological treatment '!T70</f>
        <v>0</v>
      </c>
      <c r="E17" s="178">
        <f>'4B Biological treatment '!U70</f>
        <v>24.872255240639795</v>
      </c>
      <c r="F17" s="178">
        <f>'4B Biological treatment '!W70</f>
        <v>1.4923353144383877</v>
      </c>
      <c r="G17" s="3">
        <f>'4C2 Open-burning '!R77</f>
        <v>29.133849868583923</v>
      </c>
      <c r="H17" s="3">
        <f>'4C2 Open-burning '!Z77</f>
        <v>9.8026485371099987</v>
      </c>
      <c r="I17" s="3">
        <f>'4C2 Open-burning '!AH77</f>
        <v>0.13646941266730805</v>
      </c>
      <c r="J17" s="335">
        <f>'4D Wastewater treatment and dis'!AV114</f>
        <v>111.97950178497722</v>
      </c>
      <c r="K17" s="3">
        <f>'4D Wastewater treatment and dis'!AW114</f>
        <v>2.4331847653390661</v>
      </c>
      <c r="L17" s="485">
        <f t="shared" si="8"/>
        <v>12830.45399287315</v>
      </c>
      <c r="M17" s="3">
        <f t="shared" si="0"/>
        <v>0</v>
      </c>
      <c r="N17" s="485">
        <f t="shared" si="9"/>
        <v>984.94130752933586</v>
      </c>
      <c r="O17" s="597">
        <f t="shared" si="10"/>
        <v>277.29498707475938</v>
      </c>
      <c r="P17" s="485">
        <f t="shared" si="11"/>
        <v>3105.8568147396318</v>
      </c>
      <c r="Q17" s="598">
        <f t="shared" si="12"/>
        <v>12830.45399287315</v>
      </c>
      <c r="R17" s="599">
        <f t="shared" si="13"/>
        <v>984.94130752933586</v>
      </c>
      <c r="S17" s="597">
        <f t="shared" si="14"/>
        <v>277.29498707475938</v>
      </c>
      <c r="T17" s="598">
        <f t="shared" si="15"/>
        <v>3105.8568147396318</v>
      </c>
      <c r="U17" s="598">
        <f t="shared" si="16"/>
        <v>17198.547102216879</v>
      </c>
      <c r="V17" s="3"/>
      <c r="W17" s="677">
        <f t="shared" si="17"/>
        <v>2007</v>
      </c>
      <c r="X17" s="1263">
        <f t="shared" si="18"/>
        <v>12830.45399287315</v>
      </c>
      <c r="Y17" s="1264">
        <f t="shared" si="19"/>
        <v>984.94130752933586</v>
      </c>
      <c r="Z17" s="1264">
        <f t="shared" si="20"/>
        <v>277.29498707475938</v>
      </c>
      <c r="AA17" s="1264">
        <f t="shared" si="21"/>
        <v>3105.8568147396318</v>
      </c>
      <c r="AB17" s="1331">
        <f t="shared" si="22"/>
        <v>17198.547102216879</v>
      </c>
      <c r="AC17" s="1264"/>
      <c r="AD17" s="1263">
        <f t="shared" si="23"/>
        <v>12830.45399287315</v>
      </c>
      <c r="AE17" s="1264">
        <f t="shared" si="24"/>
        <v>984.94130752933586</v>
      </c>
      <c r="AF17" s="1264">
        <f t="shared" si="25"/>
        <v>277.29498707475938</v>
      </c>
      <c r="AG17" s="1264">
        <f t="shared" si="26"/>
        <v>3105.8568147396318</v>
      </c>
      <c r="AH17" s="1331">
        <f t="shared" si="27"/>
        <v>17198.547102216879</v>
      </c>
      <c r="AI17" s="118"/>
      <c r="AJ17" s="1263">
        <f t="shared" si="28"/>
        <v>12830.45399287315</v>
      </c>
      <c r="AK17" s="1264">
        <f t="shared" si="29"/>
        <v>984.94130752933586</v>
      </c>
      <c r="AL17" s="1264">
        <f t="shared" si="30"/>
        <v>277.29498707475938</v>
      </c>
      <c r="AM17" s="1264">
        <f t="shared" si="31"/>
        <v>3105.8568147396318</v>
      </c>
      <c r="AN17" s="1331">
        <f t="shared" si="32"/>
        <v>17198.547102216879</v>
      </c>
      <c r="AO17" s="118"/>
      <c r="AP17" s="1263">
        <f t="shared" si="33"/>
        <v>12830.45399287315</v>
      </c>
      <c r="AQ17" s="1264">
        <f t="shared" si="34"/>
        <v>984.94130752933586</v>
      </c>
      <c r="AR17" s="1264">
        <f t="shared" si="35"/>
        <v>277.29498707475938</v>
      </c>
      <c r="AS17" s="1264">
        <f t="shared" si="36"/>
        <v>3105.8568147396318</v>
      </c>
      <c r="AT17" s="1331">
        <f t="shared" si="37"/>
        <v>17198.547102216879</v>
      </c>
      <c r="AU17" s="1330"/>
      <c r="AV17" s="1263">
        <f t="shared" si="38"/>
        <v>12830.45399287315</v>
      </c>
      <c r="AW17" s="1264">
        <f t="shared" si="39"/>
        <v>984.94130752933586</v>
      </c>
      <c r="AX17" s="1264">
        <f t="shared" si="40"/>
        <v>277.29498707475938</v>
      </c>
      <c r="AY17" s="1264">
        <f t="shared" si="41"/>
        <v>3105.8568147396318</v>
      </c>
      <c r="AZ17" s="1331">
        <f t="shared" si="42"/>
        <v>17198.547102216879</v>
      </c>
      <c r="BA17" s="1330"/>
      <c r="BB17" s="1263">
        <f t="shared" si="43"/>
        <v>12830.45399287315</v>
      </c>
      <c r="BC17" s="1264">
        <f t="shared" si="44"/>
        <v>984.94130752933586</v>
      </c>
      <c r="BD17" s="1264">
        <f t="shared" si="45"/>
        <v>277.29498707475938</v>
      </c>
      <c r="BE17" s="1264">
        <f t="shared" si="46"/>
        <v>3105.8568147396318</v>
      </c>
      <c r="BF17" s="1331">
        <f t="shared" si="47"/>
        <v>17198.547102216879</v>
      </c>
      <c r="BG17" s="3"/>
      <c r="BH17" s="677">
        <f t="shared" si="48"/>
        <v>2007</v>
      </c>
      <c r="BI17" s="1264">
        <f>'Baseline data (from input)'!AZ64</f>
        <v>102.60198811238484</v>
      </c>
      <c r="BJ17" s="483">
        <f>'Baseline data (from input)'!BA64</f>
        <v>0.18921389159482299</v>
      </c>
      <c r="BK17" s="1265">
        <f>'Baseline data (from input)'!BB64</f>
        <v>43.282878069762283</v>
      </c>
      <c r="BL17" s="1263">
        <f>'Baseline data (from input)'!AZ63</f>
        <v>99.992179942684729</v>
      </c>
      <c r="BM17" s="483">
        <f>'Baseline data (from input)'!BA63</f>
        <v>0.18953960310810339</v>
      </c>
      <c r="BN17" s="1265">
        <f>'Baseline data (from input)'!BB63</f>
        <v>41.94441226902012</v>
      </c>
      <c r="BO17" s="1264">
        <f t="shared" si="6"/>
        <v>102.60198811238484</v>
      </c>
      <c r="BP17" s="483">
        <f t="shared" si="6"/>
        <v>0.18921389159482299</v>
      </c>
      <c r="BQ17" s="1265">
        <f t="shared" si="6"/>
        <v>43.282878069762283</v>
      </c>
      <c r="BR17" s="1263">
        <f>'Baseline data (from input)'!AZ64</f>
        <v>102.60198811238484</v>
      </c>
      <c r="BS17" s="483">
        <f>'Baseline data (from input)'!BA64</f>
        <v>0.18921389159482299</v>
      </c>
      <c r="BT17" s="1265">
        <f>'Baseline data (from input)'!BB64</f>
        <v>43.282878069762283</v>
      </c>
      <c r="BU17" s="1264">
        <f t="shared" si="7"/>
        <v>102.60198811238484</v>
      </c>
      <c r="BV17" s="483">
        <f t="shared" si="7"/>
        <v>0.18921389159482299</v>
      </c>
      <c r="BW17" s="1265">
        <f t="shared" si="7"/>
        <v>43.282878069762283</v>
      </c>
      <c r="BX17" s="1263">
        <f>'Baseline data (from input)'!AZ64</f>
        <v>102.60198811238484</v>
      </c>
      <c r="BY17" s="483">
        <f>'Baseline data (from input)'!BA64</f>
        <v>0.18921389159482299</v>
      </c>
      <c r="BZ17" s="1265">
        <f>'Baseline data (from input)'!BB64</f>
        <v>43.282878069762283</v>
      </c>
      <c r="CA17" s="677">
        <v>2007</v>
      </c>
      <c r="CB17" s="730">
        <v>0</v>
      </c>
      <c r="CC17" s="483">
        <v>0</v>
      </c>
      <c r="CD17" s="483">
        <v>0</v>
      </c>
      <c r="CE17" s="604">
        <v>0</v>
      </c>
      <c r="CF17" s="730">
        <v>0</v>
      </c>
      <c r="CG17" s="483">
        <v>0</v>
      </c>
      <c r="CH17" s="483">
        <v>0</v>
      </c>
      <c r="CI17" s="604">
        <v>0</v>
      </c>
      <c r="CJ17" s="730">
        <v>0</v>
      </c>
      <c r="CK17" s="483">
        <v>0</v>
      </c>
      <c r="CL17" s="483">
        <v>0</v>
      </c>
      <c r="CM17" s="604">
        <v>0</v>
      </c>
    </row>
    <row r="18" spans="1:91">
      <c r="A18">
        <f>'Input data'!A108</f>
        <v>2008</v>
      </c>
      <c r="C18" s="485">
        <f>'4A SWD Case 1'!BG77</f>
        <v>628.7978927018645</v>
      </c>
      <c r="D18" s="3">
        <f>'4B Biological treatment '!T71</f>
        <v>0</v>
      </c>
      <c r="E18" s="178">
        <f>'4B Biological treatment '!U71</f>
        <v>25.579640970344194</v>
      </c>
      <c r="F18" s="178">
        <f>'4B Biological treatment '!W71</f>
        <v>1.5347784582206514</v>
      </c>
      <c r="G18" s="3">
        <f>'4C2 Open-burning '!R78</f>
        <v>29.457445275044357</v>
      </c>
      <c r="H18" s="3">
        <f>'4C2 Open-burning '!Z78</f>
        <v>9.9115284843900007</v>
      </c>
      <c r="I18" s="3">
        <f>'4C2 Open-burning '!AH78</f>
        <v>0.13798520530235953</v>
      </c>
      <c r="J18" s="335">
        <f>'4D Wastewater treatment and dis'!AV115</f>
        <v>113.22328015820281</v>
      </c>
      <c r="K18" s="3">
        <f>'4D Wastewater treatment and dis'!AW115</f>
        <v>2.4602106275812643</v>
      </c>
      <c r="L18" s="485">
        <f t="shared" si="8"/>
        <v>13204.755746739154</v>
      </c>
      <c r="M18" s="3">
        <f t="shared" si="0"/>
        <v>0</v>
      </c>
      <c r="N18" s="485">
        <f t="shared" si="9"/>
        <v>1012.9537824256299</v>
      </c>
      <c r="O18" s="597">
        <f t="shared" si="10"/>
        <v>280.37495709096584</v>
      </c>
      <c r="P18" s="485">
        <f t="shared" si="11"/>
        <v>3140.3541778724511</v>
      </c>
      <c r="Q18" s="598">
        <f t="shared" si="12"/>
        <v>13204.755746739154</v>
      </c>
      <c r="R18" s="599">
        <f t="shared" si="13"/>
        <v>1012.9537824256299</v>
      </c>
      <c r="S18" s="597">
        <f t="shared" si="14"/>
        <v>280.37495709096584</v>
      </c>
      <c r="T18" s="598">
        <f t="shared" si="15"/>
        <v>3140.3541778724511</v>
      </c>
      <c r="U18" s="598">
        <f t="shared" si="16"/>
        <v>17638.4386641282</v>
      </c>
      <c r="V18" s="3"/>
      <c r="W18" s="677">
        <f t="shared" si="17"/>
        <v>2008</v>
      </c>
      <c r="X18" s="1263">
        <f t="shared" si="18"/>
        <v>13204.755746739154</v>
      </c>
      <c r="Y18" s="1264">
        <f t="shared" si="19"/>
        <v>1012.9537824256299</v>
      </c>
      <c r="Z18" s="1264">
        <f t="shared" si="20"/>
        <v>280.37495709096584</v>
      </c>
      <c r="AA18" s="1264">
        <f t="shared" si="21"/>
        <v>3140.3541778724511</v>
      </c>
      <c r="AB18" s="1331">
        <f t="shared" si="22"/>
        <v>17638.4386641282</v>
      </c>
      <c r="AC18" s="1264"/>
      <c r="AD18" s="1263">
        <f t="shared" si="23"/>
        <v>13204.755746739154</v>
      </c>
      <c r="AE18" s="1264">
        <f t="shared" si="24"/>
        <v>1012.9537824256299</v>
      </c>
      <c r="AF18" s="1264">
        <f t="shared" si="25"/>
        <v>280.37495709096584</v>
      </c>
      <c r="AG18" s="1264">
        <f t="shared" si="26"/>
        <v>3140.3541778724511</v>
      </c>
      <c r="AH18" s="1331">
        <f t="shared" si="27"/>
        <v>17638.4386641282</v>
      </c>
      <c r="AI18" s="118"/>
      <c r="AJ18" s="1263">
        <f t="shared" si="28"/>
        <v>13204.755746739154</v>
      </c>
      <c r="AK18" s="1264">
        <f t="shared" si="29"/>
        <v>1012.9537824256299</v>
      </c>
      <c r="AL18" s="1264">
        <f t="shared" si="30"/>
        <v>280.37495709096584</v>
      </c>
      <c r="AM18" s="1264">
        <f t="shared" si="31"/>
        <v>3140.3541778724511</v>
      </c>
      <c r="AN18" s="1331">
        <f t="shared" si="32"/>
        <v>17638.4386641282</v>
      </c>
      <c r="AO18" s="118"/>
      <c r="AP18" s="1263">
        <f t="shared" si="33"/>
        <v>13204.755746739154</v>
      </c>
      <c r="AQ18" s="1264">
        <f t="shared" si="34"/>
        <v>1012.9537824256299</v>
      </c>
      <c r="AR18" s="1264">
        <f t="shared" si="35"/>
        <v>280.37495709096584</v>
      </c>
      <c r="AS18" s="1264">
        <f t="shared" si="36"/>
        <v>3140.3541778724511</v>
      </c>
      <c r="AT18" s="1331">
        <f t="shared" si="37"/>
        <v>17638.4386641282</v>
      </c>
      <c r="AU18" s="1330"/>
      <c r="AV18" s="1263">
        <f t="shared" si="38"/>
        <v>13204.755746739154</v>
      </c>
      <c r="AW18" s="1264">
        <f t="shared" si="39"/>
        <v>1012.9537824256299</v>
      </c>
      <c r="AX18" s="1264">
        <f t="shared" si="40"/>
        <v>280.37495709096584</v>
      </c>
      <c r="AY18" s="1264">
        <f t="shared" si="41"/>
        <v>3140.3541778724511</v>
      </c>
      <c r="AZ18" s="1331">
        <f t="shared" si="42"/>
        <v>17638.4386641282</v>
      </c>
      <c r="BA18" s="1330"/>
      <c r="BB18" s="1263">
        <f t="shared" si="43"/>
        <v>13204.755746739154</v>
      </c>
      <c r="BC18" s="1264">
        <f t="shared" si="44"/>
        <v>1012.9537824256299</v>
      </c>
      <c r="BD18" s="1264">
        <f t="shared" si="45"/>
        <v>280.37495709096584</v>
      </c>
      <c r="BE18" s="1264">
        <f t="shared" si="46"/>
        <v>3140.3541778724511</v>
      </c>
      <c r="BF18" s="1331">
        <f t="shared" si="47"/>
        <v>17638.4386641282</v>
      </c>
      <c r="BG18" s="3"/>
      <c r="BH18" s="677">
        <f t="shared" si="48"/>
        <v>2008</v>
      </c>
      <c r="BI18" s="1264">
        <f>'Baseline data (from input)'!AZ65</f>
        <v>101.7631938359152</v>
      </c>
      <c r="BJ18" s="483">
        <f>'Baseline data (from input)'!BA65</f>
        <v>0.18963417971367144</v>
      </c>
      <c r="BK18" s="1265">
        <f>'Baseline data (from input)'!BB65</f>
        <v>42.617148738723039</v>
      </c>
      <c r="BL18" s="1263">
        <f>'Baseline data (from input)'!AZ64</f>
        <v>102.60198811238484</v>
      </c>
      <c r="BM18" s="483">
        <f>'Baseline data (from input)'!BA64</f>
        <v>0.18921389159482299</v>
      </c>
      <c r="BN18" s="1265">
        <f>'Baseline data (from input)'!BB64</f>
        <v>43.282878069762283</v>
      </c>
      <c r="BO18" s="1264">
        <f t="shared" si="6"/>
        <v>101.7631938359152</v>
      </c>
      <c r="BP18" s="483">
        <f t="shared" si="6"/>
        <v>0.18963417971367144</v>
      </c>
      <c r="BQ18" s="1265">
        <f t="shared" si="6"/>
        <v>42.617148738723039</v>
      </c>
      <c r="BR18" s="1263">
        <f>'Baseline data (from input)'!AZ65</f>
        <v>101.7631938359152</v>
      </c>
      <c r="BS18" s="483">
        <f>'Baseline data (from input)'!BA65</f>
        <v>0.18963417971367144</v>
      </c>
      <c r="BT18" s="1265">
        <f>'Baseline data (from input)'!BB65</f>
        <v>42.617148738723039</v>
      </c>
      <c r="BU18" s="1264">
        <f t="shared" si="7"/>
        <v>101.7631938359152</v>
      </c>
      <c r="BV18" s="483">
        <f t="shared" si="7"/>
        <v>0.18963417971367144</v>
      </c>
      <c r="BW18" s="1265">
        <f t="shared" si="7"/>
        <v>42.617148738723039</v>
      </c>
      <c r="BX18" s="1263">
        <f>'Baseline data (from input)'!AZ65</f>
        <v>101.7631938359152</v>
      </c>
      <c r="BY18" s="483">
        <f>'Baseline data (from input)'!BA65</f>
        <v>0.18963417971367144</v>
      </c>
      <c r="BZ18" s="1265">
        <f>'Baseline data (from input)'!BB65</f>
        <v>42.617148738723039</v>
      </c>
      <c r="CA18" s="677">
        <v>2008</v>
      </c>
      <c r="CB18" s="730">
        <v>0</v>
      </c>
      <c r="CC18" s="483">
        <v>0</v>
      </c>
      <c r="CD18" s="483">
        <v>0</v>
      </c>
      <c r="CE18" s="604">
        <v>0</v>
      </c>
      <c r="CF18" s="730">
        <v>0</v>
      </c>
      <c r="CG18" s="483">
        <v>0</v>
      </c>
      <c r="CH18" s="483">
        <v>0</v>
      </c>
      <c r="CI18" s="604">
        <v>0</v>
      </c>
      <c r="CJ18" s="730">
        <v>0</v>
      </c>
      <c r="CK18" s="483">
        <v>0</v>
      </c>
      <c r="CL18" s="483">
        <v>0</v>
      </c>
      <c r="CM18" s="604">
        <v>0</v>
      </c>
    </row>
    <row r="19" spans="1:91">
      <c r="A19">
        <f>'Input data'!A109</f>
        <v>2009</v>
      </c>
      <c r="C19" s="485">
        <f>'4A SWD Case 1'!BG78</f>
        <v>646.59970204051285</v>
      </c>
      <c r="D19" s="3">
        <f>'4B Biological treatment '!T72</f>
        <v>0</v>
      </c>
      <c r="E19" s="178">
        <f>'4B Biological treatment '!U72</f>
        <v>25.296020533730299</v>
      </c>
      <c r="F19" s="178">
        <f>'4B Biological treatment '!W72</f>
        <v>1.5177612320238179</v>
      </c>
      <c r="G19" s="3">
        <f>'4C2 Open-burning '!R79</f>
        <v>29.775607176545563</v>
      </c>
      <c r="H19" s="3">
        <f>'4C2 Open-burning '!Z79</f>
        <v>10.018580223600001</v>
      </c>
      <c r="I19" s="3">
        <f>'4C2 Open-burning '!AH79</f>
        <v>0.13947554619540448</v>
      </c>
      <c r="J19" s="335">
        <f>'4D Wastewater treatment and dis'!AV116</f>
        <v>114.446174193072</v>
      </c>
      <c r="K19" s="3">
        <f>'4D Wastewater treatment and dis'!AW116</f>
        <v>2.4867826973604399</v>
      </c>
      <c r="L19" s="485">
        <f t="shared" si="8"/>
        <v>13578.59374285077</v>
      </c>
      <c r="M19" s="3">
        <f t="shared" si="0"/>
        <v>0</v>
      </c>
      <c r="N19" s="485">
        <f t="shared" si="9"/>
        <v>1001.7224131357198</v>
      </c>
      <c r="O19" s="597">
        <f t="shared" si="10"/>
        <v>283.40321119272096</v>
      </c>
      <c r="P19" s="485">
        <f t="shared" si="11"/>
        <v>3174.2722942362484</v>
      </c>
      <c r="Q19" s="598">
        <f t="shared" si="12"/>
        <v>13578.59374285077</v>
      </c>
      <c r="R19" s="599">
        <f t="shared" si="13"/>
        <v>1001.7224131357198</v>
      </c>
      <c r="S19" s="597">
        <f t="shared" si="14"/>
        <v>283.40321119272096</v>
      </c>
      <c r="T19" s="598">
        <f t="shared" si="15"/>
        <v>3174.2722942362484</v>
      </c>
      <c r="U19" s="598">
        <f t="shared" si="16"/>
        <v>18037.991661415457</v>
      </c>
      <c r="V19" s="3"/>
      <c r="W19" s="677">
        <f t="shared" si="17"/>
        <v>2009</v>
      </c>
      <c r="X19" s="1263">
        <f t="shared" si="18"/>
        <v>13578.59374285077</v>
      </c>
      <c r="Y19" s="1264">
        <f t="shared" si="19"/>
        <v>1001.7224131357198</v>
      </c>
      <c r="Z19" s="1264">
        <f t="shared" si="20"/>
        <v>283.40321119272096</v>
      </c>
      <c r="AA19" s="1264">
        <f t="shared" si="21"/>
        <v>3174.2722942362484</v>
      </c>
      <c r="AB19" s="1331">
        <f t="shared" si="22"/>
        <v>18037.991661415457</v>
      </c>
      <c r="AC19" s="1264"/>
      <c r="AD19" s="1263">
        <f t="shared" si="23"/>
        <v>13578.59374285077</v>
      </c>
      <c r="AE19" s="1264">
        <f t="shared" si="24"/>
        <v>1001.7224131357198</v>
      </c>
      <c r="AF19" s="1264">
        <f t="shared" si="25"/>
        <v>283.40321119272096</v>
      </c>
      <c r="AG19" s="1264">
        <f t="shared" si="26"/>
        <v>3174.2722942362484</v>
      </c>
      <c r="AH19" s="1331">
        <f t="shared" si="27"/>
        <v>18037.991661415457</v>
      </c>
      <c r="AI19" s="118"/>
      <c r="AJ19" s="1263">
        <f t="shared" si="28"/>
        <v>13578.59374285077</v>
      </c>
      <c r="AK19" s="1264">
        <f t="shared" si="29"/>
        <v>1001.7224131357198</v>
      </c>
      <c r="AL19" s="1264">
        <f t="shared" si="30"/>
        <v>283.40321119272096</v>
      </c>
      <c r="AM19" s="1264">
        <f t="shared" si="31"/>
        <v>3174.2722942362484</v>
      </c>
      <c r="AN19" s="1331">
        <f t="shared" si="32"/>
        <v>18037.991661415457</v>
      </c>
      <c r="AO19" s="118"/>
      <c r="AP19" s="1263">
        <f t="shared" si="33"/>
        <v>13578.59374285077</v>
      </c>
      <c r="AQ19" s="1264">
        <f t="shared" si="34"/>
        <v>1001.7224131357198</v>
      </c>
      <c r="AR19" s="1264">
        <f t="shared" si="35"/>
        <v>283.40321119272096</v>
      </c>
      <c r="AS19" s="1264">
        <f t="shared" si="36"/>
        <v>3174.2722942362484</v>
      </c>
      <c r="AT19" s="1331">
        <f t="shared" si="37"/>
        <v>18037.991661415457</v>
      </c>
      <c r="AU19" s="1330"/>
      <c r="AV19" s="1263">
        <f t="shared" si="38"/>
        <v>13578.59374285077</v>
      </c>
      <c r="AW19" s="1264">
        <f t="shared" si="39"/>
        <v>1001.7224131357198</v>
      </c>
      <c r="AX19" s="1264">
        <f t="shared" si="40"/>
        <v>283.40321119272096</v>
      </c>
      <c r="AY19" s="1264">
        <f t="shared" si="41"/>
        <v>3174.2722942362484</v>
      </c>
      <c r="AZ19" s="1331">
        <f t="shared" si="42"/>
        <v>18037.991661415457</v>
      </c>
      <c r="BA19" s="1330"/>
      <c r="BB19" s="1263">
        <f t="shared" si="43"/>
        <v>13578.59374285077</v>
      </c>
      <c r="BC19" s="1264">
        <f t="shared" si="44"/>
        <v>1001.7224131357198</v>
      </c>
      <c r="BD19" s="1264">
        <f t="shared" si="45"/>
        <v>283.40321119272096</v>
      </c>
      <c r="BE19" s="1264">
        <f t="shared" si="46"/>
        <v>3174.2722942362484</v>
      </c>
      <c r="BF19" s="1331">
        <f t="shared" si="47"/>
        <v>18037.991661415457</v>
      </c>
      <c r="BG19" s="3"/>
      <c r="BH19" s="677">
        <f t="shared" si="48"/>
        <v>2009</v>
      </c>
      <c r="BI19" s="1264">
        <f>'Baseline data (from input)'!AZ66</f>
        <v>103.3442854098891</v>
      </c>
      <c r="BJ19" s="483">
        <f>'Baseline data (from input)'!BA66</f>
        <v>0.20500122394187426</v>
      </c>
      <c r="BK19" s="1265">
        <f>'Baseline data (from input)'!BB66</f>
        <v>43.912595340982222</v>
      </c>
      <c r="BL19" s="1263">
        <f>'Baseline data (from input)'!AZ65</f>
        <v>101.7631938359152</v>
      </c>
      <c r="BM19" s="483">
        <f>'Baseline data (from input)'!BA65</f>
        <v>0.18963417971367144</v>
      </c>
      <c r="BN19" s="1265">
        <f>'Baseline data (from input)'!BB65</f>
        <v>42.617148738723039</v>
      </c>
      <c r="BO19" s="1264">
        <f t="shared" si="6"/>
        <v>103.3442854098891</v>
      </c>
      <c r="BP19" s="483">
        <f t="shared" si="6"/>
        <v>0.20500122394187426</v>
      </c>
      <c r="BQ19" s="1265">
        <f t="shared" si="6"/>
        <v>43.912595340982222</v>
      </c>
      <c r="BR19" s="1263">
        <f>'Baseline data (from input)'!AZ66</f>
        <v>103.3442854098891</v>
      </c>
      <c r="BS19" s="483">
        <f>'Baseline data (from input)'!BA66</f>
        <v>0.20500122394187426</v>
      </c>
      <c r="BT19" s="1265">
        <f>'Baseline data (from input)'!BB66</f>
        <v>43.912595340982222</v>
      </c>
      <c r="BU19" s="1264">
        <f t="shared" si="7"/>
        <v>103.3442854098891</v>
      </c>
      <c r="BV19" s="483">
        <f t="shared" si="7"/>
        <v>0.20500122394187426</v>
      </c>
      <c r="BW19" s="1265">
        <f t="shared" si="7"/>
        <v>43.912595340982222</v>
      </c>
      <c r="BX19" s="1263">
        <f>'Baseline data (from input)'!AZ66</f>
        <v>103.3442854098891</v>
      </c>
      <c r="BY19" s="483">
        <f>'Baseline data (from input)'!BA66</f>
        <v>0.20500122394187426</v>
      </c>
      <c r="BZ19" s="1265">
        <f>'Baseline data (from input)'!BB66</f>
        <v>43.912595340982222</v>
      </c>
      <c r="CA19" s="677">
        <v>2009</v>
      </c>
      <c r="CB19" s="730">
        <v>0</v>
      </c>
      <c r="CC19" s="483">
        <v>0</v>
      </c>
      <c r="CD19" s="483">
        <v>0</v>
      </c>
      <c r="CE19" s="604">
        <v>0</v>
      </c>
      <c r="CF19" s="730">
        <v>0</v>
      </c>
      <c r="CG19" s="483">
        <v>0</v>
      </c>
      <c r="CH19" s="483">
        <v>0</v>
      </c>
      <c r="CI19" s="604">
        <v>0</v>
      </c>
      <c r="CJ19" s="730">
        <v>0</v>
      </c>
      <c r="CK19" s="483">
        <v>0</v>
      </c>
      <c r="CL19" s="483">
        <v>0</v>
      </c>
      <c r="CM19" s="604">
        <v>0</v>
      </c>
    </row>
    <row r="20" spans="1:91">
      <c r="A20">
        <f>'Input data'!A110</f>
        <v>2010</v>
      </c>
      <c r="C20" s="485">
        <f>'4A SWD Case 1'!BG79</f>
        <v>663.62515981019658</v>
      </c>
      <c r="D20" s="3">
        <f>'4B Biological treatment '!T73</f>
        <v>0</v>
      </c>
      <c r="E20" s="178">
        <f>'4B Biological treatment '!U73</f>
        <v>27.271008210069208</v>
      </c>
      <c r="F20" s="178">
        <f>'4B Biological treatment '!W73</f>
        <v>1.6362604926041522</v>
      </c>
      <c r="G20" s="3">
        <f>'4C2 Open-burning '!R80</f>
        <v>30.375144438652775</v>
      </c>
      <c r="H20" s="3">
        <f>'4C2 Open-burning '!Z80</f>
        <v>10.220306157242419</v>
      </c>
      <c r="I20" s="3">
        <f>'4C2 Open-burning '!AH80</f>
        <v>0.14228391166721827</v>
      </c>
      <c r="J20" s="335">
        <f>'4D Wastewater treatment and dis'!AV117</f>
        <v>115.72243931485201</v>
      </c>
      <c r="K20" s="3">
        <f>'4D Wastewater treatment and dis'!AW117</f>
        <v>2.5145144589895607</v>
      </c>
      <c r="L20" s="485">
        <f t="shared" si="8"/>
        <v>13936.128356014127</v>
      </c>
      <c r="M20" s="3">
        <f t="shared" si="0"/>
        <v>0</v>
      </c>
      <c r="N20" s="485">
        <f t="shared" si="9"/>
        <v>1079.9319251187405</v>
      </c>
      <c r="O20" s="597">
        <f t="shared" si="10"/>
        <v>289.10958635758124</v>
      </c>
      <c r="P20" s="485">
        <f t="shared" si="11"/>
        <v>3209.670707898656</v>
      </c>
      <c r="Q20" s="598">
        <f t="shared" si="12"/>
        <v>13936.128356014127</v>
      </c>
      <c r="R20" s="600">
        <f t="shared" si="13"/>
        <v>1079.9319251187405</v>
      </c>
      <c r="S20" s="597">
        <f t="shared" si="14"/>
        <v>289.10958635758124</v>
      </c>
      <c r="T20" s="598">
        <f t="shared" si="15"/>
        <v>3209.670707898656</v>
      </c>
      <c r="U20" s="598">
        <f t="shared" si="16"/>
        <v>18514.840575389106</v>
      </c>
      <c r="V20" s="3"/>
      <c r="W20" s="677">
        <f t="shared" si="17"/>
        <v>2010</v>
      </c>
      <c r="X20" s="1263">
        <f t="shared" si="18"/>
        <v>13936.128356014127</v>
      </c>
      <c r="Y20" s="1264">
        <f t="shared" si="19"/>
        <v>1079.9319251187405</v>
      </c>
      <c r="Z20" s="1264">
        <f t="shared" si="20"/>
        <v>289.10958635758124</v>
      </c>
      <c r="AA20" s="1264">
        <f t="shared" si="21"/>
        <v>3209.670707898656</v>
      </c>
      <c r="AB20" s="1331">
        <f t="shared" si="22"/>
        <v>18514.840575389106</v>
      </c>
      <c r="AC20" s="1264"/>
      <c r="AD20" s="1263">
        <f t="shared" si="23"/>
        <v>13936.128356014127</v>
      </c>
      <c r="AE20" s="1264">
        <f t="shared" si="24"/>
        <v>1079.9319251187405</v>
      </c>
      <c r="AF20" s="1264">
        <f t="shared" si="25"/>
        <v>289.10958635758124</v>
      </c>
      <c r="AG20" s="1264">
        <f t="shared" si="26"/>
        <v>3209.670707898656</v>
      </c>
      <c r="AH20" s="1331">
        <f t="shared" si="27"/>
        <v>18514.840575389106</v>
      </c>
      <c r="AI20" s="118"/>
      <c r="AJ20" s="1263">
        <f t="shared" si="28"/>
        <v>13936.128356014127</v>
      </c>
      <c r="AK20" s="1264">
        <f t="shared" si="29"/>
        <v>1079.9319251187405</v>
      </c>
      <c r="AL20" s="1264">
        <f t="shared" si="30"/>
        <v>289.10958635758124</v>
      </c>
      <c r="AM20" s="1264">
        <f t="shared" si="31"/>
        <v>3209.670707898656</v>
      </c>
      <c r="AN20" s="1331">
        <f t="shared" si="32"/>
        <v>18514.840575389106</v>
      </c>
      <c r="AO20" s="118"/>
      <c r="AP20" s="1263">
        <f t="shared" si="33"/>
        <v>13936.128356014127</v>
      </c>
      <c r="AQ20" s="1264">
        <f t="shared" si="34"/>
        <v>1079.9319251187405</v>
      </c>
      <c r="AR20" s="1264">
        <f t="shared" si="35"/>
        <v>289.10958635758124</v>
      </c>
      <c r="AS20" s="1264">
        <f t="shared" si="36"/>
        <v>3209.670707898656</v>
      </c>
      <c r="AT20" s="1331">
        <f t="shared" si="37"/>
        <v>18514.840575389106</v>
      </c>
      <c r="AU20" s="1330"/>
      <c r="AV20" s="1263">
        <f t="shared" si="38"/>
        <v>13936.128356014127</v>
      </c>
      <c r="AW20" s="1264">
        <f t="shared" si="39"/>
        <v>1079.9319251187405</v>
      </c>
      <c r="AX20" s="1264">
        <f t="shared" si="40"/>
        <v>289.10958635758124</v>
      </c>
      <c r="AY20" s="1264">
        <f t="shared" si="41"/>
        <v>3209.670707898656</v>
      </c>
      <c r="AZ20" s="1331">
        <f t="shared" si="42"/>
        <v>18514.840575389106</v>
      </c>
      <c r="BA20" s="1330"/>
      <c r="BB20" s="1263">
        <f t="shared" si="43"/>
        <v>13936.128356014127</v>
      </c>
      <c r="BC20" s="1264">
        <f t="shared" si="44"/>
        <v>1079.9319251187405</v>
      </c>
      <c r="BD20" s="1264">
        <f t="shared" si="45"/>
        <v>289.10958635758124</v>
      </c>
      <c r="BE20" s="1264">
        <f t="shared" si="46"/>
        <v>3209.670707898656</v>
      </c>
      <c r="BF20" s="1331">
        <f t="shared" si="47"/>
        <v>18514.840575389106</v>
      </c>
      <c r="BG20" s="3"/>
      <c r="BH20" s="677">
        <f t="shared" si="48"/>
        <v>2010</v>
      </c>
      <c r="BI20" s="1264">
        <f>'Baseline data (from input)'!AZ67</f>
        <v>105.88590407147763</v>
      </c>
      <c r="BJ20" s="483">
        <f>'Baseline data (from input)'!BA67</f>
        <v>0.22042757957220868</v>
      </c>
      <c r="BK20" s="1265">
        <f>'Baseline data (from input)'!BB67</f>
        <v>45.35475880749614</v>
      </c>
      <c r="BL20" s="1263">
        <f>'Baseline data (from input)'!AZ66</f>
        <v>103.3442854098891</v>
      </c>
      <c r="BM20" s="483">
        <f>'Baseline data (from input)'!BA66</f>
        <v>0.20500122394187426</v>
      </c>
      <c r="BN20" s="1265">
        <f>'Baseline data (from input)'!BB66</f>
        <v>43.912595340982222</v>
      </c>
      <c r="BO20" s="1264">
        <f t="shared" si="6"/>
        <v>105.88590407147763</v>
      </c>
      <c r="BP20" s="483">
        <f t="shared" si="6"/>
        <v>0.22042757957220868</v>
      </c>
      <c r="BQ20" s="1265">
        <f t="shared" si="6"/>
        <v>45.35475880749614</v>
      </c>
      <c r="BR20" s="1263">
        <f>'Baseline data (from input)'!AZ67</f>
        <v>105.88590407147763</v>
      </c>
      <c r="BS20" s="483">
        <f>'Baseline data (from input)'!BA67</f>
        <v>0.22042757957220868</v>
      </c>
      <c r="BT20" s="1265">
        <f>'Baseline data (from input)'!BB67</f>
        <v>45.35475880749614</v>
      </c>
      <c r="BU20" s="1264">
        <f t="shared" si="7"/>
        <v>105.88590407147763</v>
      </c>
      <c r="BV20" s="483">
        <f t="shared" si="7"/>
        <v>0.22042757957220868</v>
      </c>
      <c r="BW20" s="1265">
        <f t="shared" si="7"/>
        <v>45.35475880749614</v>
      </c>
      <c r="BX20" s="1263">
        <f>'Baseline data (from input)'!AZ67</f>
        <v>105.88590407147763</v>
      </c>
      <c r="BY20" s="483">
        <f>'Baseline data (from input)'!BA67</f>
        <v>0.22042757957220868</v>
      </c>
      <c r="BZ20" s="1265">
        <f>'Baseline data (from input)'!BB67</f>
        <v>45.35475880749614</v>
      </c>
      <c r="CA20" s="677">
        <v>2010</v>
      </c>
      <c r="CB20" s="730">
        <v>0</v>
      </c>
      <c r="CC20" s="483">
        <v>0</v>
      </c>
      <c r="CD20" s="483">
        <v>0</v>
      </c>
      <c r="CE20" s="604">
        <v>0</v>
      </c>
      <c r="CF20" s="730">
        <v>0</v>
      </c>
      <c r="CG20" s="483">
        <v>0</v>
      </c>
      <c r="CH20" s="483">
        <v>0</v>
      </c>
      <c r="CI20" s="604">
        <v>0</v>
      </c>
      <c r="CJ20" s="730">
        <v>0</v>
      </c>
      <c r="CK20" s="483">
        <v>0</v>
      </c>
      <c r="CL20" s="483">
        <v>0</v>
      </c>
      <c r="CM20" s="604">
        <v>0</v>
      </c>
    </row>
    <row r="21" spans="1:91">
      <c r="A21">
        <f>'Input data'!A111</f>
        <v>2011</v>
      </c>
      <c r="C21" s="485">
        <f>'4A SWD Case 1'!BG80</f>
        <v>677.92862046795562</v>
      </c>
      <c r="D21" s="3">
        <f>'4B Biological treatment '!T74</f>
        <v>0.51839141046020676</v>
      </c>
      <c r="E21" s="178">
        <f>'4B Biological treatment '!U74</f>
        <v>26.838310203479956</v>
      </c>
      <c r="F21" s="178">
        <f>'4B Biological treatment '!W74</f>
        <v>1.6102986122087972</v>
      </c>
      <c r="G21" s="3">
        <f>'4C2 Open-burning '!R81</f>
        <v>31.719552574673102</v>
      </c>
      <c r="H21" s="3">
        <f>'4C2 Open-burning '!Z81</f>
        <v>10.672658335457273</v>
      </c>
      <c r="I21" s="3">
        <f>'4C2 Open-burning '!AH81</f>
        <v>0.14858141747353765</v>
      </c>
      <c r="J21" s="335">
        <f>'4D Wastewater treatment and dis'!AV118</f>
        <v>120.13367567213163</v>
      </c>
      <c r="K21" s="3">
        <f>'4D Wastewater treatment and dis'!AW118</f>
        <v>2.6103655114567585</v>
      </c>
      <c r="L21" s="485">
        <f t="shared" si="8"/>
        <v>14236.501029827068</v>
      </c>
      <c r="M21" s="3">
        <f t="shared" si="0"/>
        <v>10.886219619664342</v>
      </c>
      <c r="N21" s="485">
        <f t="shared" si="9"/>
        <v>1062.7970840578062</v>
      </c>
      <c r="O21" s="597">
        <f t="shared" si="10"/>
        <v>301.9056170360725</v>
      </c>
      <c r="P21" s="485">
        <f t="shared" si="11"/>
        <v>3332.0204976663595</v>
      </c>
      <c r="Q21" s="598">
        <f t="shared" si="12"/>
        <v>14236.501029827068</v>
      </c>
      <c r="R21" s="600">
        <f t="shared" si="13"/>
        <v>1073.6833036774706</v>
      </c>
      <c r="S21" s="597">
        <f t="shared" si="14"/>
        <v>301.9056170360725</v>
      </c>
      <c r="T21" s="598">
        <f t="shared" si="15"/>
        <v>3332.0204976663595</v>
      </c>
      <c r="U21" s="598">
        <f t="shared" si="16"/>
        <v>18944.110448206971</v>
      </c>
      <c r="V21" s="3"/>
      <c r="W21" s="677">
        <f t="shared" si="17"/>
        <v>2011</v>
      </c>
      <c r="X21" s="1263">
        <f t="shared" si="18"/>
        <v>14236.501029827068</v>
      </c>
      <c r="Y21" s="1264">
        <f t="shared" si="19"/>
        <v>1073.6833036774706</v>
      </c>
      <c r="Z21" s="1264">
        <f t="shared" si="20"/>
        <v>301.9056170360725</v>
      </c>
      <c r="AA21" s="1264">
        <f t="shared" si="21"/>
        <v>3332.0204976663595</v>
      </c>
      <c r="AB21" s="1331">
        <f t="shared" si="22"/>
        <v>18944.110448206971</v>
      </c>
      <c r="AC21" s="1264"/>
      <c r="AD21" s="1263">
        <f t="shared" si="23"/>
        <v>14236.501029827068</v>
      </c>
      <c r="AE21" s="1264">
        <f t="shared" si="24"/>
        <v>1073.6833036774706</v>
      </c>
      <c r="AF21" s="1264">
        <f t="shared" si="25"/>
        <v>301.9056170360725</v>
      </c>
      <c r="AG21" s="1264">
        <f t="shared" si="26"/>
        <v>3332.0204976663595</v>
      </c>
      <c r="AH21" s="1331">
        <f t="shared" si="27"/>
        <v>18944.110448206971</v>
      </c>
      <c r="AI21" s="118"/>
      <c r="AJ21" s="1263">
        <f t="shared" si="28"/>
        <v>14236.501029827068</v>
      </c>
      <c r="AK21" s="1264">
        <f t="shared" si="29"/>
        <v>1073.6833036774706</v>
      </c>
      <c r="AL21" s="1264">
        <f t="shared" si="30"/>
        <v>301.9056170360725</v>
      </c>
      <c r="AM21" s="1264">
        <f t="shared" si="31"/>
        <v>3332.0204976663595</v>
      </c>
      <c r="AN21" s="1331">
        <f t="shared" si="32"/>
        <v>18944.110448206971</v>
      </c>
      <c r="AO21" s="118"/>
      <c r="AP21" s="1263">
        <f t="shared" si="33"/>
        <v>14236.501029827068</v>
      </c>
      <c r="AQ21" s="1264">
        <f t="shared" si="34"/>
        <v>1073.6833036774706</v>
      </c>
      <c r="AR21" s="1264">
        <f t="shared" si="35"/>
        <v>301.9056170360725</v>
      </c>
      <c r="AS21" s="1264">
        <f t="shared" si="36"/>
        <v>3332.0204976663595</v>
      </c>
      <c r="AT21" s="1331">
        <f t="shared" si="37"/>
        <v>18944.110448206971</v>
      </c>
      <c r="AU21" s="1330"/>
      <c r="AV21" s="1263">
        <f t="shared" si="38"/>
        <v>14236.501029827068</v>
      </c>
      <c r="AW21" s="1264">
        <f t="shared" si="39"/>
        <v>1073.6833036774706</v>
      </c>
      <c r="AX21" s="1264">
        <f t="shared" si="40"/>
        <v>301.9056170360725</v>
      </c>
      <c r="AY21" s="1264">
        <f t="shared" si="41"/>
        <v>3332.0204976663595</v>
      </c>
      <c r="AZ21" s="1331">
        <f t="shared" si="42"/>
        <v>18944.110448206971</v>
      </c>
      <c r="BA21" s="1330"/>
      <c r="BB21" s="1263">
        <f t="shared" si="43"/>
        <v>14236.501029827068</v>
      </c>
      <c r="BC21" s="1264">
        <f t="shared" si="44"/>
        <v>1073.6833036774706</v>
      </c>
      <c r="BD21" s="1264">
        <f t="shared" si="45"/>
        <v>301.9056170360725</v>
      </c>
      <c r="BE21" s="1264">
        <f t="shared" si="46"/>
        <v>3332.0204976663595</v>
      </c>
      <c r="BF21" s="1331">
        <f t="shared" si="47"/>
        <v>18944.110448206971</v>
      </c>
      <c r="BG21" s="3"/>
      <c r="BH21" s="677">
        <f t="shared" si="48"/>
        <v>2011</v>
      </c>
      <c r="BI21" s="1264">
        <f>'Baseline data (from input)'!AZ68</f>
        <v>106.89995781963603</v>
      </c>
      <c r="BJ21" s="483">
        <f>'Baseline data (from input)'!BA68</f>
        <v>0.23459029705587137</v>
      </c>
      <c r="BK21" s="1265">
        <f>'Baseline data (from input)'!BB68</f>
        <v>46.358860861447063</v>
      </c>
      <c r="BL21" s="1263">
        <f>'Baseline data (from input)'!AZ67</f>
        <v>105.88590407147763</v>
      </c>
      <c r="BM21" s="483">
        <f>'Baseline data (from input)'!BA67</f>
        <v>0.22042757957220868</v>
      </c>
      <c r="BN21" s="1265">
        <f>'Baseline data (from input)'!BB67</f>
        <v>45.35475880749614</v>
      </c>
      <c r="BO21" s="1264">
        <f t="shared" si="6"/>
        <v>106.89995781963603</v>
      </c>
      <c r="BP21" s="483">
        <f t="shared" si="6"/>
        <v>0.23459029705587137</v>
      </c>
      <c r="BQ21" s="1265">
        <f t="shared" si="6"/>
        <v>46.358860861447063</v>
      </c>
      <c r="BR21" s="1263">
        <f>'Baseline data (from input)'!AZ68</f>
        <v>106.89995781963603</v>
      </c>
      <c r="BS21" s="483">
        <f>'Baseline data (from input)'!BA68</f>
        <v>0.23459029705587137</v>
      </c>
      <c r="BT21" s="1265">
        <f>'Baseline data (from input)'!BB68</f>
        <v>46.358860861447063</v>
      </c>
      <c r="BU21" s="1264">
        <f t="shared" si="7"/>
        <v>106.89995781963603</v>
      </c>
      <c r="BV21" s="483">
        <f t="shared" si="7"/>
        <v>0.23459029705587137</v>
      </c>
      <c r="BW21" s="1265">
        <f t="shared" si="7"/>
        <v>46.358860861447063</v>
      </c>
      <c r="BX21" s="1263">
        <f>'Baseline data (from input)'!AZ68</f>
        <v>106.89995781963603</v>
      </c>
      <c r="BY21" s="483">
        <f>'Baseline data (from input)'!BA68</f>
        <v>0.23459029705587137</v>
      </c>
      <c r="BZ21" s="1265">
        <f>'Baseline data (from input)'!BB68</f>
        <v>46.358860861447063</v>
      </c>
      <c r="CA21" s="677">
        <v>2011</v>
      </c>
      <c r="CB21" s="730">
        <v>0</v>
      </c>
      <c r="CC21" s="483">
        <v>0</v>
      </c>
      <c r="CD21" s="483">
        <v>0</v>
      </c>
      <c r="CE21" s="604">
        <v>0</v>
      </c>
      <c r="CF21" s="730">
        <v>0</v>
      </c>
      <c r="CG21" s="483">
        <v>0</v>
      </c>
      <c r="CH21" s="483">
        <v>0</v>
      </c>
      <c r="CI21" s="604">
        <v>0</v>
      </c>
      <c r="CJ21" s="730">
        <v>0</v>
      </c>
      <c r="CK21" s="483">
        <v>0</v>
      </c>
      <c r="CL21" s="483">
        <v>0</v>
      </c>
      <c r="CM21" s="604">
        <v>0</v>
      </c>
    </row>
    <row r="22" spans="1:91">
      <c r="A22">
        <f>'Input data'!A112</f>
        <v>2012</v>
      </c>
      <c r="C22" s="485">
        <f>'4A SWD Case 1'!BG81</f>
        <v>690.48872861866789</v>
      </c>
      <c r="D22" s="3">
        <f>'4B Biological treatment '!T75</f>
        <v>0.54050289257869544</v>
      </c>
      <c r="E22" s="178">
        <f>'4B Biological treatment '!U75</f>
        <v>28.44279438238592</v>
      </c>
      <c r="F22" s="178">
        <f>'4B Biological treatment '!W75</f>
        <v>1.706567662943155</v>
      </c>
      <c r="G22" s="3">
        <f>'4C2 Open-burning '!R82</f>
        <v>32.155386437255011</v>
      </c>
      <c r="H22" s="3">
        <f>'4C2 Open-burning '!Z82</f>
        <v>10.819303086999996</v>
      </c>
      <c r="I22" s="3">
        <f>'4C2 Open-burning '!AH82</f>
        <v>0.15062295992382718</v>
      </c>
      <c r="J22" s="335">
        <f>'4D Wastewater treatment and dis'!AV119</f>
        <v>121.41922272207</v>
      </c>
      <c r="K22" s="3">
        <f>'4D Wastewater treatment and dis'!AW119</f>
        <v>2.6382989586250001</v>
      </c>
      <c r="L22" s="485">
        <f t="shared" si="8"/>
        <v>14500.263300992026</v>
      </c>
      <c r="M22" s="3">
        <f t="shared" si="0"/>
        <v>11.350560744152604</v>
      </c>
      <c r="N22" s="485">
        <f t="shared" si="9"/>
        <v>1126.3346575424823</v>
      </c>
      <c r="O22" s="597">
        <f t="shared" si="10"/>
        <v>306.05386884064137</v>
      </c>
      <c r="P22" s="485">
        <f t="shared" si="11"/>
        <v>3367.6763543372203</v>
      </c>
      <c r="Q22" s="598">
        <f t="shared" si="12"/>
        <v>14500.263300992026</v>
      </c>
      <c r="R22" s="600">
        <f t="shared" si="13"/>
        <v>1137.6852182866348</v>
      </c>
      <c r="S22" s="597">
        <f t="shared" si="14"/>
        <v>306.05386884064137</v>
      </c>
      <c r="T22" s="598">
        <f t="shared" si="15"/>
        <v>3367.6763543372203</v>
      </c>
      <c r="U22" s="598">
        <f t="shared" si="16"/>
        <v>19311.678742456523</v>
      </c>
      <c r="V22" s="3"/>
      <c r="W22" s="677">
        <f t="shared" si="17"/>
        <v>2012</v>
      </c>
      <c r="X22" s="1263">
        <f t="shared" si="18"/>
        <v>14500.263300992026</v>
      </c>
      <c r="Y22" s="1264">
        <f t="shared" si="19"/>
        <v>1137.6852182866348</v>
      </c>
      <c r="Z22" s="1264">
        <f t="shared" si="20"/>
        <v>306.05386884064137</v>
      </c>
      <c r="AA22" s="1264">
        <f t="shared" si="21"/>
        <v>3367.6763543372203</v>
      </c>
      <c r="AB22" s="1331">
        <f t="shared" si="22"/>
        <v>19311.678742456523</v>
      </c>
      <c r="AC22" s="1264"/>
      <c r="AD22" s="1263">
        <f t="shared" si="23"/>
        <v>14500.263300992026</v>
      </c>
      <c r="AE22" s="1264">
        <f t="shared" si="24"/>
        <v>1137.6852182866348</v>
      </c>
      <c r="AF22" s="1264">
        <f t="shared" si="25"/>
        <v>306.05386884064137</v>
      </c>
      <c r="AG22" s="1264">
        <f t="shared" si="26"/>
        <v>3367.6763543372203</v>
      </c>
      <c r="AH22" s="1331">
        <f t="shared" si="27"/>
        <v>19311.678742456523</v>
      </c>
      <c r="AI22" s="118"/>
      <c r="AJ22" s="1263">
        <f t="shared" si="28"/>
        <v>14500.263300992026</v>
      </c>
      <c r="AK22" s="1264">
        <f t="shared" si="29"/>
        <v>1137.6852182866348</v>
      </c>
      <c r="AL22" s="1264">
        <f t="shared" si="30"/>
        <v>306.05386884064137</v>
      </c>
      <c r="AM22" s="1264">
        <f t="shared" si="31"/>
        <v>3367.6763543372203</v>
      </c>
      <c r="AN22" s="1331">
        <f t="shared" si="32"/>
        <v>19311.678742456523</v>
      </c>
      <c r="AO22" s="118"/>
      <c r="AP22" s="1263">
        <f t="shared" si="33"/>
        <v>14500.263300992026</v>
      </c>
      <c r="AQ22" s="1264">
        <f t="shared" si="34"/>
        <v>1137.6852182866348</v>
      </c>
      <c r="AR22" s="1264">
        <f t="shared" si="35"/>
        <v>306.05386884064137</v>
      </c>
      <c r="AS22" s="1264">
        <f t="shared" si="36"/>
        <v>3367.6763543372203</v>
      </c>
      <c r="AT22" s="1331">
        <f t="shared" si="37"/>
        <v>19311.678742456523</v>
      </c>
      <c r="AU22" s="1330"/>
      <c r="AV22" s="1263">
        <f t="shared" si="38"/>
        <v>14500.263300992026</v>
      </c>
      <c r="AW22" s="1264">
        <f t="shared" si="39"/>
        <v>1137.6852182866348</v>
      </c>
      <c r="AX22" s="1264">
        <f t="shared" si="40"/>
        <v>306.05386884064137</v>
      </c>
      <c r="AY22" s="1264">
        <f t="shared" si="41"/>
        <v>3367.6763543372203</v>
      </c>
      <c r="AZ22" s="1331">
        <f t="shared" si="42"/>
        <v>19311.678742456523</v>
      </c>
      <c r="BA22" s="1330"/>
      <c r="BB22" s="1263">
        <f t="shared" si="43"/>
        <v>14500.263300992026</v>
      </c>
      <c r="BC22" s="1264">
        <f t="shared" si="44"/>
        <v>1137.6852182866348</v>
      </c>
      <c r="BD22" s="1264">
        <f t="shared" si="45"/>
        <v>306.05386884064137</v>
      </c>
      <c r="BE22" s="1264">
        <f t="shared" si="46"/>
        <v>3367.6763543372203</v>
      </c>
      <c r="BF22" s="1331">
        <f t="shared" si="47"/>
        <v>19311.678742456523</v>
      </c>
      <c r="BG22" s="3"/>
      <c r="BH22" s="677">
        <f t="shared" si="48"/>
        <v>2012</v>
      </c>
      <c r="BI22" s="1264">
        <f>'Baseline data (from input)'!AZ69</f>
        <v>108.25365662961583</v>
      </c>
      <c r="BJ22" s="483">
        <f>'Baseline data (from input)'!BA69</f>
        <v>0.2479747563458998</v>
      </c>
      <c r="BK22" s="1265">
        <f>'Baseline data (from input)'!BB69</f>
        <v>47.507426560393391</v>
      </c>
      <c r="BL22" s="1263">
        <f>'Baseline data (from input)'!AZ68</f>
        <v>106.89995781963603</v>
      </c>
      <c r="BM22" s="483">
        <f>'Baseline data (from input)'!BA68</f>
        <v>0.23459029705587137</v>
      </c>
      <c r="BN22" s="1265">
        <f>'Baseline data (from input)'!BB68</f>
        <v>46.358860861447063</v>
      </c>
      <c r="BO22" s="1264">
        <f t="shared" si="6"/>
        <v>108.25365662961583</v>
      </c>
      <c r="BP22" s="483">
        <f t="shared" si="6"/>
        <v>0.2479747563458998</v>
      </c>
      <c r="BQ22" s="1265">
        <f t="shared" si="6"/>
        <v>47.507426560393391</v>
      </c>
      <c r="BR22" s="1263">
        <f>'Baseline data (from input)'!AZ69</f>
        <v>108.25365662961583</v>
      </c>
      <c r="BS22" s="483">
        <f>'Baseline data (from input)'!BA69</f>
        <v>0.2479747563458998</v>
      </c>
      <c r="BT22" s="1265">
        <f>'Baseline data (from input)'!BB69</f>
        <v>47.507426560393391</v>
      </c>
      <c r="BU22" s="1264">
        <f t="shared" si="7"/>
        <v>108.25365662961583</v>
      </c>
      <c r="BV22" s="483">
        <f t="shared" si="7"/>
        <v>0.2479747563458998</v>
      </c>
      <c r="BW22" s="1265">
        <f t="shared" si="7"/>
        <v>47.507426560393391</v>
      </c>
      <c r="BX22" s="1263">
        <f>'Baseline data (from input)'!AZ69</f>
        <v>108.25365662961583</v>
      </c>
      <c r="BY22" s="483">
        <f>'Baseline data (from input)'!BA69</f>
        <v>0.2479747563458998</v>
      </c>
      <c r="BZ22" s="1265">
        <f>'Baseline data (from input)'!BB69</f>
        <v>47.507426560393391</v>
      </c>
      <c r="CA22" s="677">
        <v>2012</v>
      </c>
      <c r="CB22" s="730">
        <v>0</v>
      </c>
      <c r="CC22" s="483">
        <v>0</v>
      </c>
      <c r="CD22" s="483">
        <v>0</v>
      </c>
      <c r="CE22" s="604">
        <v>0</v>
      </c>
      <c r="CF22" s="730">
        <v>0</v>
      </c>
      <c r="CG22" s="483">
        <v>0</v>
      </c>
      <c r="CH22" s="483">
        <v>0</v>
      </c>
      <c r="CI22" s="604">
        <v>0</v>
      </c>
      <c r="CJ22" s="730">
        <v>0</v>
      </c>
      <c r="CK22" s="483">
        <v>0</v>
      </c>
      <c r="CL22" s="483">
        <v>0</v>
      </c>
      <c r="CM22" s="604">
        <v>0</v>
      </c>
    </row>
    <row r="23" spans="1:91">
      <c r="A23">
        <f>'Input data'!A113</f>
        <v>2013</v>
      </c>
      <c r="C23" s="485">
        <f>'4A SWD Case 1'!BG82</f>
        <v>700.48320034338349</v>
      </c>
      <c r="D23" s="3">
        <f>'4B Biological treatment '!T76</f>
        <v>0.56363599123565356</v>
      </c>
      <c r="E23" s="178">
        <f>'4B Biological treatment '!U76</f>
        <v>30.072955552058957</v>
      </c>
      <c r="F23" s="178">
        <f>'4B Biological treatment '!W76</f>
        <v>1.8043773331235373</v>
      </c>
      <c r="G23" s="3">
        <f>'4C2 Open-burning '!R83</f>
        <v>32.638447419270648</v>
      </c>
      <c r="H23" s="3">
        <f>'4C2 Open-burning '!Z83</f>
        <v>10.981838318356312</v>
      </c>
      <c r="I23" s="3">
        <f>'4C2 Open-burning '!AH83</f>
        <v>0.15288572467326916</v>
      </c>
      <c r="J23" s="335">
        <f>'4D Wastewater treatment and dis'!AV120</f>
        <v>123.22687823091842</v>
      </c>
      <c r="K23" s="3">
        <f>'4D Wastewater treatment and dis'!AW120</f>
        <v>2.6775772173687913</v>
      </c>
      <c r="L23" s="485">
        <f t="shared" si="8"/>
        <v>14710.147207211054</v>
      </c>
      <c r="M23" s="3">
        <f t="shared" si="0"/>
        <v>11.836355815948725</v>
      </c>
      <c r="N23" s="485">
        <f t="shared" si="9"/>
        <v>1190.8890398615347</v>
      </c>
      <c r="O23" s="597">
        <f t="shared" si="10"/>
        <v>310.65162675346664</v>
      </c>
      <c r="P23" s="485">
        <f t="shared" si="11"/>
        <v>3417.813380233612</v>
      </c>
      <c r="Q23" s="598">
        <f t="shared" si="12"/>
        <v>14710.147207211054</v>
      </c>
      <c r="R23" s="600">
        <f t="shared" si="13"/>
        <v>1202.7253956774834</v>
      </c>
      <c r="S23" s="597">
        <f t="shared" si="14"/>
        <v>310.65162675346664</v>
      </c>
      <c r="T23" s="598">
        <f t="shared" si="15"/>
        <v>3417.813380233612</v>
      </c>
      <c r="U23" s="598">
        <f t="shared" si="16"/>
        <v>19641.337609875616</v>
      </c>
      <c r="V23" s="3"/>
      <c r="W23" s="677">
        <f t="shared" si="17"/>
        <v>2013</v>
      </c>
      <c r="X23" s="1263">
        <f t="shared" si="18"/>
        <v>14710.147207211054</v>
      </c>
      <c r="Y23" s="1264">
        <f t="shared" si="19"/>
        <v>1202.7253956774834</v>
      </c>
      <c r="Z23" s="1264">
        <f t="shared" si="20"/>
        <v>310.65162675346664</v>
      </c>
      <c r="AA23" s="1264">
        <f t="shared" si="21"/>
        <v>3417.813380233612</v>
      </c>
      <c r="AB23" s="1331">
        <f t="shared" si="22"/>
        <v>19641.337609875616</v>
      </c>
      <c r="AC23" s="1264"/>
      <c r="AD23" s="1263">
        <f t="shared" si="23"/>
        <v>14710.147207211054</v>
      </c>
      <c r="AE23" s="1264">
        <f t="shared" si="24"/>
        <v>1202.7253956774834</v>
      </c>
      <c r="AF23" s="1264">
        <f t="shared" si="25"/>
        <v>310.65162675346664</v>
      </c>
      <c r="AG23" s="1264">
        <f t="shared" si="26"/>
        <v>3417.813380233612</v>
      </c>
      <c r="AH23" s="1331">
        <f t="shared" si="27"/>
        <v>19641.337609875616</v>
      </c>
      <c r="AI23" s="118"/>
      <c r="AJ23" s="1263">
        <f t="shared" si="28"/>
        <v>14710.147207211054</v>
      </c>
      <c r="AK23" s="1264">
        <f t="shared" si="29"/>
        <v>1202.7253956774834</v>
      </c>
      <c r="AL23" s="1264">
        <f t="shared" si="30"/>
        <v>310.65162675346664</v>
      </c>
      <c r="AM23" s="1264">
        <f t="shared" si="31"/>
        <v>3417.813380233612</v>
      </c>
      <c r="AN23" s="1331">
        <f t="shared" si="32"/>
        <v>19641.337609875616</v>
      </c>
      <c r="AO23" s="118"/>
      <c r="AP23" s="1263">
        <f t="shared" si="33"/>
        <v>14710.147207211054</v>
      </c>
      <c r="AQ23" s="1264">
        <f t="shared" si="34"/>
        <v>1202.7253956774834</v>
      </c>
      <c r="AR23" s="1264">
        <f t="shared" si="35"/>
        <v>310.65162675346664</v>
      </c>
      <c r="AS23" s="1264">
        <f t="shared" si="36"/>
        <v>3417.813380233612</v>
      </c>
      <c r="AT23" s="1331">
        <f t="shared" si="37"/>
        <v>19641.337609875616</v>
      </c>
      <c r="AU23" s="1330"/>
      <c r="AV23" s="1263">
        <f t="shared" si="38"/>
        <v>14710.147207211054</v>
      </c>
      <c r="AW23" s="1264">
        <f t="shared" si="39"/>
        <v>1202.7253956774834</v>
      </c>
      <c r="AX23" s="1264">
        <f t="shared" si="40"/>
        <v>310.65162675346664</v>
      </c>
      <c r="AY23" s="1264">
        <f t="shared" si="41"/>
        <v>3417.813380233612</v>
      </c>
      <c r="AZ23" s="1331">
        <f t="shared" si="42"/>
        <v>19641.337609875616</v>
      </c>
      <c r="BA23" s="1330"/>
      <c r="BB23" s="1263">
        <f t="shared" si="43"/>
        <v>14710.147207211054</v>
      </c>
      <c r="BC23" s="1264">
        <f t="shared" si="44"/>
        <v>1202.7253956774834</v>
      </c>
      <c r="BD23" s="1264">
        <f t="shared" si="45"/>
        <v>310.65162675346664</v>
      </c>
      <c r="BE23" s="1264">
        <f t="shared" si="46"/>
        <v>3417.813380233612</v>
      </c>
      <c r="BF23" s="1331">
        <f t="shared" si="47"/>
        <v>19641.337609875616</v>
      </c>
      <c r="BG23" s="3"/>
      <c r="BH23" s="677">
        <f t="shared" si="48"/>
        <v>2013</v>
      </c>
      <c r="BI23" s="1264">
        <f>'Baseline data (from input)'!AZ70</f>
        <v>109.15083960718961</v>
      </c>
      <c r="BJ23" s="483">
        <f>'Baseline data (from input)'!BA70</f>
        <v>0.26091497211589859</v>
      </c>
      <c r="BK23" s="1265">
        <f>'Baseline data (from input)'!BB70</f>
        <v>48.399651749043436</v>
      </c>
      <c r="BL23" s="1263">
        <f>'Baseline data (from input)'!AZ69</f>
        <v>108.25365662961583</v>
      </c>
      <c r="BM23" s="483">
        <f>'Baseline data (from input)'!BA69</f>
        <v>0.2479747563458998</v>
      </c>
      <c r="BN23" s="1265">
        <f>'Baseline data (from input)'!BB69</f>
        <v>47.507426560393391</v>
      </c>
      <c r="BO23" s="1264">
        <f t="shared" si="6"/>
        <v>109.15083960718961</v>
      </c>
      <c r="BP23" s="483">
        <f t="shared" si="6"/>
        <v>0.26091497211589859</v>
      </c>
      <c r="BQ23" s="1265">
        <f t="shared" si="6"/>
        <v>48.399651749043436</v>
      </c>
      <c r="BR23" s="1263">
        <f>'Baseline data (from input)'!AZ70</f>
        <v>109.15083960718961</v>
      </c>
      <c r="BS23" s="483">
        <f>'Baseline data (from input)'!BA70</f>
        <v>0.26091497211589859</v>
      </c>
      <c r="BT23" s="1265">
        <f>'Baseline data (from input)'!BB70</f>
        <v>48.399651749043436</v>
      </c>
      <c r="BU23" s="1264">
        <f t="shared" si="7"/>
        <v>109.15083960718961</v>
      </c>
      <c r="BV23" s="483">
        <f t="shared" si="7"/>
        <v>0.26091497211589859</v>
      </c>
      <c r="BW23" s="1265">
        <f t="shared" si="7"/>
        <v>48.399651749043436</v>
      </c>
      <c r="BX23" s="1263">
        <f>'Baseline data (from input)'!AZ70</f>
        <v>109.15083960718961</v>
      </c>
      <c r="BY23" s="483">
        <f>'Baseline data (from input)'!BA70</f>
        <v>0.26091497211589859</v>
      </c>
      <c r="BZ23" s="1265">
        <f>'Baseline data (from input)'!BB70</f>
        <v>48.399651749043436</v>
      </c>
      <c r="CA23" s="677">
        <v>2013</v>
      </c>
      <c r="CB23" s="730">
        <v>0</v>
      </c>
      <c r="CC23" s="483">
        <v>0</v>
      </c>
      <c r="CD23" s="483">
        <v>0</v>
      </c>
      <c r="CE23" s="604">
        <v>0</v>
      </c>
      <c r="CF23" s="730">
        <v>0</v>
      </c>
      <c r="CG23" s="483">
        <v>0</v>
      </c>
      <c r="CH23" s="483">
        <v>0</v>
      </c>
      <c r="CI23" s="604">
        <v>0</v>
      </c>
      <c r="CJ23" s="730">
        <v>0</v>
      </c>
      <c r="CK23" s="483">
        <v>0</v>
      </c>
      <c r="CL23" s="483">
        <v>0</v>
      </c>
      <c r="CM23" s="604">
        <v>0</v>
      </c>
    </row>
    <row r="24" spans="1:91">
      <c r="A24">
        <f>'Input data'!A114</f>
        <v>2014</v>
      </c>
      <c r="C24" s="485">
        <f>'4A SWD Case 1'!BG83</f>
        <v>708.25675785875819</v>
      </c>
      <c r="D24" s="3">
        <f>'4B Biological treatment '!T77</f>
        <v>0.58353531218919341</v>
      </c>
      <c r="E24" s="178">
        <f>'4B Biological treatment '!U77</f>
        <v>31.522560528480398</v>
      </c>
      <c r="F24" s="178">
        <f>'4B Biological treatment '!W77</f>
        <v>1.891353631708824</v>
      </c>
      <c r="G24" s="3">
        <f>'4C2 Open-burning '!R84</f>
        <v>33.044540792206639</v>
      </c>
      <c r="H24" s="3">
        <f>'4C2 Open-burning '!Z84</f>
        <v>11.118476305649356</v>
      </c>
      <c r="I24" s="3">
        <f>'4C2 Open-burning '!AH84</f>
        <v>0.15478795607566345</v>
      </c>
      <c r="J24" s="335">
        <f>'4D Wastewater treatment and dis'!AV121</f>
        <v>125.10182771891525</v>
      </c>
      <c r="K24" s="3">
        <f>'4D Wastewater treatment and dis'!AW121</f>
        <v>2.7183176962712094</v>
      </c>
      <c r="L24" s="485">
        <f t="shared" si="8"/>
        <v>14873.391915033922</v>
      </c>
      <c r="M24" s="3">
        <f t="shared" si="0"/>
        <v>12.254241555973062</v>
      </c>
      <c r="N24" s="485">
        <f t="shared" si="9"/>
        <v>1248.2933969278238</v>
      </c>
      <c r="O24" s="597">
        <f t="shared" si="10"/>
        <v>314.51680959429882</v>
      </c>
      <c r="P24" s="485">
        <f t="shared" si="11"/>
        <v>3469.8168679412947</v>
      </c>
      <c r="Q24" s="598">
        <f t="shared" si="12"/>
        <v>14873.391915033922</v>
      </c>
      <c r="R24" s="600">
        <f t="shared" si="13"/>
        <v>1260.5476384837968</v>
      </c>
      <c r="S24" s="597">
        <f t="shared" si="14"/>
        <v>314.51680959429882</v>
      </c>
      <c r="T24" s="598">
        <f t="shared" si="15"/>
        <v>3469.8168679412947</v>
      </c>
      <c r="U24" s="598">
        <f t="shared" si="16"/>
        <v>19918.273231053314</v>
      </c>
      <c r="V24" s="3"/>
      <c r="W24" s="677">
        <f t="shared" si="17"/>
        <v>2014</v>
      </c>
      <c r="X24" s="1263">
        <f t="shared" si="18"/>
        <v>14873.391915033922</v>
      </c>
      <c r="Y24" s="1264">
        <f t="shared" si="19"/>
        <v>1260.5476384837968</v>
      </c>
      <c r="Z24" s="1264">
        <f t="shared" si="20"/>
        <v>314.51680959429882</v>
      </c>
      <c r="AA24" s="1264">
        <f t="shared" si="21"/>
        <v>3469.8168679412947</v>
      </c>
      <c r="AB24" s="1331">
        <f t="shared" si="22"/>
        <v>19918.273231053314</v>
      </c>
      <c r="AC24" s="1264"/>
      <c r="AD24" s="1263">
        <f t="shared" si="23"/>
        <v>14873.391915033922</v>
      </c>
      <c r="AE24" s="1264">
        <f t="shared" si="24"/>
        <v>1260.5476384837968</v>
      </c>
      <c r="AF24" s="1264">
        <f t="shared" si="25"/>
        <v>314.51680959429882</v>
      </c>
      <c r="AG24" s="1264">
        <f t="shared" si="26"/>
        <v>3469.8168679412947</v>
      </c>
      <c r="AH24" s="1331">
        <f t="shared" si="27"/>
        <v>19918.273231053314</v>
      </c>
      <c r="AI24" s="118"/>
      <c r="AJ24" s="1263">
        <f t="shared" si="28"/>
        <v>14873.391915033922</v>
      </c>
      <c r="AK24" s="1264">
        <f t="shared" si="29"/>
        <v>1260.5476384837968</v>
      </c>
      <c r="AL24" s="1264">
        <f t="shared" si="30"/>
        <v>314.51680959429882</v>
      </c>
      <c r="AM24" s="1264">
        <f t="shared" si="31"/>
        <v>3469.8168679412947</v>
      </c>
      <c r="AN24" s="1331">
        <f t="shared" si="32"/>
        <v>19918.273231053314</v>
      </c>
      <c r="AO24" s="118"/>
      <c r="AP24" s="1263">
        <f t="shared" si="33"/>
        <v>14873.391915033922</v>
      </c>
      <c r="AQ24" s="1264">
        <f t="shared" si="34"/>
        <v>1260.5476384837968</v>
      </c>
      <c r="AR24" s="1264">
        <f t="shared" si="35"/>
        <v>314.51680959429882</v>
      </c>
      <c r="AS24" s="1264">
        <f t="shared" si="36"/>
        <v>3469.8168679412947</v>
      </c>
      <c r="AT24" s="1331">
        <f t="shared" si="37"/>
        <v>19918.273231053314</v>
      </c>
      <c r="AU24" s="1330"/>
      <c r="AV24" s="1263">
        <f t="shared" si="38"/>
        <v>14873.391915033922</v>
      </c>
      <c r="AW24" s="1264">
        <f t="shared" si="39"/>
        <v>1260.5476384837968</v>
      </c>
      <c r="AX24" s="1264">
        <f t="shared" si="40"/>
        <v>314.51680959429882</v>
      </c>
      <c r="AY24" s="1264">
        <f t="shared" si="41"/>
        <v>3469.8168679412947</v>
      </c>
      <c r="AZ24" s="1331">
        <f t="shared" si="42"/>
        <v>19918.273231053314</v>
      </c>
      <c r="BA24" s="1330"/>
      <c r="BB24" s="1263">
        <f t="shared" si="43"/>
        <v>14873.391915033922</v>
      </c>
      <c r="BC24" s="1264">
        <f t="shared" si="44"/>
        <v>1260.5476384837968</v>
      </c>
      <c r="BD24" s="1264">
        <f t="shared" si="45"/>
        <v>314.51680959429882</v>
      </c>
      <c r="BE24" s="1264">
        <f t="shared" si="46"/>
        <v>3469.8168679412947</v>
      </c>
      <c r="BF24" s="1331">
        <f t="shared" si="47"/>
        <v>19918.273231053314</v>
      </c>
      <c r="BG24" s="3"/>
      <c r="BH24" s="677">
        <f t="shared" si="48"/>
        <v>2014</v>
      </c>
      <c r="BI24" s="1264">
        <f>'Baseline data (from input)'!AZ71</f>
        <v>109.55725853991771</v>
      </c>
      <c r="BJ24" s="483">
        <f>'Baseline data (from input)'!BA71</f>
        <v>0.27355978971582146</v>
      </c>
      <c r="BK24" s="1265">
        <f>'Baseline data (from input)'!BB71</f>
        <v>49.016310889124959</v>
      </c>
      <c r="BL24" s="1263">
        <f>'Baseline data (from input)'!AZ70</f>
        <v>109.15083960718961</v>
      </c>
      <c r="BM24" s="483">
        <f>'Baseline data (from input)'!BA70</f>
        <v>0.26091497211589859</v>
      </c>
      <c r="BN24" s="1265">
        <f>'Baseline data (from input)'!BB70</f>
        <v>48.399651749043436</v>
      </c>
      <c r="BO24" s="1264">
        <f t="shared" si="6"/>
        <v>109.55725853991771</v>
      </c>
      <c r="BP24" s="483">
        <f t="shared" si="6"/>
        <v>0.27355978971582146</v>
      </c>
      <c r="BQ24" s="1265">
        <f t="shared" si="6"/>
        <v>49.016310889124959</v>
      </c>
      <c r="BR24" s="1263">
        <f>'Baseline data (from input)'!AZ71</f>
        <v>109.55725853991771</v>
      </c>
      <c r="BS24" s="483">
        <f>'Baseline data (from input)'!BA71</f>
        <v>0.27355978971582146</v>
      </c>
      <c r="BT24" s="1265">
        <f>'Baseline data (from input)'!BB71</f>
        <v>49.016310889124959</v>
      </c>
      <c r="BU24" s="1264">
        <f t="shared" si="7"/>
        <v>109.55725853991771</v>
      </c>
      <c r="BV24" s="483">
        <f t="shared" si="7"/>
        <v>0.27355978971582146</v>
      </c>
      <c r="BW24" s="1265">
        <f t="shared" si="7"/>
        <v>49.016310889124959</v>
      </c>
      <c r="BX24" s="1263">
        <f>'Baseline data (from input)'!AZ71</f>
        <v>109.55725853991771</v>
      </c>
      <c r="BY24" s="483">
        <f>'Baseline data (from input)'!BA71</f>
        <v>0.27355978971582146</v>
      </c>
      <c r="BZ24" s="1265">
        <f>'Baseline data (from input)'!BB71</f>
        <v>49.016310889124959</v>
      </c>
      <c r="CA24" s="677">
        <v>2014</v>
      </c>
      <c r="CB24" s="730">
        <v>0</v>
      </c>
      <c r="CC24" s="483">
        <v>0</v>
      </c>
      <c r="CD24" s="483">
        <v>0</v>
      </c>
      <c r="CE24" s="604">
        <v>0</v>
      </c>
      <c r="CF24" s="730">
        <v>0</v>
      </c>
      <c r="CG24" s="483">
        <v>0</v>
      </c>
      <c r="CH24" s="483">
        <v>0</v>
      </c>
      <c r="CI24" s="604">
        <v>0</v>
      </c>
      <c r="CJ24" s="730">
        <v>0</v>
      </c>
      <c r="CK24" s="483">
        <v>0</v>
      </c>
      <c r="CL24" s="483">
        <v>0</v>
      </c>
      <c r="CM24" s="604">
        <v>0</v>
      </c>
    </row>
    <row r="25" spans="1:91">
      <c r="A25">
        <f>'Input data'!A115</f>
        <v>2015</v>
      </c>
      <c r="C25" s="485">
        <f>'4A SWD Case 1'!BG84</f>
        <v>713.88174040745218</v>
      </c>
      <c r="D25" s="3">
        <f>'4B Biological treatment '!T78</f>
        <v>0.59998055671787609</v>
      </c>
      <c r="E25" s="178">
        <f>'4B Biological treatment '!U78</f>
        <v>32.780179884756507</v>
      </c>
      <c r="F25" s="178">
        <f>'4B Biological treatment '!W78</f>
        <v>1.9668107930853904</v>
      </c>
      <c r="G25" s="3">
        <f>'4C2 Open-burning '!R85</f>
        <v>33.369862125470313</v>
      </c>
      <c r="H25" s="3">
        <f>'4C2 Open-burning '!Z85</f>
        <v>11.22793697445876</v>
      </c>
      <c r="I25" s="3">
        <f>'4C2 Open-burning '!AH85</f>
        <v>0.15631183333455312</v>
      </c>
      <c r="J25" s="335">
        <f>'4D Wastewater treatment and dis'!AV122</f>
        <v>127.04639166810001</v>
      </c>
      <c r="K25" s="3">
        <f>'4D Wastewater treatment and dis'!AW122</f>
        <v>2.7605708167170335</v>
      </c>
      <c r="L25" s="485">
        <f t="shared" si="8"/>
        <v>14991.516548556496</v>
      </c>
      <c r="M25" s="3">
        <f t="shared" si="0"/>
        <v>12.599591691075398</v>
      </c>
      <c r="N25" s="485">
        <f t="shared" si="9"/>
        <v>1298.0951234363577</v>
      </c>
      <c r="O25" s="597">
        <f t="shared" si="10"/>
        <v>317.61320692281578</v>
      </c>
      <c r="P25" s="485">
        <f t="shared" si="11"/>
        <v>3523.7511782123806</v>
      </c>
      <c r="Q25" s="598">
        <f t="shared" si="12"/>
        <v>14991.516548556496</v>
      </c>
      <c r="R25" s="600">
        <f t="shared" si="13"/>
        <v>1310.694715127433</v>
      </c>
      <c r="S25" s="597">
        <f t="shared" si="14"/>
        <v>317.61320692281578</v>
      </c>
      <c r="T25" s="598">
        <f t="shared" si="15"/>
        <v>3523.7511782123806</v>
      </c>
      <c r="U25" s="598">
        <f t="shared" si="16"/>
        <v>20143.575648819125</v>
      </c>
      <c r="V25" s="3"/>
      <c r="W25" s="677">
        <f t="shared" si="17"/>
        <v>2015</v>
      </c>
      <c r="X25" s="1263">
        <f t="shared" si="18"/>
        <v>14991.516548556496</v>
      </c>
      <c r="Y25" s="1264">
        <f t="shared" si="19"/>
        <v>1310.694715127433</v>
      </c>
      <c r="Z25" s="1264">
        <f t="shared" si="20"/>
        <v>317.61320692281578</v>
      </c>
      <c r="AA25" s="1264">
        <f t="shared" si="21"/>
        <v>3523.7511782123806</v>
      </c>
      <c r="AB25" s="1331">
        <f t="shared" si="22"/>
        <v>20143.575648819125</v>
      </c>
      <c r="AC25" s="1264"/>
      <c r="AD25" s="1263">
        <f t="shared" si="23"/>
        <v>14991.516548556496</v>
      </c>
      <c r="AE25" s="1264">
        <f t="shared" si="24"/>
        <v>1310.694715127433</v>
      </c>
      <c r="AF25" s="1264">
        <f t="shared" si="25"/>
        <v>317.61320692281578</v>
      </c>
      <c r="AG25" s="1264">
        <f t="shared" si="26"/>
        <v>3523.7511782123806</v>
      </c>
      <c r="AH25" s="1331">
        <f t="shared" si="27"/>
        <v>20143.575648819125</v>
      </c>
      <c r="AI25" s="118"/>
      <c r="AJ25" s="1263">
        <f t="shared" si="28"/>
        <v>14991.516548556496</v>
      </c>
      <c r="AK25" s="1264">
        <f t="shared" si="29"/>
        <v>1310.694715127433</v>
      </c>
      <c r="AL25" s="1264">
        <f t="shared" si="30"/>
        <v>317.61320692281578</v>
      </c>
      <c r="AM25" s="1264">
        <f t="shared" si="31"/>
        <v>3523.7511782123806</v>
      </c>
      <c r="AN25" s="1331">
        <f t="shared" si="32"/>
        <v>20143.575648819125</v>
      </c>
      <c r="AO25" s="118"/>
      <c r="AP25" s="1263">
        <f t="shared" si="33"/>
        <v>14991.516548556496</v>
      </c>
      <c r="AQ25" s="1264">
        <f t="shared" si="34"/>
        <v>1310.694715127433</v>
      </c>
      <c r="AR25" s="1264">
        <f t="shared" si="35"/>
        <v>317.61320692281578</v>
      </c>
      <c r="AS25" s="1264">
        <f t="shared" si="36"/>
        <v>3523.7511782123806</v>
      </c>
      <c r="AT25" s="1331">
        <f t="shared" si="37"/>
        <v>20143.575648819125</v>
      </c>
      <c r="AU25" s="1330"/>
      <c r="AV25" s="1263">
        <f t="shared" si="38"/>
        <v>14991.516548556496</v>
      </c>
      <c r="AW25" s="1264">
        <f t="shared" si="39"/>
        <v>1310.694715127433</v>
      </c>
      <c r="AX25" s="1264">
        <f t="shared" si="40"/>
        <v>317.61320692281578</v>
      </c>
      <c r="AY25" s="1264">
        <f t="shared" si="41"/>
        <v>3523.7511782123806</v>
      </c>
      <c r="AZ25" s="1331">
        <f t="shared" si="42"/>
        <v>20143.575648819125</v>
      </c>
      <c r="BA25" s="1330"/>
      <c r="BB25" s="1263">
        <f t="shared" si="43"/>
        <v>14991.516548556496</v>
      </c>
      <c r="BC25" s="1264">
        <f t="shared" si="44"/>
        <v>1310.694715127433</v>
      </c>
      <c r="BD25" s="1264">
        <f t="shared" si="45"/>
        <v>317.61320692281578</v>
      </c>
      <c r="BE25" s="1264">
        <f t="shared" si="46"/>
        <v>3523.7511782123806</v>
      </c>
      <c r="BF25" s="1331">
        <f t="shared" si="47"/>
        <v>20143.575648819125</v>
      </c>
      <c r="BG25" s="3"/>
      <c r="BH25" s="677">
        <f t="shared" si="48"/>
        <v>2015</v>
      </c>
      <c r="BI25" s="1264">
        <f>'Baseline data (from input)'!AZ72</f>
        <v>109.55959567111202</v>
      </c>
      <c r="BJ25" s="483">
        <f>'Baseline data (from input)'!BA72</f>
        <v>0.2859242342376842</v>
      </c>
      <c r="BK25" s="1265">
        <f>'Baseline data (from input)'!BB72</f>
        <v>49.408351657059349</v>
      </c>
      <c r="BL25" s="1263">
        <f>'Baseline data (from input)'!AZ71</f>
        <v>109.55725853991771</v>
      </c>
      <c r="BM25" s="483">
        <f>'Baseline data (from input)'!BA71</f>
        <v>0.27355978971582146</v>
      </c>
      <c r="BN25" s="1265">
        <f>'Baseline data (from input)'!BB71</f>
        <v>49.016310889124959</v>
      </c>
      <c r="BO25" s="1264">
        <f t="shared" si="6"/>
        <v>109.55959567111202</v>
      </c>
      <c r="BP25" s="483">
        <f t="shared" si="6"/>
        <v>0.2859242342376842</v>
      </c>
      <c r="BQ25" s="1265">
        <f t="shared" si="6"/>
        <v>49.408351657059349</v>
      </c>
      <c r="BR25" s="1263">
        <f>'Baseline data (from input)'!AZ72</f>
        <v>109.55959567111202</v>
      </c>
      <c r="BS25" s="483">
        <f>'Baseline data (from input)'!BA72</f>
        <v>0.2859242342376842</v>
      </c>
      <c r="BT25" s="1265">
        <f>'Baseline data (from input)'!BB72</f>
        <v>49.408351657059349</v>
      </c>
      <c r="BU25" s="1264">
        <f t="shared" si="7"/>
        <v>109.55959567111202</v>
      </c>
      <c r="BV25" s="483">
        <f t="shared" si="7"/>
        <v>0.2859242342376842</v>
      </c>
      <c r="BW25" s="1265">
        <f t="shared" si="7"/>
        <v>49.408351657059349</v>
      </c>
      <c r="BX25" s="1263">
        <f>'Baseline data (from input)'!AZ72</f>
        <v>109.55959567111202</v>
      </c>
      <c r="BY25" s="483">
        <f>'Baseline data (from input)'!BA72</f>
        <v>0.2859242342376842</v>
      </c>
      <c r="BZ25" s="1265">
        <f>'Baseline data (from input)'!BB72</f>
        <v>49.408351657059349</v>
      </c>
      <c r="CA25" s="677">
        <v>2015</v>
      </c>
      <c r="CB25" s="730">
        <v>0</v>
      </c>
      <c r="CC25" s="483">
        <v>0</v>
      </c>
      <c r="CD25" s="483">
        <v>0</v>
      </c>
      <c r="CE25" s="604">
        <v>0</v>
      </c>
      <c r="CF25" s="730">
        <v>0</v>
      </c>
      <c r="CG25" s="483">
        <v>0</v>
      </c>
      <c r="CH25" s="483">
        <v>0</v>
      </c>
      <c r="CI25" s="604">
        <v>0</v>
      </c>
      <c r="CJ25" s="730">
        <v>0</v>
      </c>
      <c r="CK25" s="483">
        <v>0</v>
      </c>
      <c r="CL25" s="483">
        <v>0</v>
      </c>
      <c r="CM25" s="604">
        <v>0</v>
      </c>
    </row>
    <row r="26" spans="1:91">
      <c r="A26">
        <f>'Input data'!A116</f>
        <v>2016</v>
      </c>
      <c r="C26" s="485">
        <f>'4A SWD Case 1'!BG85</f>
        <v>717.42167148767373</v>
      </c>
      <c r="D26" s="3">
        <f>'4B Biological treatment '!T79</f>
        <v>0.61344421248460979</v>
      </c>
      <c r="E26" s="178">
        <f>'4B Biological treatment '!U79</f>
        <v>33.865527727009678</v>
      </c>
      <c r="F26" s="178">
        <f>'4B Biological treatment '!W79</f>
        <v>2.0319316636205804</v>
      </c>
      <c r="G26" s="3">
        <f>'4C2 Open-burning '!R86</f>
        <v>33.610884126133612</v>
      </c>
      <c r="H26" s="3">
        <f>'4C2 Open-burning '!Z86</f>
        <v>11.309033498703608</v>
      </c>
      <c r="I26" s="3">
        <f>'4C2 Open-burning '!AH86</f>
        <v>0.1574408338277522</v>
      </c>
      <c r="J26" s="335">
        <f>'4D Wastewater treatment and dis'!AV123</f>
        <v>129.06521104255199</v>
      </c>
      <c r="K26" s="3">
        <f>'4D Wastewater treatment and dis'!AW123</f>
        <v>2.8044374214758245</v>
      </c>
      <c r="L26" s="485">
        <f t="shared" si="8"/>
        <v>15065.855101241148</v>
      </c>
      <c r="M26" s="3">
        <f t="shared" ref="M26:M27" si="49">D26*$B$3</f>
        <v>12.882328462176805</v>
      </c>
      <c r="N26" s="485">
        <f t="shared" si="9"/>
        <v>1341.0748979895832</v>
      </c>
      <c r="O26" s="597">
        <f t="shared" si="10"/>
        <v>319.90724608551255</v>
      </c>
      <c r="P26" s="485">
        <f t="shared" si="11"/>
        <v>3579.7450325510972</v>
      </c>
      <c r="Q26" s="598">
        <f t="shared" si="12"/>
        <v>15065.855101241148</v>
      </c>
      <c r="R26" s="600">
        <f t="shared" si="13"/>
        <v>1353.9572264517599</v>
      </c>
      <c r="S26" s="597">
        <f t="shared" si="14"/>
        <v>319.90724608551255</v>
      </c>
      <c r="T26" s="598">
        <f t="shared" si="15"/>
        <v>3579.7450325510972</v>
      </c>
      <c r="U26" s="598">
        <f t="shared" si="16"/>
        <v>20319.464606329519</v>
      </c>
      <c r="V26" s="3"/>
      <c r="W26" s="677">
        <f t="shared" si="17"/>
        <v>2016</v>
      </c>
      <c r="X26" s="1263">
        <f t="shared" si="18"/>
        <v>15065.855101241148</v>
      </c>
      <c r="Y26" s="1264">
        <f t="shared" si="19"/>
        <v>1353.9572264517599</v>
      </c>
      <c r="Z26" s="1264">
        <f t="shared" si="20"/>
        <v>319.90724608551255</v>
      </c>
      <c r="AA26" s="1264">
        <f t="shared" si="21"/>
        <v>3579.7450325510972</v>
      </c>
      <c r="AB26" s="1331">
        <f t="shared" si="22"/>
        <v>20319.464606329519</v>
      </c>
      <c r="AC26" s="1264"/>
      <c r="AD26" s="1263">
        <f t="shared" si="23"/>
        <v>15065.855101241148</v>
      </c>
      <c r="AE26" s="1264">
        <f t="shared" si="24"/>
        <v>1353.9572264517599</v>
      </c>
      <c r="AF26" s="1264">
        <f t="shared" si="25"/>
        <v>319.90724608551255</v>
      </c>
      <c r="AG26" s="1264">
        <f t="shared" si="26"/>
        <v>3579.7450325510972</v>
      </c>
      <c r="AH26" s="1331">
        <f t="shared" si="27"/>
        <v>20319.464606329519</v>
      </c>
      <c r="AI26" s="118"/>
      <c r="AJ26" s="1263">
        <f t="shared" si="28"/>
        <v>15065.855101241148</v>
      </c>
      <c r="AK26" s="1264">
        <f t="shared" si="29"/>
        <v>1353.9572264517599</v>
      </c>
      <c r="AL26" s="1264">
        <f t="shared" si="30"/>
        <v>319.90724608551255</v>
      </c>
      <c r="AM26" s="1264">
        <f t="shared" si="31"/>
        <v>3579.7450325510972</v>
      </c>
      <c r="AN26" s="1331">
        <f t="shared" si="32"/>
        <v>20319.464606329519</v>
      </c>
      <c r="AO26" s="118"/>
      <c r="AP26" s="1263">
        <f t="shared" si="33"/>
        <v>15065.855101241148</v>
      </c>
      <c r="AQ26" s="1264">
        <f t="shared" si="34"/>
        <v>1353.9572264517599</v>
      </c>
      <c r="AR26" s="1264">
        <f t="shared" si="35"/>
        <v>319.90724608551255</v>
      </c>
      <c r="AS26" s="1264">
        <f t="shared" si="36"/>
        <v>3579.7450325510972</v>
      </c>
      <c r="AT26" s="1331">
        <f t="shared" si="37"/>
        <v>20319.464606329519</v>
      </c>
      <c r="AU26" s="1264"/>
      <c r="AV26" s="1263">
        <f t="shared" si="38"/>
        <v>15065.855101241148</v>
      </c>
      <c r="AW26" s="1264">
        <f t="shared" si="39"/>
        <v>1353.9572264517599</v>
      </c>
      <c r="AX26" s="1264">
        <f t="shared" si="40"/>
        <v>319.90724608551255</v>
      </c>
      <c r="AY26" s="1264">
        <f t="shared" si="41"/>
        <v>3579.7450325510972</v>
      </c>
      <c r="AZ26" s="1331">
        <f t="shared" si="42"/>
        <v>20319.464606329519</v>
      </c>
      <c r="BA26" s="1330"/>
      <c r="BB26" s="1263">
        <f t="shared" si="43"/>
        <v>15065.855101241148</v>
      </c>
      <c r="BC26" s="1264">
        <f t="shared" si="44"/>
        <v>1353.9572264517599</v>
      </c>
      <c r="BD26" s="1264">
        <f t="shared" si="45"/>
        <v>319.90724608551255</v>
      </c>
      <c r="BE26" s="1264">
        <f t="shared" si="46"/>
        <v>3579.7450325510972</v>
      </c>
      <c r="BF26" s="1331">
        <f t="shared" si="47"/>
        <v>20319.464606329519</v>
      </c>
      <c r="BG26" s="3"/>
      <c r="BH26" s="677">
        <f t="shared" si="48"/>
        <v>2016</v>
      </c>
      <c r="BI26" s="1264">
        <f>'Baseline data (from input)'!AZ73</f>
        <v>109.87635423856575</v>
      </c>
      <c r="BJ26" s="483">
        <f>'Baseline data (from input)'!BA73</f>
        <v>0.29713182575222147</v>
      </c>
      <c r="BK26" s="1265">
        <f>'Baseline data (from input)'!BB73</f>
        <v>49.995050999999997</v>
      </c>
      <c r="BL26" s="1263">
        <f>'Baseline data (from input)'!AZ72</f>
        <v>109.55959567111202</v>
      </c>
      <c r="BM26" s="483">
        <f>'Baseline data (from input)'!BA72</f>
        <v>0.2859242342376842</v>
      </c>
      <c r="BN26" s="1265">
        <f>'Baseline data (from input)'!BB72</f>
        <v>49.408351657059349</v>
      </c>
      <c r="BO26" s="1264">
        <f t="shared" si="6"/>
        <v>109.87635423856575</v>
      </c>
      <c r="BP26" s="483">
        <f t="shared" si="6"/>
        <v>0.29713182575222147</v>
      </c>
      <c r="BQ26" s="1265">
        <f t="shared" si="6"/>
        <v>49.995050999999997</v>
      </c>
      <c r="BR26" s="1263">
        <f>'Baseline data (from input)'!AZ73</f>
        <v>109.87635423856575</v>
      </c>
      <c r="BS26" s="483">
        <f>'Baseline data (from input)'!BA73</f>
        <v>0.29713182575222147</v>
      </c>
      <c r="BT26" s="1265">
        <f>'Baseline data (from input)'!BB73</f>
        <v>49.995050999999997</v>
      </c>
      <c r="BU26" s="1264">
        <f t="shared" si="7"/>
        <v>109.87635423856575</v>
      </c>
      <c r="BV26" s="483">
        <f t="shared" si="7"/>
        <v>0.29713182575222147</v>
      </c>
      <c r="BW26" s="1265">
        <f t="shared" si="7"/>
        <v>49.995050999999997</v>
      </c>
      <c r="BX26" s="1263">
        <f>'Baseline data (from input)'!AZ73</f>
        <v>109.87635423856575</v>
      </c>
      <c r="BY26" s="483">
        <f>'Baseline data (from input)'!BA73</f>
        <v>0.29713182575222147</v>
      </c>
      <c r="BZ26" s="1265">
        <f>'Baseline data (from input)'!BB73</f>
        <v>49.995050999999997</v>
      </c>
      <c r="CA26" s="677">
        <v>2016</v>
      </c>
      <c r="CB26" s="730">
        <v>0</v>
      </c>
      <c r="CC26" s="483">
        <v>0</v>
      </c>
      <c r="CD26" s="483">
        <v>0</v>
      </c>
      <c r="CE26" s="604">
        <v>0</v>
      </c>
      <c r="CF26" s="730">
        <v>0</v>
      </c>
      <c r="CG26" s="483">
        <v>0</v>
      </c>
      <c r="CH26" s="483">
        <v>0</v>
      </c>
      <c r="CI26" s="604">
        <v>0</v>
      </c>
      <c r="CJ26" s="730">
        <v>0</v>
      </c>
      <c r="CK26" s="483">
        <v>0</v>
      </c>
      <c r="CL26" s="483">
        <v>0</v>
      </c>
      <c r="CM26" s="604">
        <v>0</v>
      </c>
    </row>
    <row r="27" spans="1:91">
      <c r="A27" s="479">
        <f>'Input data'!A117</f>
        <v>2017</v>
      </c>
      <c r="B27" s="479"/>
      <c r="C27" s="538">
        <f>'4A SWD Case 1'!BG86</f>
        <v>718.95848574260515</v>
      </c>
      <c r="D27" s="3">
        <f>'4B Biological treatment '!T80</f>
        <v>0.62803109927954459</v>
      </c>
      <c r="E27" s="539">
        <f>'4B Biological treatment '!U80</f>
        <v>34.96140563155673</v>
      </c>
      <c r="F27" s="539">
        <f>'4B Biological treatment '!W80</f>
        <v>2.0976843378934036</v>
      </c>
      <c r="G27" s="594">
        <f>'4C2 Open-burning '!R87</f>
        <v>33.762512225589745</v>
      </c>
      <c r="H27" s="594">
        <f>'4C2 Open-burning '!Z87</f>
        <v>11.360051712019837</v>
      </c>
      <c r="I27" s="594">
        <f>'4C2 Open-burning '!AH87</f>
        <v>0.15815109346628189</v>
      </c>
      <c r="J27" s="1110">
        <f>'4D Wastewater treatment and dis'!AV124</f>
        <v>131.15828584227123</v>
      </c>
      <c r="K27" s="594">
        <f>'4D Wastewater treatment and dis'!AW124</f>
        <v>2.8499175105475834</v>
      </c>
      <c r="L27" s="538">
        <f t="shared" si="8"/>
        <v>15098.128200594709</v>
      </c>
      <c r="M27" s="3">
        <f t="shared" si="49"/>
        <v>13.188653084870436</v>
      </c>
      <c r="N27" s="538">
        <f t="shared" si="9"/>
        <v>1384.4716630096464</v>
      </c>
      <c r="O27" s="593">
        <f t="shared" si="10"/>
        <v>321.35043715255375</v>
      </c>
      <c r="P27" s="538">
        <f t="shared" si="11"/>
        <v>3637.7984309574467</v>
      </c>
      <c r="Q27" s="538">
        <f t="shared" si="12"/>
        <v>15098.128200594709</v>
      </c>
      <c r="R27" s="596">
        <f t="shared" si="13"/>
        <v>1397.6603160945167</v>
      </c>
      <c r="S27" s="593">
        <f t="shared" si="14"/>
        <v>321.35043715255375</v>
      </c>
      <c r="T27" s="538">
        <f t="shared" si="15"/>
        <v>3637.7984309574467</v>
      </c>
      <c r="U27" s="538">
        <f t="shared" si="16"/>
        <v>20454.937384799225</v>
      </c>
      <c r="V27" s="3"/>
      <c r="W27" s="677">
        <f t="shared" si="17"/>
        <v>2017</v>
      </c>
      <c r="X27" s="1263">
        <f t="shared" si="18"/>
        <v>15098.128200594709</v>
      </c>
      <c r="Y27" s="1264">
        <f t="shared" si="19"/>
        <v>1397.6603160945167</v>
      </c>
      <c r="Z27" s="1264">
        <f t="shared" si="20"/>
        <v>321.35043715255375</v>
      </c>
      <c r="AA27" s="1264">
        <f t="shared" si="21"/>
        <v>3637.7984309574467</v>
      </c>
      <c r="AB27" s="1331">
        <f t="shared" si="22"/>
        <v>20454.937384799225</v>
      </c>
      <c r="AC27" s="1264"/>
      <c r="AD27" s="1263">
        <f>Q27</f>
        <v>15098.128200594709</v>
      </c>
      <c r="AE27" s="1264">
        <f t="shared" si="24"/>
        <v>1397.6603160945167</v>
      </c>
      <c r="AF27" s="1264">
        <f t="shared" si="25"/>
        <v>321.35043715255375</v>
      </c>
      <c r="AG27" s="1264">
        <f t="shared" si="26"/>
        <v>3637.7984309574467</v>
      </c>
      <c r="AH27" s="1331">
        <f>SUM(AD27:AG27)</f>
        <v>20454.937384799225</v>
      </c>
      <c r="AI27" s="118"/>
      <c r="AJ27" s="1263">
        <f t="shared" si="28"/>
        <v>15098.128200594709</v>
      </c>
      <c r="AK27" s="1264">
        <f t="shared" si="29"/>
        <v>1397.6603160945167</v>
      </c>
      <c r="AL27" s="1264">
        <f t="shared" si="30"/>
        <v>321.35043715255375</v>
      </c>
      <c r="AM27" s="1264">
        <f t="shared" si="31"/>
        <v>3637.7984309574467</v>
      </c>
      <c r="AN27" s="1331">
        <f t="shared" si="32"/>
        <v>20454.937384799225</v>
      </c>
      <c r="AO27" s="118"/>
      <c r="AP27" s="1263">
        <f t="shared" ref="AP27" si="50">Q27</f>
        <v>15098.128200594709</v>
      </c>
      <c r="AQ27" s="1264">
        <f t="shared" ref="AQ27" si="51">R27</f>
        <v>1397.6603160945167</v>
      </c>
      <c r="AR27" s="1264">
        <f t="shared" ref="AR27" si="52">S27</f>
        <v>321.35043715255375</v>
      </c>
      <c r="AS27" s="1264">
        <f t="shared" ref="AS27" si="53">T27</f>
        <v>3637.7984309574467</v>
      </c>
      <c r="AT27" s="1331">
        <f t="shared" si="37"/>
        <v>20454.937384799225</v>
      </c>
      <c r="AU27" s="1264"/>
      <c r="AV27" s="1263">
        <f t="shared" si="38"/>
        <v>15098.128200594709</v>
      </c>
      <c r="AW27" s="1264">
        <f t="shared" si="39"/>
        <v>1397.6603160945167</v>
      </c>
      <c r="AX27" s="1264">
        <f t="shared" si="40"/>
        <v>321.35043715255375</v>
      </c>
      <c r="AY27" s="1264">
        <f t="shared" si="41"/>
        <v>3637.7984309574467</v>
      </c>
      <c r="AZ27" s="1331">
        <f t="shared" si="42"/>
        <v>20454.937384799225</v>
      </c>
      <c r="BA27" s="1330"/>
      <c r="BB27" s="1263">
        <f t="shared" si="43"/>
        <v>15098.128200594709</v>
      </c>
      <c r="BC27" s="1264">
        <f t="shared" si="44"/>
        <v>1397.6603160945167</v>
      </c>
      <c r="BD27" s="1264">
        <f t="shared" si="45"/>
        <v>321.35043715255375</v>
      </c>
      <c r="BE27" s="1264">
        <f t="shared" si="46"/>
        <v>3637.7984309574467</v>
      </c>
      <c r="BF27" s="1331">
        <f t="shared" si="47"/>
        <v>20454.937384799225</v>
      </c>
      <c r="BG27" s="3"/>
      <c r="BH27" s="677">
        <f t="shared" si="48"/>
        <v>2017</v>
      </c>
      <c r="BI27" s="1264">
        <f>'Recycling - Case 1'!BV97</f>
        <v>109.87635423856577</v>
      </c>
      <c r="BJ27" s="483">
        <f>'Recycling - Case 1'!BW97</f>
        <v>0.29713182575222163</v>
      </c>
      <c r="BK27" s="1331">
        <f>'Recycling - Case 1'!BX97</f>
        <v>49.995050999999997</v>
      </c>
      <c r="BL27" s="1263">
        <f>'Recycling - Case 1'!BY97</f>
        <v>109.87635423856577</v>
      </c>
      <c r="BM27" s="483">
        <f>'Recycling - Case 1'!BZ97</f>
        <v>0.29713182575222163</v>
      </c>
      <c r="BN27" s="1331">
        <f>'Recycling - Case 1'!CA97</f>
        <v>49.995050999999997</v>
      </c>
      <c r="BO27" s="1264">
        <f>'Recycling - Case 2'!BV96</f>
        <v>109.87635423856577</v>
      </c>
      <c r="BP27" s="483">
        <f>'Recycling - Case 2'!BW96</f>
        <v>0.29713182575222163</v>
      </c>
      <c r="BQ27" s="1331">
        <f>'Recycling - Case 2'!BX96</f>
        <v>49.995050999999997</v>
      </c>
      <c r="BR27" s="1263">
        <f>'Recycling - Case 2'!BY96</f>
        <v>109.87635423856577</v>
      </c>
      <c r="BS27" s="483">
        <f>'Recycling - Case 2'!BZ96</f>
        <v>0.29713182575222163</v>
      </c>
      <c r="BT27" s="1331">
        <f>'Recycling - Case 2'!CA96</f>
        <v>49.995050999999997</v>
      </c>
      <c r="BU27" s="1264">
        <f>'Recycling - Case 3'!BV96</f>
        <v>109.87635423856577</v>
      </c>
      <c r="BV27" s="483">
        <f>'Recycling - Case 3'!BW96</f>
        <v>0.29713182575222163</v>
      </c>
      <c r="BW27" s="1331">
        <f>'Recycling - Case 3'!BX96</f>
        <v>49.995050999999997</v>
      </c>
      <c r="BX27" s="1263">
        <f>'Recycling - Case 3'!BY96</f>
        <v>109.87635423856577</v>
      </c>
      <c r="BY27" s="483">
        <f>'Recycling - Case 3'!BZ96</f>
        <v>0.29713182575222163</v>
      </c>
      <c r="BZ27" s="1331">
        <f>'Recycling - Case 3'!CA96</f>
        <v>49.995050999999997</v>
      </c>
      <c r="CA27" s="677">
        <v>2017</v>
      </c>
      <c r="CB27" s="730">
        <f>'Recycling - Case 1'!CB97</f>
        <v>0</v>
      </c>
      <c r="CC27" s="483">
        <f>'Recycling - Case 1'!CC97</f>
        <v>0</v>
      </c>
      <c r="CD27" s="483">
        <f>'Recycling - Case 1'!CD97</f>
        <v>0</v>
      </c>
      <c r="CE27" s="604">
        <f>'Recycling - Case 1'!CE97</f>
        <v>0</v>
      </c>
      <c r="CF27" s="730">
        <f>'Recycling - Case 2'!CB96</f>
        <v>0</v>
      </c>
      <c r="CG27" s="483">
        <f>'Recycling - Case 2'!CC96</f>
        <v>0</v>
      </c>
      <c r="CH27" s="483">
        <f>'Recycling - Case 2'!CD96</f>
        <v>0</v>
      </c>
      <c r="CI27" s="604">
        <f>'Recycling - Case 2'!CE96</f>
        <v>0</v>
      </c>
      <c r="CJ27" s="730">
        <f>'Recycling - Case 3'!CB96</f>
        <v>0</v>
      </c>
      <c r="CK27" s="483">
        <f>'Recycling - Case 3'!CC96</f>
        <v>0</v>
      </c>
      <c r="CL27" s="483">
        <f>'Recycling - Case 3'!CD96</f>
        <v>0</v>
      </c>
      <c r="CM27" s="604">
        <f>'Recycling - Case 3'!CE96</f>
        <v>0</v>
      </c>
    </row>
    <row r="28" spans="1:91" ht="13.95" customHeight="1">
      <c r="A28" s="479" t="s">
        <v>744</v>
      </c>
      <c r="B28" s="479"/>
      <c r="C28" s="538"/>
      <c r="D28" s="3">
        <f>'4B Biological treatment '!T81</f>
        <v>0</v>
      </c>
      <c r="E28" s="539">
        <f>'4B Biological treatment '!U81</f>
        <v>0</v>
      </c>
      <c r="F28" s="539">
        <f>'4B Biological treatment '!W81</f>
        <v>0</v>
      </c>
      <c r="G28" s="594"/>
      <c r="H28" s="594"/>
      <c r="I28" s="594"/>
      <c r="J28" s="1110"/>
      <c r="K28" s="594"/>
      <c r="L28" s="538"/>
      <c r="M28" s="3"/>
      <c r="N28" s="538"/>
      <c r="O28" s="593"/>
      <c r="P28" s="538"/>
      <c r="Q28" s="538"/>
      <c r="R28" s="596"/>
      <c r="S28" s="593"/>
      <c r="T28" s="538"/>
      <c r="U28" s="538"/>
      <c r="V28" s="3"/>
      <c r="W28" s="677">
        <f>A29</f>
        <v>2018</v>
      </c>
      <c r="X28" s="1263">
        <f>Q29</f>
        <v>15093.307865555609</v>
      </c>
      <c r="Y28" s="1264">
        <f t="shared" ref="Y28:AA28" si="54">R29</f>
        <v>1397.7821169367921</v>
      </c>
      <c r="Z28" s="1264">
        <f t="shared" si="54"/>
        <v>318.25489741940532</v>
      </c>
      <c r="AA28" s="1264">
        <f t="shared" si="54"/>
        <v>3728.7332085559019</v>
      </c>
      <c r="AB28" s="1331">
        <f t="shared" si="22"/>
        <v>20538.078088467711</v>
      </c>
      <c r="AC28" s="1365" t="str">
        <f>'Recycling - Case 1'!T138</f>
        <v>Policies met</v>
      </c>
      <c r="AD28" s="1263">
        <f>Q63</f>
        <v>15093.307865555609</v>
      </c>
      <c r="AE28" s="1264">
        <f t="shared" ref="AE28:AG28" si="55">R63</f>
        <v>1397.7821169367921</v>
      </c>
      <c r="AF28" s="1264">
        <f t="shared" si="55"/>
        <v>318.25489741940532</v>
      </c>
      <c r="AG28" s="1264">
        <f t="shared" si="55"/>
        <v>3728.7332085559019</v>
      </c>
      <c r="AH28" s="1331">
        <f t="shared" ref="AH28:AH60" si="56">SUM(AD28:AG28)</f>
        <v>20538.078088467711</v>
      </c>
      <c r="AI28" s="1365" t="str">
        <f>'Recycling - Case 1'!T178</f>
        <v>Policies met</v>
      </c>
      <c r="AJ28" s="1263">
        <f>Q97</f>
        <v>15093.307865555609</v>
      </c>
      <c r="AK28" s="1264">
        <f t="shared" ref="AK28:AN28" si="57">R97</f>
        <v>1413.1515767294368</v>
      </c>
      <c r="AL28" s="1264">
        <f t="shared" si="57"/>
        <v>318.51307420464519</v>
      </c>
      <c r="AM28" s="1264">
        <f t="shared" si="57"/>
        <v>3778.1317472739725</v>
      </c>
      <c r="AN28" s="1331">
        <f t="shared" si="57"/>
        <v>20603.104263763664</v>
      </c>
      <c r="AO28" s="1365" t="str">
        <f>'Recycling - Case 2'!T137</f>
        <v>Policies met</v>
      </c>
      <c r="AP28" s="1263">
        <f>Q131</f>
        <v>15093.307865555609</v>
      </c>
      <c r="AQ28" s="1264">
        <f t="shared" ref="AQ28:AS28" si="58">R131</f>
        <v>1413.1515767294368</v>
      </c>
      <c r="AR28" s="1264">
        <f t="shared" si="58"/>
        <v>318.51307420464519</v>
      </c>
      <c r="AS28" s="1264">
        <f t="shared" si="58"/>
        <v>3778.1317472739725</v>
      </c>
      <c r="AT28" s="1331">
        <f t="shared" si="37"/>
        <v>20603.104263763664</v>
      </c>
      <c r="AU28" s="1365" t="str">
        <f>'Recycling - Case 2'!T177</f>
        <v>Policies met</v>
      </c>
      <c r="AV28" s="1263">
        <f t="shared" ref="AV28:AV60" si="59">Q165</f>
        <v>15093.307865555609</v>
      </c>
      <c r="AW28" s="1264">
        <f t="shared" ref="AW28:AW60" si="60">R165</f>
        <v>1322.5798751326151</v>
      </c>
      <c r="AX28" s="1264">
        <f t="shared" ref="AX28:AX60" si="61">S165</f>
        <v>318.51307420464519</v>
      </c>
      <c r="AY28" s="1264">
        <f t="shared" ref="AY28:AY60" si="62">T165</f>
        <v>3778.1317472739725</v>
      </c>
      <c r="AZ28" s="1331">
        <f t="shared" ref="AZ28:AZ60" si="63">U165</f>
        <v>20512.532562166842</v>
      </c>
      <c r="BA28" s="1365" t="str">
        <f>'Recycling - Case 2'!T137</f>
        <v>Policies met</v>
      </c>
      <c r="BB28" s="1263">
        <f>Q199</f>
        <v>15093.307865555609</v>
      </c>
      <c r="BC28" s="1264">
        <f t="shared" ref="BC28:BE28" si="64">R199</f>
        <v>1303.7793835810112</v>
      </c>
      <c r="BD28" s="1264">
        <f t="shared" si="64"/>
        <v>318.51307420464519</v>
      </c>
      <c r="BE28" s="1264">
        <f t="shared" si="64"/>
        <v>3778.1317472739725</v>
      </c>
      <c r="BF28" s="1331">
        <f t="shared" si="47"/>
        <v>20493.732070615239</v>
      </c>
      <c r="BG28" s="1365" t="str">
        <f>'Recycling - Case 2'!T177</f>
        <v>Policies met</v>
      </c>
      <c r="BH28" s="677">
        <f t="shared" si="48"/>
        <v>2018</v>
      </c>
      <c r="BI28" s="1264">
        <f>'Recycling - Case 1'!BV98</f>
        <v>106.29013303385885</v>
      </c>
      <c r="BJ28" s="483">
        <f>'Recycling - Case 1'!BW98</f>
        <v>0.30918051690308657</v>
      </c>
      <c r="BK28" s="1331">
        <f>'Recycling - Case 1'!BX98</f>
        <v>50.172070130067617</v>
      </c>
      <c r="BL28" s="1263">
        <f>'Recycling - Case 1'!BY98</f>
        <v>106.29013303385885</v>
      </c>
      <c r="BM28" s="483">
        <f>'Recycling - Case 1'!BZ98</f>
        <v>0.30918051690308657</v>
      </c>
      <c r="BN28" s="1331">
        <f>'Recycling - Case 1'!CA98</f>
        <v>50.172070130067617</v>
      </c>
      <c r="BO28" s="1264">
        <f>'Recycling - Case 2'!BV97</f>
        <v>106.87433565264148</v>
      </c>
      <c r="BP28" s="483">
        <f>'Recycling - Case 2'!BW97</f>
        <v>0.32768792027823929</v>
      </c>
      <c r="BQ28" s="1331">
        <f>'Recycling - Case 2'!BX97</f>
        <v>50.172070130067617</v>
      </c>
      <c r="BR28" s="1263">
        <f>'Recycling - Case 2'!BY97</f>
        <v>106.87433565264148</v>
      </c>
      <c r="BS28" s="483">
        <f>'Recycling - Case 2'!BZ97</f>
        <v>0.32768792027823929</v>
      </c>
      <c r="BT28" s="1331">
        <f>'Recycling - Case 2'!CA97</f>
        <v>50.172070130067617</v>
      </c>
      <c r="BU28" s="1264">
        <f>'Recycling - Case 3'!BV97</f>
        <v>106.87433565264148</v>
      </c>
      <c r="BV28" s="483">
        <f>'Recycling - Case 3'!BW97</f>
        <v>0.32768792027823929</v>
      </c>
      <c r="BW28" s="1331">
        <f>'Recycling - Case 3'!BX97</f>
        <v>50.172070130067617</v>
      </c>
      <c r="BX28" s="1263">
        <f>'Recycling - Case 3'!BY97</f>
        <v>106.87433565264148</v>
      </c>
      <c r="BY28" s="483">
        <f>'Recycling - Case 3'!BZ97</f>
        <v>0.32768792027823929</v>
      </c>
      <c r="BZ28" s="1331">
        <f>'Recycling - Case 3'!CA97</f>
        <v>50.172070130067617</v>
      </c>
      <c r="CA28" s="677">
        <v>2018</v>
      </c>
      <c r="CB28" s="730">
        <f>'Recycling - Case 1'!CB98</f>
        <v>2.5392982107126535E-2</v>
      </c>
      <c r="CC28" s="483">
        <f>'Recycling - Case 1'!CC98</f>
        <v>0.10745501591388418</v>
      </c>
      <c r="CD28" s="483">
        <f>'Recycling - Case 1'!CD98</f>
        <v>2.5392982107126535E-2</v>
      </c>
      <c r="CE28" s="604">
        <f>'Recycling - Case 1'!CE98</f>
        <v>0.10745501591388418</v>
      </c>
      <c r="CF28" s="730">
        <f>'Recycling - Case 2'!CB97</f>
        <v>2.4602355132358533E-2</v>
      </c>
      <c r="CG28" s="483">
        <f>'Recycling - Case 2'!CC97</f>
        <v>9.1877348210151324E-2</v>
      </c>
      <c r="CH28" s="483">
        <f>'Recycling - Case 2'!CD97</f>
        <v>2.4602355132358533E-2</v>
      </c>
      <c r="CI28" s="604">
        <f>'Recycling - Case 2'!CE97</f>
        <v>9.1877348210151324E-2</v>
      </c>
      <c r="CJ28" s="730">
        <f>'Recycling - Case 3'!CB97</f>
        <v>2.4602355132358533E-2</v>
      </c>
      <c r="CK28" s="483">
        <f>'Recycling - Case 3'!CC97</f>
        <v>9.1877348210151324E-2</v>
      </c>
      <c r="CL28" s="483">
        <f>'Recycling - Case 3'!CD97</f>
        <v>2.4602355132358533E-2</v>
      </c>
      <c r="CM28" s="604">
        <f>'Recycling - Case 3'!CE97</f>
        <v>9.1877348210151324E-2</v>
      </c>
    </row>
    <row r="29" spans="1:91">
      <c r="A29" s="4">
        <f>'Input data'!A118</f>
        <v>2018</v>
      </c>
      <c r="B29" s="4"/>
      <c r="C29" s="891">
        <f>'4A SWD Case 1'!BG87</f>
        <v>718.72894597883851</v>
      </c>
      <c r="D29" s="3">
        <f>'4B Biological treatment '!T82</f>
        <v>0.6481062291086146</v>
      </c>
      <c r="E29" s="1358">
        <f>'4B Biological treatment '!U82</f>
        <v>34.953835508219989</v>
      </c>
      <c r="F29" s="1358">
        <f>'4B Biological treatment '!W82</f>
        <v>2.0972301304931991</v>
      </c>
      <c r="G29" s="1076">
        <f>'4C2 Open-burning '!R89</f>
        <v>33.437280995125889</v>
      </c>
      <c r="H29" s="1076">
        <f>'4C2 Open-burning '!Z89</f>
        <v>11.250621360044049</v>
      </c>
      <c r="I29" s="1076">
        <f>'4C2 Open-burning '!AH89</f>
        <v>0.15662763826888526</v>
      </c>
      <c r="J29" s="1111">
        <f>'4D Wastewater treatment and dis'!AV126</f>
        <v>134.80820881535828</v>
      </c>
      <c r="K29" s="892">
        <f>'4D Wastewater treatment and dis'!AW126</f>
        <v>2.8960026562367029</v>
      </c>
      <c r="L29" s="893">
        <f t="shared" ref="L29:L61" si="65">C29*$B$3</f>
        <v>15093.307865555609</v>
      </c>
      <c r="M29" s="894">
        <f t="shared" ref="M29:M61" si="66">D29*$B$3</f>
        <v>13.610230811280907</v>
      </c>
      <c r="N29" s="893">
        <f t="shared" ref="N29:N61" si="67">E29*$B$3+F29*$C$3</f>
        <v>1384.1718861255113</v>
      </c>
      <c r="O29" s="895">
        <f t="shared" ref="O29:O61" si="68">G29+H29*$B$3+I29*$C$3</f>
        <v>318.25489741940532</v>
      </c>
      <c r="P29" s="893">
        <f t="shared" ref="P29:P61" si="69">J29*$B$3+K29*$C$3</f>
        <v>3728.7332085559019</v>
      </c>
      <c r="Q29" s="538">
        <f t="shared" ref="Q29:Q125" si="70">L29</f>
        <v>15093.307865555609</v>
      </c>
      <c r="R29" s="596">
        <f t="shared" ref="R29:R125" si="71">M29+N29</f>
        <v>1397.7821169367921</v>
      </c>
      <c r="S29" s="593">
        <f t="shared" ref="S29:S125" si="72">O29</f>
        <v>318.25489741940532</v>
      </c>
      <c r="T29" s="538">
        <f t="shared" ref="T29:T125" si="73">P29</f>
        <v>3728.7332085559019</v>
      </c>
      <c r="U29" s="538">
        <f t="shared" ref="U29:U125" si="74">SUM(Q29:T29)</f>
        <v>20538.078088467711</v>
      </c>
      <c r="V29" s="3"/>
      <c r="W29" s="677">
        <f t="shared" ref="W29:W60" si="75">A30</f>
        <v>2019</v>
      </c>
      <c r="X29" s="1263">
        <f t="shared" ref="X29:X60" si="76">Q30</f>
        <v>15025.741267193534</v>
      </c>
      <c r="Y29" s="1264">
        <f t="shared" ref="Y29:Y60" si="77">R30</f>
        <v>1402.5761456687806</v>
      </c>
      <c r="Z29" s="1264">
        <f t="shared" ref="Z29:Z60" si="78">S30</f>
        <v>315.43735718397818</v>
      </c>
      <c r="AA29" s="1264">
        <f t="shared" ref="AA29:AA60" si="79">T30</f>
        <v>3821.6720946853429</v>
      </c>
      <c r="AB29" s="1331">
        <f t="shared" si="22"/>
        <v>20565.426864731635</v>
      </c>
      <c r="AC29" s="1365" t="str">
        <f>'Recycling - Case 1'!T139</f>
        <v>Policies met</v>
      </c>
      <c r="AD29" s="1263">
        <f t="shared" ref="AD29:AD60" si="80">Q64</f>
        <v>15025.741267193534</v>
      </c>
      <c r="AE29" s="1264">
        <f t="shared" ref="AE29:AE60" si="81">R64</f>
        <v>1390.8628231642285</v>
      </c>
      <c r="AF29" s="1264">
        <f t="shared" ref="AF29:AF60" si="82">S64</f>
        <v>315.43735718397818</v>
      </c>
      <c r="AG29" s="1264">
        <f t="shared" ref="AG29:AG60" si="83">T64</f>
        <v>3821.6720946853429</v>
      </c>
      <c r="AH29" s="1331">
        <f t="shared" si="56"/>
        <v>20553.713542227084</v>
      </c>
      <c r="AI29" s="1365" t="str">
        <f>'Recycling - Case 1'!T179</f>
        <v>Policies met</v>
      </c>
      <c r="AJ29" s="1263">
        <f t="shared" ref="AJ29:AJ60" si="84">Q98</f>
        <v>15034.527819710593</v>
      </c>
      <c r="AK29" s="1264">
        <f t="shared" ref="AK29:AK60" si="85">R98</f>
        <v>1459.5835466116764</v>
      </c>
      <c r="AL29" s="1264">
        <f t="shared" ref="AL29:AL60" si="86">S98</f>
        <v>318.44017899800792</v>
      </c>
      <c r="AM29" s="1264">
        <f t="shared" ref="AM29:AM60" si="87">T98</f>
        <v>3922.0671678896119</v>
      </c>
      <c r="AN29" s="1331">
        <f t="shared" ref="AN29:AN60" si="88">U98</f>
        <v>20734.618713209886</v>
      </c>
      <c r="AO29" s="1365" t="str">
        <f>'Recycling - Case 2'!T138</f>
        <v>Policies met</v>
      </c>
      <c r="AP29" s="1263">
        <f t="shared" ref="AP29:AP60" si="89">Q132</f>
        <v>15034.527819710593</v>
      </c>
      <c r="AQ29" s="1264">
        <f t="shared" ref="AQ29:AQ60" si="90">R132</f>
        <v>1459.5835466116764</v>
      </c>
      <c r="AR29" s="1264">
        <f t="shared" ref="AR29:AR60" si="91">S132</f>
        <v>318.44017899800792</v>
      </c>
      <c r="AS29" s="1264">
        <f t="shared" ref="AS29:AS60" si="92">T132</f>
        <v>3922.0671678896119</v>
      </c>
      <c r="AT29" s="1331">
        <f t="shared" si="37"/>
        <v>20734.618713209886</v>
      </c>
      <c r="AU29" s="1365" t="str">
        <f>'Recycling - Case 2'!T178</f>
        <v>Policies met</v>
      </c>
      <c r="AV29" s="1263">
        <f t="shared" si="59"/>
        <v>15034.53539938898</v>
      </c>
      <c r="AW29" s="1264">
        <f t="shared" si="60"/>
        <v>1227.0007400947236</v>
      </c>
      <c r="AX29" s="1264">
        <f t="shared" si="61"/>
        <v>318.44017899800792</v>
      </c>
      <c r="AY29" s="1264">
        <f t="shared" si="62"/>
        <v>3922.0671678896119</v>
      </c>
      <c r="AZ29" s="1331">
        <f t="shared" si="63"/>
        <v>20502.043486371324</v>
      </c>
      <c r="BA29" s="1365" t="str">
        <f>'Recycling - Case 2'!T138</f>
        <v>Policies met</v>
      </c>
      <c r="BB29" s="1263">
        <f t="shared" ref="BB29:BB60" si="93">Q200</f>
        <v>15034.53539938898</v>
      </c>
      <c r="BC29" s="1264">
        <f t="shared" ref="BC29:BC60" si="94">R200</f>
        <v>1223.4918067759586</v>
      </c>
      <c r="BD29" s="1264">
        <f t="shared" ref="BD29:BD60" si="95">S200</f>
        <v>318.44017899800792</v>
      </c>
      <c r="BE29" s="1264">
        <f t="shared" ref="BE29:BE60" si="96">T200</f>
        <v>3922.0671678896119</v>
      </c>
      <c r="BF29" s="1331">
        <f t="shared" si="47"/>
        <v>20498.534553052559</v>
      </c>
      <c r="BG29" s="1365" t="str">
        <f>'Recycling - Case 2'!T178</f>
        <v>Policies met</v>
      </c>
      <c r="BH29" s="677">
        <f t="shared" si="48"/>
        <v>2019</v>
      </c>
      <c r="BI29" s="1264">
        <f>'Recycling - Case 1'!BV99</f>
        <v>102.83663580000209</v>
      </c>
      <c r="BJ29" s="483">
        <f>'Recycling - Case 1'!BW99</f>
        <v>0.32332819026603998</v>
      </c>
      <c r="BK29" s="1331">
        <f>'Recycling - Case 1'!BX99</f>
        <v>49.847473415971187</v>
      </c>
      <c r="BL29" s="1263">
        <f>'Recycling - Case 1'!BY99</f>
        <v>102.74353699665076</v>
      </c>
      <c r="BM29" s="483">
        <f>'Recycling - Case 1'!BZ99</f>
        <v>0.32213017099988633</v>
      </c>
      <c r="BN29" s="1331">
        <f>'Recycling - Case 1'!CA99</f>
        <v>50.172070130067617</v>
      </c>
      <c r="BO29" s="1264">
        <f>'Recycling - Case 2'!BV98</f>
        <v>104.89781834296268</v>
      </c>
      <c r="BP29" s="483">
        <f>'Recycling - Case 2'!BW98</f>
        <v>0.3632761773919651</v>
      </c>
      <c r="BQ29" s="1331">
        <f>'Recycling - Case 2'!BX98</f>
        <v>49.847473415971187</v>
      </c>
      <c r="BR29" s="1263">
        <f>'Recycling - Case 2'!BY98</f>
        <v>104.82268381700432</v>
      </c>
      <c r="BS29" s="483">
        <f>'Recycling - Case 2'!BZ98</f>
        <v>0.36229971180901283</v>
      </c>
      <c r="BT29" s="1331">
        <f>'Recycling - Case 2'!CA98</f>
        <v>50.172070130067617</v>
      </c>
      <c r="BU29" s="1264">
        <f>'Recycling - Case 3'!BV98</f>
        <v>104.89781834296268</v>
      </c>
      <c r="BV29" s="483">
        <f>'Recycling - Case 3'!BW98</f>
        <v>0.3632761773919651</v>
      </c>
      <c r="BW29" s="1331">
        <f>'Recycling - Case 3'!BX98</f>
        <v>49.847473415971187</v>
      </c>
      <c r="BX29" s="1263">
        <f>'Recycling - Case 3'!BY98</f>
        <v>104.82268381700432</v>
      </c>
      <c r="BY29" s="483">
        <f>'Recycling - Case 3'!BZ98</f>
        <v>0.36229971180901283</v>
      </c>
      <c r="BZ29" s="1331">
        <f>'Recycling - Case 3'!CA98</f>
        <v>50.172070130067617</v>
      </c>
      <c r="CA29" s="677">
        <v>2019</v>
      </c>
      <c r="CB29" s="730">
        <f>'Recycling - Case 1'!CB99</f>
        <v>4.9396823319553002E-2</v>
      </c>
      <c r="CC29" s="483">
        <f>'Recycling - Case 1'!CC99</f>
        <v>0.19484352780501424</v>
      </c>
      <c r="CD29" s="483">
        <f>'Recycling - Case 1'!CD99</f>
        <v>4.9396823319553002E-2</v>
      </c>
      <c r="CE29" s="604">
        <f>'Recycling - Case 1'!CE99</f>
        <v>0.20626314747894148</v>
      </c>
      <c r="CF29" s="730">
        <f>'Recycling - Case 2'!CB98</f>
        <v>4.0347508485998995E-2</v>
      </c>
      <c r="CG29" s="483">
        <f>'Recycling - Case 2'!CC98</f>
        <v>0.14461792283129168</v>
      </c>
      <c r="CH29" s="483">
        <f>'Recycling - Case 2'!CD98</f>
        <v>4.0347508485998995E-2</v>
      </c>
      <c r="CI29" s="604">
        <f>'Recycling - Case 2'!CE98</f>
        <v>0.15554640672095663</v>
      </c>
      <c r="CJ29" s="730">
        <f>'Recycling - Case 3'!CB98</f>
        <v>4.0347508485998995E-2</v>
      </c>
      <c r="CK29" s="483">
        <f>'Recycling - Case 3'!CC98</f>
        <v>0.14461792283129168</v>
      </c>
      <c r="CL29" s="483">
        <f>'Recycling - Case 3'!CD98</f>
        <v>4.0347508485998995E-2</v>
      </c>
      <c r="CM29" s="604">
        <f>'Recycling - Case 3'!CE98</f>
        <v>0.15554640672095663</v>
      </c>
    </row>
    <row r="30" spans="1:91">
      <c r="A30" s="4">
        <f>'Input data'!A119</f>
        <v>2019</v>
      </c>
      <c r="B30" s="4"/>
      <c r="C30" s="891">
        <f>'4A SWD Case 1'!BG88</f>
        <v>715.51148891397781</v>
      </c>
      <c r="D30" s="3">
        <f>'4B Biological treatment '!T83</f>
        <v>0.67554823904998518</v>
      </c>
      <c r="E30" s="1358">
        <f>'4B Biological treatment '!U83</f>
        <v>35.060344258806339</v>
      </c>
      <c r="F30" s="1358">
        <f>'4B Biological treatment '!W83</f>
        <v>2.1036206555283798</v>
      </c>
      <c r="G30" s="1076">
        <f>'4C2 Open-burning '!R90</f>
        <v>33.141257633565822</v>
      </c>
      <c r="H30" s="1076">
        <f>'4C2 Open-burning '!Z90</f>
        <v>11.151018561744589</v>
      </c>
      <c r="I30" s="1076">
        <f>'4C2 Open-burning '!AH90</f>
        <v>0.15524099920572906</v>
      </c>
      <c r="J30" s="1111">
        <f>'4D Wastewater treatment and dis'!AV127</f>
        <v>138.54240079281473</v>
      </c>
      <c r="K30" s="892">
        <f>'4D Wastewater treatment and dis'!AW127</f>
        <v>2.9428441226975277</v>
      </c>
      <c r="L30" s="893">
        <f t="shared" si="65"/>
        <v>15025.741267193534</v>
      </c>
      <c r="M30" s="894">
        <f t="shared" si="66"/>
        <v>14.186513020049688</v>
      </c>
      <c r="N30" s="893">
        <f t="shared" si="67"/>
        <v>1388.3896326487309</v>
      </c>
      <c r="O30" s="895">
        <f t="shared" si="68"/>
        <v>315.43735718397818</v>
      </c>
      <c r="P30" s="893">
        <f t="shared" si="69"/>
        <v>3821.6720946853429</v>
      </c>
      <c r="Q30" s="598">
        <f t="shared" si="70"/>
        <v>15025.741267193534</v>
      </c>
      <c r="R30" s="600">
        <f t="shared" si="71"/>
        <v>1402.5761456687806</v>
      </c>
      <c r="S30" s="597">
        <f t="shared" si="72"/>
        <v>315.43735718397818</v>
      </c>
      <c r="T30" s="598">
        <f t="shared" si="73"/>
        <v>3821.6720946853429</v>
      </c>
      <c r="U30" s="598">
        <f t="shared" si="74"/>
        <v>20565.426864731635</v>
      </c>
      <c r="V30" s="3"/>
      <c r="W30" s="677">
        <f t="shared" si="75"/>
        <v>2020</v>
      </c>
      <c r="X30" s="1263">
        <f t="shared" si="76"/>
        <v>14903.527010633872</v>
      </c>
      <c r="Y30" s="1264">
        <f t="shared" si="77"/>
        <v>1258.791306849949</v>
      </c>
      <c r="Z30" s="1264">
        <f t="shared" si="78"/>
        <v>312.90394154215903</v>
      </c>
      <c r="AA30" s="1264">
        <f t="shared" si="79"/>
        <v>3916.6402461682742</v>
      </c>
      <c r="AB30" s="1331">
        <f t="shared" si="22"/>
        <v>20391.862505194254</v>
      </c>
      <c r="AC30" s="1365" t="str">
        <f>'Recycling - Case 1'!T140</f>
        <v>Policies met</v>
      </c>
      <c r="AD30" s="1263">
        <f t="shared" si="80"/>
        <v>14899.414944630918</v>
      </c>
      <c r="AE30" s="1264">
        <f t="shared" si="81"/>
        <v>1159.3272332554623</v>
      </c>
      <c r="AF30" s="1264">
        <f t="shared" si="82"/>
        <v>312.90394154215903</v>
      </c>
      <c r="AG30" s="1264">
        <f t="shared" si="83"/>
        <v>3916.6402461682742</v>
      </c>
      <c r="AH30" s="1331">
        <f t="shared" si="56"/>
        <v>20288.286365596814</v>
      </c>
      <c r="AI30" s="1365" t="str">
        <f>'Recycling - Case 1'!T180</f>
        <v>Policies met</v>
      </c>
      <c r="AJ30" s="1263">
        <f t="shared" si="84"/>
        <v>14937.758070949161</v>
      </c>
      <c r="AK30" s="1264">
        <f t="shared" si="85"/>
        <v>1349.4859760120851</v>
      </c>
      <c r="AL30" s="1264">
        <f t="shared" si="86"/>
        <v>316.15464933726764</v>
      </c>
      <c r="AM30" s="1264">
        <f t="shared" si="87"/>
        <v>4069.6685524307268</v>
      </c>
      <c r="AN30" s="1331">
        <f t="shared" si="88"/>
        <v>20673.06724872924</v>
      </c>
      <c r="AO30" s="1365" t="str">
        <f>'Recycling - Case 2'!T139</f>
        <v>Policies met</v>
      </c>
      <c r="AP30" s="1263">
        <f t="shared" si="89"/>
        <v>14933.822856962206</v>
      </c>
      <c r="AQ30" s="1264">
        <f t="shared" si="90"/>
        <v>1349.4859760120851</v>
      </c>
      <c r="AR30" s="1264">
        <f t="shared" si="91"/>
        <v>316.15464933726764</v>
      </c>
      <c r="AS30" s="1264">
        <f t="shared" si="92"/>
        <v>4069.6685524307268</v>
      </c>
      <c r="AT30" s="1331">
        <f t="shared" si="37"/>
        <v>20669.132034742288</v>
      </c>
      <c r="AU30" s="1365" t="str">
        <f>'Recycling - Case 2'!T179</f>
        <v>Policies met</v>
      </c>
      <c r="AV30" s="1263">
        <f t="shared" si="59"/>
        <v>14937.780613773604</v>
      </c>
      <c r="AW30" s="1264">
        <f t="shared" si="60"/>
        <v>1178.385738972461</v>
      </c>
      <c r="AX30" s="1264">
        <f t="shared" si="61"/>
        <v>316.15464933726764</v>
      </c>
      <c r="AY30" s="1264">
        <f t="shared" si="62"/>
        <v>4069.6685524307268</v>
      </c>
      <c r="AZ30" s="1331">
        <f t="shared" si="63"/>
        <v>20501.989554514061</v>
      </c>
      <c r="BA30" s="1365" t="str">
        <f>'Recycling - Case 2'!T139</f>
        <v>Policies met</v>
      </c>
      <c r="BB30" s="1263">
        <f t="shared" si="93"/>
        <v>14933.845399786651</v>
      </c>
      <c r="BC30" s="1264">
        <f t="shared" si="94"/>
        <v>958.289745730238</v>
      </c>
      <c r="BD30" s="1264">
        <f t="shared" si="95"/>
        <v>316.15464933726764</v>
      </c>
      <c r="BE30" s="1264">
        <f t="shared" si="96"/>
        <v>4069.6685524307268</v>
      </c>
      <c r="BF30" s="1331">
        <f t="shared" si="47"/>
        <v>20277.958347284883</v>
      </c>
      <c r="BG30" s="1365" t="str">
        <f>'Recycling - Case 2'!T179</f>
        <v>Policies met</v>
      </c>
      <c r="BH30" s="677">
        <f t="shared" si="48"/>
        <v>2020</v>
      </c>
      <c r="BI30" s="1264">
        <f>'Recycling - Case 1'!BV100</f>
        <v>92.80989421388928</v>
      </c>
      <c r="BJ30" s="483">
        <f>'Recycling - Case 1'!BW100</f>
        <v>0.34106045371459914</v>
      </c>
      <c r="BK30" s="1331">
        <f>'Recycling - Case 1'!BX100</f>
        <v>47.586944933914559</v>
      </c>
      <c r="BL30" s="1263">
        <f>'Recycling - Case 1'!BY100</f>
        <v>92.041392261469241</v>
      </c>
      <c r="BM30" s="483">
        <f>'Recycling - Case 1'!BZ100</f>
        <v>0.32995595256499261</v>
      </c>
      <c r="BN30" s="1331">
        <f>'Recycling - Case 1'!CA100</f>
        <v>50.172070130067617</v>
      </c>
      <c r="BO30" s="1264">
        <f>'Recycling - Case 2'!BV99</f>
        <v>93.216144821678014</v>
      </c>
      <c r="BP30" s="483">
        <f>'Recycling - Case 2'!BW99</f>
        <v>0.41707141135775727</v>
      </c>
      <c r="BQ30" s="1331">
        <f>'Recycling - Case 2'!BX99</f>
        <v>47.586944933914559</v>
      </c>
      <c r="BR30" s="1263">
        <f>'Recycling - Case 2'!BY99</f>
        <v>92.611990824842948</v>
      </c>
      <c r="BS30" s="483">
        <f>'Recycling - Case 2'!BZ99</f>
        <v>0.40788706503437866</v>
      </c>
      <c r="BT30" s="1331">
        <f>'Recycling - Case 2'!CA99</f>
        <v>50.172070130067617</v>
      </c>
      <c r="BU30" s="1264">
        <f>'Recycling - Case 3'!BV99</f>
        <v>93.216144821678014</v>
      </c>
      <c r="BV30" s="483">
        <f>'Recycling - Case 3'!BW99</f>
        <v>0.41707141135775727</v>
      </c>
      <c r="BW30" s="1331">
        <f>'Recycling - Case 3'!BX99</f>
        <v>47.586944933914559</v>
      </c>
      <c r="BX30" s="1263">
        <f>'Recycling - Case 3'!BY99</f>
        <v>92.611990824842948</v>
      </c>
      <c r="BY30" s="483">
        <f>'Recycling - Case 3'!BZ99</f>
        <v>0.40788706503437866</v>
      </c>
      <c r="BZ30" s="1331">
        <f>'Recycling - Case 3'!CA99</f>
        <v>50.172070130067617</v>
      </c>
      <c r="CA30" s="677">
        <v>2020</v>
      </c>
      <c r="CB30" s="730">
        <f>'Recycling - Case 1'!CB100</f>
        <v>7.2040423567521938E-2</v>
      </c>
      <c r="CC30" s="483">
        <f>'Recycling - Case 1'!CC100</f>
        <v>0.35528409453439536</v>
      </c>
      <c r="CD30" s="483">
        <f>'Recycling - Case 1'!CD100</f>
        <v>7.2040423567521938E-2</v>
      </c>
      <c r="CE30" s="604">
        <f>'Recycling - Case 1'!CE100</f>
        <v>0.4541334303058962</v>
      </c>
      <c r="CF30" s="730">
        <f>'Recycling - Case 2'!CB99</f>
        <v>6.2400003527468412E-2</v>
      </c>
      <c r="CG30" s="483">
        <f>'Recycling - Case 2'!CC99</f>
        <v>0.35045979433873437</v>
      </c>
      <c r="CH30" s="483">
        <f>'Recycling - Case 2'!CD99</f>
        <v>6.2400003527468412E-2</v>
      </c>
      <c r="CI30" s="604">
        <f>'Recycling - Case 2'!CE99</f>
        <v>0.44446491650948011</v>
      </c>
      <c r="CJ30" s="730">
        <f>'Recycling - Case 3'!CB99</f>
        <v>6.2400003527468412E-2</v>
      </c>
      <c r="CK30" s="483">
        <f>'Recycling - Case 3'!CC99</f>
        <v>0.35045979433873437</v>
      </c>
      <c r="CL30" s="483">
        <f>'Recycling - Case 3'!CD99</f>
        <v>6.2400003527468412E-2</v>
      </c>
      <c r="CM30" s="604">
        <f>'Recycling - Case 3'!CE99</f>
        <v>0.44446491650948011</v>
      </c>
    </row>
    <row r="31" spans="1:91">
      <c r="A31" s="4">
        <f>'Input data'!A120</f>
        <v>2020</v>
      </c>
      <c r="B31" s="4"/>
      <c r="C31" s="891">
        <f>'4A SWD Case 1'!BG89</f>
        <v>709.69176241113678</v>
      </c>
      <c r="D31" s="3">
        <f>'4B Biological treatment '!T84</f>
        <v>0.62528021813527701</v>
      </c>
      <c r="E31" s="1358">
        <f>'4B Biological treatment '!U84</f>
        <v>31.456071269421926</v>
      </c>
      <c r="F31" s="1358">
        <f>'4B Biological treatment '!W84</f>
        <v>1.8873642761653153</v>
      </c>
      <c r="G31" s="1076">
        <f>'4C2 Open-burning '!R91</f>
        <v>32.875085670840846</v>
      </c>
      <c r="H31" s="1076">
        <f>'4C2 Open-burning '!Z91</f>
        <v>11.061459845241448</v>
      </c>
      <c r="I31" s="1076">
        <f>'4C2 Open-burning '!AH91</f>
        <v>0.15399419071370238</v>
      </c>
      <c r="J31" s="1111">
        <f>'4D Wastewater treatment and dis'!AV128</f>
        <v>142.36205971856938</v>
      </c>
      <c r="K31" s="892">
        <f>'4D Wastewater treatment and dis'!AW128</f>
        <v>2.9904419099300554</v>
      </c>
      <c r="L31" s="893">
        <f t="shared" si="65"/>
        <v>14903.527010633872</v>
      </c>
      <c r="M31" s="894">
        <f t="shared" si="66"/>
        <v>13.130884580840817</v>
      </c>
      <c r="N31" s="893">
        <f t="shared" si="67"/>
        <v>1245.6604222691083</v>
      </c>
      <c r="O31" s="895">
        <f t="shared" si="68"/>
        <v>312.90394154215903</v>
      </c>
      <c r="P31" s="893">
        <f t="shared" si="69"/>
        <v>3916.6402461682742</v>
      </c>
      <c r="Q31" s="598">
        <f t="shared" si="70"/>
        <v>14903.527010633872</v>
      </c>
      <c r="R31" s="600">
        <f t="shared" si="71"/>
        <v>1258.791306849949</v>
      </c>
      <c r="S31" s="597">
        <f t="shared" si="72"/>
        <v>312.90394154215903</v>
      </c>
      <c r="T31" s="598">
        <f t="shared" si="73"/>
        <v>3916.6402461682742</v>
      </c>
      <c r="U31" s="598">
        <f t="shared" si="74"/>
        <v>20391.862505194254</v>
      </c>
      <c r="V31" s="3"/>
      <c r="W31" s="677">
        <f t="shared" si="75"/>
        <v>2021</v>
      </c>
      <c r="X31" s="1263">
        <f t="shared" si="76"/>
        <v>14689.278539883861</v>
      </c>
      <c r="Y31" s="1264">
        <f t="shared" si="77"/>
        <v>1279.5852249699403</v>
      </c>
      <c r="Z31" s="1264">
        <f t="shared" si="78"/>
        <v>309.23974831904246</v>
      </c>
      <c r="AA31" s="1264">
        <f t="shared" si="79"/>
        <v>3995.2820715317216</v>
      </c>
      <c r="AB31" s="1331">
        <f t="shared" si="22"/>
        <v>20273.385584704563</v>
      </c>
      <c r="AC31" s="1365" t="str">
        <f>'Recycling - Case 1'!T141</f>
        <v>Policies met</v>
      </c>
      <c r="AD31" s="1263">
        <f t="shared" si="80"/>
        <v>14654.185920037366</v>
      </c>
      <c r="AE31" s="1264">
        <f t="shared" si="81"/>
        <v>1163.342855501777</v>
      </c>
      <c r="AF31" s="1264">
        <f t="shared" si="82"/>
        <v>309.23974831904246</v>
      </c>
      <c r="AG31" s="1264">
        <f t="shared" si="83"/>
        <v>3995.2820715317216</v>
      </c>
      <c r="AH31" s="1331">
        <f t="shared" si="56"/>
        <v>20122.050595389905</v>
      </c>
      <c r="AI31" s="1365" t="str">
        <f>'Recycling - Case 1'!T181</f>
        <v>Policies met</v>
      </c>
      <c r="AJ31" s="1263">
        <f t="shared" si="84"/>
        <v>14706.766750740459</v>
      </c>
      <c r="AK31" s="1264">
        <f t="shared" si="85"/>
        <v>1165.8155204940736</v>
      </c>
      <c r="AL31" s="1264">
        <f t="shared" si="86"/>
        <v>297.20445411141543</v>
      </c>
      <c r="AM31" s="1264">
        <f t="shared" si="87"/>
        <v>4201.6695034402455</v>
      </c>
      <c r="AN31" s="1331">
        <f t="shared" si="88"/>
        <v>20371.456228786192</v>
      </c>
      <c r="AO31" s="1365" t="str">
        <f>'Recycling - Case 2'!T140</f>
        <v>Policies met</v>
      </c>
      <c r="AP31" s="1263">
        <f t="shared" si="89"/>
        <v>14675.114716215752</v>
      </c>
      <c r="AQ31" s="1264">
        <f t="shared" si="90"/>
        <v>1165.8155204940736</v>
      </c>
      <c r="AR31" s="1264">
        <f t="shared" si="91"/>
        <v>297.20445411141543</v>
      </c>
      <c r="AS31" s="1264">
        <f t="shared" si="92"/>
        <v>4201.6695034402455</v>
      </c>
      <c r="AT31" s="1331">
        <f t="shared" si="37"/>
        <v>20339.804194261487</v>
      </c>
      <c r="AU31" s="1365" t="str">
        <f>'Recycling - Case 2'!T180</f>
        <v>Policies met</v>
      </c>
      <c r="AV31" s="1263">
        <f t="shared" si="59"/>
        <v>14706.811461332869</v>
      </c>
      <c r="AW31" s="1264">
        <f t="shared" si="60"/>
        <v>1008.7962525633618</v>
      </c>
      <c r="AX31" s="1264">
        <f t="shared" si="61"/>
        <v>297.20445411141543</v>
      </c>
      <c r="AY31" s="1264">
        <f t="shared" si="62"/>
        <v>4201.6695034402455</v>
      </c>
      <c r="AZ31" s="1331">
        <f t="shared" si="63"/>
        <v>20214.481671447891</v>
      </c>
      <c r="BA31" s="1365" t="str">
        <f>'Recycling - Case 2'!T140</f>
        <v>Policies met</v>
      </c>
      <c r="BB31" s="1263">
        <f t="shared" si="93"/>
        <v>14675.159426808163</v>
      </c>
      <c r="BC31" s="1264">
        <f t="shared" si="94"/>
        <v>707.86105306954448</v>
      </c>
      <c r="BD31" s="1264">
        <f t="shared" si="95"/>
        <v>297.20445411141543</v>
      </c>
      <c r="BE31" s="1264">
        <f t="shared" si="96"/>
        <v>4201.6695034402455</v>
      </c>
      <c r="BF31" s="1331">
        <f t="shared" si="47"/>
        <v>19881.894437429368</v>
      </c>
      <c r="BG31" s="1365" t="str">
        <f>'Recycling - Case 2'!T180</f>
        <v>Policies met</v>
      </c>
      <c r="BH31" s="677">
        <f t="shared" si="48"/>
        <v>2021</v>
      </c>
      <c r="BI31" s="1264">
        <f>'Recycling - Case 1'!BV101</f>
        <v>90.867285029242865</v>
      </c>
      <c r="BJ31" s="483">
        <f>'Recycling - Case 1'!BW101</f>
        <v>0.35686533956860023</v>
      </c>
      <c r="BK31" s="1331">
        <f>'Recycling - Case 1'!BX101</f>
        <v>47.328556831579235</v>
      </c>
      <c r="BL31" s="1263">
        <f>'Recycling - Case 1'!BY101</f>
        <v>89.993966261017306</v>
      </c>
      <c r="BM31" s="483">
        <f>'Recycling - Case 1'!BZ101</f>
        <v>0.34382460695929362</v>
      </c>
      <c r="BN31" s="1331">
        <f>'Recycling - Case 1'!CA101</f>
        <v>50.172070130067617</v>
      </c>
      <c r="BO31" s="1264">
        <f>'Recycling - Case 2'!BV100</f>
        <v>79.778034372349481</v>
      </c>
      <c r="BP31" s="483">
        <f>'Recycling - Case 2'!BW100</f>
        <v>0.48072550668143788</v>
      </c>
      <c r="BQ31" s="1331">
        <f>'Recycling - Case 2'!BX100</f>
        <v>47.328556831579235</v>
      </c>
      <c r="BR31" s="1263">
        <f>'Recycling - Case 2'!BY100</f>
        <v>78.986036872534569</v>
      </c>
      <c r="BS31" s="483">
        <f>'Recycling - Case 2'!BZ100</f>
        <v>0.46602558447314762</v>
      </c>
      <c r="BT31" s="1331">
        <f>'Recycling - Case 2'!CA100</f>
        <v>50.172070130067617</v>
      </c>
      <c r="BU31" s="1264">
        <f>'Recycling - Case 3'!BV100</f>
        <v>79.778034372349481</v>
      </c>
      <c r="BV31" s="483">
        <f>'Recycling - Case 3'!BW100</f>
        <v>0.48072550668143788</v>
      </c>
      <c r="BW31" s="1331">
        <f>'Recycling - Case 3'!BX100</f>
        <v>47.328556831579235</v>
      </c>
      <c r="BX31" s="1263">
        <f>'Recycling - Case 3'!BY100</f>
        <v>78.986036872534569</v>
      </c>
      <c r="BY31" s="483">
        <f>'Recycling - Case 3'!BZ100</f>
        <v>0.46602558447314762</v>
      </c>
      <c r="BZ31" s="1331">
        <f>'Recycling - Case 3'!CA100</f>
        <v>50.172070130067617</v>
      </c>
      <c r="CA31" s="677">
        <v>2021</v>
      </c>
      <c r="CB31" s="730">
        <f>'Recycling - Case 1'!CB101</f>
        <v>9.33480577895337E-2</v>
      </c>
      <c r="CC31" s="483">
        <f>'Recycling - Case 1'!CC101</f>
        <v>0.40996511174104849</v>
      </c>
      <c r="CD31" s="483">
        <f>'Recycling - Case 1'!CD101</f>
        <v>9.33480577895337E-2</v>
      </c>
      <c r="CE31" s="604">
        <f>'Recycling - Case 1'!CE101</f>
        <v>0.51714095500752022</v>
      </c>
      <c r="CF31" s="730">
        <f>'Recycling - Case 2'!CB100</f>
        <v>0.12863402257166001</v>
      </c>
      <c r="CG31" s="483">
        <f>'Recycling - Case 2'!CC100</f>
        <v>0.70382930313734093</v>
      </c>
      <c r="CH31" s="483">
        <f>'Recycling - Case 2'!CD100</f>
        <v>0.12863402257166001</v>
      </c>
      <c r="CI31" s="604">
        <f>'Recycling - Case 2'!CE100</f>
        <v>0.80866022595516929</v>
      </c>
      <c r="CJ31" s="730">
        <f>'Recycling - Case 3'!CB100</f>
        <v>0.12863402257166001</v>
      </c>
      <c r="CK31" s="483">
        <f>'Recycling - Case 3'!CC100</f>
        <v>0.70382930313734093</v>
      </c>
      <c r="CL31" s="483">
        <f>'Recycling - Case 3'!CD100</f>
        <v>0.12863402257166001</v>
      </c>
      <c r="CM31" s="604">
        <f>'Recycling - Case 3'!CE100</f>
        <v>0.80866022595516929</v>
      </c>
    </row>
    <row r="32" spans="1:91">
      <c r="A32" s="4">
        <f>'Input data'!A121</f>
        <v>2021</v>
      </c>
      <c r="B32" s="4"/>
      <c r="C32" s="891">
        <f>'4A SWD Case 1'!BG90</f>
        <v>699.48945428018385</v>
      </c>
      <c r="D32" s="3">
        <f>'4B Biological treatment '!T85</f>
        <v>0.67111767065577133</v>
      </c>
      <c r="E32" s="1358">
        <f>'4B Biological treatment '!U85</f>
        <v>31.956862471872959</v>
      </c>
      <c r="F32" s="1358">
        <f>'4B Biological treatment '!W85</f>
        <v>1.9174117483123778</v>
      </c>
      <c r="G32" s="1076">
        <f>'4C2 Open-burning '!R92</f>
        <v>32.49010916485382</v>
      </c>
      <c r="H32" s="1076">
        <f>'4C2 Open-burning '!Z92</f>
        <v>10.931927037175978</v>
      </c>
      <c r="I32" s="1076">
        <f>'4C2 Open-burning '!AH92</f>
        <v>0.15219087539836484</v>
      </c>
      <c r="J32" s="1111">
        <f>'4D Wastewater treatment and dis'!AV129</f>
        <v>145.59854093589945</v>
      </c>
      <c r="K32" s="892">
        <f>'4D Wastewater treatment and dis'!AW129</f>
        <v>3.024879715734945</v>
      </c>
      <c r="L32" s="893">
        <f t="shared" si="65"/>
        <v>14689.278539883861</v>
      </c>
      <c r="M32" s="894">
        <f t="shared" si="66"/>
        <v>14.093471083771197</v>
      </c>
      <c r="N32" s="893">
        <f t="shared" si="67"/>
        <v>1265.4917538861691</v>
      </c>
      <c r="O32" s="895">
        <f t="shared" si="68"/>
        <v>309.23974831904246</v>
      </c>
      <c r="P32" s="893">
        <f t="shared" si="69"/>
        <v>3995.2820715317216</v>
      </c>
      <c r="Q32" s="598">
        <f t="shared" si="70"/>
        <v>14689.278539883861</v>
      </c>
      <c r="R32" s="600">
        <f t="shared" si="71"/>
        <v>1279.5852249699403</v>
      </c>
      <c r="S32" s="597">
        <f t="shared" si="72"/>
        <v>309.23974831904246</v>
      </c>
      <c r="T32" s="598">
        <f t="shared" si="73"/>
        <v>3995.2820715317216</v>
      </c>
      <c r="U32" s="598">
        <f t="shared" si="74"/>
        <v>20273.385584704563</v>
      </c>
      <c r="V32" s="3"/>
      <c r="W32" s="677">
        <f t="shared" si="75"/>
        <v>2022</v>
      </c>
      <c r="X32" s="1263">
        <f t="shared" si="76"/>
        <v>14448.424300683124</v>
      </c>
      <c r="Y32" s="1264">
        <f t="shared" si="77"/>
        <v>1344.4607006561016</v>
      </c>
      <c r="Z32" s="1264">
        <f t="shared" si="78"/>
        <v>305.89954118510258</v>
      </c>
      <c r="AA32" s="1264">
        <f t="shared" si="79"/>
        <v>4075.1576379006751</v>
      </c>
      <c r="AB32" s="1331">
        <f t="shared" si="22"/>
        <v>20173.942180425005</v>
      </c>
      <c r="AC32" s="1365" t="str">
        <f>'Recycling - Case 1'!T142</f>
        <v>Policies met</v>
      </c>
      <c r="AD32" s="1263">
        <f t="shared" si="80"/>
        <v>14382.517915420403</v>
      </c>
      <c r="AE32" s="1264">
        <f t="shared" si="81"/>
        <v>1159.654570840461</v>
      </c>
      <c r="AF32" s="1264">
        <f t="shared" si="82"/>
        <v>305.89954118510258</v>
      </c>
      <c r="AG32" s="1264">
        <f t="shared" si="83"/>
        <v>4075.1576379006751</v>
      </c>
      <c r="AH32" s="1331">
        <f t="shared" si="56"/>
        <v>19923.229665346644</v>
      </c>
      <c r="AI32" s="1365" t="str">
        <f>'Recycling - Case 1'!T182</f>
        <v>Policies met</v>
      </c>
      <c r="AJ32" s="1263">
        <f t="shared" si="84"/>
        <v>14294.991238289604</v>
      </c>
      <c r="AK32" s="1264">
        <f t="shared" si="85"/>
        <v>941.81807564087649</v>
      </c>
      <c r="AL32" s="1264">
        <f t="shared" si="86"/>
        <v>252.7692434020974</v>
      </c>
      <c r="AM32" s="1264">
        <f t="shared" si="87"/>
        <v>4336.1091427486772</v>
      </c>
      <c r="AN32" s="1331">
        <f t="shared" si="88"/>
        <v>19825.687700081253</v>
      </c>
      <c r="AO32" s="1365" t="str">
        <f>'Recycling - Case 2'!T141</f>
        <v>Policies not met</v>
      </c>
      <c r="AP32" s="1263">
        <f t="shared" si="89"/>
        <v>14241.022671787217</v>
      </c>
      <c r="AQ32" s="1264">
        <f t="shared" si="90"/>
        <v>941.81807564087649</v>
      </c>
      <c r="AR32" s="1264">
        <f t="shared" si="91"/>
        <v>252.7692434020974</v>
      </c>
      <c r="AS32" s="1264">
        <f t="shared" si="92"/>
        <v>4336.1091427486772</v>
      </c>
      <c r="AT32" s="1331">
        <f t="shared" si="37"/>
        <v>19771.719133578867</v>
      </c>
      <c r="AU32" s="1365" t="str">
        <f>'Recycling - Case 2'!T181</f>
        <v>Policies not met</v>
      </c>
      <c r="AV32" s="1263">
        <f t="shared" si="59"/>
        <v>14295.065013087842</v>
      </c>
      <c r="AW32" s="1264">
        <f t="shared" si="60"/>
        <v>675.25978641488598</v>
      </c>
      <c r="AX32" s="1264">
        <f t="shared" si="61"/>
        <v>252.7692434020974</v>
      </c>
      <c r="AY32" s="1264">
        <f t="shared" si="62"/>
        <v>4336.1091427486772</v>
      </c>
      <c r="AZ32" s="1331">
        <f t="shared" si="63"/>
        <v>19559.203185653503</v>
      </c>
      <c r="BA32" s="1365" t="str">
        <f>'Recycling - Case 2'!T141</f>
        <v>Policies not met</v>
      </c>
      <c r="BB32" s="1263">
        <f t="shared" si="93"/>
        <v>14241.096446585456</v>
      </c>
      <c r="BC32" s="1264">
        <f t="shared" si="94"/>
        <v>571.98601931600649</v>
      </c>
      <c r="BD32" s="1264">
        <f t="shared" si="95"/>
        <v>252.7692434020974</v>
      </c>
      <c r="BE32" s="1264">
        <f t="shared" si="96"/>
        <v>4336.1091427486772</v>
      </c>
      <c r="BF32" s="1331">
        <f t="shared" si="47"/>
        <v>19401.960852052238</v>
      </c>
      <c r="BG32" s="1365" t="str">
        <f>'Recycling - Case 2'!T181</f>
        <v>Policies not met</v>
      </c>
      <c r="BH32" s="677">
        <f t="shared" si="48"/>
        <v>2022</v>
      </c>
      <c r="BI32" s="1264">
        <f>'Recycling - Case 1'!BV102</f>
        <v>89.290543972056582</v>
      </c>
      <c r="BJ32" s="483">
        <f>'Recycling - Case 1'!BW102</f>
        <v>0.37943231633106983</v>
      </c>
      <c r="BK32" s="1331">
        <f>'Recycling - Case 1'!BX102</f>
        <v>45.903210392984278</v>
      </c>
      <c r="BL32" s="1263">
        <f>'Recycling - Case 1'!BY102</f>
        <v>87.940575062302727</v>
      </c>
      <c r="BM32" s="483">
        <f>'Recycling - Case 1'!BZ102</f>
        <v>0.35857690816221094</v>
      </c>
      <c r="BN32" s="1331">
        <f>'Recycling - Case 1'!CA102</f>
        <v>50.172070130067617</v>
      </c>
      <c r="BO32" s="1264">
        <f>'Recycling - Case 2'!BV101</f>
        <v>70.076035320428332</v>
      </c>
      <c r="BP32" s="483">
        <f>'Recycling - Case 2'!BW101</f>
        <v>0.50925010089574485</v>
      </c>
      <c r="BQ32" s="1331">
        <f>'Recycling - Case 2'!BX101</f>
        <v>45.903210392984278</v>
      </c>
      <c r="BR32" s="1263">
        <f>'Recycling - Case 2'!BY101</f>
        <v>74.344895057511636</v>
      </c>
      <c r="BS32" s="483">
        <f>'Recycling - Case 2'!BZ101</f>
        <v>0.49043154049270299</v>
      </c>
      <c r="BT32" s="1331">
        <f>'Recycling - Case 2'!CA101</f>
        <v>50.172070130067617</v>
      </c>
      <c r="BU32" s="1264">
        <f>'Recycling - Case 3'!BV101</f>
        <v>70.076035320428332</v>
      </c>
      <c r="BV32" s="483">
        <f>'Recycling - Case 3'!BW101</f>
        <v>0.50925010089574485</v>
      </c>
      <c r="BW32" s="1331">
        <f>'Recycling - Case 3'!BX101</f>
        <v>45.903210392984278</v>
      </c>
      <c r="BX32" s="1263">
        <f>'Recycling - Case 3'!BY101</f>
        <v>74.344895057511636</v>
      </c>
      <c r="BY32" s="483">
        <f>'Recycling - Case 3'!BZ101</f>
        <v>0.49043154049270299</v>
      </c>
      <c r="BZ32" s="1331">
        <f>'Recycling - Case 3'!CA101</f>
        <v>50.172070130067617</v>
      </c>
      <c r="CA32" s="677">
        <v>2022</v>
      </c>
      <c r="CB32" s="730">
        <f>'Recycling - Case 1'!CB102</f>
        <v>0.11333908411575319</v>
      </c>
      <c r="CC32" s="483">
        <f>'Recycling - Case 1'!CC102</f>
        <v>0.41924619569115001</v>
      </c>
      <c r="CD32" s="483">
        <f>'Recycling - Case 1'!CD102</f>
        <v>0.11333908411575319</v>
      </c>
      <c r="CE32" s="604">
        <f>'Recycling - Case 1'!CE102</f>
        <v>0.57795902501819563</v>
      </c>
      <c r="CF32" s="730">
        <f>'Recycling - Case 2'!CB101</f>
        <v>0.26733917941166707</v>
      </c>
      <c r="CG32" s="483">
        <f>'Recycling - Case 2'!CC101</f>
        <v>0.85</v>
      </c>
      <c r="CH32" s="483">
        <f>'Recycling - Case 2'!CD101</f>
        <v>0.26733917941166707</v>
      </c>
      <c r="CI32" s="604">
        <f>'Recycling - Case 2'!CE101</f>
        <v>0.85</v>
      </c>
      <c r="CJ32" s="730">
        <f>'Recycling - Case 3'!CB101</f>
        <v>0.26733917941166707</v>
      </c>
      <c r="CK32" s="483">
        <f>'Recycling - Case 3'!CC101</f>
        <v>0.85</v>
      </c>
      <c r="CL32" s="483">
        <f>'Recycling - Case 3'!CD101</f>
        <v>0.26733917941166707</v>
      </c>
      <c r="CM32" s="604">
        <f>'Recycling - Case 3'!CE101</f>
        <v>0.85</v>
      </c>
    </row>
    <row r="33" spans="1:91">
      <c r="A33" s="4">
        <f>'Input data'!A122</f>
        <v>2022</v>
      </c>
      <c r="B33" s="4"/>
      <c r="C33" s="891">
        <f>'4A SWD Case 1'!BG91</f>
        <v>688.02020479443445</v>
      </c>
      <c r="D33" s="3">
        <f>'4B Biological treatment '!T86</f>
        <v>0.74567981178929676</v>
      </c>
      <c r="E33" s="1358">
        <f>'4B Biological treatment '!U86</f>
        <v>33.555591530518342</v>
      </c>
      <c r="F33" s="1358">
        <f>'4B Biological treatment '!W86</f>
        <v>2.0133354918311008</v>
      </c>
      <c r="G33" s="1076">
        <f>'4C2 Open-burning '!R93</f>
        <v>32.139172084466054</v>
      </c>
      <c r="H33" s="1076">
        <f>'4C2 Open-burning '!Z93</f>
        <v>10.813847453694965</v>
      </c>
      <c r="I33" s="1076">
        <f>'4C2 Open-burning '!AH93</f>
        <v>0.15054700830013618</v>
      </c>
      <c r="J33" s="1111">
        <f>'4D Wastewater treatment and dis'!AV130</f>
        <v>148.88856151515967</v>
      </c>
      <c r="K33" s="892">
        <f>'4D Wastewater treatment and dis'!AW130</f>
        <v>3.0596704712332969</v>
      </c>
      <c r="L33" s="893">
        <f t="shared" si="65"/>
        <v>14448.424300683124</v>
      </c>
      <c r="M33" s="894">
        <f t="shared" si="66"/>
        <v>15.659276047575233</v>
      </c>
      <c r="N33" s="893">
        <f t="shared" si="67"/>
        <v>1328.8014246085263</v>
      </c>
      <c r="O33" s="895">
        <f t="shared" si="68"/>
        <v>305.89954118510258</v>
      </c>
      <c r="P33" s="893">
        <f t="shared" si="69"/>
        <v>4075.1576379006751</v>
      </c>
      <c r="Q33" s="598">
        <f t="shared" si="70"/>
        <v>14448.424300683124</v>
      </c>
      <c r="R33" s="600">
        <f t="shared" si="71"/>
        <v>1344.4607006561016</v>
      </c>
      <c r="S33" s="597">
        <f t="shared" si="72"/>
        <v>305.89954118510258</v>
      </c>
      <c r="T33" s="598">
        <f t="shared" si="73"/>
        <v>4075.1576379006751</v>
      </c>
      <c r="U33" s="598">
        <f t="shared" si="74"/>
        <v>20173.942180425005</v>
      </c>
      <c r="V33" s="3"/>
      <c r="W33" s="677">
        <f t="shared" si="75"/>
        <v>2023</v>
      </c>
      <c r="X33" s="1263">
        <f t="shared" si="76"/>
        <v>14196.340405764278</v>
      </c>
      <c r="Y33" s="1264">
        <f t="shared" si="77"/>
        <v>1406.6398760272748</v>
      </c>
      <c r="Z33" s="1264">
        <f t="shared" si="78"/>
        <v>302.90138814595764</v>
      </c>
      <c r="AA33" s="1264">
        <f t="shared" si="79"/>
        <v>4156.4141151158683</v>
      </c>
      <c r="AB33" s="1331">
        <f t="shared" si="22"/>
        <v>20062.295785053378</v>
      </c>
      <c r="AC33" s="1365" t="str">
        <f>'Recycling - Case 1'!T143</f>
        <v>Policies met</v>
      </c>
      <c r="AD33" s="1263">
        <f t="shared" si="80"/>
        <v>14087.552146912887</v>
      </c>
      <c r="AE33" s="1264">
        <f t="shared" si="81"/>
        <v>1158.6212823581445</v>
      </c>
      <c r="AF33" s="1264">
        <f t="shared" si="82"/>
        <v>302.90138814595764</v>
      </c>
      <c r="AG33" s="1264">
        <f t="shared" si="83"/>
        <v>4156.4141151158683</v>
      </c>
      <c r="AH33" s="1331">
        <f t="shared" si="56"/>
        <v>19705.488932532859</v>
      </c>
      <c r="AI33" s="1365" t="str">
        <f>'Recycling - Case 1'!T183</f>
        <v>Policies met</v>
      </c>
      <c r="AJ33" s="1263">
        <f t="shared" si="84"/>
        <v>13810.631781811519</v>
      </c>
      <c r="AK33" s="1264">
        <f t="shared" si="85"/>
        <v>919.96374922975019</v>
      </c>
      <c r="AL33" s="1264">
        <f t="shared" si="86"/>
        <v>243.5772230839396</v>
      </c>
      <c r="AM33" s="1264">
        <f t="shared" si="87"/>
        <v>4473.1630222529147</v>
      </c>
      <c r="AN33" s="1331">
        <f t="shared" si="88"/>
        <v>19447.335776378124</v>
      </c>
      <c r="AO33" s="1365" t="str">
        <f>'Recycling - Case 2'!T142</f>
        <v>Policies not met</v>
      </c>
      <c r="AP33" s="1263">
        <f t="shared" si="89"/>
        <v>13759.295293356327</v>
      </c>
      <c r="AQ33" s="1264">
        <f t="shared" si="90"/>
        <v>919.96374922975019</v>
      </c>
      <c r="AR33" s="1264">
        <f t="shared" si="91"/>
        <v>243.5772230839396</v>
      </c>
      <c r="AS33" s="1264">
        <f t="shared" si="92"/>
        <v>4473.1630222529147</v>
      </c>
      <c r="AT33" s="1331">
        <f t="shared" si="37"/>
        <v>19395.999287922932</v>
      </c>
      <c r="AU33" s="1365" t="str">
        <f>'Recycling - Case 2'!T182</f>
        <v>Policies not met</v>
      </c>
      <c r="AV33" s="1263">
        <f t="shared" si="59"/>
        <v>13810.741300522468</v>
      </c>
      <c r="AW33" s="1264">
        <f t="shared" si="60"/>
        <v>555.99064305941181</v>
      </c>
      <c r="AX33" s="1264">
        <f t="shared" si="61"/>
        <v>243.5772230839396</v>
      </c>
      <c r="AY33" s="1264">
        <f t="shared" si="62"/>
        <v>4473.1630222529147</v>
      </c>
      <c r="AZ33" s="1331">
        <f t="shared" si="63"/>
        <v>19083.472188918735</v>
      </c>
      <c r="BA33" s="1365" t="str">
        <f>'Recycling - Case 2'!T142</f>
        <v>Policies not met</v>
      </c>
      <c r="BB33" s="1263">
        <f t="shared" si="93"/>
        <v>13759.404812067276</v>
      </c>
      <c r="BC33" s="1264">
        <f t="shared" si="94"/>
        <v>558.71342507297641</v>
      </c>
      <c r="BD33" s="1264">
        <f t="shared" si="95"/>
        <v>243.5772230839396</v>
      </c>
      <c r="BE33" s="1264">
        <f t="shared" si="96"/>
        <v>4473.1630222529147</v>
      </c>
      <c r="BF33" s="1331">
        <f t="shared" si="47"/>
        <v>19034.858482477106</v>
      </c>
      <c r="BG33" s="1365" t="str">
        <f>'Recycling - Case 2'!T182</f>
        <v>Policies not met</v>
      </c>
      <c r="BH33" s="677">
        <f t="shared" si="48"/>
        <v>2023</v>
      </c>
      <c r="BI33" s="1264">
        <f>'Recycling - Case 1'!BV103</f>
        <v>87.742597350320452</v>
      </c>
      <c r="BJ33" s="483">
        <f>'Recycling - Case 1'!BW103</f>
        <v>0.40265575687566835</v>
      </c>
      <c r="BK33" s="1331">
        <f>'Recycling - Case 1'!BX103</f>
        <v>44.745286877069645</v>
      </c>
      <c r="BL33" s="1263">
        <f>'Recycling - Case 1'!BY103</f>
        <v>85.981776376355498</v>
      </c>
      <c r="BM33" s="483">
        <f>'Recycling - Case 1'!BZ103</f>
        <v>0.37450722069661757</v>
      </c>
      <c r="BN33" s="1331">
        <f>'Recycling - Case 1'!CA103</f>
        <v>50.172070130067617</v>
      </c>
      <c r="BO33" s="1264">
        <f>'Recycling - Case 2'!BV102</f>
        <v>68.341601393042652</v>
      </c>
      <c r="BP33" s="483">
        <f>'Recycling - Case 2'!BW102</f>
        <v>0.54952143423466249</v>
      </c>
      <c r="BQ33" s="1331">
        <f>'Recycling - Case 2'!BX102</f>
        <v>44.745286877069645</v>
      </c>
      <c r="BR33" s="1263">
        <f>'Recycling - Case 2'!BY102</f>
        <v>73.768384646040616</v>
      </c>
      <c r="BS33" s="483">
        <f>'Recycling - Case 2'!BZ102</f>
        <v>0.52571509160654983</v>
      </c>
      <c r="BT33" s="1331">
        <f>'Recycling - Case 2'!CA102</f>
        <v>50.172070130067617</v>
      </c>
      <c r="BU33" s="1264">
        <f>'Recycling - Case 3'!BV102</f>
        <v>68.341601393042652</v>
      </c>
      <c r="BV33" s="483">
        <f>'Recycling - Case 3'!BW102</f>
        <v>0.54952143423466249</v>
      </c>
      <c r="BW33" s="1331">
        <f>'Recycling - Case 3'!BX102</f>
        <v>44.745286877069645</v>
      </c>
      <c r="BX33" s="1263">
        <f>'Recycling - Case 3'!BY102</f>
        <v>73.768384646040616</v>
      </c>
      <c r="BY33" s="483">
        <f>'Recycling - Case 3'!BZ102</f>
        <v>0.52571509160654983</v>
      </c>
      <c r="BZ33" s="1331">
        <f>'Recycling - Case 3'!CA102</f>
        <v>50.172070130067617</v>
      </c>
      <c r="CA33" s="677">
        <v>2023</v>
      </c>
      <c r="CB33" s="730">
        <f>'Recycling - Case 1'!CB103</f>
        <v>0.13202757166760198</v>
      </c>
      <c r="CC33" s="483">
        <f>'Recycling - Case 1'!CC103</f>
        <v>0.43557414277489337</v>
      </c>
      <c r="CD33" s="483">
        <f>'Recycling - Case 1'!CD103</f>
        <v>0.13202757166760198</v>
      </c>
      <c r="CE33" s="604">
        <f>'Recycling - Case 1'!CE103</f>
        <v>0.63450040196700619</v>
      </c>
      <c r="CF33" s="730">
        <f>'Recycling - Case 2'!CB102</f>
        <v>0.30202263152140379</v>
      </c>
      <c r="CG33" s="483">
        <f>'Recycling - Case 2'!CC102</f>
        <v>0.85</v>
      </c>
      <c r="CH33" s="483">
        <f>'Recycling - Case 2'!CD102</f>
        <v>0.30202263152140379</v>
      </c>
      <c r="CI33" s="604">
        <f>'Recycling - Case 2'!CE102</f>
        <v>0.85</v>
      </c>
      <c r="CJ33" s="730">
        <f>'Recycling - Case 3'!CB102</f>
        <v>0.30202263152140379</v>
      </c>
      <c r="CK33" s="483">
        <f>'Recycling - Case 3'!CC102</f>
        <v>0.85</v>
      </c>
      <c r="CL33" s="483">
        <f>'Recycling - Case 3'!CD102</f>
        <v>0.30202263152140379</v>
      </c>
      <c r="CM33" s="604">
        <f>'Recycling - Case 3'!CE102</f>
        <v>0.85</v>
      </c>
    </row>
    <row r="34" spans="1:91">
      <c r="A34" s="4">
        <f>'Input data'!A123</f>
        <v>2023</v>
      </c>
      <c r="B34" s="4"/>
      <c r="C34" s="891">
        <f>'4A SWD Case 1'!BG92</f>
        <v>676.01620979829897</v>
      </c>
      <c r="D34" s="3">
        <f>'4B Biological treatment '!T87</f>
        <v>0.78016632059194402</v>
      </c>
      <c r="E34" s="1358">
        <f>'4B Biological treatment '!U87</f>
        <v>35.107484426637477</v>
      </c>
      <c r="F34" s="1358">
        <f>'4B Biological treatment '!W87</f>
        <v>2.1064490655982486</v>
      </c>
      <c r="G34" s="1076">
        <f>'4C2 Open-burning '!R94</f>
        <v>31.824172735047821</v>
      </c>
      <c r="H34" s="1076">
        <f>'4C2 Open-burning '!Z94</f>
        <v>10.707859816438177</v>
      </c>
      <c r="I34" s="1076">
        <f>'4C2 Open-burning '!AH94</f>
        <v>0.14907148150228428</v>
      </c>
      <c r="J34" s="1111">
        <f>'4D Wastewater treatment and dis'!AV131</f>
        <v>152.2376409126438</v>
      </c>
      <c r="K34" s="892">
        <f>'4D Wastewater treatment and dis'!AW131</f>
        <v>3.0949150191946715</v>
      </c>
      <c r="L34" s="893">
        <f t="shared" si="65"/>
        <v>14196.340405764278</v>
      </c>
      <c r="M34" s="894">
        <f t="shared" si="66"/>
        <v>16.383492732430824</v>
      </c>
      <c r="N34" s="893">
        <f t="shared" si="67"/>
        <v>1390.256383294844</v>
      </c>
      <c r="O34" s="895">
        <f t="shared" si="68"/>
        <v>302.90138814595764</v>
      </c>
      <c r="P34" s="893">
        <f t="shared" si="69"/>
        <v>4156.4141151158683</v>
      </c>
      <c r="Q34" s="598">
        <f t="shared" si="70"/>
        <v>14196.340405764278</v>
      </c>
      <c r="R34" s="600">
        <f t="shared" si="71"/>
        <v>1406.6398760272748</v>
      </c>
      <c r="S34" s="597">
        <f t="shared" si="72"/>
        <v>302.90138814595764</v>
      </c>
      <c r="T34" s="598">
        <f t="shared" si="73"/>
        <v>4156.4141151158683</v>
      </c>
      <c r="U34" s="598">
        <f t="shared" si="74"/>
        <v>20062.295785053378</v>
      </c>
      <c r="V34" s="3"/>
      <c r="W34" s="677">
        <f t="shared" si="75"/>
        <v>2024</v>
      </c>
      <c r="X34" s="1263">
        <f t="shared" si="76"/>
        <v>13931.600392376638</v>
      </c>
      <c r="Y34" s="1264">
        <f t="shared" si="77"/>
        <v>1485.2230568616681</v>
      </c>
      <c r="Z34" s="1264">
        <f t="shared" si="78"/>
        <v>300.25018038579856</v>
      </c>
      <c r="AA34" s="1264">
        <f t="shared" si="79"/>
        <v>4238.9983232351897</v>
      </c>
      <c r="AB34" s="1331">
        <f t="shared" si="22"/>
        <v>19956.071952859296</v>
      </c>
      <c r="AC34" s="1365" t="str">
        <f>'Recycling - Case 1'!T144</f>
        <v>Policies met</v>
      </c>
      <c r="AD34" s="1263">
        <f t="shared" si="80"/>
        <v>13773.082675645237</v>
      </c>
      <c r="AE34" s="1264">
        <f t="shared" si="81"/>
        <v>1152.3117384860745</v>
      </c>
      <c r="AF34" s="1264">
        <f t="shared" si="82"/>
        <v>300.25018038579856</v>
      </c>
      <c r="AG34" s="1264">
        <f t="shared" si="83"/>
        <v>4238.9983232351897</v>
      </c>
      <c r="AH34" s="1331">
        <f t="shared" si="56"/>
        <v>19464.642917752302</v>
      </c>
      <c r="AI34" s="1365" t="str">
        <f>'Recycling - Case 1'!T184</f>
        <v>Policies met</v>
      </c>
      <c r="AJ34" s="1263">
        <f t="shared" si="84"/>
        <v>13346.934551141854</v>
      </c>
      <c r="AK34" s="1264">
        <f t="shared" si="85"/>
        <v>896.28902400403285</v>
      </c>
      <c r="AL34" s="1264">
        <f t="shared" si="86"/>
        <v>233.80539031045572</v>
      </c>
      <c r="AM34" s="1264">
        <f t="shared" si="87"/>
        <v>4612.7951632570066</v>
      </c>
      <c r="AN34" s="1331">
        <f t="shared" si="88"/>
        <v>19089.82412871335</v>
      </c>
      <c r="AO34" s="1365" t="str">
        <f>'Recycling - Case 2'!T143</f>
        <v>Policies not met</v>
      </c>
      <c r="AP34" s="1263">
        <f t="shared" si="89"/>
        <v>13298.101772772734</v>
      </c>
      <c r="AQ34" s="1264">
        <f t="shared" si="90"/>
        <v>896.28902400403285</v>
      </c>
      <c r="AR34" s="1264">
        <f t="shared" si="91"/>
        <v>233.80539031045572</v>
      </c>
      <c r="AS34" s="1264">
        <f t="shared" si="92"/>
        <v>4612.7951632570066</v>
      </c>
      <c r="AT34" s="1331">
        <f t="shared" si="37"/>
        <v>19040.991350344229</v>
      </c>
      <c r="AU34" s="1365" t="str">
        <f>'Recycling - Case 2'!T183</f>
        <v>Policies not met</v>
      </c>
      <c r="AV34" s="1263">
        <f t="shared" si="59"/>
        <v>13347.086293717775</v>
      </c>
      <c r="AW34" s="1264">
        <f t="shared" si="60"/>
        <v>541.70909560912196</v>
      </c>
      <c r="AX34" s="1264">
        <f t="shared" si="61"/>
        <v>233.80539031045572</v>
      </c>
      <c r="AY34" s="1264">
        <f t="shared" si="62"/>
        <v>4612.7951632570066</v>
      </c>
      <c r="AZ34" s="1331">
        <f t="shared" si="63"/>
        <v>18735.39594289436</v>
      </c>
      <c r="BA34" s="1365" t="str">
        <f>'Recycling - Case 2'!T143</f>
        <v>Policies not met</v>
      </c>
      <c r="BB34" s="1263">
        <f t="shared" si="93"/>
        <v>13298.253515348653</v>
      </c>
      <c r="BC34" s="1264">
        <f t="shared" si="94"/>
        <v>544.33526416218297</v>
      </c>
      <c r="BD34" s="1264">
        <f t="shared" si="95"/>
        <v>233.80539031045572</v>
      </c>
      <c r="BE34" s="1264">
        <f t="shared" si="96"/>
        <v>4612.7951632570066</v>
      </c>
      <c r="BF34" s="1331">
        <f t="shared" si="47"/>
        <v>18689.189333078299</v>
      </c>
      <c r="BG34" s="1365" t="str">
        <f>'Recycling - Case 2'!T183</f>
        <v>Policies not met</v>
      </c>
      <c r="BH34" s="677">
        <f t="shared" si="48"/>
        <v>2024</v>
      </c>
      <c r="BI34" s="1264">
        <f>'Recycling - Case 1'!BV104</f>
        <v>86.352436594069189</v>
      </c>
      <c r="BJ34" s="483">
        <f>'Recycling - Case 1'!BW104</f>
        <v>0.42978803358723744</v>
      </c>
      <c r="BK34" s="1331">
        <f>'Recycling - Case 1'!BX104</f>
        <v>43.251251992583825</v>
      </c>
      <c r="BL34" s="1263">
        <f>'Recycling - Case 1'!BY104</f>
        <v>84.057043130962555</v>
      </c>
      <c r="BM34" s="483">
        <f>'Recycling - Case 1'!BZ104</f>
        <v>0.39178185523986708</v>
      </c>
      <c r="BN34" s="1331">
        <f>'Recycling - Case 1'!CA104</f>
        <v>50.172070130067617</v>
      </c>
      <c r="BO34" s="1264">
        <f>'Recycling - Case 2'!BV103</f>
        <v>66.223905770338661</v>
      </c>
      <c r="BP34" s="483">
        <f>'Recycling - Case 2'!BW103</f>
        <v>0.59287738632389075</v>
      </c>
      <c r="BQ34" s="1331">
        <f>'Recycling - Case 2'!BX103</f>
        <v>43.251251992583825</v>
      </c>
      <c r="BR34" s="1263">
        <f>'Recycling - Case 2'!BY103</f>
        <v>73.144723907822438</v>
      </c>
      <c r="BS34" s="483">
        <f>'Recycling - Case 2'!BZ103</f>
        <v>0.5626342673339626</v>
      </c>
      <c r="BT34" s="1331">
        <f>'Recycling - Case 2'!CA103</f>
        <v>50.172070130067617</v>
      </c>
      <c r="BU34" s="1264">
        <f>'Recycling - Case 3'!BV103</f>
        <v>66.223905770338661</v>
      </c>
      <c r="BV34" s="483">
        <f>'Recycling - Case 3'!BW103</f>
        <v>0.59287738632389075</v>
      </c>
      <c r="BW34" s="1331">
        <f>'Recycling - Case 3'!BX103</f>
        <v>43.251251992583825</v>
      </c>
      <c r="BX34" s="1263">
        <f>'Recycling - Case 3'!BY103</f>
        <v>73.144723907822438</v>
      </c>
      <c r="BY34" s="483">
        <f>'Recycling - Case 3'!BZ103</f>
        <v>0.5626342673339626</v>
      </c>
      <c r="BZ34" s="1331">
        <f>'Recycling - Case 3'!CA103</f>
        <v>50.172070130067617</v>
      </c>
      <c r="CA34" s="677">
        <v>2024</v>
      </c>
      <c r="CB34" s="730">
        <f>'Recycling - Case 1'!CB104</f>
        <v>0.14942183030813608</v>
      </c>
      <c r="CC34" s="483">
        <f>'Recycling - Case 1'!CC104</f>
        <v>0.43816490215331066</v>
      </c>
      <c r="CD34" s="483">
        <f>'Recycling - Case 1'!CD104</f>
        <v>0.14942183030813608</v>
      </c>
      <c r="CE34" s="604">
        <f>'Recycling - Case 1'!CE104</f>
        <v>0.68836315689870742</v>
      </c>
      <c r="CF34" s="730">
        <f>'Recycling - Case 2'!CB103</f>
        <v>0.33765315078636471</v>
      </c>
      <c r="CG34" s="483">
        <f>'Recycling - Case 2'!CC103</f>
        <v>0.85</v>
      </c>
      <c r="CH34" s="483">
        <f>'Recycling - Case 2'!CD103</f>
        <v>0.33765315078636471</v>
      </c>
      <c r="CI34" s="604">
        <f>'Recycling - Case 2'!CE103</f>
        <v>0.85</v>
      </c>
      <c r="CJ34" s="730">
        <f>'Recycling - Case 3'!CB103</f>
        <v>0.33765315078636471</v>
      </c>
      <c r="CK34" s="483">
        <f>'Recycling - Case 3'!CC103</f>
        <v>0.85</v>
      </c>
      <c r="CL34" s="483">
        <f>'Recycling - Case 3'!CD103</f>
        <v>0.33765315078636471</v>
      </c>
      <c r="CM34" s="604">
        <f>'Recycling - Case 3'!CE103</f>
        <v>0.85</v>
      </c>
    </row>
    <row r="35" spans="1:91">
      <c r="A35" s="4">
        <f>'Input data'!A124</f>
        <v>2024</v>
      </c>
      <c r="B35" s="4"/>
      <c r="C35" s="891">
        <f>'4A SWD Case 1'!BG93</f>
        <v>663.40954249412562</v>
      </c>
      <c r="D35" s="3">
        <f>'4B Biological treatment '!T88</f>
        <v>0.82375100214180152</v>
      </c>
      <c r="E35" s="1358">
        <f>'4B Biological treatment '!U88</f>
        <v>37.068795096381066</v>
      </c>
      <c r="F35" s="1358">
        <f>'4B Biological treatment '!W88</f>
        <v>2.2241277057828639</v>
      </c>
      <c r="G35" s="1076">
        <f>'4C2 Open-burning '!R95</f>
        <v>31.545625006256476</v>
      </c>
      <c r="H35" s="1076">
        <f>'4C2 Open-burning '!Z95</f>
        <v>10.614137033542388</v>
      </c>
      <c r="I35" s="1076">
        <f>'4C2 Open-burning '!AH95</f>
        <v>0.14776670217790949</v>
      </c>
      <c r="J35" s="1111">
        <f>'4D Wastewater treatment and dis'!AV132</f>
        <v>155.64399106583625</v>
      </c>
      <c r="K35" s="892">
        <f>'4D Wastewater treatment and dis'!AW132</f>
        <v>3.1305629382342866</v>
      </c>
      <c r="L35" s="893">
        <f t="shared" si="65"/>
        <v>13931.600392376638</v>
      </c>
      <c r="M35" s="894">
        <f t="shared" si="66"/>
        <v>17.298771044977833</v>
      </c>
      <c r="N35" s="893">
        <f t="shared" si="67"/>
        <v>1467.9242858166901</v>
      </c>
      <c r="O35" s="895">
        <f t="shared" si="68"/>
        <v>300.25018038579856</v>
      </c>
      <c r="P35" s="893">
        <f t="shared" si="69"/>
        <v>4238.9983232351897</v>
      </c>
      <c r="Q35" s="598">
        <f t="shared" si="70"/>
        <v>13931.600392376638</v>
      </c>
      <c r="R35" s="600">
        <f t="shared" si="71"/>
        <v>1485.2230568616681</v>
      </c>
      <c r="S35" s="597">
        <f t="shared" si="72"/>
        <v>300.25018038579856</v>
      </c>
      <c r="T35" s="598">
        <f t="shared" si="73"/>
        <v>4238.9983232351897</v>
      </c>
      <c r="U35" s="598">
        <f t="shared" si="74"/>
        <v>19956.071952859296</v>
      </c>
      <c r="V35" s="3"/>
      <c r="W35" s="677">
        <f t="shared" si="75"/>
        <v>2025</v>
      </c>
      <c r="X35" s="1263">
        <f t="shared" si="76"/>
        <v>13658.467204390021</v>
      </c>
      <c r="Y35" s="1264">
        <f t="shared" si="77"/>
        <v>1611.1842395225713</v>
      </c>
      <c r="Z35" s="1264">
        <f t="shared" si="78"/>
        <v>297.95845152168567</v>
      </c>
      <c r="AA35" s="1264">
        <f t="shared" si="79"/>
        <v>4322.9236792306456</v>
      </c>
      <c r="AB35" s="1331">
        <f t="shared" si="22"/>
        <v>19890.533574664922</v>
      </c>
      <c r="AC35" s="1365" t="str">
        <f>'Recycling - Case 1'!T145</f>
        <v>Policies met</v>
      </c>
      <c r="AD35" s="1263">
        <f t="shared" si="80"/>
        <v>13442.152995799981</v>
      </c>
      <c r="AE35" s="1264">
        <f t="shared" si="81"/>
        <v>1145.9076090917158</v>
      </c>
      <c r="AF35" s="1264">
        <f t="shared" si="82"/>
        <v>297.95845152168567</v>
      </c>
      <c r="AG35" s="1264">
        <f t="shared" si="83"/>
        <v>4322.9236792306456</v>
      </c>
      <c r="AH35" s="1331">
        <f t="shared" si="56"/>
        <v>19208.942735644028</v>
      </c>
      <c r="AI35" s="1365" t="str">
        <f>'Recycling - Case 1'!T185</f>
        <v>Policies met</v>
      </c>
      <c r="AJ35" s="1263">
        <f t="shared" si="84"/>
        <v>12902.205377976983</v>
      </c>
      <c r="AK35" s="1264">
        <f t="shared" si="85"/>
        <v>871.05062743812596</v>
      </c>
      <c r="AL35" s="1264">
        <f t="shared" si="86"/>
        <v>223.42342042950941</v>
      </c>
      <c r="AM35" s="1264">
        <f t="shared" si="87"/>
        <v>4755.0396242283468</v>
      </c>
      <c r="AN35" s="1331">
        <f t="shared" si="88"/>
        <v>18751.719050072967</v>
      </c>
      <c r="AO35" s="1365" t="str">
        <f>'Recycling - Case 2'!T144</f>
        <v>Policies not met</v>
      </c>
      <c r="AP35" s="1263">
        <f t="shared" si="89"/>
        <v>12855.754202312155</v>
      </c>
      <c r="AQ35" s="1264">
        <f t="shared" si="90"/>
        <v>871.05062743812596</v>
      </c>
      <c r="AR35" s="1264">
        <f t="shared" si="91"/>
        <v>223.42342042950941</v>
      </c>
      <c r="AS35" s="1264">
        <f t="shared" si="92"/>
        <v>4755.0396242283468</v>
      </c>
      <c r="AT35" s="1331">
        <f t="shared" si="37"/>
        <v>18705.267874408139</v>
      </c>
      <c r="AU35" s="1365" t="str">
        <f>'Recycling - Case 2'!T184</f>
        <v>Policies not met</v>
      </c>
      <c r="AV35" s="1263">
        <f t="shared" si="59"/>
        <v>12902.405638887662</v>
      </c>
      <c r="AW35" s="1264">
        <f t="shared" si="60"/>
        <v>526.26921243660854</v>
      </c>
      <c r="AX35" s="1264">
        <f t="shared" si="61"/>
        <v>223.42342042950941</v>
      </c>
      <c r="AY35" s="1264">
        <f t="shared" si="62"/>
        <v>4755.0396242283468</v>
      </c>
      <c r="AZ35" s="1331">
        <f t="shared" si="63"/>
        <v>18407.137895982127</v>
      </c>
      <c r="BA35" s="1365" t="str">
        <f>'Recycling - Case 2'!T144</f>
        <v>Policies not met</v>
      </c>
      <c r="BB35" s="1263">
        <f t="shared" si="93"/>
        <v>12855.954463222832</v>
      </c>
      <c r="BC35" s="1264">
        <f t="shared" si="94"/>
        <v>529.00745260385361</v>
      </c>
      <c r="BD35" s="1264">
        <f t="shared" si="95"/>
        <v>223.42342042950941</v>
      </c>
      <c r="BE35" s="1264">
        <f t="shared" si="96"/>
        <v>4755.0396242283468</v>
      </c>
      <c r="BF35" s="1331">
        <f t="shared" si="47"/>
        <v>18363.424960484543</v>
      </c>
      <c r="BG35" s="1365" t="str">
        <f>'Recycling - Case 2'!T184</f>
        <v>Policies not met</v>
      </c>
      <c r="BH35" s="677">
        <f t="shared" si="48"/>
        <v>2025</v>
      </c>
      <c r="BI35" s="1264">
        <f>'Recycling - Case 1'!BV105</f>
        <v>85.411016661416483</v>
      </c>
      <c r="BJ35" s="483">
        <f>'Recycling - Case 1'!BW105</f>
        <v>0.46420451913582322</v>
      </c>
      <c r="BK35" s="1331">
        <f>'Recycling - Case 1'!BX105</f>
        <v>40.955103194912731</v>
      </c>
      <c r="BL35" s="1263">
        <f>'Recycling - Case 1'!BY105</f>
        <v>82.298949321685654</v>
      </c>
      <c r="BM35" s="483">
        <f>'Recycling - Case 1'!BZ105</f>
        <v>0.41085422264242766</v>
      </c>
      <c r="BN35" s="1331">
        <f>'Recycling - Case 1'!CA105</f>
        <v>50.172070130067617</v>
      </c>
      <c r="BO35" s="1264">
        <f>'Recycling - Case 2'!BV104</f>
        <v>63.263069963906965</v>
      </c>
      <c r="BP35" s="483">
        <f>'Recycling - Case 2'!BW104</f>
        <v>0.64181941881000182</v>
      </c>
      <c r="BQ35" s="1331">
        <f>'Recycling - Case 2'!BX104</f>
        <v>40.955103194912731</v>
      </c>
      <c r="BR35" s="1263">
        <f>'Recycling - Case 2'!BY104</f>
        <v>72.480036899061858</v>
      </c>
      <c r="BS35" s="483">
        <f>'Recycling - Case 2'!BZ104</f>
        <v>0.60133405804649953</v>
      </c>
      <c r="BT35" s="1331">
        <f>'Recycling - Case 2'!CA104</f>
        <v>50.172070130067617</v>
      </c>
      <c r="BU35" s="1264">
        <f>'Recycling - Case 3'!BV104</f>
        <v>63.263069963906965</v>
      </c>
      <c r="BV35" s="483">
        <f>'Recycling - Case 3'!BW104</f>
        <v>0.64181941881000182</v>
      </c>
      <c r="BW35" s="1331">
        <f>'Recycling - Case 3'!BX104</f>
        <v>40.955103194912731</v>
      </c>
      <c r="BX35" s="1263">
        <f>'Recycling - Case 3'!BY104</f>
        <v>72.480036899061858</v>
      </c>
      <c r="BY35" s="483">
        <f>'Recycling - Case 3'!BZ104</f>
        <v>0.60133405804649953</v>
      </c>
      <c r="BZ35" s="1331">
        <f>'Recycling - Case 3'!CA104</f>
        <v>50.172070130067617</v>
      </c>
      <c r="CA35" s="677">
        <v>2025</v>
      </c>
      <c r="CB35" s="730">
        <f>'Recycling - Case 1'!CB105</f>
        <v>0.16552381969241936</v>
      </c>
      <c r="CC35" s="483">
        <f>'Recycling - Case 1'!CC105</f>
        <v>0.40852501985860129</v>
      </c>
      <c r="CD35" s="483">
        <f>'Recycling - Case 1'!CD105</f>
        <v>0.16552381969241936</v>
      </c>
      <c r="CE35" s="604">
        <f>'Recycling - Case 1'!CE105</f>
        <v>0.73669286220748598</v>
      </c>
      <c r="CF35" s="730">
        <f>'Recycling - Case 2'!CB104</f>
        <v>0.37427006510771088</v>
      </c>
      <c r="CG35" s="483">
        <f>'Recycling - Case 2'!CC104</f>
        <v>0.85</v>
      </c>
      <c r="CH35" s="483">
        <f>'Recycling - Case 2'!CD104</f>
        <v>0.37427006510771088</v>
      </c>
      <c r="CI35" s="604">
        <f>'Recycling - Case 2'!CE104</f>
        <v>0.85</v>
      </c>
      <c r="CJ35" s="730">
        <f>'Recycling - Case 3'!CB104</f>
        <v>0.37427006510771088</v>
      </c>
      <c r="CK35" s="483">
        <f>'Recycling - Case 3'!CC104</f>
        <v>0.85</v>
      </c>
      <c r="CL35" s="483">
        <f>'Recycling - Case 3'!CD104</f>
        <v>0.37427006510771088</v>
      </c>
      <c r="CM35" s="604">
        <f>'Recycling - Case 3'!CE104</f>
        <v>0.85</v>
      </c>
    </row>
    <row r="36" spans="1:91">
      <c r="A36" s="4">
        <f>'Input data'!A125</f>
        <v>2025</v>
      </c>
      <c r="B36" s="4"/>
      <c r="C36" s="891">
        <f>'4A SWD Case 1'!BG94</f>
        <v>650.40320020904858</v>
      </c>
      <c r="D36" s="3">
        <f>'4B Biological treatment '!T89</f>
        <v>0.89361300028983437</v>
      </c>
      <c r="E36" s="1358">
        <f>'4B Biological treatment '!U89</f>
        <v>40.212585013042542</v>
      </c>
      <c r="F36" s="1358">
        <f>'4B Biological treatment '!W89</f>
        <v>2.4127551007825523</v>
      </c>
      <c r="G36" s="1076">
        <f>'4C2 Open-burning '!R96</f>
        <v>31.304845735881266</v>
      </c>
      <c r="H36" s="1076">
        <f>'4C2 Open-burning '!Z96</f>
        <v>10.533122180608201</v>
      </c>
      <c r="I36" s="1076">
        <f>'4C2 Open-burning '!AH96</f>
        <v>0.14663883868720068</v>
      </c>
      <c r="J36" s="1111">
        <f>'4D Wastewater treatment and dis'!AV133</f>
        <v>159.10825087816576</v>
      </c>
      <c r="K36" s="892">
        <f>'4D Wastewater treatment and dis'!AW133</f>
        <v>3.166614228352143</v>
      </c>
      <c r="L36" s="893">
        <f t="shared" si="65"/>
        <v>13658.467204390021</v>
      </c>
      <c r="M36" s="894">
        <f t="shared" si="66"/>
        <v>18.765873006086522</v>
      </c>
      <c r="N36" s="893">
        <f t="shared" si="67"/>
        <v>1592.4183665164846</v>
      </c>
      <c r="O36" s="895">
        <f t="shared" si="68"/>
        <v>297.95845152168567</v>
      </c>
      <c r="P36" s="893">
        <f t="shared" si="69"/>
        <v>4322.9236792306456</v>
      </c>
      <c r="Q36" s="598">
        <f t="shared" si="70"/>
        <v>13658.467204390021</v>
      </c>
      <c r="R36" s="600">
        <f t="shared" si="71"/>
        <v>1611.1842395225713</v>
      </c>
      <c r="S36" s="597">
        <f t="shared" si="72"/>
        <v>297.95845152168567</v>
      </c>
      <c r="T36" s="598">
        <f t="shared" si="73"/>
        <v>4322.9236792306456</v>
      </c>
      <c r="U36" s="598">
        <f t="shared" si="74"/>
        <v>19890.533574664922</v>
      </c>
      <c r="V36" s="3"/>
      <c r="W36" s="677">
        <f t="shared" si="75"/>
        <v>2026</v>
      </c>
      <c r="X36" s="1263">
        <f t="shared" si="76"/>
        <v>13385.173732499807</v>
      </c>
      <c r="Y36" s="1264">
        <f t="shared" si="77"/>
        <v>1686.4384832798962</v>
      </c>
      <c r="Z36" s="1264">
        <f t="shared" si="78"/>
        <v>295.55229996212705</v>
      </c>
      <c r="AA36" s="1264">
        <f t="shared" si="79"/>
        <v>4400.9174278296796</v>
      </c>
      <c r="AB36" s="1331">
        <f t="shared" si="22"/>
        <v>19768.081943571509</v>
      </c>
      <c r="AC36" s="1365" t="str">
        <f>'Recycling - Case 1'!T146</f>
        <v>Policies met</v>
      </c>
      <c r="AD36" s="1263">
        <f t="shared" si="80"/>
        <v>13098.492610903919</v>
      </c>
      <c r="AE36" s="1264">
        <f t="shared" si="81"/>
        <v>1147.5334172812654</v>
      </c>
      <c r="AF36" s="1264">
        <f t="shared" si="82"/>
        <v>295.55229996212705</v>
      </c>
      <c r="AG36" s="1264">
        <f t="shared" si="83"/>
        <v>4400.9174278296796</v>
      </c>
      <c r="AH36" s="1331">
        <f t="shared" si="56"/>
        <v>18942.49575597699</v>
      </c>
      <c r="AI36" s="1365" t="str">
        <f>'Recycling - Case 1'!T186</f>
        <v>Policies met</v>
      </c>
      <c r="AJ36" s="1263">
        <f t="shared" si="84"/>
        <v>12474.850727542453</v>
      </c>
      <c r="AK36" s="1264">
        <f t="shared" si="85"/>
        <v>843.81266873025288</v>
      </c>
      <c r="AL36" s="1264">
        <f t="shared" si="86"/>
        <v>212.04821853300356</v>
      </c>
      <c r="AM36" s="1264">
        <f t="shared" si="87"/>
        <v>4891.8315325087806</v>
      </c>
      <c r="AN36" s="1331">
        <f t="shared" si="88"/>
        <v>18422.543147314493</v>
      </c>
      <c r="AO36" s="1365" t="str">
        <f>'Recycling - Case 2'!T145</f>
        <v>Policies not met</v>
      </c>
      <c r="AP36" s="1263">
        <f t="shared" si="89"/>
        <v>12430.665002447415</v>
      </c>
      <c r="AQ36" s="1264">
        <f t="shared" si="90"/>
        <v>843.81266873025288</v>
      </c>
      <c r="AR36" s="1264">
        <f t="shared" si="91"/>
        <v>212.04821853300356</v>
      </c>
      <c r="AS36" s="1264">
        <f t="shared" si="92"/>
        <v>4891.8315325087806</v>
      </c>
      <c r="AT36" s="1331">
        <f t="shared" si="37"/>
        <v>18378.357422219451</v>
      </c>
      <c r="AU36" s="1365" t="str">
        <f>'Recycling - Case 2'!T185</f>
        <v>Policies not met</v>
      </c>
      <c r="AV36" s="1263">
        <f t="shared" si="59"/>
        <v>12475.105629744074</v>
      </c>
      <c r="AW36" s="1264">
        <f t="shared" si="60"/>
        <v>509.21304092594227</v>
      </c>
      <c r="AX36" s="1264">
        <f t="shared" si="61"/>
        <v>212.04821853300356</v>
      </c>
      <c r="AY36" s="1264">
        <f t="shared" si="62"/>
        <v>4891.8315325087806</v>
      </c>
      <c r="AZ36" s="1331">
        <f t="shared" si="63"/>
        <v>18088.198421711801</v>
      </c>
      <c r="BA36" s="1365" t="str">
        <f>'Recycling - Case 2'!T145</f>
        <v>Policies not met</v>
      </c>
      <c r="BB36" s="1263">
        <f t="shared" si="93"/>
        <v>12430.919904649036</v>
      </c>
      <c r="BC36" s="1264">
        <f t="shared" si="94"/>
        <v>512.46526470306537</v>
      </c>
      <c r="BD36" s="1264">
        <f t="shared" si="95"/>
        <v>212.04821853300356</v>
      </c>
      <c r="BE36" s="1264">
        <f t="shared" si="96"/>
        <v>4891.8315325087806</v>
      </c>
      <c r="BF36" s="1331">
        <f t="shared" si="47"/>
        <v>18047.264920393885</v>
      </c>
      <c r="BG36" s="1365" t="str">
        <f>'Recycling - Case 2'!T185</f>
        <v>Policies not met</v>
      </c>
      <c r="BH36" s="677">
        <f t="shared" si="48"/>
        <v>2026</v>
      </c>
      <c r="BI36" s="1264">
        <f>'Recycling - Case 1'!BV106</f>
        <v>84.381797795234618</v>
      </c>
      <c r="BJ36" s="483">
        <f>'Recycling - Case 1'!BW106</f>
        <v>0.49389810572749709</v>
      </c>
      <c r="BK36" s="1331">
        <f>'Recycling - Case 1'!BX106</f>
        <v>39.969673998818379</v>
      </c>
      <c r="BL36" s="1263">
        <f>'Recycling - Case 1'!BY106</f>
        <v>80.890486785400199</v>
      </c>
      <c r="BM36" s="483">
        <f>'Recycling - Case 1'!BZ106</f>
        <v>0.43208782151485392</v>
      </c>
      <c r="BN36" s="1331">
        <f>'Recycling - Case 1'!CA106</f>
        <v>50.172070130067617</v>
      </c>
      <c r="BO36" s="1264">
        <f>'Recycling - Case 2'!BV105</f>
        <v>61.55949241750529</v>
      </c>
      <c r="BP36" s="483">
        <f>'Recycling - Case 2'!BW105</f>
        <v>0.68520627201315898</v>
      </c>
      <c r="BQ36" s="1331">
        <f>'Recycling - Case 2'!BX105</f>
        <v>39.969673998818379</v>
      </c>
      <c r="BR36" s="1263">
        <f>'Recycling - Case 2'!BY105</f>
        <v>71.761888548754513</v>
      </c>
      <c r="BS36" s="483">
        <f>'Recycling - Case 2'!BZ105</f>
        <v>0.64165041661087419</v>
      </c>
      <c r="BT36" s="1331">
        <f>'Recycling - Case 2'!CA105</f>
        <v>50.172070130067617</v>
      </c>
      <c r="BU36" s="1264">
        <f>'Recycling - Case 3'!BV105</f>
        <v>61.55949241750529</v>
      </c>
      <c r="BV36" s="483">
        <f>'Recycling - Case 3'!BW105</f>
        <v>0.68520627201315898</v>
      </c>
      <c r="BW36" s="1331">
        <f>'Recycling - Case 3'!BX105</f>
        <v>39.969673998818379</v>
      </c>
      <c r="BX36" s="1263">
        <f>'Recycling - Case 3'!BY105</f>
        <v>71.761888548754513</v>
      </c>
      <c r="BY36" s="483">
        <f>'Recycling - Case 3'!BZ105</f>
        <v>0.64165041661087419</v>
      </c>
      <c r="BZ36" s="1331">
        <f>'Recycling - Case 3'!CA105</f>
        <v>50.172070130067617</v>
      </c>
      <c r="CA36" s="677">
        <v>2026</v>
      </c>
      <c r="CB36" s="730">
        <f>'Recycling - Case 1'!CB106</f>
        <v>0.18032840836768446</v>
      </c>
      <c r="CC36" s="483">
        <f>'Recycling - Case 1'!CC106</f>
        <v>0.41840074203244715</v>
      </c>
      <c r="CD36" s="483">
        <f>'Recycling - Case 1'!CD106</f>
        <v>0.18032840836768446</v>
      </c>
      <c r="CE36" s="604">
        <f>'Recycling - Case 1'!CE106</f>
        <v>0.7746304493589371</v>
      </c>
      <c r="CF36" s="730">
        <f>'Recycling - Case 2'!CB105</f>
        <v>0.41191491045741591</v>
      </c>
      <c r="CG36" s="483">
        <f>'Recycling - Case 2'!CC105</f>
        <v>0.85</v>
      </c>
      <c r="CH36" s="483">
        <f>'Recycling - Case 2'!CD105</f>
        <v>0.41191491045741591</v>
      </c>
      <c r="CI36" s="604">
        <f>'Recycling - Case 2'!CE105</f>
        <v>0.85</v>
      </c>
      <c r="CJ36" s="730">
        <f>'Recycling - Case 3'!CB105</f>
        <v>0.41191491045741591</v>
      </c>
      <c r="CK36" s="483">
        <f>'Recycling - Case 3'!CC105</f>
        <v>0.85</v>
      </c>
      <c r="CL36" s="483">
        <f>'Recycling - Case 3'!CD105</f>
        <v>0.41191491045741591</v>
      </c>
      <c r="CM36" s="604">
        <f>'Recycling - Case 3'!CE105</f>
        <v>0.85</v>
      </c>
    </row>
    <row r="37" spans="1:91">
      <c r="A37" s="4">
        <f>'Input data'!A126</f>
        <v>2026</v>
      </c>
      <c r="B37" s="4"/>
      <c r="C37" s="891">
        <f>'4A SWD Case 1'!BG95</f>
        <v>637.38922535713368</v>
      </c>
      <c r="D37" s="3">
        <f>'4B Biological treatment '!T90</f>
        <v>0.93535134957287647</v>
      </c>
      <c r="E37" s="1358">
        <f>'4B Biological treatment '!U90</f>
        <v>42.090810730779438</v>
      </c>
      <c r="F37" s="1358">
        <f>'4B Biological treatment '!W90</f>
        <v>2.525448643846766</v>
      </c>
      <c r="G37" s="1076">
        <f>'4C2 Open-burning '!R97</f>
        <v>31.052044706058311</v>
      </c>
      <c r="H37" s="1076">
        <f>'4C2 Open-burning '!Z97</f>
        <v>10.448062373670496</v>
      </c>
      <c r="I37" s="1076">
        <f>'4C2 Open-burning '!AH97</f>
        <v>0.14545466260963971</v>
      </c>
      <c r="J37" s="1111">
        <f>'4D Wastewater treatment and dis'!AV134</f>
        <v>162.3622518163962</v>
      </c>
      <c r="K37" s="892">
        <f>'4D Wastewater treatment and dis'!AW134</f>
        <v>3.1977746441463193</v>
      </c>
      <c r="L37" s="893">
        <f t="shared" si="65"/>
        <v>13385.173732499807</v>
      </c>
      <c r="M37" s="894">
        <f t="shared" si="66"/>
        <v>19.642378341030405</v>
      </c>
      <c r="N37" s="893">
        <f t="shared" si="67"/>
        <v>1666.7961049388657</v>
      </c>
      <c r="O37" s="895">
        <f t="shared" si="68"/>
        <v>295.55229996212705</v>
      </c>
      <c r="P37" s="893">
        <f t="shared" si="69"/>
        <v>4400.9174278296796</v>
      </c>
      <c r="Q37" s="598">
        <f t="shared" si="70"/>
        <v>13385.173732499807</v>
      </c>
      <c r="R37" s="600">
        <f t="shared" si="71"/>
        <v>1686.4384832798962</v>
      </c>
      <c r="S37" s="597">
        <f t="shared" si="72"/>
        <v>295.55229996212705</v>
      </c>
      <c r="T37" s="598">
        <f t="shared" si="73"/>
        <v>4400.9174278296796</v>
      </c>
      <c r="U37" s="598">
        <f t="shared" si="74"/>
        <v>19768.081943571509</v>
      </c>
      <c r="V37" s="3"/>
      <c r="W37" s="677">
        <f t="shared" si="75"/>
        <v>2027</v>
      </c>
      <c r="X37" s="1263">
        <f t="shared" si="76"/>
        <v>13101.407891810479</v>
      </c>
      <c r="Y37" s="1264">
        <f t="shared" si="77"/>
        <v>1764.8724737583709</v>
      </c>
      <c r="Z37" s="1264">
        <f t="shared" si="78"/>
        <v>293.55135413843635</v>
      </c>
      <c r="AA37" s="1264">
        <f t="shared" si="79"/>
        <v>4480.0918085867052</v>
      </c>
      <c r="AB37" s="1331">
        <f t="shared" si="22"/>
        <v>19639.923528293992</v>
      </c>
      <c r="AC37" s="1365" t="str">
        <f>'Recycling - Case 1'!T147</f>
        <v>Policies met</v>
      </c>
      <c r="AD37" s="1263">
        <f t="shared" si="80"/>
        <v>12746.324638403819</v>
      </c>
      <c r="AE37" s="1264">
        <f t="shared" si="81"/>
        <v>1148.3185847482216</v>
      </c>
      <c r="AF37" s="1264">
        <f t="shared" si="82"/>
        <v>293.55135413843635</v>
      </c>
      <c r="AG37" s="1264">
        <f t="shared" si="83"/>
        <v>4480.0918085867052</v>
      </c>
      <c r="AH37" s="1331">
        <f t="shared" si="56"/>
        <v>18668.286385877182</v>
      </c>
      <c r="AI37" s="1365" t="str">
        <f>'Recycling - Case 1'!T187</f>
        <v>Policies met</v>
      </c>
      <c r="AJ37" s="1263">
        <f t="shared" si="84"/>
        <v>12063.138385830369</v>
      </c>
      <c r="AK37" s="1264">
        <f t="shared" si="85"/>
        <v>814.70892369334751</v>
      </c>
      <c r="AL37" s="1264">
        <f t="shared" si="86"/>
        <v>200.04010310106719</v>
      </c>
      <c r="AM37" s="1264">
        <f t="shared" si="87"/>
        <v>5030.9273143213595</v>
      </c>
      <c r="AN37" s="1331">
        <f t="shared" si="88"/>
        <v>18108.814726946144</v>
      </c>
      <c r="AO37" s="1365" t="str">
        <f>'Recycling - Case 2'!T146</f>
        <v>Policies not met</v>
      </c>
      <c r="AP37" s="1263">
        <f t="shared" si="89"/>
        <v>12021.10762397707</v>
      </c>
      <c r="AQ37" s="1264">
        <f t="shared" si="90"/>
        <v>814.70892369334751</v>
      </c>
      <c r="AR37" s="1264">
        <f t="shared" si="91"/>
        <v>200.04010310106719</v>
      </c>
      <c r="AS37" s="1264">
        <f t="shared" si="92"/>
        <v>5030.9273143213595</v>
      </c>
      <c r="AT37" s="1331">
        <f t="shared" si="37"/>
        <v>18066.783965092844</v>
      </c>
      <c r="AU37" s="1365" t="str">
        <f>'Recycling - Case 2'!T186</f>
        <v>Policies not met</v>
      </c>
      <c r="AV37" s="1263">
        <f t="shared" si="59"/>
        <v>12063.453769211743</v>
      </c>
      <c r="AW37" s="1264">
        <f t="shared" si="60"/>
        <v>491.56949665444347</v>
      </c>
      <c r="AX37" s="1264">
        <f t="shared" si="61"/>
        <v>200.04010310106719</v>
      </c>
      <c r="AY37" s="1264">
        <f t="shared" si="62"/>
        <v>5030.9273143213595</v>
      </c>
      <c r="AZ37" s="1331">
        <f t="shared" si="63"/>
        <v>17785.990683288612</v>
      </c>
      <c r="BA37" s="1365" t="str">
        <f>'Recycling - Case 2'!T146</f>
        <v>Policies not met</v>
      </c>
      <c r="BB37" s="1263">
        <f t="shared" si="93"/>
        <v>12021.423007358444</v>
      </c>
      <c r="BC37" s="1264">
        <f t="shared" si="94"/>
        <v>494.78994533788989</v>
      </c>
      <c r="BD37" s="1264">
        <f t="shared" si="95"/>
        <v>200.04010310106719</v>
      </c>
      <c r="BE37" s="1264">
        <f t="shared" si="96"/>
        <v>5030.9273143213595</v>
      </c>
      <c r="BF37" s="1331">
        <f t="shared" si="47"/>
        <v>17747.18037011876</v>
      </c>
      <c r="BG37" s="1365" t="str">
        <f>'Recycling - Case 2'!T186</f>
        <v>Policies not met</v>
      </c>
      <c r="BH37" s="677">
        <f t="shared" si="48"/>
        <v>2027</v>
      </c>
      <c r="BI37" s="1264">
        <f>'Recycling - Case 1'!BV107</f>
        <v>83.437373342730112</v>
      </c>
      <c r="BJ37" s="483">
        <f>'Recycling - Case 1'!BW107</f>
        <v>0.52644709744557738</v>
      </c>
      <c r="BK37" s="1331">
        <f>'Recycling - Case 1'!BX107</f>
        <v>38.984244802724028</v>
      </c>
      <c r="BL37" s="1263">
        <f>'Recycling - Case 1'!BY107</f>
        <v>79.576338614341637</v>
      </c>
      <c r="BM37" s="483">
        <f>'Recycling - Case 1'!BZ107</f>
        <v>0.45581130178029217</v>
      </c>
      <c r="BN37" s="1331">
        <f>'Recycling - Case 1'!CA107</f>
        <v>50.172070130067617</v>
      </c>
      <c r="BO37" s="1264">
        <f>'Recycling - Case 2'!BV106</f>
        <v>59.807407802297149</v>
      </c>
      <c r="BP37" s="483">
        <f>'Recycling - Case 2'!BW106</f>
        <v>0.73003349026520781</v>
      </c>
      <c r="BQ37" s="1331">
        <f>'Recycling - Case 2'!BX106</f>
        <v>38.984244802724028</v>
      </c>
      <c r="BR37" s="1263">
        <f>'Recycling - Case 2'!BY106</f>
        <v>70.995233129640738</v>
      </c>
      <c r="BS37" s="483">
        <f>'Recycling - Case 2'!BZ106</f>
        <v>0.68408346998063563</v>
      </c>
      <c r="BT37" s="1331">
        <f>'Recycling - Case 2'!CA106</f>
        <v>50.172070130067617</v>
      </c>
      <c r="BU37" s="1264">
        <f>'Recycling - Case 3'!BV106</f>
        <v>59.807407802297149</v>
      </c>
      <c r="BV37" s="483">
        <f>'Recycling - Case 3'!BW106</f>
        <v>0.73003349026520781</v>
      </c>
      <c r="BW37" s="1331">
        <f>'Recycling - Case 3'!BX106</f>
        <v>38.984244802724028</v>
      </c>
      <c r="BX37" s="1263">
        <f>'Recycling - Case 3'!BY106</f>
        <v>70.995233129640738</v>
      </c>
      <c r="BY37" s="483">
        <f>'Recycling - Case 3'!BZ106</f>
        <v>0.68408346998063563</v>
      </c>
      <c r="BZ37" s="1331">
        <f>'Recycling - Case 3'!CA106</f>
        <v>50.172070130067617</v>
      </c>
      <c r="CA37" s="677">
        <v>2027</v>
      </c>
      <c r="CB37" s="730">
        <f>'Recycling - Case 1'!CB107</f>
        <v>0.193822444855763</v>
      </c>
      <c r="CC37" s="483">
        <f>'Recycling - Case 1'!CC107</f>
        <v>0.42632664176680307</v>
      </c>
      <c r="CD37" s="483">
        <f>'Recycling - Case 1'!CD107</f>
        <v>0.193822444855763</v>
      </c>
      <c r="CE37" s="604">
        <f>'Recycling - Case 1'!CE107</f>
        <v>0.80921495847631686</v>
      </c>
      <c r="CF37" s="730">
        <f>'Recycling - Case 2'!CB106</f>
        <v>0.45063158804995024</v>
      </c>
      <c r="CG37" s="483">
        <f>'Recycling - Case 2'!CC106</f>
        <v>0.85</v>
      </c>
      <c r="CH37" s="483">
        <f>'Recycling - Case 2'!CD106</f>
        <v>0.45063158804995024</v>
      </c>
      <c r="CI37" s="604">
        <f>'Recycling - Case 2'!CE106</f>
        <v>0.85</v>
      </c>
      <c r="CJ37" s="730">
        <f>'Recycling - Case 3'!CB106</f>
        <v>0.45063158804995024</v>
      </c>
      <c r="CK37" s="483">
        <f>'Recycling - Case 3'!CC106</f>
        <v>0.85</v>
      </c>
      <c r="CL37" s="483">
        <f>'Recycling - Case 3'!CD106</f>
        <v>0.45063158804995024</v>
      </c>
      <c r="CM37" s="604">
        <f>'Recycling - Case 3'!CE106</f>
        <v>0.85</v>
      </c>
    </row>
    <row r="38" spans="1:91">
      <c r="A38" s="4">
        <f>'Input data'!A127</f>
        <v>2027</v>
      </c>
      <c r="B38" s="4"/>
      <c r="C38" s="891">
        <f>'4A SWD Case 1'!BG96</f>
        <v>623.87656627668946</v>
      </c>
      <c r="D38" s="3">
        <f>'4B Biological treatment '!T91</f>
        <v>0.9788532855010379</v>
      </c>
      <c r="E38" s="1358">
        <f>'4B Biological treatment '!U91</f>
        <v>44.048397847546696</v>
      </c>
      <c r="F38" s="1358">
        <f>'4B Biological treatment '!W91</f>
        <v>2.6429038708528019</v>
      </c>
      <c r="G38" s="1076">
        <f>'4C2 Open-burning '!R98</f>
        <v>30.841816400680194</v>
      </c>
      <c r="H38" s="1076">
        <f>'4C2 Open-burning '!Z98</f>
        <v>10.377326985128654</v>
      </c>
      <c r="I38" s="1076">
        <f>'4C2 Open-burning '!AH98</f>
        <v>0.14446990661307874</v>
      </c>
      <c r="J38" s="1111">
        <f>'4D Wastewater treatment and dis'!AV135</f>
        <v>165.66726312381803</v>
      </c>
      <c r="K38" s="892">
        <f>'4D Wastewater treatment and dis'!AW135</f>
        <v>3.2292880096339567</v>
      </c>
      <c r="L38" s="893">
        <f t="shared" si="65"/>
        <v>13101.407891810479</v>
      </c>
      <c r="M38" s="894">
        <f t="shared" si="66"/>
        <v>20.555918995521797</v>
      </c>
      <c r="N38" s="893">
        <f t="shared" si="67"/>
        <v>1744.3165547628491</v>
      </c>
      <c r="O38" s="895">
        <f t="shared" si="68"/>
        <v>293.55135413843635</v>
      </c>
      <c r="P38" s="893">
        <f t="shared" si="69"/>
        <v>4480.0918085867052</v>
      </c>
      <c r="Q38" s="598">
        <f t="shared" si="70"/>
        <v>13101.407891810479</v>
      </c>
      <c r="R38" s="600">
        <f t="shared" si="71"/>
        <v>1764.8724737583709</v>
      </c>
      <c r="S38" s="597">
        <f t="shared" si="72"/>
        <v>293.55135413843635</v>
      </c>
      <c r="T38" s="598">
        <f t="shared" si="73"/>
        <v>4480.0918085867052</v>
      </c>
      <c r="U38" s="598">
        <f t="shared" si="74"/>
        <v>19639.923528293992</v>
      </c>
      <c r="V38" s="3"/>
      <c r="W38" s="677">
        <f t="shared" si="75"/>
        <v>2028</v>
      </c>
      <c r="X38" s="1263">
        <f t="shared" si="76"/>
        <v>12807.956351184925</v>
      </c>
      <c r="Y38" s="1264">
        <f t="shared" si="77"/>
        <v>1726.570760764338</v>
      </c>
      <c r="Z38" s="1264">
        <f t="shared" si="78"/>
        <v>281.04707901501564</v>
      </c>
      <c r="AA38" s="1264">
        <f t="shared" si="79"/>
        <v>4560.3175409569985</v>
      </c>
      <c r="AB38" s="1331">
        <f t="shared" si="22"/>
        <v>19375.891731921278</v>
      </c>
      <c r="AC38" s="1365" t="str">
        <f>'Recycling - Case 1'!T148</f>
        <v>Policies met</v>
      </c>
      <c r="AD38" s="1263">
        <f t="shared" si="80"/>
        <v>12387.884737997709</v>
      </c>
      <c r="AE38" s="1264">
        <f t="shared" si="81"/>
        <v>1067.1542691103052</v>
      </c>
      <c r="AF38" s="1264">
        <f t="shared" si="82"/>
        <v>281.04707901501564</v>
      </c>
      <c r="AG38" s="1264">
        <f t="shared" si="83"/>
        <v>4560.3175409569985</v>
      </c>
      <c r="AH38" s="1331">
        <f t="shared" si="56"/>
        <v>18296.403627080028</v>
      </c>
      <c r="AI38" s="1365" t="str">
        <f>'Recycling - Case 1'!T188</f>
        <v>Policies met</v>
      </c>
      <c r="AJ38" s="1263">
        <f t="shared" si="84"/>
        <v>11665.571086806938</v>
      </c>
      <c r="AK38" s="1264">
        <f t="shared" si="85"/>
        <v>783.93473171488893</v>
      </c>
      <c r="AL38" s="1264">
        <f t="shared" si="86"/>
        <v>187.36015599914873</v>
      </c>
      <c r="AM38" s="1264">
        <f t="shared" si="87"/>
        <v>5172.1968290590494</v>
      </c>
      <c r="AN38" s="1331">
        <f t="shared" si="88"/>
        <v>17809.062803580026</v>
      </c>
      <c r="AO38" s="1365" t="str">
        <f>'Recycling - Case 2'!T147</f>
        <v>Policies not met</v>
      </c>
      <c r="AP38" s="1263">
        <f t="shared" si="89"/>
        <v>11625.590189397895</v>
      </c>
      <c r="AQ38" s="1264">
        <f t="shared" si="90"/>
        <v>783.93473171488893</v>
      </c>
      <c r="AR38" s="1264">
        <f t="shared" si="91"/>
        <v>187.36015599914873</v>
      </c>
      <c r="AS38" s="1264">
        <f t="shared" si="92"/>
        <v>5172.1968290590494</v>
      </c>
      <c r="AT38" s="1331">
        <f t="shared" si="37"/>
        <v>17769.081906170984</v>
      </c>
      <c r="AU38" s="1365" t="str">
        <f>'Recycling - Case 2'!T187</f>
        <v>Policies not met</v>
      </c>
      <c r="AV38" s="1263">
        <f t="shared" si="59"/>
        <v>11665.952623517624</v>
      </c>
      <c r="AW38" s="1264">
        <f t="shared" si="60"/>
        <v>472.72509802589531</v>
      </c>
      <c r="AX38" s="1264">
        <f t="shared" si="61"/>
        <v>187.36015599914873</v>
      </c>
      <c r="AY38" s="1264">
        <f t="shared" si="62"/>
        <v>5172.1968290590494</v>
      </c>
      <c r="AZ38" s="1331">
        <f t="shared" si="63"/>
        <v>17498.234706601717</v>
      </c>
      <c r="BA38" s="1365" t="str">
        <f>'Recycling - Case 2'!T147</f>
        <v>Policies not met</v>
      </c>
      <c r="BB38" s="1263">
        <f t="shared" si="93"/>
        <v>11625.971726108581</v>
      </c>
      <c r="BC38" s="1264">
        <f t="shared" si="94"/>
        <v>476.10012824614728</v>
      </c>
      <c r="BD38" s="1264">
        <f t="shared" si="95"/>
        <v>187.36015599914873</v>
      </c>
      <c r="BE38" s="1264">
        <f t="shared" si="96"/>
        <v>5172.1968290590494</v>
      </c>
      <c r="BF38" s="1331">
        <f t="shared" si="47"/>
        <v>17461.628839412926</v>
      </c>
      <c r="BG38" s="1365" t="str">
        <f>'Recycling - Case 2'!T187</f>
        <v>Policies not met</v>
      </c>
      <c r="BH38" s="677">
        <f t="shared" si="48"/>
        <v>2028</v>
      </c>
      <c r="BI38" s="1264">
        <f>'Recycling - Case 1'!BV108</f>
        <v>81.458458681006846</v>
      </c>
      <c r="BJ38" s="483">
        <f>'Recycling - Case 1'!BW108</f>
        <v>0.53919341684209243</v>
      </c>
      <c r="BK38" s="1331">
        <f>'Recycling - Case 1'!BX108</f>
        <v>37.99881560662967</v>
      </c>
      <c r="BL38" s="1263">
        <f>'Recycling - Case 1'!BY108</f>
        <v>77.536661858203075</v>
      </c>
      <c r="BM38" s="483">
        <f>'Recycling - Case 1'!BZ108</f>
        <v>0.46508934036440602</v>
      </c>
      <c r="BN38" s="1331">
        <f>'Recycling - Case 1'!CA108</f>
        <v>50.172070130067617</v>
      </c>
      <c r="BO38" s="1264">
        <f>'Recycling - Case 2'!BV107</f>
        <v>58.011401529007244</v>
      </c>
      <c r="BP38" s="483">
        <f>'Recycling - Case 2'!BW107</f>
        <v>0.77627777239129692</v>
      </c>
      <c r="BQ38" s="1331">
        <f>'Recycling - Case 2'!BX107</f>
        <v>37.99881560662967</v>
      </c>
      <c r="BR38" s="1263">
        <f>'Recycling - Case 2'!BY107</f>
        <v>70.184656052445177</v>
      </c>
      <c r="BS38" s="483">
        <f>'Recycling - Case 2'!BZ107</f>
        <v>0.7288232908259662</v>
      </c>
      <c r="BT38" s="1331">
        <f>'Recycling - Case 2'!CA107</f>
        <v>50.172070130067617</v>
      </c>
      <c r="BU38" s="1264">
        <f>'Recycling - Case 3'!BV107</f>
        <v>58.011401529007244</v>
      </c>
      <c r="BV38" s="483">
        <f>'Recycling - Case 3'!BW107</f>
        <v>0.77627777239129692</v>
      </c>
      <c r="BW38" s="1331">
        <f>'Recycling - Case 3'!BX107</f>
        <v>37.99881560662967</v>
      </c>
      <c r="BX38" s="1263">
        <f>'Recycling - Case 3'!BY107</f>
        <v>70.184656052445177</v>
      </c>
      <c r="BY38" s="483">
        <f>'Recycling - Case 3'!BZ107</f>
        <v>0.7288232908259662</v>
      </c>
      <c r="BZ38" s="1331">
        <f>'Recycling - Case 3'!CA107</f>
        <v>50.172070130067617</v>
      </c>
      <c r="CA38" s="677">
        <v>2028</v>
      </c>
      <c r="CB38" s="730">
        <f>'Recycling - Case 1'!CB108</f>
        <v>0.23568118740282154</v>
      </c>
      <c r="CC38" s="483">
        <f>'Recycling - Case 1'!CC108</f>
        <v>0.4407301874331998</v>
      </c>
      <c r="CD38" s="483">
        <f>'Recycling - Case 1'!CD108</f>
        <v>0.23568118740282154</v>
      </c>
      <c r="CE38" s="604">
        <f>'Recycling - Case 1'!CE108</f>
        <v>0.84102694071253192</v>
      </c>
      <c r="CF38" s="730">
        <f>'Recycling - Case 2'!CB107</f>
        <v>0.49046653513292493</v>
      </c>
      <c r="CG38" s="483">
        <f>'Recycling - Case 2'!CC107</f>
        <v>0.85</v>
      </c>
      <c r="CH38" s="483">
        <f>'Recycling - Case 2'!CD107</f>
        <v>0.49046653513292493</v>
      </c>
      <c r="CI38" s="604">
        <f>'Recycling - Case 2'!CE107</f>
        <v>0.85</v>
      </c>
      <c r="CJ38" s="730">
        <f>'Recycling - Case 3'!CB107</f>
        <v>0.49046653513292493</v>
      </c>
      <c r="CK38" s="483">
        <f>'Recycling - Case 3'!CC107</f>
        <v>0.85</v>
      </c>
      <c r="CL38" s="483">
        <f>'Recycling - Case 3'!CD107</f>
        <v>0.49046653513292493</v>
      </c>
      <c r="CM38" s="604">
        <f>'Recycling - Case 3'!CE107</f>
        <v>0.85</v>
      </c>
    </row>
    <row r="39" spans="1:91">
      <c r="A39" s="4">
        <f>'Input data'!A128</f>
        <v>2028</v>
      </c>
      <c r="B39" s="4"/>
      <c r="C39" s="891">
        <f>'4A SWD Case 1'!BG97</f>
        <v>609.90268338975829</v>
      </c>
      <c r="D39" s="3">
        <f>'4B Biological treatment '!T92</f>
        <v>0.95760996159974399</v>
      </c>
      <c r="E39" s="1358">
        <f>'4B Biological treatment '!U92</f>
        <v>43.092448271988474</v>
      </c>
      <c r="F39" s="1358">
        <f>'4B Biological treatment '!W92</f>
        <v>2.585546896319308</v>
      </c>
      <c r="G39" s="1076">
        <f>'4C2 Open-burning '!R99</f>
        <v>29.528061406389611</v>
      </c>
      <c r="H39" s="1076">
        <f>'4C2 Open-burning '!Z99</f>
        <v>9.9352886506485056</v>
      </c>
      <c r="I39" s="1076">
        <f>'4C2 Open-burning '!AH99</f>
        <v>0.13831598691937869</v>
      </c>
      <c r="J39" s="1111">
        <f>'4D Wastewater treatment and dis'!AV136</f>
        <v>169.01861721537597</v>
      </c>
      <c r="K39" s="892">
        <f>'4D Wastewater treatment and dis'!AW136</f>
        <v>3.2610534820454951</v>
      </c>
      <c r="L39" s="893">
        <f t="shared" si="65"/>
        <v>12807.956351184925</v>
      </c>
      <c r="M39" s="894">
        <f t="shared" si="66"/>
        <v>20.109809193594625</v>
      </c>
      <c r="N39" s="893">
        <f t="shared" si="67"/>
        <v>1706.4609515707434</v>
      </c>
      <c r="O39" s="895">
        <f t="shared" si="68"/>
        <v>281.04707901501564</v>
      </c>
      <c r="P39" s="893">
        <f t="shared" si="69"/>
        <v>4560.3175409569985</v>
      </c>
      <c r="Q39" s="598">
        <f t="shared" si="70"/>
        <v>12807.956351184925</v>
      </c>
      <c r="R39" s="600">
        <f t="shared" si="71"/>
        <v>1726.570760764338</v>
      </c>
      <c r="S39" s="597">
        <f t="shared" si="72"/>
        <v>281.04707901501564</v>
      </c>
      <c r="T39" s="598">
        <f t="shared" si="73"/>
        <v>4560.3175409569985</v>
      </c>
      <c r="U39" s="598">
        <f t="shared" si="74"/>
        <v>19375.891731921278</v>
      </c>
      <c r="V39" s="3"/>
      <c r="W39" s="677">
        <f t="shared" si="75"/>
        <v>2029</v>
      </c>
      <c r="X39" s="1263">
        <f t="shared" si="76"/>
        <v>12522.193422766384</v>
      </c>
      <c r="Y39" s="1264">
        <f t="shared" si="77"/>
        <v>1694.6787254049675</v>
      </c>
      <c r="Z39" s="1264">
        <f t="shared" si="78"/>
        <v>269.07875066097472</v>
      </c>
      <c r="AA39" s="1264">
        <f t="shared" si="79"/>
        <v>4641.7451490242902</v>
      </c>
      <c r="AB39" s="1331">
        <f t="shared" si="22"/>
        <v>19127.696047856614</v>
      </c>
      <c r="AC39" s="1365" t="str">
        <f>'Recycling - Case 1'!T149</f>
        <v>Policies met</v>
      </c>
      <c r="AD39" s="1263">
        <f t="shared" si="80"/>
        <v>12034.581088030816</v>
      </c>
      <c r="AE39" s="1264">
        <f t="shared" si="81"/>
        <v>1023.8213901021888</v>
      </c>
      <c r="AF39" s="1264">
        <f t="shared" si="82"/>
        <v>269.07875066097472</v>
      </c>
      <c r="AG39" s="1264">
        <f t="shared" si="83"/>
        <v>4641.7451490242902</v>
      </c>
      <c r="AH39" s="1331">
        <f t="shared" si="56"/>
        <v>17969.226377818268</v>
      </c>
      <c r="AI39" s="1365" t="str">
        <f>'Recycling - Case 1'!T189</f>
        <v>Policies not met</v>
      </c>
      <c r="AJ39" s="1263">
        <f t="shared" si="84"/>
        <v>11280.732922555611</v>
      </c>
      <c r="AK39" s="1264">
        <f t="shared" si="85"/>
        <v>751.33818950177442</v>
      </c>
      <c r="AL39" s="1264">
        <f t="shared" si="86"/>
        <v>173.98003764298724</v>
      </c>
      <c r="AM39" s="1264">
        <f t="shared" si="87"/>
        <v>5315.8241432355899</v>
      </c>
      <c r="AN39" s="1331">
        <f t="shared" si="88"/>
        <v>17521.875292935962</v>
      </c>
      <c r="AO39" s="1365" t="str">
        <f>'Recycling - Case 2'!T148</f>
        <v>Policies not met</v>
      </c>
      <c r="AP39" s="1263">
        <f t="shared" si="89"/>
        <v>11242.701916522186</v>
      </c>
      <c r="AQ39" s="1264">
        <f t="shared" si="90"/>
        <v>751.33818950177442</v>
      </c>
      <c r="AR39" s="1264">
        <f t="shared" si="91"/>
        <v>173.98003764298724</v>
      </c>
      <c r="AS39" s="1264">
        <f t="shared" si="92"/>
        <v>5315.8241432355899</v>
      </c>
      <c r="AT39" s="1331">
        <f t="shared" si="37"/>
        <v>17483.844286902538</v>
      </c>
      <c r="AU39" s="1365" t="str">
        <f>'Recycling - Case 2'!T188</f>
        <v>Policies not met</v>
      </c>
      <c r="AV39" s="1263">
        <f t="shared" si="59"/>
        <v>11281.186126642322</v>
      </c>
      <c r="AW39" s="1264">
        <f t="shared" si="60"/>
        <v>452.81688690672138</v>
      </c>
      <c r="AX39" s="1264">
        <f t="shared" si="61"/>
        <v>173.98003764298724</v>
      </c>
      <c r="AY39" s="1264">
        <f t="shared" si="62"/>
        <v>5315.8241432355899</v>
      </c>
      <c r="AZ39" s="1331">
        <f t="shared" si="63"/>
        <v>17223.80719442762</v>
      </c>
      <c r="BA39" s="1365" t="str">
        <f>'Recycling - Case 2'!T148</f>
        <v>Policies not met</v>
      </c>
      <c r="BB39" s="1263">
        <f t="shared" si="93"/>
        <v>11243.155120608899</v>
      </c>
      <c r="BC39" s="1264">
        <f t="shared" si="94"/>
        <v>456.3035593479994</v>
      </c>
      <c r="BD39" s="1264">
        <f t="shared" si="95"/>
        <v>173.98003764298724</v>
      </c>
      <c r="BE39" s="1264">
        <f t="shared" si="96"/>
        <v>5315.8241432355899</v>
      </c>
      <c r="BF39" s="1331">
        <f t="shared" si="47"/>
        <v>17189.262860835475</v>
      </c>
      <c r="BG39" s="1365" t="str">
        <f>'Recycling - Case 2'!T188</f>
        <v>Policies not met</v>
      </c>
      <c r="BH39" s="677">
        <f t="shared" si="48"/>
        <v>2029</v>
      </c>
      <c r="BI39" s="1264">
        <f>'Recycling - Case 1'!BV109</f>
        <v>79.638503928462299</v>
      </c>
      <c r="BJ39" s="483">
        <f>'Recycling - Case 1'!BW109</f>
        <v>0.55390119153091844</v>
      </c>
      <c r="BK39" s="1331">
        <f>'Recycling - Case 1'!BX109</f>
        <v>37.013386410535311</v>
      </c>
      <c r="BL39" s="1263">
        <f>'Recycling - Case 1'!BY109</f>
        <v>76.422887953703537</v>
      </c>
      <c r="BM39" s="483">
        <f>'Recycling - Case 1'!BZ109</f>
        <v>0.47855857378410172</v>
      </c>
      <c r="BN39" s="1331">
        <f>'Recycling - Case 1'!CA109</f>
        <v>50.172070130067617</v>
      </c>
      <c r="BO39" s="1264">
        <f>'Recycling - Case 2'!BV108</f>
        <v>56.167633091058349</v>
      </c>
      <c r="BP39" s="483">
        <f>'Recycling - Case 2'!BW108</f>
        <v>0.82392421598602072</v>
      </c>
      <c r="BQ39" s="1331">
        <f>'Recycling - Case 2'!BX108</f>
        <v>37.013386410535311</v>
      </c>
      <c r="BR39" s="1263">
        <f>'Recycling - Case 2'!BY108</f>
        <v>69.326316810590654</v>
      </c>
      <c r="BS39" s="483">
        <f>'Recycling - Case 2'!BZ108</f>
        <v>0.77610722299473334</v>
      </c>
      <c r="BT39" s="1331">
        <f>'Recycling - Case 2'!CA108</f>
        <v>50.172070130067617</v>
      </c>
      <c r="BU39" s="1264">
        <f>'Recycling - Case 3'!BV108</f>
        <v>56.167633091058349</v>
      </c>
      <c r="BV39" s="483">
        <f>'Recycling - Case 3'!BW108</f>
        <v>0.82392421598602072</v>
      </c>
      <c r="BW39" s="1331">
        <f>'Recycling - Case 3'!BX108</f>
        <v>37.013386410535311</v>
      </c>
      <c r="BX39" s="1263">
        <f>'Recycling - Case 3'!BY108</f>
        <v>69.326316810590654</v>
      </c>
      <c r="BY39" s="483">
        <f>'Recycling - Case 3'!BZ108</f>
        <v>0.77610722299473334</v>
      </c>
      <c r="BZ39" s="1331">
        <f>'Recycling - Case 3'!CA108</f>
        <v>50.172070130067617</v>
      </c>
      <c r="CA39" s="677">
        <v>2029</v>
      </c>
      <c r="CB39" s="730">
        <f>'Recycling - Case 1'!CB109</f>
        <v>0.27536651999019995</v>
      </c>
      <c r="CC39" s="483">
        <f>'Recycling - Case 1'!CC109</f>
        <v>0.45200512590005021</v>
      </c>
      <c r="CD39" s="483">
        <f>'Recycling - Case 1'!CD109</f>
        <v>0.27536651999019995</v>
      </c>
      <c r="CE39" s="604">
        <f>'Recycling - Case 1'!CE109</f>
        <v>0.85</v>
      </c>
      <c r="CF39" s="730">
        <f>'Recycling - Case 2'!CB108</f>
        <v>0.53146891079363701</v>
      </c>
      <c r="CG39" s="483">
        <f>'Recycling - Case 2'!CC108</f>
        <v>0.85</v>
      </c>
      <c r="CH39" s="483">
        <f>'Recycling - Case 2'!CD108</f>
        <v>0.53146891079363701</v>
      </c>
      <c r="CI39" s="604">
        <f>'Recycling - Case 2'!CE108</f>
        <v>0.85</v>
      </c>
      <c r="CJ39" s="730">
        <f>'Recycling - Case 3'!CB108</f>
        <v>0.53146891079363701</v>
      </c>
      <c r="CK39" s="483">
        <f>'Recycling - Case 3'!CC108</f>
        <v>0.85</v>
      </c>
      <c r="CL39" s="483">
        <f>'Recycling - Case 3'!CD108</f>
        <v>0.53146891079363701</v>
      </c>
      <c r="CM39" s="604">
        <f>'Recycling - Case 3'!CE108</f>
        <v>0.85</v>
      </c>
    </row>
    <row r="40" spans="1:91">
      <c r="A40" s="4">
        <f>'Input data'!A129</f>
        <v>2029</v>
      </c>
      <c r="B40" s="4"/>
      <c r="C40" s="891">
        <f>'4A SWD Case 1'!BG98</f>
        <v>596.29492489363736</v>
      </c>
      <c r="D40" s="3">
        <f>'4B Biological treatment '!T93</f>
        <v>0.93992164470602757</v>
      </c>
      <c r="E40" s="1358">
        <f>'4B Biological treatment '!U93</f>
        <v>42.296474011771238</v>
      </c>
      <c r="F40" s="1358">
        <f>'4B Biological treatment '!W93</f>
        <v>2.5377884407062741</v>
      </c>
      <c r="G40" s="1076">
        <f>'4C2 Open-burning '!R100</f>
        <v>28.270615373473987</v>
      </c>
      <c r="H40" s="1076">
        <f>'4C2 Open-burning '!Z100</f>
        <v>9.5121965577511993</v>
      </c>
      <c r="I40" s="1076">
        <f>'4C2 Open-burning '!AH100</f>
        <v>0.13242583088621135</v>
      </c>
      <c r="J40" s="1111">
        <f>'4D Wastewater treatment and dis'!AV137</f>
        <v>172.42199327322078</v>
      </c>
      <c r="K40" s="892">
        <f>'4D Wastewater treatment and dis'!AW137</f>
        <v>3.2931719041504954</v>
      </c>
      <c r="L40" s="893">
        <f t="shared" si="65"/>
        <v>12522.193422766384</v>
      </c>
      <c r="M40" s="894">
        <f t="shared" si="66"/>
        <v>19.738354538826577</v>
      </c>
      <c r="N40" s="893">
        <f t="shared" si="67"/>
        <v>1674.9403708661409</v>
      </c>
      <c r="O40" s="895">
        <f t="shared" si="68"/>
        <v>269.07875066097472</v>
      </c>
      <c r="P40" s="893">
        <f t="shared" si="69"/>
        <v>4641.7451490242902</v>
      </c>
      <c r="Q40" s="598">
        <f t="shared" si="70"/>
        <v>12522.193422766384</v>
      </c>
      <c r="R40" s="600">
        <f t="shared" si="71"/>
        <v>1694.6787254049675</v>
      </c>
      <c r="S40" s="597">
        <f t="shared" si="72"/>
        <v>269.07875066097472</v>
      </c>
      <c r="T40" s="598">
        <f t="shared" si="73"/>
        <v>4641.7451490242902</v>
      </c>
      <c r="U40" s="598">
        <f t="shared" si="74"/>
        <v>19127.696047856614</v>
      </c>
      <c r="V40" s="3"/>
      <c r="W40" s="677">
        <f t="shared" si="75"/>
        <v>2030</v>
      </c>
      <c r="X40" s="1263">
        <f t="shared" si="76"/>
        <v>12244.569082973792</v>
      </c>
      <c r="Y40" s="1264">
        <f t="shared" si="77"/>
        <v>1669.1277636691261</v>
      </c>
      <c r="Z40" s="1264">
        <f t="shared" si="78"/>
        <v>257.61902122459253</v>
      </c>
      <c r="AA40" s="1264">
        <f t="shared" si="79"/>
        <v>4724.3147443604685</v>
      </c>
      <c r="AB40" s="1331">
        <f t="shared" si="22"/>
        <v>18895.630612227978</v>
      </c>
      <c r="AC40" s="1365" t="str">
        <f>'Recycling - Case 1'!T150</f>
        <v>Policies met</v>
      </c>
      <c r="AD40" s="1263">
        <f t="shared" si="80"/>
        <v>11691.182747586068</v>
      </c>
      <c r="AE40" s="1264">
        <f t="shared" si="81"/>
        <v>996.92807082112586</v>
      </c>
      <c r="AF40" s="1264">
        <f t="shared" si="82"/>
        <v>257.61902122459253</v>
      </c>
      <c r="AG40" s="1264">
        <f t="shared" si="83"/>
        <v>4724.3147443604685</v>
      </c>
      <c r="AH40" s="1331">
        <f t="shared" si="56"/>
        <v>17670.044583992254</v>
      </c>
      <c r="AI40" s="1365" t="str">
        <f>'Recycling - Case 1'!T190</f>
        <v>Policies not met</v>
      </c>
      <c r="AJ40" s="1263">
        <f t="shared" si="84"/>
        <v>10907.243854061024</v>
      </c>
      <c r="AK40" s="1264">
        <f t="shared" si="85"/>
        <v>716.82299060373975</v>
      </c>
      <c r="AL40" s="1264">
        <f t="shared" si="86"/>
        <v>159.86021415032977</v>
      </c>
      <c r="AM40" s="1264">
        <f t="shared" si="87"/>
        <v>5461.7562489213324</v>
      </c>
      <c r="AN40" s="1331">
        <f t="shared" si="88"/>
        <v>17245.683307736428</v>
      </c>
      <c r="AO40" s="1365" t="str">
        <f>'Recycling - Case 2'!T149</f>
        <v>Policies not met</v>
      </c>
      <c r="AP40" s="1263">
        <f t="shared" si="89"/>
        <v>10871.067642078664</v>
      </c>
      <c r="AQ40" s="1264">
        <f t="shared" si="90"/>
        <v>716.82299060373975</v>
      </c>
      <c r="AR40" s="1264">
        <f t="shared" si="91"/>
        <v>159.86021415032977</v>
      </c>
      <c r="AS40" s="1264">
        <f t="shared" si="92"/>
        <v>5461.7562489213324</v>
      </c>
      <c r="AT40" s="1331">
        <f t="shared" si="37"/>
        <v>17209.507095754067</v>
      </c>
      <c r="AU40" s="1365" t="str">
        <f>'Recycling - Case 2'!T189</f>
        <v>Policies not met</v>
      </c>
      <c r="AV40" s="1263">
        <f t="shared" si="59"/>
        <v>10907.774095821545</v>
      </c>
      <c r="AW40" s="1264">
        <f t="shared" si="60"/>
        <v>431.73312960301536</v>
      </c>
      <c r="AX40" s="1264">
        <f t="shared" si="61"/>
        <v>159.86021415032977</v>
      </c>
      <c r="AY40" s="1264">
        <f t="shared" si="62"/>
        <v>5461.7562489213324</v>
      </c>
      <c r="AZ40" s="1331">
        <f t="shared" si="63"/>
        <v>16961.123688496224</v>
      </c>
      <c r="BA40" s="1365" t="str">
        <f>'Recycling - Case 2'!T149</f>
        <v>Policies not met</v>
      </c>
      <c r="BB40" s="1263">
        <f t="shared" si="93"/>
        <v>10871.597883839189</v>
      </c>
      <c r="BC40" s="1264">
        <f t="shared" si="94"/>
        <v>435.34174970110655</v>
      </c>
      <c r="BD40" s="1264">
        <f t="shared" si="95"/>
        <v>159.86021415032977</v>
      </c>
      <c r="BE40" s="1264">
        <f t="shared" si="96"/>
        <v>5461.7562489213324</v>
      </c>
      <c r="BF40" s="1331">
        <f t="shared" si="47"/>
        <v>16928.556096611959</v>
      </c>
      <c r="BG40" s="1365" t="str">
        <f>'Recycling - Case 2'!T189</f>
        <v>Policies not met</v>
      </c>
      <c r="BH40" s="677">
        <f t="shared" si="48"/>
        <v>2030</v>
      </c>
      <c r="BI40" s="1264">
        <f>'Recycling - Case 1'!BV110</f>
        <v>77.975706398072248</v>
      </c>
      <c r="BJ40" s="483">
        <f>'Recycling - Case 1'!BW110</f>
        <v>0.57071062808606376</v>
      </c>
      <c r="BK40" s="1331">
        <f>'Recycling - Case 1'!BX110</f>
        <v>36.027957214440953</v>
      </c>
      <c r="BL40" s="1263">
        <f>'Recycling - Case 1'!BY110</f>
        <v>75.712755328722352</v>
      </c>
      <c r="BM40" s="483">
        <f>'Recycling - Case 1'!BZ110</f>
        <v>0.49571015796475626</v>
      </c>
      <c r="BN40" s="1331">
        <f>'Recycling - Case 1'!CA110</f>
        <v>50.172070130067617</v>
      </c>
      <c r="BO40" s="1264">
        <f>'Recycling - Case 2'!BV109</f>
        <v>54.273566515095546</v>
      </c>
      <c r="BP40" s="483">
        <f>'Recycling - Case 2'!BW109</f>
        <v>0.87291810619176224</v>
      </c>
      <c r="BQ40" s="1331">
        <f>'Recycling - Case 2'!BX109</f>
        <v>36.027957214440953</v>
      </c>
      <c r="BR40" s="1263">
        <f>'Recycling - Case 2'!BY109</f>
        <v>68.417679430722217</v>
      </c>
      <c r="BS40" s="483">
        <f>'Recycling - Case 2'!BZ109</f>
        <v>0.82619803616022147</v>
      </c>
      <c r="BT40" s="1331">
        <f>'Recycling - Case 2'!CA109</f>
        <v>50.172070130067617</v>
      </c>
      <c r="BU40" s="1264">
        <f>'Recycling - Case 3'!BV109</f>
        <v>54.273566515095546</v>
      </c>
      <c r="BV40" s="483">
        <f>'Recycling - Case 3'!BW109</f>
        <v>0.87291810619176224</v>
      </c>
      <c r="BW40" s="1331">
        <f>'Recycling - Case 3'!BX109</f>
        <v>36.027957214440953</v>
      </c>
      <c r="BX40" s="1263">
        <f>'Recycling - Case 3'!BY109</f>
        <v>68.417679430722217</v>
      </c>
      <c r="BY40" s="483">
        <f>'Recycling - Case 3'!BZ109</f>
        <v>0.82619803616022147</v>
      </c>
      <c r="BZ40" s="1331">
        <f>'Recycling - Case 3'!CA109</f>
        <v>50.172070130067617</v>
      </c>
      <c r="CA40" s="677">
        <v>2030</v>
      </c>
      <c r="CB40" s="730">
        <f>'Recycling - Case 1'!CB110</f>
        <v>0.31299129146536464</v>
      </c>
      <c r="CC40" s="483">
        <f>'Recycling - Case 1'!CC110</f>
        <v>0.46036539887088651</v>
      </c>
      <c r="CD40" s="483">
        <f>'Recycling - Case 1'!CD110</f>
        <v>0.31299129146536464</v>
      </c>
      <c r="CE40" s="604">
        <f>'Recycling - Case 1'!CE110</f>
        <v>0.85</v>
      </c>
      <c r="CF40" s="730">
        <f>'Recycling - Case 2'!CB109</f>
        <v>0.57369079834465153</v>
      </c>
      <c r="CG40" s="483">
        <f>'Recycling - Case 2'!CC109</f>
        <v>0.85</v>
      </c>
      <c r="CH40" s="483">
        <f>'Recycling - Case 2'!CD109</f>
        <v>0.57369079834465153</v>
      </c>
      <c r="CI40" s="604">
        <f>'Recycling - Case 2'!CE109</f>
        <v>0.85</v>
      </c>
      <c r="CJ40" s="730">
        <f>'Recycling - Case 3'!CB109</f>
        <v>0.57369079834465153</v>
      </c>
      <c r="CK40" s="483">
        <f>'Recycling - Case 3'!CC109</f>
        <v>0.85</v>
      </c>
      <c r="CL40" s="483">
        <f>'Recycling - Case 3'!CD109</f>
        <v>0.57369079834465153</v>
      </c>
      <c r="CM40" s="604">
        <f>'Recycling - Case 3'!CE109</f>
        <v>0.85</v>
      </c>
    </row>
    <row r="41" spans="1:91">
      <c r="A41" s="4">
        <f>'Input data'!A130</f>
        <v>2030</v>
      </c>
      <c r="B41" s="4"/>
      <c r="C41" s="891">
        <f>'4A SWD Case 1'!BG99</f>
        <v>583.07471823684727</v>
      </c>
      <c r="D41" s="3">
        <f>'4B Biological treatment '!T94</f>
        <v>0.9257502848969088</v>
      </c>
      <c r="E41" s="1358">
        <f>'4B Biological treatment '!U94</f>
        <v>41.658762820360892</v>
      </c>
      <c r="F41" s="1358">
        <f>'4B Biological treatment '!W94</f>
        <v>2.4995257692216533</v>
      </c>
      <c r="G41" s="1076">
        <f>'4C2 Open-burning '!R101</f>
        <v>27.066605014483478</v>
      </c>
      <c r="H41" s="1076">
        <f>'4C2 Open-burning '!Z101</f>
        <v>9.1070839331766269</v>
      </c>
      <c r="I41" s="1076">
        <f>'4C2 Open-burning '!AH101</f>
        <v>0.12678597939806416</v>
      </c>
      <c r="J41" s="1111">
        <f>'4D Wastewater treatment and dis'!AV138</f>
        <v>175.87528378312254</v>
      </c>
      <c r="K41" s="892">
        <f>'4D Wastewater treatment and dis'!AW138</f>
        <v>3.3255928545641762</v>
      </c>
      <c r="L41" s="893">
        <f t="shared" si="65"/>
        <v>12244.569082973792</v>
      </c>
      <c r="M41" s="894">
        <f t="shared" si="66"/>
        <v>19.440755982835086</v>
      </c>
      <c r="N41" s="893">
        <f t="shared" si="67"/>
        <v>1649.6870076862911</v>
      </c>
      <c r="O41" s="895">
        <f t="shared" si="68"/>
        <v>257.61902122459253</v>
      </c>
      <c r="P41" s="893">
        <f t="shared" si="69"/>
        <v>4724.3147443604685</v>
      </c>
      <c r="Q41" s="598">
        <f t="shared" si="70"/>
        <v>12244.569082973792</v>
      </c>
      <c r="R41" s="600">
        <f t="shared" si="71"/>
        <v>1669.1277636691261</v>
      </c>
      <c r="S41" s="597">
        <f t="shared" si="72"/>
        <v>257.61902122459253</v>
      </c>
      <c r="T41" s="598">
        <f t="shared" si="73"/>
        <v>4724.3147443604685</v>
      </c>
      <c r="U41" s="598">
        <f t="shared" si="74"/>
        <v>18895.630612227978</v>
      </c>
      <c r="V41" s="3"/>
      <c r="W41" s="677">
        <f t="shared" si="75"/>
        <v>2031</v>
      </c>
      <c r="X41" s="1263">
        <f t="shared" si="76"/>
        <v>11975.506462216341</v>
      </c>
      <c r="Y41" s="1264">
        <f t="shared" si="77"/>
        <v>1625.964855212203</v>
      </c>
      <c r="Z41" s="1264">
        <f t="shared" si="78"/>
        <v>247.5166979543753</v>
      </c>
      <c r="AA41" s="1264">
        <f t="shared" si="79"/>
        <v>4801.8282802505955</v>
      </c>
      <c r="AB41" s="1331">
        <f t="shared" si="22"/>
        <v>18650.816295633515</v>
      </c>
      <c r="AC41" s="1365" t="str">
        <f>'Recycling - Case 1'!T151</f>
        <v>Policies met</v>
      </c>
      <c r="AD41" s="1263">
        <f t="shared" si="80"/>
        <v>11359.374765951856</v>
      </c>
      <c r="AE41" s="1264">
        <f t="shared" si="81"/>
        <v>975.11683913238585</v>
      </c>
      <c r="AF41" s="1264">
        <f t="shared" si="82"/>
        <v>247.5166979543753</v>
      </c>
      <c r="AG41" s="1264">
        <f t="shared" si="83"/>
        <v>4801.8282802505955</v>
      </c>
      <c r="AH41" s="1331">
        <f t="shared" si="56"/>
        <v>17383.836583289212</v>
      </c>
      <c r="AI41" s="1365" t="str">
        <f>'Recycling - Case 1'!T191</f>
        <v>Policies not met</v>
      </c>
      <c r="AJ41" s="1263">
        <f t="shared" si="84"/>
        <v>10543.76113405634</v>
      </c>
      <c r="AK41" s="1264">
        <f t="shared" si="85"/>
        <v>674.56529933255183</v>
      </c>
      <c r="AL41" s="1264">
        <f t="shared" si="86"/>
        <v>142.62192070734397</v>
      </c>
      <c r="AM41" s="1264">
        <f t="shared" si="87"/>
        <v>5508.3777658135459</v>
      </c>
      <c r="AN41" s="1331">
        <f t="shared" si="88"/>
        <v>16869.326119909783</v>
      </c>
      <c r="AO41" s="1365" t="str">
        <f>'Recycling - Case 2'!T150</f>
        <v>Policies not met</v>
      </c>
      <c r="AP41" s="1263">
        <f t="shared" si="89"/>
        <v>10509.349256751748</v>
      </c>
      <c r="AQ41" s="1264">
        <f t="shared" si="90"/>
        <v>674.56529933255183</v>
      </c>
      <c r="AR41" s="1264">
        <f t="shared" si="91"/>
        <v>142.62192070734397</v>
      </c>
      <c r="AS41" s="1264">
        <f t="shared" si="92"/>
        <v>5508.3777658135459</v>
      </c>
      <c r="AT41" s="1331">
        <f t="shared" si="37"/>
        <v>16834.914242605191</v>
      </c>
      <c r="AU41" s="1365" t="str">
        <f>'Recycling - Case 2'!T190</f>
        <v>Policies not met</v>
      </c>
      <c r="AV41" s="1263">
        <f t="shared" si="59"/>
        <v>10544.373649466563</v>
      </c>
      <c r="AW41" s="1264">
        <f t="shared" si="60"/>
        <v>405.34475447063807</v>
      </c>
      <c r="AX41" s="1264">
        <f t="shared" si="61"/>
        <v>142.62192070734397</v>
      </c>
      <c r="AY41" s="1264">
        <f t="shared" si="62"/>
        <v>5508.3777658135459</v>
      </c>
      <c r="AZ41" s="1331">
        <f t="shared" si="63"/>
        <v>16600.718090458089</v>
      </c>
      <c r="BA41" s="1365" t="str">
        <f>'Recycling - Case 2'!T150</f>
        <v>Policies not met</v>
      </c>
      <c r="BB41" s="1263">
        <f t="shared" si="93"/>
        <v>10509.961772161971</v>
      </c>
      <c r="BC41" s="1264">
        <f t="shared" si="94"/>
        <v>409.67776082592576</v>
      </c>
      <c r="BD41" s="1264">
        <f t="shared" si="95"/>
        <v>142.62192070734397</v>
      </c>
      <c r="BE41" s="1264">
        <f t="shared" si="96"/>
        <v>5508.3777658135459</v>
      </c>
      <c r="BF41" s="1331">
        <f t="shared" si="47"/>
        <v>16570.639219508786</v>
      </c>
      <c r="BG41" s="1365" t="str">
        <f>'Recycling - Case 2'!T190</f>
        <v>Policies not met</v>
      </c>
      <c r="BH41" s="677">
        <f t="shared" si="48"/>
        <v>2031</v>
      </c>
      <c r="BI41" s="1264">
        <f>'Recycling - Case 1'!BV111</f>
        <v>76.693301921146329</v>
      </c>
      <c r="BJ41" s="483">
        <f>'Recycling - Case 1'!BW111</f>
        <v>0.56438013508341156</v>
      </c>
      <c r="BK41" s="1331">
        <f>'Recycling - Case 1'!BX111</f>
        <v>35.846430699385166</v>
      </c>
      <c r="BL41" s="1263">
        <f>'Recycling - Case 1'!BY111</f>
        <v>75.13302953435452</v>
      </c>
      <c r="BM41" s="483">
        <f>'Recycling - Case 1'!BZ111</f>
        <v>0.48852845558251917</v>
      </c>
      <c r="BN41" s="1331">
        <f>'Recycling - Case 1'!CA111</f>
        <v>50.172070130067617</v>
      </c>
      <c r="BO41" s="1264">
        <f>'Recycling - Case 2'!BV110</f>
        <v>52.979805211605893</v>
      </c>
      <c r="BP41" s="483">
        <f>'Recycling - Case 2'!BW110</f>
        <v>0.85151459435001897</v>
      </c>
      <c r="BQ41" s="1331">
        <f>'Recycling - Case 2'!BX110</f>
        <v>35.846430699385166</v>
      </c>
      <c r="BR41" s="1263">
        <f>'Recycling - Case 2'!BY110</f>
        <v>67.305444642288322</v>
      </c>
      <c r="BS41" s="483">
        <f>'Recycling - Case 2'!BZ110</f>
        <v>0.80881499458342854</v>
      </c>
      <c r="BT41" s="1331">
        <f>'Recycling - Case 2'!CA110</f>
        <v>50.172070130067617</v>
      </c>
      <c r="BU41" s="1264">
        <f>'Recycling - Case 3'!BV110</f>
        <v>52.979805211605893</v>
      </c>
      <c r="BV41" s="483">
        <f>'Recycling - Case 3'!BW110</f>
        <v>0.85151459435001897</v>
      </c>
      <c r="BW41" s="1331">
        <f>'Recycling - Case 3'!BX110</f>
        <v>35.846430699385166</v>
      </c>
      <c r="BX41" s="1263">
        <f>'Recycling - Case 3'!BY110</f>
        <v>67.305444642288322</v>
      </c>
      <c r="BY41" s="483">
        <f>'Recycling - Case 3'!BZ110</f>
        <v>0.80881499458342854</v>
      </c>
      <c r="BZ41" s="1331">
        <f>'Recycling - Case 3'!CA110</f>
        <v>50.172070130067617</v>
      </c>
      <c r="CA41" s="677">
        <v>2031</v>
      </c>
      <c r="CB41" s="730">
        <f>'Recycling - Case 1'!CB111</f>
        <v>0.34551843738236382</v>
      </c>
      <c r="CC41" s="483">
        <f>'Recycling - Case 1'!CC111</f>
        <v>0.48286370621860969</v>
      </c>
      <c r="CD41" s="483">
        <f>'Recycling - Case 1'!CD111</f>
        <v>0.34551843738236382</v>
      </c>
      <c r="CE41" s="604">
        <f>'Recycling - Case 1'!CE111</f>
        <v>0.85</v>
      </c>
      <c r="CF41" s="730">
        <f>'Recycling - Case 2'!CB110</f>
        <v>0.62288032161257645</v>
      </c>
      <c r="CG41" s="483">
        <f>'Recycling - Case 2'!CC110</f>
        <v>0.85</v>
      </c>
      <c r="CH41" s="483">
        <f>'Recycling - Case 2'!CD110</f>
        <v>0.62288032161257645</v>
      </c>
      <c r="CI41" s="604">
        <f>'Recycling - Case 2'!CE110</f>
        <v>0.85</v>
      </c>
      <c r="CJ41" s="730">
        <f>'Recycling - Case 3'!CB110</f>
        <v>0.62288032161257645</v>
      </c>
      <c r="CK41" s="483">
        <f>'Recycling - Case 3'!CC110</f>
        <v>0.85</v>
      </c>
      <c r="CL41" s="483">
        <f>'Recycling - Case 3'!CD110</f>
        <v>0.62288032161257645</v>
      </c>
      <c r="CM41" s="604">
        <f>'Recycling - Case 3'!CE110</f>
        <v>0.85</v>
      </c>
    </row>
    <row r="42" spans="1:91">
      <c r="A42" s="4">
        <f>'Input data'!A131</f>
        <v>2031</v>
      </c>
      <c r="B42" s="4"/>
      <c r="C42" s="891">
        <f>'4A SWD Case 1'!BG100</f>
        <v>570.26221248649244</v>
      </c>
      <c r="D42" s="3">
        <f>'4B Biological treatment '!T95</f>
        <v>0.90181079046711221</v>
      </c>
      <c r="E42" s="1358">
        <f>'4B Biological treatment '!U95</f>
        <v>40.581485571020046</v>
      </c>
      <c r="F42" s="1358">
        <f>'4B Biological treatment '!W95</f>
        <v>2.4348891342612027</v>
      </c>
      <c r="G42" s="1076">
        <f>'4C2 Open-burning '!R102</f>
        <v>26.005209810108362</v>
      </c>
      <c r="H42" s="1076">
        <f>'4C2 Open-burning '!Z102</f>
        <v>8.7499569419140375</v>
      </c>
      <c r="I42" s="1076">
        <f>'4C2 Open-burning '!AH102</f>
        <v>0.12181416891636178</v>
      </c>
      <c r="J42" s="1111">
        <f>'4D Wastewater treatment and dis'!AV139</f>
        <v>179.14735481190519</v>
      </c>
      <c r="K42" s="892">
        <f>'4D Wastewater treatment and dis'!AW139</f>
        <v>3.3539800941954407</v>
      </c>
      <c r="L42" s="893">
        <f t="shared" si="65"/>
        <v>11975.506462216341</v>
      </c>
      <c r="M42" s="894">
        <f t="shared" si="66"/>
        <v>18.938026599809355</v>
      </c>
      <c r="N42" s="893">
        <f t="shared" si="67"/>
        <v>1607.0268286123937</v>
      </c>
      <c r="O42" s="895">
        <f t="shared" si="68"/>
        <v>247.5166979543753</v>
      </c>
      <c r="P42" s="893">
        <f t="shared" si="69"/>
        <v>4801.8282802505955</v>
      </c>
      <c r="Q42" s="598">
        <f t="shared" si="70"/>
        <v>11975.506462216341</v>
      </c>
      <c r="R42" s="600">
        <f t="shared" si="71"/>
        <v>1625.964855212203</v>
      </c>
      <c r="S42" s="597">
        <f t="shared" si="72"/>
        <v>247.5166979543753</v>
      </c>
      <c r="T42" s="598">
        <f t="shared" si="73"/>
        <v>4801.8282802505955</v>
      </c>
      <c r="U42" s="598">
        <f t="shared" si="74"/>
        <v>18650.816295633515</v>
      </c>
      <c r="V42" s="3"/>
      <c r="W42" s="677">
        <f t="shared" si="75"/>
        <v>2032</v>
      </c>
      <c r="X42" s="1263">
        <f t="shared" si="76"/>
        <v>11711.747123001105</v>
      </c>
      <c r="Y42" s="1264">
        <f t="shared" si="77"/>
        <v>1577.0879065174663</v>
      </c>
      <c r="Z42" s="1264">
        <f t="shared" si="78"/>
        <v>237.22382383451014</v>
      </c>
      <c r="AA42" s="1264">
        <f t="shared" si="79"/>
        <v>4880.3350275419698</v>
      </c>
      <c r="AB42" s="1331">
        <f t="shared" si="22"/>
        <v>18406.393880895052</v>
      </c>
      <c r="AC42" s="1365" t="str">
        <f>'Recycling - Case 1'!T152</f>
        <v>Policies met</v>
      </c>
      <c r="AD42" s="1263">
        <f t="shared" si="80"/>
        <v>11038.780504592003</v>
      </c>
      <c r="AE42" s="1264">
        <f t="shared" si="81"/>
        <v>952.42449702935505</v>
      </c>
      <c r="AF42" s="1264">
        <f t="shared" si="82"/>
        <v>237.22382383451014</v>
      </c>
      <c r="AG42" s="1264">
        <f t="shared" si="83"/>
        <v>4880.3350275419698</v>
      </c>
      <c r="AH42" s="1331">
        <f t="shared" si="56"/>
        <v>17108.763852997839</v>
      </c>
      <c r="AI42" s="1365" t="str">
        <f>'Recycling - Case 1'!T192</f>
        <v>Policies not met</v>
      </c>
      <c r="AJ42" s="1263">
        <f t="shared" si="84"/>
        <v>10186.052086220545</v>
      </c>
      <c r="AK42" s="1264">
        <f t="shared" si="85"/>
        <v>631.09691496336222</v>
      </c>
      <c r="AL42" s="1264">
        <f t="shared" si="86"/>
        <v>125.07804954705433</v>
      </c>
      <c r="AM42" s="1264">
        <f t="shared" si="87"/>
        <v>5555.4133281488503</v>
      </c>
      <c r="AN42" s="1331">
        <f t="shared" si="88"/>
        <v>16497.640378879812</v>
      </c>
      <c r="AO42" s="1365" t="str">
        <f>'Recycling - Case 2'!T151</f>
        <v>Policies not met</v>
      </c>
      <c r="AP42" s="1263">
        <f t="shared" si="89"/>
        <v>10153.318495976107</v>
      </c>
      <c r="AQ42" s="1264">
        <f t="shared" si="90"/>
        <v>631.09691496336222</v>
      </c>
      <c r="AR42" s="1264">
        <f t="shared" si="91"/>
        <v>125.07804954705433</v>
      </c>
      <c r="AS42" s="1264">
        <f t="shared" si="92"/>
        <v>5555.4133281488503</v>
      </c>
      <c r="AT42" s="1331">
        <f t="shared" si="37"/>
        <v>16464.906788635373</v>
      </c>
      <c r="AU42" s="1365" t="str">
        <f>'Recycling - Case 2'!T191</f>
        <v>Policies not met</v>
      </c>
      <c r="AV42" s="1263">
        <f t="shared" si="59"/>
        <v>10186.74304990535</v>
      </c>
      <c r="AW42" s="1264">
        <f t="shared" si="60"/>
        <v>379.14901845013702</v>
      </c>
      <c r="AX42" s="1264">
        <f t="shared" si="61"/>
        <v>125.07804954705433</v>
      </c>
      <c r="AY42" s="1264">
        <f t="shared" si="62"/>
        <v>5555.4133281488503</v>
      </c>
      <c r="AZ42" s="1331">
        <f t="shared" si="63"/>
        <v>16246.38344605139</v>
      </c>
      <c r="BA42" s="1365" t="str">
        <f>'Recycling - Case 2'!T151</f>
        <v>Policies not met</v>
      </c>
      <c r="BB42" s="1263">
        <f t="shared" si="93"/>
        <v>10154.009459660911</v>
      </c>
      <c r="BC42" s="1264">
        <f t="shared" si="94"/>
        <v>383.27849244863103</v>
      </c>
      <c r="BD42" s="1264">
        <f t="shared" si="95"/>
        <v>125.07804954705433</v>
      </c>
      <c r="BE42" s="1264">
        <f t="shared" si="96"/>
        <v>5555.4133281488503</v>
      </c>
      <c r="BF42" s="1331">
        <f t="shared" si="47"/>
        <v>16217.779329805446</v>
      </c>
      <c r="BG42" s="1365" t="str">
        <f>'Recycling - Case 2'!T191</f>
        <v>Policies not met</v>
      </c>
      <c r="BH42" s="677">
        <f t="shared" si="48"/>
        <v>2032</v>
      </c>
      <c r="BI42" s="1264">
        <f>'Recycling - Case 1'!BV112</f>
        <v>75.270535784232166</v>
      </c>
      <c r="BJ42" s="483">
        <f>'Recycling - Case 1'!BW112</f>
        <v>0.55770079918369797</v>
      </c>
      <c r="BK42" s="1331">
        <f>'Recycling - Case 1'!BX112</f>
        <v>35.664904184329373</v>
      </c>
      <c r="BL42" s="1263">
        <f>'Recycling - Case 1'!BY112</f>
        <v>74.530904330938327</v>
      </c>
      <c r="BM42" s="483">
        <f>'Recycling - Case 1'!BZ112</f>
        <v>0.48115347749068749</v>
      </c>
      <c r="BN42" s="1331">
        <f>'Recycling - Case 1'!CA112</f>
        <v>50.172070130067617</v>
      </c>
      <c r="BO42" s="1264">
        <f>'Recycling - Case 2'!BV111</f>
        <v>51.655060825074962</v>
      </c>
      <c r="BP42" s="483">
        <f>'Recycling - Case 2'!BW111</f>
        <v>0.82921538172565135</v>
      </c>
      <c r="BQ42" s="1331">
        <f>'Recycling - Case 2'!BX111</f>
        <v>35.664904184329373</v>
      </c>
      <c r="BR42" s="1263">
        <f>'Recycling - Case 2'!BY111</f>
        <v>66.162226770813206</v>
      </c>
      <c r="BS42" s="483">
        <f>'Recycling - Case 2'!BZ111</f>
        <v>0.79091680211042981</v>
      </c>
      <c r="BT42" s="1331">
        <f>'Recycling - Case 2'!CA111</f>
        <v>50.172070130067617</v>
      </c>
      <c r="BU42" s="1264">
        <f>'Recycling - Case 3'!BV111</f>
        <v>51.655060825074962</v>
      </c>
      <c r="BV42" s="483">
        <f>'Recycling - Case 3'!BW111</f>
        <v>0.82921538172565135</v>
      </c>
      <c r="BW42" s="1331">
        <f>'Recycling - Case 3'!BX111</f>
        <v>35.664904184329373</v>
      </c>
      <c r="BX42" s="1263">
        <f>'Recycling - Case 3'!BY111</f>
        <v>66.162226770813206</v>
      </c>
      <c r="BY42" s="483">
        <f>'Recycling - Case 3'!BZ111</f>
        <v>0.79091680211042981</v>
      </c>
      <c r="BZ42" s="1331">
        <f>'Recycling - Case 3'!CA111</f>
        <v>50.172070130067617</v>
      </c>
      <c r="CA42" s="677">
        <v>2032</v>
      </c>
      <c r="CB42" s="730">
        <f>'Recycling - Case 1'!CB112</f>
        <v>0.37804558329936305</v>
      </c>
      <c r="CC42" s="483">
        <f>'Recycling - Case 1'!CC112</f>
        <v>0.50641955260319971</v>
      </c>
      <c r="CD42" s="483">
        <f>'Recycling - Case 1'!CD112</f>
        <v>0.37804558329936305</v>
      </c>
      <c r="CE42" s="604">
        <f>'Recycling - Case 1'!CE112</f>
        <v>0.85</v>
      </c>
      <c r="CF42" s="730">
        <f>'Recycling - Case 2'!CB111</f>
        <v>0.67206984488050125</v>
      </c>
      <c r="CG42" s="483">
        <f>'Recycling - Case 2'!CC111</f>
        <v>0.85</v>
      </c>
      <c r="CH42" s="483">
        <f>'Recycling - Case 2'!CD111</f>
        <v>0.67206984488050125</v>
      </c>
      <c r="CI42" s="604">
        <f>'Recycling - Case 2'!CE111</f>
        <v>0.85</v>
      </c>
      <c r="CJ42" s="730">
        <f>'Recycling - Case 3'!CB111</f>
        <v>0.67206984488050125</v>
      </c>
      <c r="CK42" s="483">
        <f>'Recycling - Case 3'!CC111</f>
        <v>0.85</v>
      </c>
      <c r="CL42" s="483">
        <f>'Recycling - Case 3'!CD111</f>
        <v>0.67206984488050125</v>
      </c>
      <c r="CM42" s="604">
        <f>'Recycling - Case 3'!CE111</f>
        <v>0.85</v>
      </c>
    </row>
    <row r="43" spans="1:91">
      <c r="A43" s="4">
        <f>'Input data'!A132</f>
        <v>2032</v>
      </c>
      <c r="B43" s="4"/>
      <c r="C43" s="891">
        <f>'4A SWD Case 1'!BG101</f>
        <v>557.70224395243361</v>
      </c>
      <c r="D43" s="3">
        <f>'4B Biological treatment '!T96</f>
        <v>0.87470211121323715</v>
      </c>
      <c r="E43" s="1358">
        <f>'4B Biological treatment '!U96</f>
        <v>39.361595004595671</v>
      </c>
      <c r="F43" s="1358">
        <f>'4B Biological treatment '!W96</f>
        <v>2.3616957002757397</v>
      </c>
      <c r="G43" s="1076">
        <f>'4C2 Open-burning '!R103</f>
        <v>24.923794482381798</v>
      </c>
      <c r="H43" s="1076">
        <f>'4C2 Open-burning '!Z103</f>
        <v>8.3860937920672232</v>
      </c>
      <c r="I43" s="1076">
        <f>'4C2 Open-burning '!AH103</f>
        <v>0.11674857973779565</v>
      </c>
      <c r="J43" s="1111">
        <f>'4D Wastewater treatment and dis'!AV140</f>
        <v>182.46300004329916</v>
      </c>
      <c r="K43" s="892">
        <f>'4D Wastewater treatment and dis'!AW140</f>
        <v>3.3826194407506049</v>
      </c>
      <c r="L43" s="893">
        <f t="shared" si="65"/>
        <v>11711.747123001105</v>
      </c>
      <c r="M43" s="894">
        <f t="shared" si="66"/>
        <v>18.368744335477981</v>
      </c>
      <c r="N43" s="893">
        <f t="shared" si="67"/>
        <v>1558.7191621819884</v>
      </c>
      <c r="O43" s="895">
        <f t="shared" si="68"/>
        <v>237.22382383451014</v>
      </c>
      <c r="P43" s="893">
        <f t="shared" si="69"/>
        <v>4880.3350275419698</v>
      </c>
      <c r="Q43" s="598">
        <f t="shared" si="70"/>
        <v>11711.747123001105</v>
      </c>
      <c r="R43" s="600">
        <f t="shared" si="71"/>
        <v>1577.0879065174663</v>
      </c>
      <c r="S43" s="597">
        <f t="shared" si="72"/>
        <v>237.22382383451014</v>
      </c>
      <c r="T43" s="598">
        <f t="shared" si="73"/>
        <v>4880.3350275419698</v>
      </c>
      <c r="U43" s="598">
        <f t="shared" si="74"/>
        <v>18406.393880895052</v>
      </c>
      <c r="V43" s="3"/>
      <c r="W43" s="677">
        <f t="shared" si="75"/>
        <v>2033</v>
      </c>
      <c r="X43" s="1263">
        <f t="shared" si="76"/>
        <v>11452.083296583538</v>
      </c>
      <c r="Y43" s="1264">
        <f t="shared" si="77"/>
        <v>1533.5794017251499</v>
      </c>
      <c r="Z43" s="1264">
        <f t="shared" si="78"/>
        <v>226.73427378273641</v>
      </c>
      <c r="AA43" s="1264">
        <f t="shared" si="79"/>
        <v>4959.7700664419835</v>
      </c>
      <c r="AB43" s="1331">
        <f t="shared" si="22"/>
        <v>18172.167038533407</v>
      </c>
      <c r="AC43" s="1365" t="str">
        <f>'Recycling - Case 1'!T153</f>
        <v>Policies met</v>
      </c>
      <c r="AD43" s="1263">
        <f t="shared" si="80"/>
        <v>10728.549104277374</v>
      </c>
      <c r="AE43" s="1264">
        <f t="shared" si="81"/>
        <v>929.92090386601853</v>
      </c>
      <c r="AF43" s="1264">
        <f t="shared" si="82"/>
        <v>226.73427378273641</v>
      </c>
      <c r="AG43" s="1264">
        <f t="shared" si="83"/>
        <v>4959.7700664419835</v>
      </c>
      <c r="AH43" s="1331">
        <f t="shared" si="56"/>
        <v>16844.974348368112</v>
      </c>
      <c r="AI43" s="1365" t="str">
        <f>'Recycling - Case 1'!T193</f>
        <v>Policies not met</v>
      </c>
      <c r="AJ43" s="1263">
        <f t="shared" si="84"/>
        <v>9833.5629806984707</v>
      </c>
      <c r="AK43" s="1264">
        <f t="shared" si="85"/>
        <v>641.70433471915157</v>
      </c>
      <c r="AL43" s="1264">
        <f t="shared" si="86"/>
        <v>126.14449527187307</v>
      </c>
      <c r="AM43" s="1264">
        <f t="shared" si="87"/>
        <v>5602.7801268386283</v>
      </c>
      <c r="AN43" s="1331">
        <f t="shared" si="88"/>
        <v>16204.191937528125</v>
      </c>
      <c r="AO43" s="1365" t="str">
        <f>'Recycling - Case 2'!T152</f>
        <v>Policies not met</v>
      </c>
      <c r="AP43" s="1263">
        <f t="shared" si="89"/>
        <v>9802.425826488412</v>
      </c>
      <c r="AQ43" s="1264">
        <f t="shared" si="90"/>
        <v>641.70433471915157</v>
      </c>
      <c r="AR43" s="1264">
        <f t="shared" si="91"/>
        <v>126.14449527187307</v>
      </c>
      <c r="AS43" s="1264">
        <f t="shared" si="92"/>
        <v>5602.7801268386283</v>
      </c>
      <c r="AT43" s="1331">
        <f t="shared" si="37"/>
        <v>16173.054783318066</v>
      </c>
      <c r="AU43" s="1365" t="str">
        <f>'Recycling - Case 2'!T192</f>
        <v>Policies not met</v>
      </c>
      <c r="AV43" s="1263">
        <f t="shared" si="59"/>
        <v>9834.3287986331252</v>
      </c>
      <c r="AW43" s="1264">
        <f t="shared" si="60"/>
        <v>385.13425429807086</v>
      </c>
      <c r="AX43" s="1264">
        <f t="shared" si="61"/>
        <v>126.14449527187307</v>
      </c>
      <c r="AY43" s="1264">
        <f t="shared" si="62"/>
        <v>5602.7801268386283</v>
      </c>
      <c r="AZ43" s="1331">
        <f t="shared" si="63"/>
        <v>15948.387675041698</v>
      </c>
      <c r="BA43" s="1365" t="str">
        <f>'Recycling - Case 2'!T152</f>
        <v>Policies not met</v>
      </c>
      <c r="BB43" s="1263">
        <f t="shared" si="93"/>
        <v>9803.1916444230683</v>
      </c>
      <c r="BC43" s="1264">
        <f t="shared" si="94"/>
        <v>389.72060261645635</v>
      </c>
      <c r="BD43" s="1264">
        <f t="shared" si="95"/>
        <v>126.14449527187307</v>
      </c>
      <c r="BE43" s="1264">
        <f t="shared" si="96"/>
        <v>5602.7801268386283</v>
      </c>
      <c r="BF43" s="1331">
        <f t="shared" si="47"/>
        <v>15921.836869150027</v>
      </c>
      <c r="BG43" s="1365" t="str">
        <f>'Recycling - Case 2'!T192</f>
        <v>Policies not met</v>
      </c>
      <c r="BH43" s="677">
        <f t="shared" si="48"/>
        <v>2033</v>
      </c>
      <c r="BI43" s="1264">
        <f>'Recycling - Case 1'!BV113</f>
        <v>73.977880776461646</v>
      </c>
      <c r="BJ43" s="483">
        <f>'Recycling - Case 1'!BW113</f>
        <v>0.55074695204294777</v>
      </c>
      <c r="BK43" s="1331">
        <f>'Recycling - Case 1'!BX113</f>
        <v>35.483377669273601</v>
      </c>
      <c r="BL43" s="1263">
        <f>'Recycling - Case 1'!BY113</f>
        <v>73.932464155047001</v>
      </c>
      <c r="BM43" s="483">
        <f>'Recycling - Case 1'!BZ113</f>
        <v>0.47361224791371626</v>
      </c>
      <c r="BN43" s="1331">
        <f>'Recycling - Case 1'!CA113</f>
        <v>50.172070130067617</v>
      </c>
      <c r="BO43" s="1264">
        <f>'Recycling - Case 2'!BV112</f>
        <v>51.737439622889518</v>
      </c>
      <c r="BP43" s="483">
        <f>'Recycling - Case 2'!BW112</f>
        <v>0.83020176927161193</v>
      </c>
      <c r="BQ43" s="1331">
        <f>'Recycling - Case 2'!BX112</f>
        <v>35.483377669273601</v>
      </c>
      <c r="BR43" s="1263">
        <f>'Recycling - Case 2'!BY112</f>
        <v>66.426132083683541</v>
      </c>
      <c r="BS43" s="483">
        <f>'Recycling - Case 2'!BZ112</f>
        <v>0.79133458123768419</v>
      </c>
      <c r="BT43" s="1331">
        <f>'Recycling - Case 2'!CA112</f>
        <v>50.172070130067617</v>
      </c>
      <c r="BU43" s="1264">
        <f>'Recycling - Case 3'!BV112</f>
        <v>51.737439622889518</v>
      </c>
      <c r="BV43" s="483">
        <f>'Recycling - Case 3'!BW112</f>
        <v>0.83020176927161193</v>
      </c>
      <c r="BW43" s="1331">
        <f>'Recycling - Case 3'!BX112</f>
        <v>35.483377669273601</v>
      </c>
      <c r="BX43" s="1263">
        <f>'Recycling - Case 3'!BY112</f>
        <v>66.426132083683541</v>
      </c>
      <c r="BY43" s="483">
        <f>'Recycling - Case 3'!BZ112</f>
        <v>0.79133458123768419</v>
      </c>
      <c r="BZ43" s="1331">
        <f>'Recycling - Case 3'!CA112</f>
        <v>50.172070130067617</v>
      </c>
      <c r="CA43" s="677">
        <v>2033</v>
      </c>
      <c r="CB43" s="730">
        <f>'Recycling - Case 1'!CB113</f>
        <v>0.41057272921636223</v>
      </c>
      <c r="CC43" s="483">
        <f>'Recycling - Case 1'!CC113</f>
        <v>0.52691923024145726</v>
      </c>
      <c r="CD43" s="483">
        <f>'Recycling - Case 1'!CD113</f>
        <v>0.41057272921636223</v>
      </c>
      <c r="CE43" s="604">
        <f>'Recycling - Case 1'!CE113</f>
        <v>0.85</v>
      </c>
      <c r="CF43" s="730">
        <f>'Recycling - Case 2'!CB112</f>
        <v>0.67206984488050125</v>
      </c>
      <c r="CG43" s="483">
        <f>'Recycling - Case 2'!CC112</f>
        <v>0.85</v>
      </c>
      <c r="CH43" s="483">
        <f>'Recycling - Case 2'!CD112</f>
        <v>0.67206984488050125</v>
      </c>
      <c r="CI43" s="604">
        <f>'Recycling - Case 2'!CE112</f>
        <v>0.85</v>
      </c>
      <c r="CJ43" s="730">
        <f>'Recycling - Case 3'!CB112</f>
        <v>0.67206984488050125</v>
      </c>
      <c r="CK43" s="483">
        <f>'Recycling - Case 3'!CC112</f>
        <v>0.85</v>
      </c>
      <c r="CL43" s="483">
        <f>'Recycling - Case 3'!CD112</f>
        <v>0.67206984488050125</v>
      </c>
      <c r="CM43" s="604">
        <f>'Recycling - Case 3'!CE112</f>
        <v>0.85</v>
      </c>
    </row>
    <row r="44" spans="1:91">
      <c r="A44" s="4">
        <f>'Input data'!A133</f>
        <v>2033</v>
      </c>
      <c r="B44" s="4"/>
      <c r="C44" s="891">
        <f>'4A SWD Case 1'!BG102</f>
        <v>545.33729983731132</v>
      </c>
      <c r="D44" s="3">
        <f>'4B Biological treatment '!T97</f>
        <v>0.85057093828349983</v>
      </c>
      <c r="E44" s="1358">
        <f>'4B Biological treatment '!U97</f>
        <v>38.275692222757485</v>
      </c>
      <c r="F44" s="1358">
        <f>'4B Biological treatment '!W97</f>
        <v>2.2965415333654491</v>
      </c>
      <c r="G44" s="1076">
        <f>'4C2 Open-burning '!R104</f>
        <v>23.821715502804061</v>
      </c>
      <c r="H44" s="1076">
        <f>'4C2 Open-burning '!Z104</f>
        <v>8.0152779559978899</v>
      </c>
      <c r="I44" s="1076">
        <f>'4C2 Open-burning '!AH104</f>
        <v>0.11158619743218276</v>
      </c>
      <c r="J44" s="1111">
        <f>'4D Wastewater treatment and dis'!AV141</f>
        <v>185.81987237428893</v>
      </c>
      <c r="K44" s="892">
        <f>'4D Wastewater treatment and dis'!AW141</f>
        <v>3.4114604728448907</v>
      </c>
      <c r="L44" s="893">
        <f t="shared" si="65"/>
        <v>11452.083296583538</v>
      </c>
      <c r="M44" s="894">
        <f t="shared" si="66"/>
        <v>17.861989703953498</v>
      </c>
      <c r="N44" s="893">
        <f t="shared" si="67"/>
        <v>1515.7174120211964</v>
      </c>
      <c r="O44" s="895">
        <f t="shared" si="68"/>
        <v>226.73427378273641</v>
      </c>
      <c r="P44" s="893">
        <f t="shared" si="69"/>
        <v>4959.7700664419835</v>
      </c>
      <c r="Q44" s="598">
        <f t="shared" si="70"/>
        <v>11452.083296583538</v>
      </c>
      <c r="R44" s="600">
        <f t="shared" si="71"/>
        <v>1533.5794017251499</v>
      </c>
      <c r="S44" s="597">
        <f t="shared" si="72"/>
        <v>226.73427378273641</v>
      </c>
      <c r="T44" s="598">
        <f t="shared" si="73"/>
        <v>4959.7700664419835</v>
      </c>
      <c r="U44" s="598">
        <f t="shared" si="74"/>
        <v>18172.167038533407</v>
      </c>
      <c r="V44" s="3"/>
      <c r="W44" s="677">
        <f t="shared" si="75"/>
        <v>2034</v>
      </c>
      <c r="X44" s="1263">
        <f t="shared" si="76"/>
        <v>11196.839683658467</v>
      </c>
      <c r="Y44" s="1264">
        <f t="shared" si="77"/>
        <v>1492.661290707493</v>
      </c>
      <c r="Z44" s="1264">
        <f t="shared" si="78"/>
        <v>216.05216104427603</v>
      </c>
      <c r="AA44" s="1264">
        <f t="shared" si="79"/>
        <v>5040.2878343178654</v>
      </c>
      <c r="AB44" s="1331">
        <f t="shared" si="22"/>
        <v>17945.840969728102</v>
      </c>
      <c r="AC44" s="1365" t="str">
        <f>'Recycling - Case 1'!T154</f>
        <v>Policies met</v>
      </c>
      <c r="AD44" s="1263">
        <f t="shared" si="80"/>
        <v>10428.008147594695</v>
      </c>
      <c r="AE44" s="1264">
        <f t="shared" si="81"/>
        <v>907.38876805580639</v>
      </c>
      <c r="AF44" s="1264">
        <f t="shared" si="82"/>
        <v>216.05216104427603</v>
      </c>
      <c r="AG44" s="1264">
        <f t="shared" si="83"/>
        <v>5040.2878343178654</v>
      </c>
      <c r="AH44" s="1331">
        <f t="shared" si="56"/>
        <v>16591.736911012642</v>
      </c>
      <c r="AI44" s="1365" t="str">
        <f>'Recycling - Case 1'!T194</f>
        <v>Policies not met</v>
      </c>
      <c r="AJ44" s="1263">
        <f t="shared" si="84"/>
        <v>9500.1614982654864</v>
      </c>
      <c r="AK44" s="1264">
        <f t="shared" si="85"/>
        <v>652.86700762305452</v>
      </c>
      <c r="AL44" s="1264">
        <f t="shared" si="86"/>
        <v>127.22212749030876</v>
      </c>
      <c r="AM44" s="1264">
        <f t="shared" si="87"/>
        <v>5650.6437800601161</v>
      </c>
      <c r="AN44" s="1331">
        <f t="shared" si="88"/>
        <v>15930.894413438966</v>
      </c>
      <c r="AO44" s="1365" t="str">
        <f>'Recycling - Case 2'!T153</f>
        <v>Policies not met</v>
      </c>
      <c r="AP44" s="1263">
        <f t="shared" si="89"/>
        <v>9470.5429209856629</v>
      </c>
      <c r="AQ44" s="1264">
        <f t="shared" si="90"/>
        <v>652.86700762305452</v>
      </c>
      <c r="AR44" s="1264">
        <f t="shared" si="91"/>
        <v>127.22212749030876</v>
      </c>
      <c r="AS44" s="1264">
        <f t="shared" si="92"/>
        <v>5650.6437800601161</v>
      </c>
      <c r="AT44" s="1331">
        <f t="shared" si="37"/>
        <v>15901.275836159142</v>
      </c>
      <c r="AU44" s="1365" t="str">
        <f>'Recycling - Case 2'!T193</f>
        <v>Policies not met</v>
      </c>
      <c r="AV44" s="1263">
        <f t="shared" si="59"/>
        <v>9500.9987925872701</v>
      </c>
      <c r="AW44" s="1264">
        <f t="shared" si="60"/>
        <v>391.59583049928182</v>
      </c>
      <c r="AX44" s="1264">
        <f t="shared" si="61"/>
        <v>127.22212749030876</v>
      </c>
      <c r="AY44" s="1264">
        <f t="shared" si="62"/>
        <v>5650.6437800601161</v>
      </c>
      <c r="AZ44" s="1331">
        <f t="shared" si="63"/>
        <v>15670.460530636978</v>
      </c>
      <c r="BA44" s="1365" t="str">
        <f>'Recycling - Case 2'!T153</f>
        <v>Policies not met</v>
      </c>
      <c r="BB44" s="1263">
        <f t="shared" si="93"/>
        <v>9471.3802153074466</v>
      </c>
      <c r="BC44" s="1264">
        <f t="shared" si="94"/>
        <v>396.49992975443411</v>
      </c>
      <c r="BD44" s="1264">
        <f t="shared" si="95"/>
        <v>127.22212749030876</v>
      </c>
      <c r="BE44" s="1264">
        <f t="shared" si="96"/>
        <v>5650.6437800601161</v>
      </c>
      <c r="BF44" s="1331">
        <f t="shared" si="47"/>
        <v>15645.746052612307</v>
      </c>
      <c r="BG44" s="1365" t="str">
        <f>'Recycling - Case 2'!T193</f>
        <v>Policies not met</v>
      </c>
      <c r="BH44" s="677">
        <f t="shared" si="48"/>
        <v>2034</v>
      </c>
      <c r="BI44" s="1264">
        <f>'Recycling - Case 1'!BV114</f>
        <v>72.747549474662065</v>
      </c>
      <c r="BJ44" s="483">
        <f>'Recycling - Case 1'!BW114</f>
        <v>0.54350960087657207</v>
      </c>
      <c r="BK44" s="1331">
        <f>'Recycling - Case 1'!BX114</f>
        <v>35.301851154217808</v>
      </c>
      <c r="BL44" s="1263">
        <f>'Recycling - Case 1'!BY114</f>
        <v>73.332424630864779</v>
      </c>
      <c r="BM44" s="483">
        <f>'Recycling - Case 1'!BZ114</f>
        <v>0.46590084358604955</v>
      </c>
      <c r="BN44" s="1331">
        <f>'Recycling - Case 1'!CA114</f>
        <v>50.172070130067617</v>
      </c>
      <c r="BO44" s="1264">
        <f>'Recycling - Case 2'!BV113</f>
        <v>51.83342349009127</v>
      </c>
      <c r="BP44" s="483">
        <f>'Recycling - Case 2'!BW113</f>
        <v>0.8311308231127823</v>
      </c>
      <c r="BQ44" s="1331">
        <f>'Recycling - Case 2'!BX113</f>
        <v>35.301851154217808</v>
      </c>
      <c r="BR44" s="1263">
        <f>'Recycling - Case 2'!BY113</f>
        <v>66.703642465941087</v>
      </c>
      <c r="BS44" s="483">
        <f>'Recycling - Case 2'!BZ113</f>
        <v>0.79171600743637727</v>
      </c>
      <c r="BT44" s="1331">
        <f>'Recycling - Case 2'!CA113</f>
        <v>50.172070130067617</v>
      </c>
      <c r="BU44" s="1264">
        <f>'Recycling - Case 3'!BV113</f>
        <v>51.83342349009127</v>
      </c>
      <c r="BV44" s="483">
        <f>'Recycling - Case 3'!BW113</f>
        <v>0.8311308231127823</v>
      </c>
      <c r="BW44" s="1331">
        <f>'Recycling - Case 3'!BX113</f>
        <v>35.301851154217808</v>
      </c>
      <c r="BX44" s="1263">
        <f>'Recycling - Case 3'!BY113</f>
        <v>66.703642465941087</v>
      </c>
      <c r="BY44" s="483">
        <f>'Recycling - Case 3'!BZ113</f>
        <v>0.79171600743637727</v>
      </c>
      <c r="BZ44" s="1331">
        <f>'Recycling - Case 3'!CA113</f>
        <v>50.172070130067617</v>
      </c>
      <c r="CA44" s="677">
        <v>2034</v>
      </c>
      <c r="CB44" s="730">
        <f>'Recycling - Case 1'!CB114</f>
        <v>0.44309987513336141</v>
      </c>
      <c r="CC44" s="483">
        <f>'Recycling - Case 1'!CC114</f>
        <v>0.54553174589675757</v>
      </c>
      <c r="CD44" s="483">
        <f>'Recycling - Case 1'!CD114</f>
        <v>0.44309987513336141</v>
      </c>
      <c r="CE44" s="604">
        <f>'Recycling - Case 1'!CE114</f>
        <v>0.85</v>
      </c>
      <c r="CF44" s="730">
        <f>'Recycling - Case 2'!CB113</f>
        <v>0.67206984488050125</v>
      </c>
      <c r="CG44" s="483">
        <f>'Recycling - Case 2'!CC113</f>
        <v>0.85</v>
      </c>
      <c r="CH44" s="483">
        <f>'Recycling - Case 2'!CD113</f>
        <v>0.67206984488050125</v>
      </c>
      <c r="CI44" s="604">
        <f>'Recycling - Case 2'!CE113</f>
        <v>0.85</v>
      </c>
      <c r="CJ44" s="730">
        <f>'Recycling - Case 3'!CB113</f>
        <v>0.67206984488050125</v>
      </c>
      <c r="CK44" s="483">
        <f>'Recycling - Case 3'!CC113</f>
        <v>0.85</v>
      </c>
      <c r="CL44" s="483">
        <f>'Recycling - Case 3'!CD113</f>
        <v>0.67206984488050125</v>
      </c>
      <c r="CM44" s="604">
        <f>'Recycling - Case 3'!CE113</f>
        <v>0.85</v>
      </c>
    </row>
    <row r="45" spans="1:91">
      <c r="A45" s="4">
        <f>'Input data'!A134</f>
        <v>2034</v>
      </c>
      <c r="B45" s="4"/>
      <c r="C45" s="891">
        <f>'4A SWD Case 1'!BG103</f>
        <v>533.18284207897466</v>
      </c>
      <c r="D45" s="3">
        <f>'4B Biological treatment '!T98</f>
        <v>0.82787647848446655</v>
      </c>
      <c r="E45" s="1358">
        <f>'4B Biological treatment '!U98</f>
        <v>37.254441531800985</v>
      </c>
      <c r="F45" s="1358">
        <f>'4B Biological treatment '!W98</f>
        <v>2.2352664919080594</v>
      </c>
      <c r="G45" s="1076">
        <f>'4C2 Open-burning '!R105</f>
        <v>22.699405027289806</v>
      </c>
      <c r="H45" s="1076">
        <f>'4C2 Open-burning '!Z105</f>
        <v>7.6376548409407059</v>
      </c>
      <c r="I45" s="1076">
        <f>'4C2 Open-burning '!AH105</f>
        <v>0.10632904631364978</v>
      </c>
      <c r="J45" s="1111">
        <f>'4D Wastewater treatment and dis'!AV142</f>
        <v>189.22383733385854</v>
      </c>
      <c r="K45" s="892">
        <f>'4D Wastewater treatment and dis'!AW142</f>
        <v>3.4406040332478574</v>
      </c>
      <c r="L45" s="893">
        <f t="shared" si="65"/>
        <v>11196.839683658467</v>
      </c>
      <c r="M45" s="894">
        <f t="shared" si="66"/>
        <v>17.385406048173799</v>
      </c>
      <c r="N45" s="893">
        <f t="shared" si="67"/>
        <v>1475.2758846593192</v>
      </c>
      <c r="O45" s="895">
        <f t="shared" si="68"/>
        <v>216.05216104427603</v>
      </c>
      <c r="P45" s="893">
        <f t="shared" si="69"/>
        <v>5040.2878343178654</v>
      </c>
      <c r="Q45" s="598">
        <f t="shared" si="70"/>
        <v>11196.839683658467</v>
      </c>
      <c r="R45" s="600">
        <f t="shared" si="71"/>
        <v>1492.661290707493</v>
      </c>
      <c r="S45" s="597">
        <f t="shared" si="72"/>
        <v>216.05216104427603</v>
      </c>
      <c r="T45" s="598">
        <f t="shared" si="73"/>
        <v>5040.2878343178654</v>
      </c>
      <c r="U45" s="598">
        <f t="shared" si="74"/>
        <v>17945.840969728102</v>
      </c>
      <c r="V45" s="3"/>
      <c r="W45" s="677">
        <f t="shared" si="75"/>
        <v>2035</v>
      </c>
      <c r="X45" s="1263">
        <f t="shared" si="76"/>
        <v>10945.952854819283</v>
      </c>
      <c r="Y45" s="1264">
        <f t="shared" si="77"/>
        <v>1454.237519521397</v>
      </c>
      <c r="Z45" s="1264">
        <f t="shared" si="78"/>
        <v>205.16819433435322</v>
      </c>
      <c r="AA45" s="1264">
        <f t="shared" si="79"/>
        <v>5121.7495469363903</v>
      </c>
      <c r="AB45" s="1331">
        <f t="shared" si="22"/>
        <v>17727.108115611423</v>
      </c>
      <c r="AC45" s="1365" t="str">
        <f>'Recycling - Case 1'!T155</f>
        <v>Policies met</v>
      </c>
      <c r="AD45" s="1263">
        <f t="shared" si="80"/>
        <v>10136.48756183062</v>
      </c>
      <c r="AE45" s="1264">
        <f t="shared" si="81"/>
        <v>884.83399088395879</v>
      </c>
      <c r="AF45" s="1264">
        <f t="shared" si="82"/>
        <v>205.16819433435322</v>
      </c>
      <c r="AG45" s="1264">
        <f t="shared" si="83"/>
        <v>5121.7495469363903</v>
      </c>
      <c r="AH45" s="1331">
        <f t="shared" si="56"/>
        <v>16348.239293985323</v>
      </c>
      <c r="AI45" s="1365" t="str">
        <f>'Recycling - Case 1'!T195</f>
        <v>Policies not met</v>
      </c>
      <c r="AJ45" s="1263">
        <f t="shared" si="84"/>
        <v>9184.9978086576139</v>
      </c>
      <c r="AK45" s="1264">
        <f t="shared" si="85"/>
        <v>664.60677287475778</v>
      </c>
      <c r="AL45" s="1264">
        <f t="shared" si="86"/>
        <v>128.30721737115584</v>
      </c>
      <c r="AM45" s="1264">
        <f t="shared" si="87"/>
        <v>5698.8386696360794</v>
      </c>
      <c r="AN45" s="1331">
        <f t="shared" si="88"/>
        <v>15676.750468539607</v>
      </c>
      <c r="AO45" s="1365" t="str">
        <f>'Recycling - Case 2'!T154</f>
        <v>Policies not met</v>
      </c>
      <c r="AP45" s="1263">
        <f t="shared" si="89"/>
        <v>9156.823746437196</v>
      </c>
      <c r="AQ45" s="1264">
        <f t="shared" si="90"/>
        <v>664.60677287475778</v>
      </c>
      <c r="AR45" s="1264">
        <f t="shared" si="91"/>
        <v>128.30721737115584</v>
      </c>
      <c r="AS45" s="1264">
        <f t="shared" si="92"/>
        <v>5698.8386696360794</v>
      </c>
      <c r="AT45" s="1331">
        <f t="shared" si="37"/>
        <v>15648.576406319189</v>
      </c>
      <c r="AU45" s="1365" t="str">
        <f>'Recycling - Case 2'!T194</f>
        <v>Policies not met</v>
      </c>
      <c r="AV45" s="1263">
        <f t="shared" si="59"/>
        <v>9185.9034085086714</v>
      </c>
      <c r="AW45" s="1264">
        <f t="shared" si="60"/>
        <v>398.38813499285015</v>
      </c>
      <c r="AX45" s="1264">
        <f t="shared" si="61"/>
        <v>128.30721737115584</v>
      </c>
      <c r="AY45" s="1264">
        <f t="shared" si="62"/>
        <v>5698.8386696360794</v>
      </c>
      <c r="AZ45" s="1331">
        <f t="shared" si="63"/>
        <v>15411.437430508757</v>
      </c>
      <c r="BA45" s="1365" t="str">
        <f>'Recycling - Case 2'!T154</f>
        <v>Policies not met</v>
      </c>
      <c r="BB45" s="1263">
        <f t="shared" si="93"/>
        <v>9157.7293462882553</v>
      </c>
      <c r="BC45" s="1264">
        <f t="shared" si="94"/>
        <v>403.62973727002759</v>
      </c>
      <c r="BD45" s="1264">
        <f t="shared" si="95"/>
        <v>128.30721737115584</v>
      </c>
      <c r="BE45" s="1264">
        <f t="shared" si="96"/>
        <v>5698.8386696360794</v>
      </c>
      <c r="BF45" s="1331">
        <f t="shared" si="47"/>
        <v>15388.504970565518</v>
      </c>
      <c r="BG45" s="1365" t="str">
        <f>'Recycling - Case 2'!T194</f>
        <v>Policies not met</v>
      </c>
      <c r="BH45" s="677">
        <f t="shared" si="48"/>
        <v>2035</v>
      </c>
      <c r="BI45" s="1264">
        <f>'Recycling - Case 1'!BV115</f>
        <v>71.5771538373222</v>
      </c>
      <c r="BJ45" s="483">
        <f>'Recycling - Case 1'!BW115</f>
        <v>0.53599021663047142</v>
      </c>
      <c r="BK45" s="1331">
        <f>'Recycling - Case 1'!BX115</f>
        <v>35.120324639162028</v>
      </c>
      <c r="BL45" s="1263">
        <f>'Recycling - Case 1'!BY115</f>
        <v>72.730886242199247</v>
      </c>
      <c r="BM45" s="483">
        <f>'Recycling - Case 1'!BZ115</f>
        <v>0.4580135019327411</v>
      </c>
      <c r="BN45" s="1331">
        <f>'Recycling - Case 1'!CA115</f>
        <v>50.172070130067617</v>
      </c>
      <c r="BO45" s="1264">
        <f>'Recycling - Case 2'!BV114</f>
        <v>51.943527998623466</v>
      </c>
      <c r="BP45" s="483">
        <f>'Recycling - Case 2'!BW114</f>
        <v>0.83199291786398999</v>
      </c>
      <c r="BQ45" s="1331">
        <f>'Recycling - Case 2'!BX114</f>
        <v>35.120324639162028</v>
      </c>
      <c r="BR45" s="1263">
        <f>'Recycling - Case 2'!BY114</f>
        <v>66.995273489529069</v>
      </c>
      <c r="BS45" s="483">
        <f>'Recycling - Case 2'!BZ114</f>
        <v>0.7920548483855383</v>
      </c>
      <c r="BT45" s="1331">
        <f>'Recycling - Case 2'!CA114</f>
        <v>50.172070130067617</v>
      </c>
      <c r="BU45" s="1264">
        <f>'Recycling - Case 3'!BV114</f>
        <v>51.943527998623466</v>
      </c>
      <c r="BV45" s="483">
        <f>'Recycling - Case 3'!BW114</f>
        <v>0.83199291786398999</v>
      </c>
      <c r="BW45" s="1331">
        <f>'Recycling - Case 3'!BX114</f>
        <v>35.120324639162028</v>
      </c>
      <c r="BX45" s="1263">
        <f>'Recycling - Case 3'!BY114</f>
        <v>66.995273489529069</v>
      </c>
      <c r="BY45" s="483">
        <f>'Recycling - Case 3'!BZ114</f>
        <v>0.7920548483855383</v>
      </c>
      <c r="BZ45" s="1331">
        <f>'Recycling - Case 3'!CA114</f>
        <v>50.172070130067617</v>
      </c>
      <c r="CA45" s="677">
        <v>2035</v>
      </c>
      <c r="CB45" s="730">
        <f>'Recycling - Case 1'!CB115</f>
        <v>0.47562702105036059</v>
      </c>
      <c r="CC45" s="483">
        <f>'Recycling - Case 1'!CC115</f>
        <v>0.56239567712902327</v>
      </c>
      <c r="CD45" s="483">
        <f>'Recycling - Case 1'!CD115</f>
        <v>0.47562702105036059</v>
      </c>
      <c r="CE45" s="604">
        <f>'Recycling - Case 1'!CE115</f>
        <v>0.85</v>
      </c>
      <c r="CF45" s="730">
        <f>'Recycling - Case 2'!CB114</f>
        <v>0.67206984488050125</v>
      </c>
      <c r="CG45" s="483">
        <f>'Recycling - Case 2'!CC114</f>
        <v>0.85</v>
      </c>
      <c r="CH45" s="483">
        <f>'Recycling - Case 2'!CD114</f>
        <v>0.67206984488050125</v>
      </c>
      <c r="CI45" s="604">
        <f>'Recycling - Case 2'!CE114</f>
        <v>0.85</v>
      </c>
      <c r="CJ45" s="730">
        <f>'Recycling - Case 3'!CB114</f>
        <v>0.67206984488050125</v>
      </c>
      <c r="CK45" s="483">
        <f>'Recycling - Case 3'!CC114</f>
        <v>0.85</v>
      </c>
      <c r="CL45" s="483">
        <f>'Recycling - Case 3'!CD114</f>
        <v>0.67206984488050125</v>
      </c>
      <c r="CM45" s="604">
        <f>'Recycling - Case 3'!CE114</f>
        <v>0.85</v>
      </c>
    </row>
    <row r="46" spans="1:91">
      <c r="A46" s="4">
        <f>'Input data'!A135</f>
        <v>2035</v>
      </c>
      <c r="B46" s="4"/>
      <c r="C46" s="891">
        <f>'4A SWD Case 1'!BG104</f>
        <v>521.23585022948964</v>
      </c>
      <c r="D46" s="3">
        <f>'4B Biological treatment '!T99</f>
        <v>0.80656545730526741</v>
      </c>
      <c r="E46" s="1358">
        <f>'4B Biological treatment '!U99</f>
        <v>36.295445578737031</v>
      </c>
      <c r="F46" s="1358">
        <f>'4B Biological treatment '!W99</f>
        <v>2.1777267347242217</v>
      </c>
      <c r="G46" s="1076">
        <f>'4C2 Open-burning '!R106</f>
        <v>21.555886871961349</v>
      </c>
      <c r="H46" s="1076">
        <f>'4C2 Open-burning '!Z106</f>
        <v>7.2528959909070601</v>
      </c>
      <c r="I46" s="1076">
        <f>'4C2 Open-burning '!AH106</f>
        <v>0.10097255372046327</v>
      </c>
      <c r="J46" s="1111">
        <f>'4D Wastewater treatment and dis'!AV143</f>
        <v>192.66977478035747</v>
      </c>
      <c r="K46" s="892">
        <f>'4D Wastewater treatment and dis'!AW143</f>
        <v>3.4699492791899456</v>
      </c>
      <c r="L46" s="893">
        <f t="shared" si="65"/>
        <v>10945.952854819283</v>
      </c>
      <c r="M46" s="894">
        <f t="shared" si="66"/>
        <v>16.937874603410616</v>
      </c>
      <c r="N46" s="893">
        <f t="shared" si="67"/>
        <v>1437.2996449179864</v>
      </c>
      <c r="O46" s="895">
        <f t="shared" si="68"/>
        <v>205.16819433435322</v>
      </c>
      <c r="P46" s="893">
        <f t="shared" si="69"/>
        <v>5121.7495469363903</v>
      </c>
      <c r="Q46" s="598">
        <f t="shared" si="70"/>
        <v>10945.952854819283</v>
      </c>
      <c r="R46" s="600">
        <f t="shared" si="71"/>
        <v>1454.237519521397</v>
      </c>
      <c r="S46" s="597">
        <f t="shared" si="72"/>
        <v>205.16819433435322</v>
      </c>
      <c r="T46" s="598">
        <f t="shared" si="73"/>
        <v>5121.7495469363903</v>
      </c>
      <c r="U46" s="598">
        <f t="shared" si="74"/>
        <v>17727.108115611423</v>
      </c>
      <c r="V46" s="3"/>
      <c r="W46" s="677">
        <f t="shared" si="75"/>
        <v>2036</v>
      </c>
      <c r="X46" s="1263">
        <f t="shared" si="76"/>
        <v>10699.342223075961</v>
      </c>
      <c r="Y46" s="1264">
        <f t="shared" si="77"/>
        <v>1552.6591516832211</v>
      </c>
      <c r="Z46" s="1264">
        <f t="shared" si="78"/>
        <v>193.85085440428284</v>
      </c>
      <c r="AA46" s="1264">
        <f t="shared" si="79"/>
        <v>5198.0133460110155</v>
      </c>
      <c r="AB46" s="1331">
        <f t="shared" si="22"/>
        <v>17643.865575174481</v>
      </c>
      <c r="AC46" s="1365" t="str">
        <f>'Recycling - Case 1'!T156</f>
        <v>Policies met</v>
      </c>
      <c r="AD46" s="1263">
        <f t="shared" si="80"/>
        <v>9853.3433133981143</v>
      </c>
      <c r="AE46" s="1264">
        <f t="shared" si="81"/>
        <v>861.29272091701773</v>
      </c>
      <c r="AF46" s="1264">
        <f t="shared" si="82"/>
        <v>193.85085440428284</v>
      </c>
      <c r="AG46" s="1264">
        <f t="shared" si="83"/>
        <v>5198.0133460110155</v>
      </c>
      <c r="AH46" s="1331">
        <f t="shared" si="56"/>
        <v>16106.500234730431</v>
      </c>
      <c r="AI46" s="1365" t="str">
        <f>'Recycling - Case 1'!T196</f>
        <v>Policies not met</v>
      </c>
      <c r="AJ46" s="1263">
        <f t="shared" si="84"/>
        <v>8887.2645059955066</v>
      </c>
      <c r="AK46" s="1264">
        <f t="shared" si="85"/>
        <v>676.1850955238998</v>
      </c>
      <c r="AL46" s="1264">
        <f t="shared" si="86"/>
        <v>129.2468828349821</v>
      </c>
      <c r="AM46" s="1264">
        <f t="shared" si="87"/>
        <v>5740.5744502998004</v>
      </c>
      <c r="AN46" s="1331">
        <f t="shared" si="88"/>
        <v>15433.270934654191</v>
      </c>
      <c r="AO46" s="1365" t="str">
        <f>'Recycling - Case 2'!T155</f>
        <v>Policies not met</v>
      </c>
      <c r="AP46" s="1263">
        <f t="shared" si="89"/>
        <v>8860.4645090037302</v>
      </c>
      <c r="AQ46" s="1264">
        <f t="shared" si="90"/>
        <v>676.1850955238998</v>
      </c>
      <c r="AR46" s="1264">
        <f t="shared" si="91"/>
        <v>129.2468828349821</v>
      </c>
      <c r="AS46" s="1264">
        <f t="shared" si="92"/>
        <v>5740.5744502998004</v>
      </c>
      <c r="AT46" s="1331">
        <f t="shared" si="37"/>
        <v>15406.470937662414</v>
      </c>
      <c r="AU46" s="1365" t="str">
        <f>'Recycling - Case 2'!T195</f>
        <v>Policies not met</v>
      </c>
      <c r="AV46" s="1263">
        <f t="shared" si="59"/>
        <v>8888.235432036674</v>
      </c>
      <c r="AW46" s="1264">
        <f t="shared" si="60"/>
        <v>405.26488407442912</v>
      </c>
      <c r="AX46" s="1264">
        <f t="shared" si="61"/>
        <v>129.2468828349821</v>
      </c>
      <c r="AY46" s="1264">
        <f t="shared" si="62"/>
        <v>5740.5744502998004</v>
      </c>
      <c r="AZ46" s="1331">
        <f t="shared" si="63"/>
        <v>15163.321649245887</v>
      </c>
      <c r="BA46" s="1365" t="str">
        <f>'Recycling - Case 2'!T155</f>
        <v>Policies not met</v>
      </c>
      <c r="BB46" s="1263">
        <f t="shared" si="93"/>
        <v>8861.4354350448975</v>
      </c>
      <c r="BC46" s="1264">
        <f t="shared" si="94"/>
        <v>410.66149728156972</v>
      </c>
      <c r="BD46" s="1264">
        <f t="shared" si="95"/>
        <v>129.2468828349821</v>
      </c>
      <c r="BE46" s="1264">
        <f t="shared" si="96"/>
        <v>5740.5744502998004</v>
      </c>
      <c r="BF46" s="1331">
        <f t="shared" si="47"/>
        <v>15141.91826546125</v>
      </c>
      <c r="BG46" s="1365" t="str">
        <f>'Recycling - Case 2'!T195</f>
        <v>Policies not met</v>
      </c>
      <c r="BH46" s="677">
        <f t="shared" si="48"/>
        <v>2036</v>
      </c>
      <c r="BI46" s="1264">
        <f>'Recycling - Case 1'!BV116</f>
        <v>71.091449780835489</v>
      </c>
      <c r="BJ46" s="483">
        <f>'Recycling - Case 1'!BW116</f>
        <v>0.54348731944651452</v>
      </c>
      <c r="BK46" s="1331">
        <f>'Recycling - Case 1'!BX116</f>
        <v>32.28539580363168</v>
      </c>
      <c r="BL46" s="1263">
        <f>'Recycling - Case 1'!BY116</f>
        <v>72.103237987365191</v>
      </c>
      <c r="BM46" s="483">
        <f>'Recycling - Case 1'!BZ116</f>
        <v>0.44976060715982213</v>
      </c>
      <c r="BN46" s="1331">
        <f>'Recycling - Case 1'!CA116</f>
        <v>50.172070130067617</v>
      </c>
      <c r="BO46" s="1264">
        <f>'Recycling - Case 2'!BV115</f>
        <v>49.395607984247604</v>
      </c>
      <c r="BP46" s="483">
        <f>'Recycling - Case 2'!BW115</f>
        <v>0.84249045104108611</v>
      </c>
      <c r="BQ46" s="1331">
        <f>'Recycling - Case 2'!BX115</f>
        <v>32.28539580363168</v>
      </c>
      <c r="BR46" s="1263">
        <f>'Recycling - Case 2'!BY115</f>
        <v>67.282282310683541</v>
      </c>
      <c r="BS46" s="483">
        <f>'Recycling - Case 2'!BZ115</f>
        <v>0.79222717216980165</v>
      </c>
      <c r="BT46" s="1331">
        <f>'Recycling - Case 2'!CA115</f>
        <v>50.172070130067617</v>
      </c>
      <c r="BU46" s="1264">
        <f>'Recycling - Case 3'!BV115</f>
        <v>49.395607984247604</v>
      </c>
      <c r="BV46" s="483">
        <f>'Recycling - Case 3'!BW115</f>
        <v>0.84249045104108611</v>
      </c>
      <c r="BW46" s="1331">
        <f>'Recycling - Case 3'!BX115</f>
        <v>32.28539580363168</v>
      </c>
      <c r="BX46" s="1263">
        <f>'Recycling - Case 3'!BY115</f>
        <v>67.282282310683541</v>
      </c>
      <c r="BY46" s="483">
        <f>'Recycling - Case 3'!BZ115</f>
        <v>0.79222717216980165</v>
      </c>
      <c r="BZ46" s="1331">
        <f>'Recycling - Case 3'!CA115</f>
        <v>50.172070130067617</v>
      </c>
      <c r="CA46" s="677">
        <v>2036</v>
      </c>
      <c r="CB46" s="730">
        <f>'Recycling - Case 1'!CB116</f>
        <v>0.50815416696735982</v>
      </c>
      <c r="CC46" s="483">
        <f>'Recycling - Case 1'!CC116</f>
        <v>0.51093784582381507</v>
      </c>
      <c r="CD46" s="483">
        <f>'Recycling - Case 1'!CD116</f>
        <v>0.50815416696735982</v>
      </c>
      <c r="CE46" s="604">
        <f>'Recycling - Case 1'!CE116</f>
        <v>0.85</v>
      </c>
      <c r="CF46" s="730">
        <f>'Recycling - Case 2'!CB115</f>
        <v>0.67206984488050125</v>
      </c>
      <c r="CG46" s="483">
        <f>'Recycling - Case 2'!CC115</f>
        <v>0.85</v>
      </c>
      <c r="CH46" s="483">
        <f>'Recycling - Case 2'!CD115</f>
        <v>0.67206984488050125</v>
      </c>
      <c r="CI46" s="604">
        <f>'Recycling - Case 2'!CE115</f>
        <v>0.85</v>
      </c>
      <c r="CJ46" s="730">
        <f>'Recycling - Case 3'!CB115</f>
        <v>0.67206984488050125</v>
      </c>
      <c r="CK46" s="483">
        <f>'Recycling - Case 3'!CC115</f>
        <v>0.85</v>
      </c>
      <c r="CL46" s="483">
        <f>'Recycling - Case 3'!CD115</f>
        <v>0.67206984488050125</v>
      </c>
      <c r="CM46" s="604">
        <f>'Recycling - Case 3'!CE115</f>
        <v>0.85</v>
      </c>
    </row>
    <row r="47" spans="1:91">
      <c r="A47" s="4">
        <f>'Input data'!A136</f>
        <v>2036</v>
      </c>
      <c r="B47" s="4"/>
      <c r="C47" s="891">
        <f>'4A SWD Case 1'!BG105</f>
        <v>509.492486813141</v>
      </c>
      <c r="D47" s="3">
        <f>'4B Biological treatment '!T100</f>
        <v>0.86115316233123762</v>
      </c>
      <c r="E47" s="1358">
        <f>'4B Biological treatment '!U100</f>
        <v>38.751892304905688</v>
      </c>
      <c r="F47" s="1358">
        <f>'4B Biological treatment '!W100</f>
        <v>2.3251135382943411</v>
      </c>
      <c r="G47" s="1076">
        <f>'4C2 Open-burning '!R107</f>
        <v>20.366836590480755</v>
      </c>
      <c r="H47" s="1076">
        <f>'4C2 Open-burning '!Z107</f>
        <v>6.8528169744062275</v>
      </c>
      <c r="I47" s="1076">
        <f>'4C2 Open-burning '!AH107</f>
        <v>9.5402778552488132E-2</v>
      </c>
      <c r="J47" s="1111">
        <f>'4D Wastewater treatment and dis'!AV144</f>
        <v>195.92624915733671</v>
      </c>
      <c r="K47" s="892">
        <f>'4D Wastewater treatment and dis'!AW144</f>
        <v>3.4953616571191763</v>
      </c>
      <c r="L47" s="893">
        <f t="shared" si="65"/>
        <v>10699.342223075961</v>
      </c>
      <c r="M47" s="894">
        <f t="shared" si="66"/>
        <v>18.084216408955989</v>
      </c>
      <c r="N47" s="893">
        <f t="shared" si="67"/>
        <v>1534.574935274265</v>
      </c>
      <c r="O47" s="895">
        <f t="shared" si="68"/>
        <v>193.85085440428284</v>
      </c>
      <c r="P47" s="893">
        <f t="shared" si="69"/>
        <v>5198.0133460110155</v>
      </c>
      <c r="Q47" s="598">
        <f t="shared" si="70"/>
        <v>10699.342223075961</v>
      </c>
      <c r="R47" s="600">
        <f t="shared" si="71"/>
        <v>1552.6591516832211</v>
      </c>
      <c r="S47" s="597">
        <f t="shared" si="72"/>
        <v>193.85085440428284</v>
      </c>
      <c r="T47" s="598">
        <f t="shared" si="73"/>
        <v>5198.0133460110155</v>
      </c>
      <c r="U47" s="598">
        <f t="shared" si="74"/>
        <v>17643.865575174481</v>
      </c>
      <c r="V47" s="3"/>
      <c r="W47" s="677">
        <f t="shared" si="75"/>
        <v>2037</v>
      </c>
      <c r="X47" s="1263">
        <f t="shared" si="76"/>
        <v>10474.753255531528</v>
      </c>
      <c r="Y47" s="1264">
        <f t="shared" si="77"/>
        <v>1676.1770695153998</v>
      </c>
      <c r="Z47" s="1264">
        <f t="shared" si="78"/>
        <v>190.92539536174573</v>
      </c>
      <c r="AA47" s="1264">
        <f t="shared" si="79"/>
        <v>5275.0672825961447</v>
      </c>
      <c r="AB47" s="1331">
        <f t="shared" si="22"/>
        <v>17616.92300300482</v>
      </c>
      <c r="AC47" s="1365" t="str">
        <f>'Recycling - Case 1'!T157</f>
        <v>Policies met</v>
      </c>
      <c r="AD47" s="1263">
        <f t="shared" si="80"/>
        <v>9577.7212325194887</v>
      </c>
      <c r="AE47" s="1264">
        <f t="shared" si="81"/>
        <v>862.17469009099773</v>
      </c>
      <c r="AF47" s="1264">
        <f t="shared" si="82"/>
        <v>190.92539536174573</v>
      </c>
      <c r="AG47" s="1264">
        <f t="shared" si="83"/>
        <v>5275.0672825961447</v>
      </c>
      <c r="AH47" s="1331">
        <f t="shared" si="56"/>
        <v>15905.888600568378</v>
      </c>
      <c r="AI47" s="1365" t="str">
        <f>'Recycling - Case 1'!T197</f>
        <v>Policies not met</v>
      </c>
      <c r="AJ47" s="1263">
        <f t="shared" si="84"/>
        <v>8606.0194073842922</v>
      </c>
      <c r="AK47" s="1264">
        <f t="shared" si="85"/>
        <v>688.15770439776338</v>
      </c>
      <c r="AL47" s="1264">
        <f t="shared" si="86"/>
        <v>130.19214154561689</v>
      </c>
      <c r="AM47" s="1264">
        <f t="shared" si="87"/>
        <v>5782.5586582293754</v>
      </c>
      <c r="AN47" s="1331">
        <f t="shared" si="88"/>
        <v>15206.927911557046</v>
      </c>
      <c r="AO47" s="1365" t="str">
        <f>'Recycling - Case 2'!T156</f>
        <v>Policies not met</v>
      </c>
      <c r="AP47" s="1263">
        <f t="shared" si="89"/>
        <v>8580.5264616691838</v>
      </c>
      <c r="AQ47" s="1264">
        <f t="shared" si="90"/>
        <v>688.15770439776338</v>
      </c>
      <c r="AR47" s="1264">
        <f t="shared" si="91"/>
        <v>130.19214154561689</v>
      </c>
      <c r="AS47" s="1264">
        <f t="shared" si="92"/>
        <v>5782.5586582293754</v>
      </c>
      <c r="AT47" s="1331">
        <f t="shared" si="37"/>
        <v>15181.434965841938</v>
      </c>
      <c r="AU47" s="1365" t="str">
        <f>'Recycling - Case 2'!T196</f>
        <v>Policies not met</v>
      </c>
      <c r="AV47" s="1263">
        <f t="shared" si="59"/>
        <v>8607.0527199646822</v>
      </c>
      <c r="AW47" s="1264">
        <f t="shared" si="60"/>
        <v>412.30637710266404</v>
      </c>
      <c r="AX47" s="1264">
        <f t="shared" si="61"/>
        <v>130.19214154561689</v>
      </c>
      <c r="AY47" s="1264">
        <f t="shared" si="62"/>
        <v>5782.5586582293754</v>
      </c>
      <c r="AZ47" s="1331">
        <f t="shared" si="63"/>
        <v>14932.109896842339</v>
      </c>
      <c r="BA47" s="1365" t="str">
        <f>'Recycling - Case 2'!T156</f>
        <v>Policies not met</v>
      </c>
      <c r="BB47" s="1263">
        <f t="shared" si="93"/>
        <v>8581.5597742495756</v>
      </c>
      <c r="BC47" s="1264">
        <f t="shared" si="94"/>
        <v>417.93271564922406</v>
      </c>
      <c r="BD47" s="1264">
        <f t="shared" si="95"/>
        <v>130.19214154561689</v>
      </c>
      <c r="BE47" s="1264">
        <f t="shared" si="96"/>
        <v>5782.5586582293754</v>
      </c>
      <c r="BF47" s="1331">
        <f t="shared" si="47"/>
        <v>14912.243289673792</v>
      </c>
      <c r="BG47" s="1365" t="str">
        <f>'Recycling - Case 2'!T196</f>
        <v>Policies not met</v>
      </c>
      <c r="BH47" s="677">
        <f t="shared" si="48"/>
        <v>2037</v>
      </c>
      <c r="BI47" s="1264">
        <f>'Recycling - Case 1'!BV117</f>
        <v>71.257635119666631</v>
      </c>
      <c r="BJ47" s="483">
        <f>'Recycling - Case 1'!BW117</f>
        <v>0.5576827280251021</v>
      </c>
      <c r="BK47" s="1331">
        <f>'Recycling - Case 1'!BX117</f>
        <v>29.450466968101324</v>
      </c>
      <c r="BL47" s="1263">
        <f>'Recycling - Case 1'!BY117</f>
        <v>72.11105139425915</v>
      </c>
      <c r="BM47" s="483">
        <f>'Recycling - Case 1'!BZ117</f>
        <v>0.44791897173481371</v>
      </c>
      <c r="BN47" s="1331">
        <f>'Recycling - Case 1'!CA117</f>
        <v>50.172070130067617</v>
      </c>
      <c r="BO47" s="1264">
        <f>'Recycling - Case 2'!BV116</f>
        <v>46.857337935727969</v>
      </c>
      <c r="BP47" s="483">
        <f>'Recycling - Case 2'!BW116</f>
        <v>0.85421767927943193</v>
      </c>
      <c r="BQ47" s="1331">
        <f>'Recycling - Case 2'!BX116</f>
        <v>29.450466968101324</v>
      </c>
      <c r="BR47" s="1263">
        <f>'Recycling - Case 2'!BY116</f>
        <v>67.578941097694269</v>
      </c>
      <c r="BS47" s="483">
        <f>'Recycling - Case 2'!BZ116</f>
        <v>0.79237180447108724</v>
      </c>
      <c r="BT47" s="1331">
        <f>'Recycling - Case 2'!CA116</f>
        <v>50.172070130067617</v>
      </c>
      <c r="BU47" s="1264">
        <f>'Recycling - Case 3'!BV116</f>
        <v>46.857337935727969</v>
      </c>
      <c r="BV47" s="483">
        <f>'Recycling - Case 3'!BW116</f>
        <v>0.85421767927943193</v>
      </c>
      <c r="BW47" s="1331">
        <f>'Recycling - Case 3'!BX116</f>
        <v>29.450466968101324</v>
      </c>
      <c r="BX47" s="1263">
        <f>'Recycling - Case 3'!BY116</f>
        <v>67.578941097694269</v>
      </c>
      <c r="BY47" s="483">
        <f>'Recycling - Case 3'!BZ116</f>
        <v>0.79237180447108724</v>
      </c>
      <c r="BZ47" s="1331">
        <f>'Recycling - Case 3'!CA116</f>
        <v>50.172070130067617</v>
      </c>
      <c r="CA47" s="677">
        <v>2037</v>
      </c>
      <c r="CB47" s="730">
        <f>'Recycling - Case 1'!CB117</f>
        <v>0.51909390402575539</v>
      </c>
      <c r="CC47" s="483">
        <f>'Recycling - Case 1'!CC117</f>
        <v>0.46253045571033874</v>
      </c>
      <c r="CD47" s="483">
        <f>'Recycling - Case 1'!CD117</f>
        <v>0.51909390402575539</v>
      </c>
      <c r="CE47" s="604">
        <f>'Recycling - Case 1'!CE117</f>
        <v>0.85</v>
      </c>
      <c r="CF47" s="730">
        <f>'Recycling - Case 2'!CB116</f>
        <v>0.67206984488050125</v>
      </c>
      <c r="CG47" s="483">
        <f>'Recycling - Case 2'!CC116</f>
        <v>0.85</v>
      </c>
      <c r="CH47" s="483">
        <f>'Recycling - Case 2'!CD116</f>
        <v>0.67206984488050125</v>
      </c>
      <c r="CI47" s="604">
        <f>'Recycling - Case 2'!CE116</f>
        <v>0.85</v>
      </c>
      <c r="CJ47" s="730">
        <f>'Recycling - Case 3'!CB116</f>
        <v>0.67206984488050125</v>
      </c>
      <c r="CK47" s="483">
        <f>'Recycling - Case 3'!CC116</f>
        <v>0.85</v>
      </c>
      <c r="CL47" s="483">
        <f>'Recycling - Case 3'!CD116</f>
        <v>0.67206984488050125</v>
      </c>
      <c r="CM47" s="604">
        <f>'Recycling - Case 3'!CE116</f>
        <v>0.85</v>
      </c>
    </row>
    <row r="48" spans="1:91">
      <c r="A48" s="4">
        <f>'Input data'!A137</f>
        <v>2037</v>
      </c>
      <c r="B48" s="4"/>
      <c r="C48" s="891">
        <f>'4A SWD Case 1'!BG106</f>
        <v>498.79777407292994</v>
      </c>
      <c r="D48" s="3">
        <f>'4B Biological treatment '!T101</f>
        <v>0.92966004964803117</v>
      </c>
      <c r="E48" s="1358">
        <f>'4B Biological treatment '!U101</f>
        <v>41.834702234161398</v>
      </c>
      <c r="F48" s="1358">
        <f>'4B Biological treatment '!W101</f>
        <v>2.5100821340496835</v>
      </c>
      <c r="G48" s="1076">
        <f>'4C2 Open-burning '!R108</f>
        <v>20.059474797030845</v>
      </c>
      <c r="H48" s="1076">
        <f>'4C2 Open-burning '!Z108</f>
        <v>6.7493991409061564</v>
      </c>
      <c r="I48" s="1076">
        <f>'4C2 Open-burning '!AH108</f>
        <v>9.396302776027611E-2</v>
      </c>
      <c r="J48" s="1111">
        <f>'4D Wastewater treatment and dis'!AV145</f>
        <v>199.21811618301393</v>
      </c>
      <c r="K48" s="892">
        <f>'4D Wastewater treatment and dis'!AW145</f>
        <v>3.5209252992027475</v>
      </c>
      <c r="L48" s="893">
        <f t="shared" si="65"/>
        <v>10474.753255531528</v>
      </c>
      <c r="M48" s="894">
        <f t="shared" si="66"/>
        <v>19.522861042608653</v>
      </c>
      <c r="N48" s="893">
        <f t="shared" si="67"/>
        <v>1656.6542084727912</v>
      </c>
      <c r="O48" s="895">
        <f t="shared" si="68"/>
        <v>190.92539536174573</v>
      </c>
      <c r="P48" s="893">
        <f t="shared" si="69"/>
        <v>5275.0672825961447</v>
      </c>
      <c r="Q48" s="598">
        <f t="shared" si="70"/>
        <v>10474.753255531528</v>
      </c>
      <c r="R48" s="600">
        <f t="shared" si="71"/>
        <v>1676.1770695153998</v>
      </c>
      <c r="S48" s="597">
        <f t="shared" si="72"/>
        <v>190.92539536174573</v>
      </c>
      <c r="T48" s="598">
        <f t="shared" si="73"/>
        <v>5275.0672825961447</v>
      </c>
      <c r="U48" s="598">
        <f t="shared" si="74"/>
        <v>17616.92300300482</v>
      </c>
      <c r="V48" s="3"/>
      <c r="W48" s="677">
        <f t="shared" si="75"/>
        <v>2038</v>
      </c>
      <c r="X48" s="1263">
        <f t="shared" si="76"/>
        <v>10277.725040574776</v>
      </c>
      <c r="Y48" s="1264">
        <f t="shared" si="77"/>
        <v>1787.427401087353</v>
      </c>
      <c r="Z48" s="1264">
        <f t="shared" si="78"/>
        <v>184.0827660555035</v>
      </c>
      <c r="AA48" s="1264">
        <f t="shared" si="79"/>
        <v>5353.0685892615111</v>
      </c>
      <c r="AB48" s="1331">
        <f t="shared" si="22"/>
        <v>17602.303796979144</v>
      </c>
      <c r="AC48" s="1365" t="str">
        <f>'Recycling - Case 1'!T158</f>
        <v>Policies met</v>
      </c>
      <c r="AD48" s="1263">
        <f t="shared" si="80"/>
        <v>9315.7777090012059</v>
      </c>
      <c r="AE48" s="1264">
        <f t="shared" si="81"/>
        <v>851.97432635850043</v>
      </c>
      <c r="AF48" s="1264">
        <f t="shared" si="82"/>
        <v>184.0827660555035</v>
      </c>
      <c r="AG48" s="1264">
        <f t="shared" si="83"/>
        <v>5353.0685892615111</v>
      </c>
      <c r="AH48" s="1331">
        <f t="shared" si="56"/>
        <v>15704.903390676722</v>
      </c>
      <c r="AI48" s="1365" t="str">
        <f>'Recycling - Case 1'!T198</f>
        <v>Policies not met</v>
      </c>
      <c r="AJ48" s="1263">
        <f t="shared" si="84"/>
        <v>8340.5151207324543</v>
      </c>
      <c r="AK48" s="1264">
        <f t="shared" si="85"/>
        <v>744.51735277423575</v>
      </c>
      <c r="AL48" s="1264">
        <f t="shared" si="86"/>
        <v>131.14672233426586</v>
      </c>
      <c r="AM48" s="1264">
        <f t="shared" si="87"/>
        <v>5824.9569116020448</v>
      </c>
      <c r="AN48" s="1331">
        <f t="shared" si="88"/>
        <v>15041.136107443001</v>
      </c>
      <c r="AO48" s="1365" t="str">
        <f>'Recycling - Case 2'!T157</f>
        <v>Policies met</v>
      </c>
      <c r="AP48" s="1263">
        <f t="shared" si="89"/>
        <v>8316.2654806510473</v>
      </c>
      <c r="AQ48" s="1264">
        <f t="shared" si="90"/>
        <v>744.51735277423575</v>
      </c>
      <c r="AR48" s="1264">
        <f t="shared" si="91"/>
        <v>131.14672233426586</v>
      </c>
      <c r="AS48" s="1264">
        <f t="shared" si="92"/>
        <v>5824.9569116020448</v>
      </c>
      <c r="AT48" s="1331">
        <f t="shared" si="37"/>
        <v>15016.886467361594</v>
      </c>
      <c r="AU48" s="1365" t="str">
        <f>'Recycling - Case 2'!T197</f>
        <v>Policies not met</v>
      </c>
      <c r="AV48" s="1263">
        <f t="shared" si="59"/>
        <v>8341.608056539857</v>
      </c>
      <c r="AW48" s="1264">
        <f t="shared" si="60"/>
        <v>419.59381716480652</v>
      </c>
      <c r="AX48" s="1264">
        <f t="shared" si="61"/>
        <v>131.14672233426586</v>
      </c>
      <c r="AY48" s="1264">
        <f t="shared" si="62"/>
        <v>5824.9569116020448</v>
      </c>
      <c r="AZ48" s="1331">
        <f t="shared" si="63"/>
        <v>14717.305507640975</v>
      </c>
      <c r="BA48" s="1365" t="str">
        <f>'Recycling - Case 2'!T157</f>
        <v>Policies met</v>
      </c>
      <c r="BB48" s="1263">
        <f t="shared" si="93"/>
        <v>8317.3584164584481</v>
      </c>
      <c r="BC48" s="1264">
        <f t="shared" si="94"/>
        <v>425.30603434292493</v>
      </c>
      <c r="BD48" s="1264">
        <f t="shared" si="95"/>
        <v>131.14672233426586</v>
      </c>
      <c r="BE48" s="1264">
        <f t="shared" si="96"/>
        <v>5824.9569116020448</v>
      </c>
      <c r="BF48" s="1331">
        <f t="shared" si="47"/>
        <v>14698.768084737683</v>
      </c>
      <c r="BG48" s="1365" t="str">
        <f>'Recycling - Case 2'!T197</f>
        <v>Policies not met</v>
      </c>
      <c r="BH48" s="677">
        <f t="shared" si="48"/>
        <v>2038</v>
      </c>
      <c r="BI48" s="1264">
        <f>'Recycling - Case 1'!BV118</f>
        <v>71.106030386352742</v>
      </c>
      <c r="BJ48" s="483">
        <f>'Recycling - Case 1'!BW118</f>
        <v>0.56904788579981747</v>
      </c>
      <c r="BK48" s="1331">
        <f>'Recycling - Case 1'!BX118</f>
        <v>26.615538132570968</v>
      </c>
      <c r="BL48" s="1263">
        <f>'Recycling - Case 1'!BY118</f>
        <v>71.830004417343631</v>
      </c>
      <c r="BM48" s="483">
        <f>'Recycling - Case 1'!BZ118</f>
        <v>0.44308818316449833</v>
      </c>
      <c r="BN48" s="1331">
        <f>'Recycling - Case 1'!CA118</f>
        <v>50.172070130067617</v>
      </c>
      <c r="BO48" s="1264">
        <f>'Recycling - Case 2'!BV117</f>
        <v>45.402511363282024</v>
      </c>
      <c r="BP48" s="483">
        <f>'Recycling - Case 2'!BW117</f>
        <v>0.85963863629289472</v>
      </c>
      <c r="BQ48" s="1331">
        <f>'Recycling - Case 2'!BX117</f>
        <v>26.615538132570968</v>
      </c>
      <c r="BR48" s="1263">
        <f>'Recycling - Case 2'!BY117</f>
        <v>67.879746959793792</v>
      </c>
      <c r="BS48" s="483">
        <f>'Recycling - Case 2'!BZ117</f>
        <v>0.79251242467237626</v>
      </c>
      <c r="BT48" s="1331">
        <f>'Recycling - Case 2'!CA117</f>
        <v>50.172070130067617</v>
      </c>
      <c r="BU48" s="1264">
        <f>'Recycling - Case 3'!BV117</f>
        <v>45.402511363282024</v>
      </c>
      <c r="BV48" s="483">
        <f>'Recycling - Case 3'!BW117</f>
        <v>0.85963863629289472</v>
      </c>
      <c r="BW48" s="1331">
        <f>'Recycling - Case 3'!BX117</f>
        <v>26.615538132570968</v>
      </c>
      <c r="BX48" s="1263">
        <f>'Recycling - Case 3'!BY117</f>
        <v>67.879746959793792</v>
      </c>
      <c r="BY48" s="483">
        <f>'Recycling - Case 3'!BZ117</f>
        <v>0.79251242467237626</v>
      </c>
      <c r="BZ48" s="1331">
        <f>'Recycling - Case 3'!CA117</f>
        <v>50.172070130067617</v>
      </c>
      <c r="CA48" s="677">
        <v>2038</v>
      </c>
      <c r="CB48" s="730">
        <f>'Recycling - Case 1'!CB118</f>
        <v>0.53970416528179432</v>
      </c>
      <c r="CC48" s="483">
        <f>'Recycling - Case 1'!CC118</f>
        <v>0.41762456255238573</v>
      </c>
      <c r="CD48" s="483">
        <f>'Recycling - Case 1'!CD118</f>
        <v>0.53970416528179432</v>
      </c>
      <c r="CE48" s="604">
        <f>'Recycling - Case 1'!CE118</f>
        <v>0.85</v>
      </c>
      <c r="CF48" s="730">
        <f>'Recycling - Case 2'!CB117</f>
        <v>0.67206984488050125</v>
      </c>
      <c r="CG48" s="483">
        <f>'Recycling - Case 2'!CC117</f>
        <v>0.8295615868271945</v>
      </c>
      <c r="CH48" s="483">
        <f>'Recycling - Case 2'!CD117</f>
        <v>0.67206984488050125</v>
      </c>
      <c r="CI48" s="604">
        <f>'Recycling - Case 2'!CE117</f>
        <v>0.85</v>
      </c>
      <c r="CJ48" s="730">
        <f>'Recycling - Case 3'!CB117</f>
        <v>0.67206984488050125</v>
      </c>
      <c r="CK48" s="483">
        <f>'Recycling - Case 3'!CC117</f>
        <v>0.8295615868271945</v>
      </c>
      <c r="CL48" s="483">
        <f>'Recycling - Case 3'!CD117</f>
        <v>0.67206984488050125</v>
      </c>
      <c r="CM48" s="604">
        <f>'Recycling - Case 3'!CE117</f>
        <v>0.85</v>
      </c>
    </row>
    <row r="49" spans="1:91">
      <c r="A49" s="4">
        <f>'Input data'!A138</f>
        <v>2038</v>
      </c>
      <c r="B49" s="4"/>
      <c r="C49" s="891">
        <f>'4A SWD Case 1'!BG107</f>
        <v>489.41547812260836</v>
      </c>
      <c r="D49" s="3">
        <f>'4B Biological treatment '!T102</f>
        <v>0.9913629512409059</v>
      </c>
      <c r="E49" s="1358">
        <f>'4B Biological treatment '!U102</f>
        <v>44.611332805840767</v>
      </c>
      <c r="F49" s="1358">
        <f>'4B Biological treatment '!W102</f>
        <v>2.6766799683504456</v>
      </c>
      <c r="G49" s="1076">
        <f>'4C2 Open-burning '!R109</f>
        <v>19.340557599798252</v>
      </c>
      <c r="H49" s="1076">
        <f>'4C2 Open-burning '!Z109</f>
        <v>6.5075055139552394</v>
      </c>
      <c r="I49" s="1076">
        <f>'4C2 Open-burning '!AH109</f>
        <v>9.0595460202081396E-2</v>
      </c>
      <c r="J49" s="1111">
        <f>'4D Wastewater treatment and dis'!AV146</f>
        <v>202.55137449125439</v>
      </c>
      <c r="K49" s="892">
        <f>'4D Wastewater treatment and dis'!AW146</f>
        <v>3.5467410482102202</v>
      </c>
      <c r="L49" s="893">
        <f t="shared" si="65"/>
        <v>10277.725040574776</v>
      </c>
      <c r="M49" s="894">
        <f t="shared" si="66"/>
        <v>20.818621976059024</v>
      </c>
      <c r="N49" s="893">
        <f t="shared" si="67"/>
        <v>1766.6087791112941</v>
      </c>
      <c r="O49" s="895">
        <f t="shared" si="68"/>
        <v>184.0827660555035</v>
      </c>
      <c r="P49" s="893">
        <f t="shared" si="69"/>
        <v>5353.0685892615111</v>
      </c>
      <c r="Q49" s="598">
        <f t="shared" si="70"/>
        <v>10277.725040574776</v>
      </c>
      <c r="R49" s="600">
        <f t="shared" si="71"/>
        <v>1787.427401087353</v>
      </c>
      <c r="S49" s="597">
        <f t="shared" si="72"/>
        <v>184.0827660555035</v>
      </c>
      <c r="T49" s="598">
        <f t="shared" si="73"/>
        <v>5353.0685892615111</v>
      </c>
      <c r="U49" s="598">
        <f t="shared" si="74"/>
        <v>17602.303796979144</v>
      </c>
      <c r="V49" s="3"/>
      <c r="W49" s="677">
        <f t="shared" si="75"/>
        <v>2039</v>
      </c>
      <c r="X49" s="1263">
        <f t="shared" si="76"/>
        <v>10103.638036689077</v>
      </c>
      <c r="Y49" s="1264">
        <f t="shared" si="77"/>
        <v>1899.2924796533894</v>
      </c>
      <c r="Z49" s="1264">
        <f t="shared" si="78"/>
        <v>177.12764618265214</v>
      </c>
      <c r="AA49" s="1264">
        <f t="shared" si="79"/>
        <v>5431.872332328383</v>
      </c>
      <c r="AB49" s="1331">
        <f t="shared" si="22"/>
        <v>17611.930494853503</v>
      </c>
      <c r="AC49" s="1365" t="str">
        <f>'Recycling - Case 1'!T159</f>
        <v>Policies met</v>
      </c>
      <c r="AD49" s="1263">
        <f t="shared" si="80"/>
        <v>9063.728467668343</v>
      </c>
      <c r="AE49" s="1264">
        <f t="shared" si="81"/>
        <v>841.83839153954614</v>
      </c>
      <c r="AF49" s="1264">
        <f t="shared" si="82"/>
        <v>177.12764618265214</v>
      </c>
      <c r="AG49" s="1264">
        <f t="shared" si="83"/>
        <v>5431.872332328383</v>
      </c>
      <c r="AH49" s="1331">
        <f t="shared" si="56"/>
        <v>15514.566837718925</v>
      </c>
      <c r="AI49" s="1365" t="str">
        <f>'Recycling - Case 1'!T199</f>
        <v>Policies not met</v>
      </c>
      <c r="AJ49" s="1263">
        <f t="shared" si="84"/>
        <v>8095.9152097465621</v>
      </c>
      <c r="AK49" s="1264">
        <f t="shared" si="85"/>
        <v>900.31386089291902</v>
      </c>
      <c r="AL49" s="1264">
        <f t="shared" si="86"/>
        <v>132.1068963697233</v>
      </c>
      <c r="AM49" s="1264">
        <f t="shared" si="87"/>
        <v>5867.6035922405699</v>
      </c>
      <c r="AN49" s="1331">
        <f t="shared" si="88"/>
        <v>14995.939559249775</v>
      </c>
      <c r="AO49" s="1365" t="str">
        <f>'Recycling - Case 2'!T158</f>
        <v>Policies met</v>
      </c>
      <c r="AP49" s="1263">
        <f t="shared" si="89"/>
        <v>8066.945296974669</v>
      </c>
      <c r="AQ49" s="1264">
        <f t="shared" si="90"/>
        <v>900.31386089291902</v>
      </c>
      <c r="AR49" s="1264">
        <f t="shared" si="91"/>
        <v>132.1068963697233</v>
      </c>
      <c r="AS49" s="1264">
        <f t="shared" si="92"/>
        <v>5867.6035922405699</v>
      </c>
      <c r="AT49" s="1331">
        <f t="shared" si="37"/>
        <v>14966.969646477881</v>
      </c>
      <c r="AU49" s="1365" t="str">
        <f>'Recycling - Case 2'!T198</f>
        <v>Policies not met</v>
      </c>
      <c r="AV49" s="1263">
        <f t="shared" si="59"/>
        <v>8097.0651749694161</v>
      </c>
      <c r="AW49" s="1264">
        <f t="shared" si="60"/>
        <v>453.83195560148681</v>
      </c>
      <c r="AX49" s="1264">
        <f t="shared" si="61"/>
        <v>132.1068963697233</v>
      </c>
      <c r="AY49" s="1264">
        <f t="shared" si="62"/>
        <v>5867.6035922405699</v>
      </c>
      <c r="AZ49" s="1331">
        <f t="shared" si="63"/>
        <v>14550.607619181197</v>
      </c>
      <c r="BA49" s="1365" t="str">
        <f>'Recycling - Case 2'!T158</f>
        <v>Policies met</v>
      </c>
      <c r="BB49" s="1263">
        <f t="shared" si="93"/>
        <v>8068.095262197523</v>
      </c>
      <c r="BC49" s="1264">
        <f t="shared" si="94"/>
        <v>432.92396411063135</v>
      </c>
      <c r="BD49" s="1264">
        <f t="shared" si="95"/>
        <v>132.1068963697233</v>
      </c>
      <c r="BE49" s="1264">
        <f t="shared" si="96"/>
        <v>5867.6035922405699</v>
      </c>
      <c r="BF49" s="1331">
        <f t="shared" si="47"/>
        <v>14500.729714918447</v>
      </c>
      <c r="BG49" s="1365" t="str">
        <f>'Recycling - Case 2'!T198</f>
        <v>Policies not met</v>
      </c>
      <c r="BH49" s="677">
        <f t="shared" si="48"/>
        <v>2039</v>
      </c>
      <c r="BI49" s="1264">
        <f>'Recycling - Case 1'!BV119</f>
        <v>70.968903086776976</v>
      </c>
      <c r="BJ49" s="483">
        <f>'Recycling - Case 1'!BW119</f>
        <v>0.58054476328152671</v>
      </c>
      <c r="BK49" s="1331">
        <f>'Recycling - Case 1'!BX119</f>
        <v>23.780609297040609</v>
      </c>
      <c r="BL49" s="1263">
        <f>'Recycling - Case 1'!BY119</f>
        <v>71.550002699091522</v>
      </c>
      <c r="BM49" s="483">
        <f>'Recycling - Case 1'!BZ119</f>
        <v>0.43818307243271637</v>
      </c>
      <c r="BN49" s="1331">
        <f>'Recycling - Case 1'!CA119</f>
        <v>50.172070130067617</v>
      </c>
      <c r="BO49" s="1264">
        <f>'Recycling - Case 2'!BV118</f>
        <v>46.37476793648645</v>
      </c>
      <c r="BP49" s="483">
        <f>'Recycling - Case 2'!BW118</f>
        <v>0.84848413511490561</v>
      </c>
      <c r="BQ49" s="1331">
        <f>'Recycling - Case 2'!BX118</f>
        <v>23.780609297040609</v>
      </c>
      <c r="BR49" s="1263">
        <f>'Recycling - Case 2'!BY118</f>
        <v>68.190409873652285</v>
      </c>
      <c r="BS49" s="483">
        <f>'Recycling - Case 2'!BZ118</f>
        <v>0.79262505199985489</v>
      </c>
      <c r="BT49" s="1331">
        <f>'Recycling - Case 2'!CA118</f>
        <v>50.172070130067617</v>
      </c>
      <c r="BU49" s="1264">
        <f>'Recycling - Case 3'!BV118</f>
        <v>46.37476793648645</v>
      </c>
      <c r="BV49" s="483">
        <f>'Recycling - Case 3'!BW118</f>
        <v>0.84848413511490561</v>
      </c>
      <c r="BW49" s="1331">
        <f>'Recycling - Case 3'!BX118</f>
        <v>23.780609297040609</v>
      </c>
      <c r="BX49" s="1263">
        <f>'Recycling - Case 3'!BY118</f>
        <v>68.190409873652285</v>
      </c>
      <c r="BY49" s="483">
        <f>'Recycling - Case 3'!BZ118</f>
        <v>0.79262505199985489</v>
      </c>
      <c r="BZ49" s="1331">
        <f>'Recycling - Case 3'!CA118</f>
        <v>50.172070130067617</v>
      </c>
      <c r="CA49" s="677">
        <v>2039</v>
      </c>
      <c r="CB49" s="730">
        <f>'Recycling - Case 1'!CB119</f>
        <v>0.56031442653783348</v>
      </c>
      <c r="CC49" s="483">
        <f>'Recycling - Case 1'!CC119</f>
        <v>0.37555059815466163</v>
      </c>
      <c r="CD49" s="483">
        <f>'Recycling - Case 1'!CD119</f>
        <v>0.56031442653783348</v>
      </c>
      <c r="CE49" s="604">
        <f>'Recycling - Case 1'!CE119</f>
        <v>0.85</v>
      </c>
      <c r="CF49" s="730">
        <f>'Recycling - Case 2'!CB118</f>
        <v>0.67206984488050125</v>
      </c>
      <c r="CG49" s="483">
        <f>'Recycling - Case 2'!CC118</f>
        <v>0.76588670458622865</v>
      </c>
      <c r="CH49" s="483">
        <f>'Recycling - Case 2'!CD118</f>
        <v>0.67206984488050125</v>
      </c>
      <c r="CI49" s="604">
        <f>'Recycling - Case 2'!CE118</f>
        <v>0.85</v>
      </c>
      <c r="CJ49" s="730">
        <f>'Recycling - Case 3'!CB118</f>
        <v>0.67206984488050125</v>
      </c>
      <c r="CK49" s="483">
        <f>'Recycling - Case 3'!CC118</f>
        <v>0.76588670458622865</v>
      </c>
      <c r="CL49" s="483">
        <f>'Recycling - Case 3'!CD118</f>
        <v>0.67206984488050125</v>
      </c>
      <c r="CM49" s="604">
        <f>'Recycling - Case 3'!CE118</f>
        <v>0.85</v>
      </c>
    </row>
    <row r="50" spans="1:91">
      <c r="A50" s="4">
        <f>'Input data'!A139</f>
        <v>2039</v>
      </c>
      <c r="B50" s="4"/>
      <c r="C50" s="891">
        <f>'4A SWD Case 1'!BG108</f>
        <v>481.12562079471792</v>
      </c>
      <c r="D50" s="3">
        <f>'4B Biological treatment '!T103</f>
        <v>1.0534068106785301</v>
      </c>
      <c r="E50" s="1358">
        <f>'4B Biological treatment '!U103</f>
        <v>47.403306480533843</v>
      </c>
      <c r="F50" s="1358">
        <f>'4B Biological treatment '!W103</f>
        <v>2.8441983888320306</v>
      </c>
      <c r="G50" s="1076">
        <f>'4C2 Open-burning '!R110</f>
        <v>18.609821641203279</v>
      </c>
      <c r="H50" s="1076">
        <f>'4C2 Open-burning '!Z110</f>
        <v>6.2616352356416609</v>
      </c>
      <c r="I50" s="1076">
        <f>'4C2 Open-burning '!AH110</f>
        <v>8.7172530945077376E-2</v>
      </c>
      <c r="J50" s="1111">
        <f>'4D Wastewater treatment and dis'!AV147</f>
        <v>205.92061110966921</v>
      </c>
      <c r="K50" s="892">
        <f>'4D Wastewater treatment and dis'!AW147</f>
        <v>3.5727080613720332</v>
      </c>
      <c r="L50" s="893">
        <f t="shared" si="65"/>
        <v>10103.638036689077</v>
      </c>
      <c r="M50" s="894">
        <f t="shared" si="66"/>
        <v>22.121543024249132</v>
      </c>
      <c r="N50" s="893">
        <f t="shared" si="67"/>
        <v>1877.1709366291402</v>
      </c>
      <c r="O50" s="895">
        <f t="shared" si="68"/>
        <v>177.12764618265214</v>
      </c>
      <c r="P50" s="893">
        <f t="shared" si="69"/>
        <v>5431.872332328383</v>
      </c>
      <c r="Q50" s="598">
        <f t="shared" si="70"/>
        <v>10103.638036689077</v>
      </c>
      <c r="R50" s="600">
        <f t="shared" si="71"/>
        <v>1899.2924796533894</v>
      </c>
      <c r="S50" s="597">
        <f t="shared" si="72"/>
        <v>177.12764618265214</v>
      </c>
      <c r="T50" s="598">
        <f t="shared" si="73"/>
        <v>5431.872332328383</v>
      </c>
      <c r="U50" s="598">
        <f t="shared" si="74"/>
        <v>17611.930494853503</v>
      </c>
      <c r="V50" s="3"/>
      <c r="W50" s="677">
        <f t="shared" si="75"/>
        <v>2040</v>
      </c>
      <c r="X50" s="1263">
        <f t="shared" si="76"/>
        <v>9951.3312114856471</v>
      </c>
      <c r="Y50" s="1264">
        <f t="shared" si="77"/>
        <v>2013.2321271350854</v>
      </c>
      <c r="Z50" s="1264">
        <f t="shared" si="78"/>
        <v>170.05898114412977</v>
      </c>
      <c r="AA50" s="1264">
        <f t="shared" si="79"/>
        <v>5511.4835431612637</v>
      </c>
      <c r="AB50" s="1331">
        <f t="shared" si="22"/>
        <v>17646.105862926124</v>
      </c>
      <c r="AC50" s="1365" t="str">
        <f>'Recycling - Case 1'!T160</f>
        <v>Policies met</v>
      </c>
      <c r="AD50" s="1263">
        <f t="shared" si="80"/>
        <v>8820.9753184419296</v>
      </c>
      <c r="AE50" s="1264">
        <f t="shared" si="81"/>
        <v>831.97667941022371</v>
      </c>
      <c r="AF50" s="1264">
        <f t="shared" si="82"/>
        <v>170.05898114412977</v>
      </c>
      <c r="AG50" s="1264">
        <f t="shared" si="83"/>
        <v>5511.4835431612637</v>
      </c>
      <c r="AH50" s="1331">
        <f t="shared" si="56"/>
        <v>15334.494522157547</v>
      </c>
      <c r="AI50" s="1365" t="str">
        <f>'Recycling - Case 1'!T200</f>
        <v>Policies not met</v>
      </c>
      <c r="AJ50" s="1263">
        <f t="shared" si="84"/>
        <v>7884.4782792227143</v>
      </c>
      <c r="AK50" s="1264">
        <f t="shared" si="85"/>
        <v>1058.7258282121604</v>
      </c>
      <c r="AL50" s="1264">
        <f t="shared" si="86"/>
        <v>133.07266365198925</v>
      </c>
      <c r="AM50" s="1264">
        <f t="shared" si="87"/>
        <v>5910.4987001449481</v>
      </c>
      <c r="AN50" s="1331">
        <f t="shared" si="88"/>
        <v>14986.775471231811</v>
      </c>
      <c r="AO50" s="1365" t="str">
        <f>'Recycling - Case 2'!T159</f>
        <v>Policies met</v>
      </c>
      <c r="AP50" s="1263">
        <f t="shared" si="89"/>
        <v>7831.8949493248829</v>
      </c>
      <c r="AQ50" s="1264">
        <f t="shared" si="90"/>
        <v>1058.7258282121604</v>
      </c>
      <c r="AR50" s="1264">
        <f t="shared" si="91"/>
        <v>133.07266365198925</v>
      </c>
      <c r="AS50" s="1264">
        <f t="shared" si="92"/>
        <v>5910.4987001449481</v>
      </c>
      <c r="AT50" s="1331">
        <f t="shared" si="37"/>
        <v>14934.192141333981</v>
      </c>
      <c r="AU50" s="1365" t="str">
        <f>'Recycling - Case 2'!T199</f>
        <v>Policies not met</v>
      </c>
      <c r="AV50" s="1263">
        <f t="shared" si="59"/>
        <v>7885.6828362480164</v>
      </c>
      <c r="AW50" s="1264">
        <f t="shared" si="60"/>
        <v>548.46020020440164</v>
      </c>
      <c r="AX50" s="1264">
        <f t="shared" si="61"/>
        <v>133.07266365198925</v>
      </c>
      <c r="AY50" s="1264">
        <f t="shared" si="62"/>
        <v>5910.4987001449481</v>
      </c>
      <c r="AZ50" s="1331">
        <f t="shared" si="63"/>
        <v>14477.714400249355</v>
      </c>
      <c r="BA50" s="1365" t="str">
        <f>'Recycling - Case 2'!T159</f>
        <v>Policies met</v>
      </c>
      <c r="BB50" s="1263">
        <f t="shared" si="93"/>
        <v>7833.0995063501841</v>
      </c>
      <c r="BC50" s="1264">
        <f t="shared" si="94"/>
        <v>440.91575229283899</v>
      </c>
      <c r="BD50" s="1264">
        <f t="shared" si="95"/>
        <v>133.07266365198925</v>
      </c>
      <c r="BE50" s="1264">
        <f t="shared" si="96"/>
        <v>5910.4987001449481</v>
      </c>
      <c r="BF50" s="1331">
        <f t="shared" si="47"/>
        <v>14317.58662243996</v>
      </c>
      <c r="BG50" s="1365" t="str">
        <f>'Recycling - Case 2'!T199</f>
        <v>Policies not met</v>
      </c>
      <c r="BH50" s="677">
        <f t="shared" si="48"/>
        <v>2040</v>
      </c>
      <c r="BI50" s="1264">
        <f>'Recycling - Case 1'!BV120</f>
        <v>70.881879640890077</v>
      </c>
      <c r="BJ50" s="483">
        <f>'Recycling - Case 1'!BW120</f>
        <v>0.59216461912375973</v>
      </c>
      <c r="BK50" s="1331">
        <f>'Recycling - Case 1'!BX120</f>
        <v>20.945680461510253</v>
      </c>
      <c r="BL50" s="1263">
        <f>'Recycling - Case 1'!BY120</f>
        <v>71.276161946663493</v>
      </c>
      <c r="BM50" s="483">
        <f>'Recycling - Case 1'!BZ120</f>
        <v>0.43321374977926591</v>
      </c>
      <c r="BN50" s="1331">
        <f>'Recycling - Case 1'!CA120</f>
        <v>50.172070130067617</v>
      </c>
      <c r="BO50" s="1264">
        <f>'Recycling - Case 2'!BV119</f>
        <v>47.410888911411924</v>
      </c>
      <c r="BP50" s="483">
        <f>'Recycling - Case 2'!BW119</f>
        <v>0.83753152455610469</v>
      </c>
      <c r="BQ50" s="1331">
        <f>'Recycling - Case 2'!BX119</f>
        <v>20.945680461510253</v>
      </c>
      <c r="BR50" s="1263">
        <f>'Recycling - Case 2'!BY119</f>
        <v>68.5161242439967</v>
      </c>
      <c r="BS50" s="483">
        <f>'Recycling - Case 2'!BZ119</f>
        <v>0.7926923838350951</v>
      </c>
      <c r="BT50" s="1331">
        <f>'Recycling - Case 2'!CA119</f>
        <v>50.172070130067617</v>
      </c>
      <c r="BU50" s="1264">
        <f>'Recycling - Case 3'!BV119</f>
        <v>47.410888911411924</v>
      </c>
      <c r="BV50" s="483">
        <f>'Recycling - Case 3'!BW119</f>
        <v>0.83753152455610469</v>
      </c>
      <c r="BW50" s="1331">
        <f>'Recycling - Case 3'!BX119</f>
        <v>20.945680461510253</v>
      </c>
      <c r="BX50" s="1263">
        <f>'Recycling - Case 3'!BY119</f>
        <v>68.5161242439967</v>
      </c>
      <c r="BY50" s="483">
        <f>'Recycling - Case 3'!BZ119</f>
        <v>0.7926923838350951</v>
      </c>
      <c r="BZ50" s="1331">
        <f>'Recycling - Case 3'!CA119</f>
        <v>50.172070130067617</v>
      </c>
      <c r="CA50" s="677">
        <v>2040</v>
      </c>
      <c r="CB50" s="730">
        <f>'Recycling - Case 1'!CB120</f>
        <v>0.58092468779387252</v>
      </c>
      <c r="CC50" s="483">
        <f>'Recycling - Case 1'!CC120</f>
        <v>0.33598202717537362</v>
      </c>
      <c r="CD50" s="483">
        <f>'Recycling - Case 1'!CD120</f>
        <v>0.58092468779387252</v>
      </c>
      <c r="CE50" s="604">
        <f>'Recycling - Case 1'!CE120</f>
        <v>0.85</v>
      </c>
      <c r="CF50" s="730">
        <f>'Recycling - Case 2'!CB119</f>
        <v>0.67206984488050125</v>
      </c>
      <c r="CG50" s="483">
        <f>'Recycling - Case 2'!CC119</f>
        <v>0.70521629632383942</v>
      </c>
      <c r="CH50" s="483">
        <f>'Recycling - Case 2'!CD119</f>
        <v>0.67206984488050125</v>
      </c>
      <c r="CI50" s="604">
        <f>'Recycling - Case 2'!CE119</f>
        <v>0.85</v>
      </c>
      <c r="CJ50" s="730">
        <f>'Recycling - Case 3'!CB119</f>
        <v>0.67206984488050125</v>
      </c>
      <c r="CK50" s="483">
        <f>'Recycling - Case 3'!CC119</f>
        <v>0.70521629632383942</v>
      </c>
      <c r="CL50" s="483">
        <f>'Recycling - Case 3'!CD119</f>
        <v>0.67206984488050125</v>
      </c>
      <c r="CM50" s="604">
        <f>'Recycling - Case 3'!CE119</f>
        <v>0.85</v>
      </c>
    </row>
    <row r="51" spans="1:91">
      <c r="A51" s="4">
        <f>'Input data'!A140</f>
        <v>2040</v>
      </c>
      <c r="B51" s="4"/>
      <c r="C51" s="891">
        <f>'4A SWD Case 1'!BG109</f>
        <v>473.87291483264983</v>
      </c>
      <c r="D51" s="3">
        <f>'4B Biological treatment '!T104</f>
        <v>1.116601290701656</v>
      </c>
      <c r="E51" s="1358">
        <f>'4B Biological treatment '!U104</f>
        <v>50.247058081574522</v>
      </c>
      <c r="F51" s="1358">
        <f>'4B Biological treatment '!W104</f>
        <v>3.0148234848944706</v>
      </c>
      <c r="G51" s="1076">
        <f>'4C2 Open-burning '!R111</f>
        <v>17.867156120358153</v>
      </c>
      <c r="H51" s="1076">
        <f>'4C2 Open-burning '!Z111</f>
        <v>6.0117510248589019</v>
      </c>
      <c r="I51" s="1076">
        <f>'4C2 Open-burning '!AH111</f>
        <v>8.3693720973337743E-2</v>
      </c>
      <c r="J51" s="1111">
        <f>'4D Wastewater treatment and dis'!AV148</f>
        <v>209.32606562704407</v>
      </c>
      <c r="K51" s="892">
        <f>'4D Wastewater treatment and dis'!AW148</f>
        <v>3.5988263386881876</v>
      </c>
      <c r="L51" s="893">
        <f t="shared" si="65"/>
        <v>9951.3312114856471</v>
      </c>
      <c r="M51" s="894">
        <f t="shared" si="66"/>
        <v>23.448627104734776</v>
      </c>
      <c r="N51" s="893">
        <f t="shared" si="67"/>
        <v>1989.7835000303508</v>
      </c>
      <c r="O51" s="895">
        <f t="shared" si="68"/>
        <v>170.05898114412977</v>
      </c>
      <c r="P51" s="893">
        <f t="shared" si="69"/>
        <v>5511.4835431612637</v>
      </c>
      <c r="Q51" s="598">
        <f t="shared" si="70"/>
        <v>9951.3312114856471</v>
      </c>
      <c r="R51" s="600">
        <f t="shared" si="71"/>
        <v>2013.2321271350854</v>
      </c>
      <c r="S51" s="597">
        <f t="shared" si="72"/>
        <v>170.05898114412977</v>
      </c>
      <c r="T51" s="598">
        <f t="shared" si="73"/>
        <v>5511.4835431612637</v>
      </c>
      <c r="U51" s="598">
        <f t="shared" si="74"/>
        <v>17646.105862926124</v>
      </c>
      <c r="V51" s="3"/>
      <c r="W51" s="677">
        <f t="shared" si="75"/>
        <v>2041</v>
      </c>
      <c r="X51" s="1263">
        <f t="shared" si="76"/>
        <v>9819.8926133102832</v>
      </c>
      <c r="Y51" s="1264">
        <f t="shared" si="77"/>
        <v>1994.0588143471164</v>
      </c>
      <c r="Z51" s="1264">
        <f t="shared" si="78"/>
        <v>162.70127784418136</v>
      </c>
      <c r="AA51" s="1264">
        <f t="shared" si="79"/>
        <v>5585.9183683676356</v>
      </c>
      <c r="AB51" s="1331">
        <f t="shared" si="22"/>
        <v>17562.571073869218</v>
      </c>
      <c r="AC51" s="1365" t="str">
        <f>'Recycling - Case 1'!T161</f>
        <v>Policies met</v>
      </c>
      <c r="AD51" s="1263">
        <f t="shared" si="80"/>
        <v>8586.9748311252988</v>
      </c>
      <c r="AE51" s="1264">
        <f t="shared" si="81"/>
        <v>821.71454755193326</v>
      </c>
      <c r="AF51" s="1264">
        <f t="shared" si="82"/>
        <v>162.70127784418136</v>
      </c>
      <c r="AG51" s="1264">
        <f t="shared" si="83"/>
        <v>5585.9183683676356</v>
      </c>
      <c r="AH51" s="1331">
        <f t="shared" si="56"/>
        <v>15157.309024889051</v>
      </c>
      <c r="AI51" s="1365" t="str">
        <f>'Recycling - Case 1'!T201</f>
        <v>Policies not met</v>
      </c>
      <c r="AJ51" s="1263">
        <f t="shared" si="84"/>
        <v>7704.9399658757484</v>
      </c>
      <c r="AK51" s="1264">
        <f t="shared" si="85"/>
        <v>1157.977844740758</v>
      </c>
      <c r="AL51" s="1264">
        <f t="shared" si="86"/>
        <v>133.90046417964575</v>
      </c>
      <c r="AM51" s="1264">
        <f t="shared" si="87"/>
        <v>5947.2659354915595</v>
      </c>
      <c r="AN51" s="1331">
        <f t="shared" si="88"/>
        <v>14944.08421028771</v>
      </c>
      <c r="AO51" s="1365" t="str">
        <f>'Recycling - Case 2'!T160</f>
        <v>Policies met</v>
      </c>
      <c r="AP51" s="1263">
        <f t="shared" si="89"/>
        <v>7610.5045337541305</v>
      </c>
      <c r="AQ51" s="1264">
        <f t="shared" si="90"/>
        <v>1157.977844740758</v>
      </c>
      <c r="AR51" s="1264">
        <f t="shared" si="91"/>
        <v>133.90046417964575</v>
      </c>
      <c r="AS51" s="1264">
        <f t="shared" si="92"/>
        <v>5947.2659354915595</v>
      </c>
      <c r="AT51" s="1331">
        <f t="shared" si="37"/>
        <v>14849.648778166094</v>
      </c>
      <c r="AU51" s="1365" t="str">
        <f>'Recycling - Case 2'!T200</f>
        <v>Policies not met</v>
      </c>
      <c r="AV51" s="1263">
        <f t="shared" si="59"/>
        <v>7706.1968241927516</v>
      </c>
      <c r="AW51" s="1264">
        <f t="shared" si="60"/>
        <v>644.42705435313735</v>
      </c>
      <c r="AX51" s="1264">
        <f t="shared" si="61"/>
        <v>133.90046417964575</v>
      </c>
      <c r="AY51" s="1264">
        <f t="shared" si="62"/>
        <v>5947.2659354915595</v>
      </c>
      <c r="AZ51" s="1331">
        <f t="shared" si="63"/>
        <v>14431.790278217093</v>
      </c>
      <c r="BA51" s="1365" t="str">
        <f>'Recycling - Case 2'!T160</f>
        <v>Policies met</v>
      </c>
      <c r="BB51" s="1263">
        <f t="shared" si="93"/>
        <v>7611.7613920711328</v>
      </c>
      <c r="BC51" s="1264">
        <f t="shared" si="94"/>
        <v>448.92724225708736</v>
      </c>
      <c r="BD51" s="1264">
        <f t="shared" si="95"/>
        <v>133.90046417964575</v>
      </c>
      <c r="BE51" s="1264">
        <f t="shared" si="96"/>
        <v>5947.2659354915595</v>
      </c>
      <c r="BF51" s="1331">
        <f t="shared" si="47"/>
        <v>14141.855033999425</v>
      </c>
      <c r="BG51" s="1365" t="str">
        <f>'Recycling - Case 2'!T200</f>
        <v>Policies not met</v>
      </c>
      <c r="BH51" s="677">
        <f t="shared" si="48"/>
        <v>2041</v>
      </c>
      <c r="BI51" s="1264">
        <f>'Recycling - Case 1'!BV121</f>
        <v>69.098425281024831</v>
      </c>
      <c r="BJ51" s="483">
        <f>'Recycling - Case 1'!BW121</f>
        <v>0.59440519026119454</v>
      </c>
      <c r="BK51" s="1331">
        <f>'Recycling - Case 1'!BX121</f>
        <v>19.664699523913871</v>
      </c>
      <c r="BL51" s="1263">
        <f>'Recycling - Case 1'!BY121</f>
        <v>70.991192812555624</v>
      </c>
      <c r="BM51" s="483">
        <f>'Recycling - Case 1'!BZ121</f>
        <v>0.42803742657425559</v>
      </c>
      <c r="BN51" s="1331">
        <f>'Recycling - Case 1'!CA121</f>
        <v>50.172070130067617</v>
      </c>
      <c r="BO51" s="1264">
        <f>'Recycling - Case 2'!BV120</f>
        <v>48.556333734962038</v>
      </c>
      <c r="BP51" s="483">
        <f>'Recycling - Case 2'!BW120</f>
        <v>0.82952457660225665</v>
      </c>
      <c r="BQ51" s="1331">
        <f>'Recycling - Case 2'!BX120</f>
        <v>19.664699523913871</v>
      </c>
      <c r="BR51" s="1263">
        <f>'Recycling - Case 2'!BY120</f>
        <v>68.841983673297804</v>
      </c>
      <c r="BS51" s="483">
        <f>'Recycling - Case 2'!BZ120</f>
        <v>0.79259195130135063</v>
      </c>
      <c r="BT51" s="1331">
        <f>'Recycling - Case 2'!CA120</f>
        <v>50.172070130067617</v>
      </c>
      <c r="BU51" s="1264">
        <f>'Recycling - Case 3'!BV120</f>
        <v>48.556333734962038</v>
      </c>
      <c r="BV51" s="483">
        <f>'Recycling - Case 3'!BW120</f>
        <v>0.82952457660225665</v>
      </c>
      <c r="BW51" s="1331">
        <f>'Recycling - Case 3'!BX120</f>
        <v>19.664699523913871</v>
      </c>
      <c r="BX51" s="1263">
        <f>'Recycling - Case 3'!BY120</f>
        <v>68.841983673297804</v>
      </c>
      <c r="BY51" s="483">
        <f>'Recycling - Case 3'!BZ120</f>
        <v>0.79259195130135063</v>
      </c>
      <c r="BZ51" s="1331">
        <f>'Recycling - Case 3'!CA120</f>
        <v>50.172070130067617</v>
      </c>
      <c r="CA51" s="677">
        <v>2041</v>
      </c>
      <c r="CB51" s="730">
        <f>'Recycling - Case 1'!CB121</f>
        <v>0.60153494904991145</v>
      </c>
      <c r="CC51" s="483">
        <f>'Recycling - Case 1'!CC121</f>
        <v>0.35538442650760704</v>
      </c>
      <c r="CD51" s="483">
        <f>'Recycling - Case 1'!CD121</f>
        <v>0.60153494904991145</v>
      </c>
      <c r="CE51" s="604">
        <f>'Recycling - Case 1'!CE121</f>
        <v>0.85</v>
      </c>
      <c r="CF51" s="730">
        <f>'Recycling - Case 2'!CB120</f>
        <v>0.67206984488050125</v>
      </c>
      <c r="CG51" s="483">
        <f>'Recycling - Case 2'!CC120</f>
        <v>0.67331321468947369</v>
      </c>
      <c r="CH51" s="483">
        <f>'Recycling - Case 2'!CD120</f>
        <v>0.67206984488050125</v>
      </c>
      <c r="CI51" s="604">
        <f>'Recycling - Case 2'!CE120</f>
        <v>0.85</v>
      </c>
      <c r="CJ51" s="730">
        <f>'Recycling - Case 3'!CB120</f>
        <v>0.67206984488050125</v>
      </c>
      <c r="CK51" s="483">
        <f>'Recycling - Case 3'!CC120</f>
        <v>0.67331321468947369</v>
      </c>
      <c r="CL51" s="483">
        <f>'Recycling - Case 3'!CD120</f>
        <v>0.67206984488050125</v>
      </c>
      <c r="CM51" s="604">
        <f>'Recycling - Case 3'!CE120</f>
        <v>0.85</v>
      </c>
    </row>
    <row r="52" spans="1:91">
      <c r="A52" s="4">
        <f>'Input data'!A141</f>
        <v>2041</v>
      </c>
      <c r="B52" s="4"/>
      <c r="C52" s="891">
        <f>'4A SWD Case 1'!BG110</f>
        <v>467.6139339671563</v>
      </c>
      <c r="D52" s="3">
        <f>'4B Biological treatment '!T105</f>
        <v>1.105967173792078</v>
      </c>
      <c r="E52" s="1358">
        <f>'4B Biological treatment '!U105</f>
        <v>49.768522820643504</v>
      </c>
      <c r="F52" s="1358">
        <f>'4B Biological treatment '!W105</f>
        <v>2.9861113692386101</v>
      </c>
      <c r="G52" s="1076">
        <f>'4C2 Open-burning '!R112</f>
        <v>17.09412294879025</v>
      </c>
      <c r="H52" s="1076">
        <f>'4C2 Open-burning '!Z112</f>
        <v>5.7516490293248683</v>
      </c>
      <c r="I52" s="1076">
        <f>'4C2 Open-burning '!AH112</f>
        <v>8.0072662192157668E-2</v>
      </c>
      <c r="J52" s="1111">
        <f>'4D Wastewater treatment and dis'!AV149</f>
        <v>212.54010495110225</v>
      </c>
      <c r="K52" s="892">
        <f>'4D Wastewater treatment and dis'!AW149</f>
        <v>3.6212134335306052</v>
      </c>
      <c r="L52" s="893">
        <f t="shared" si="65"/>
        <v>9819.8926133102832</v>
      </c>
      <c r="M52" s="894">
        <f t="shared" si="66"/>
        <v>23.225310649633638</v>
      </c>
      <c r="N52" s="893">
        <f t="shared" si="67"/>
        <v>1970.8335036974827</v>
      </c>
      <c r="O52" s="895">
        <f t="shared" si="68"/>
        <v>162.70127784418136</v>
      </c>
      <c r="P52" s="893">
        <f t="shared" si="69"/>
        <v>5585.9183683676356</v>
      </c>
      <c r="Q52" s="598">
        <f t="shared" si="70"/>
        <v>9819.8926133102832</v>
      </c>
      <c r="R52" s="600">
        <f t="shared" si="71"/>
        <v>1994.0588143471164</v>
      </c>
      <c r="S52" s="597">
        <f t="shared" si="72"/>
        <v>162.70127784418136</v>
      </c>
      <c r="T52" s="598">
        <f t="shared" si="73"/>
        <v>5585.9183683676356</v>
      </c>
      <c r="U52" s="598">
        <f t="shared" si="74"/>
        <v>17562.571073869218</v>
      </c>
      <c r="V52" s="3"/>
      <c r="W52" s="677">
        <f t="shared" si="75"/>
        <v>2042</v>
      </c>
      <c r="X52" s="1263">
        <f t="shared" si="76"/>
        <v>9690.3144556223615</v>
      </c>
      <c r="Y52" s="1264">
        <f t="shared" si="77"/>
        <v>1977.0293932104053</v>
      </c>
      <c r="Z52" s="1264">
        <f t="shared" si="78"/>
        <v>155.24381728481632</v>
      </c>
      <c r="AA52" s="1264">
        <f t="shared" si="79"/>
        <v>5661.0062950673746</v>
      </c>
      <c r="AB52" s="1331">
        <f t="shared" si="22"/>
        <v>17483.593961184957</v>
      </c>
      <c r="AC52" s="1365" t="str">
        <f>'Recycling - Case 1'!T162</f>
        <v>Policies met</v>
      </c>
      <c r="AD52" s="1263">
        <f t="shared" si="80"/>
        <v>8361.0263719318355</v>
      </c>
      <c r="AE52" s="1264">
        <f t="shared" si="81"/>
        <v>811.62827391930966</v>
      </c>
      <c r="AF52" s="1264">
        <f t="shared" si="82"/>
        <v>155.24381728481632</v>
      </c>
      <c r="AG52" s="1264">
        <f t="shared" si="83"/>
        <v>5661.0062950673746</v>
      </c>
      <c r="AH52" s="1331">
        <f t="shared" si="56"/>
        <v>14988.904758203336</v>
      </c>
      <c r="AI52" s="1365" t="str">
        <f>'Recycling - Case 1'!T202</f>
        <v>Policies not met</v>
      </c>
      <c r="AJ52" s="1263">
        <f t="shared" si="84"/>
        <v>7547.7800038877022</v>
      </c>
      <c r="AK52" s="1264">
        <f t="shared" si="85"/>
        <v>1259.2422314335386</v>
      </c>
      <c r="AL52" s="1264">
        <f t="shared" si="86"/>
        <v>134.73199353850791</v>
      </c>
      <c r="AM52" s="1264">
        <f t="shared" si="87"/>
        <v>5984.1987890154069</v>
      </c>
      <c r="AN52" s="1331">
        <f t="shared" si="88"/>
        <v>14925.953017875156</v>
      </c>
      <c r="AO52" s="1365" t="str">
        <f>'Recycling - Case 2'!T161</f>
        <v>Policies met</v>
      </c>
      <c r="AP52" s="1263">
        <f t="shared" si="89"/>
        <v>7402.0450987261793</v>
      </c>
      <c r="AQ52" s="1264">
        <f t="shared" si="90"/>
        <v>1259.2422314335386</v>
      </c>
      <c r="AR52" s="1264">
        <f t="shared" si="91"/>
        <v>134.73199353850791</v>
      </c>
      <c r="AS52" s="1264">
        <f t="shared" si="92"/>
        <v>5984.1987890154069</v>
      </c>
      <c r="AT52" s="1331">
        <f t="shared" si="37"/>
        <v>14780.218112713632</v>
      </c>
      <c r="AU52" s="1365" t="str">
        <f>'Recycling - Case 2'!T201</f>
        <v>Policies not met</v>
      </c>
      <c r="AV52" s="1263">
        <f t="shared" si="59"/>
        <v>7549.0868794220014</v>
      </c>
      <c r="AW52" s="1264">
        <f t="shared" si="60"/>
        <v>704.71139000753521</v>
      </c>
      <c r="AX52" s="1264">
        <f t="shared" si="61"/>
        <v>134.73199353850791</v>
      </c>
      <c r="AY52" s="1264">
        <f t="shared" si="62"/>
        <v>5984.1987890154069</v>
      </c>
      <c r="AZ52" s="1331">
        <f t="shared" si="63"/>
        <v>14372.729051983451</v>
      </c>
      <c r="BA52" s="1365" t="str">
        <f>'Recycling - Case 2'!T161</f>
        <v>Policies met</v>
      </c>
      <c r="BB52" s="1263">
        <f t="shared" si="93"/>
        <v>7403.3519742604776</v>
      </c>
      <c r="BC52" s="1264">
        <f t="shared" si="94"/>
        <v>457.22561463116955</v>
      </c>
      <c r="BD52" s="1264">
        <f t="shared" si="95"/>
        <v>134.73199353850791</v>
      </c>
      <c r="BE52" s="1264">
        <f t="shared" si="96"/>
        <v>5984.1987890154069</v>
      </c>
      <c r="BF52" s="1331">
        <f t="shared" si="47"/>
        <v>13979.508371445561</v>
      </c>
      <c r="BG52" s="1365" t="str">
        <f>'Recycling - Case 2'!T201</f>
        <v>Policies not met</v>
      </c>
      <c r="BH52" s="677">
        <f t="shared" si="48"/>
        <v>2042</v>
      </c>
      <c r="BI52" s="1264">
        <f>'Recycling - Case 1'!BV122</f>
        <v>67.366831439369918</v>
      </c>
      <c r="BJ52" s="483">
        <f>'Recycling - Case 1'!BW122</f>
        <v>0.59668143494868919</v>
      </c>
      <c r="BK52" s="1331">
        <f>'Recycling - Case 1'!BX122</f>
        <v>18.383718586317492</v>
      </c>
      <c r="BL52" s="1263">
        <f>'Recycling - Case 1'!BY122</f>
        <v>70.710048396163359</v>
      </c>
      <c r="BM52" s="483">
        <f>'Recycling - Case 1'!BZ122</f>
        <v>0.42280282235683919</v>
      </c>
      <c r="BN52" s="1331">
        <f>'Recycling - Case 1'!CA122</f>
        <v>50.172070130067617</v>
      </c>
      <c r="BO52" s="1264">
        <f>'Recycling - Case 2'!BV121</f>
        <v>49.750914010731776</v>
      </c>
      <c r="BP52" s="483">
        <f>'Recycling - Case 2'!BW121</f>
        <v>0.82169142216068014</v>
      </c>
      <c r="BQ52" s="1331">
        <f>'Recycling - Case 2'!BX121</f>
        <v>18.383718586317492</v>
      </c>
      <c r="BR52" s="1263">
        <f>'Recycling - Case 2'!BY121</f>
        <v>69.179390284490111</v>
      </c>
      <c r="BS52" s="483">
        <f>'Recycling - Case 2'!BZ121</f>
        <v>0.79245819927103844</v>
      </c>
      <c r="BT52" s="1331">
        <f>'Recycling - Case 2'!CA121</f>
        <v>50.172070130067617</v>
      </c>
      <c r="BU52" s="1264">
        <f>'Recycling - Case 3'!BV121</f>
        <v>49.750914010731776</v>
      </c>
      <c r="BV52" s="483">
        <f>'Recycling - Case 3'!BW121</f>
        <v>0.82169142216068014</v>
      </c>
      <c r="BW52" s="1331">
        <f>'Recycling - Case 3'!BX121</f>
        <v>18.383718586317492</v>
      </c>
      <c r="BX52" s="1263">
        <f>'Recycling - Case 3'!BY121</f>
        <v>69.179390284490111</v>
      </c>
      <c r="BY52" s="483">
        <f>'Recycling - Case 3'!BZ121</f>
        <v>0.79245819927103844</v>
      </c>
      <c r="BZ52" s="1331">
        <f>'Recycling - Case 3'!CA121</f>
        <v>50.172070130067617</v>
      </c>
      <c r="CA52" s="677">
        <v>2042</v>
      </c>
      <c r="CB52" s="730">
        <f>'Recycling - Case 1'!CB122</f>
        <v>0.6221452103059506</v>
      </c>
      <c r="CC52" s="483">
        <f>'Recycling - Case 1'!CC122</f>
        <v>0.37343557013134793</v>
      </c>
      <c r="CD52" s="483">
        <f>'Recycling - Case 1'!CD122</f>
        <v>0.6221452103059506</v>
      </c>
      <c r="CE52" s="604">
        <f>'Recycling - Case 1'!CE122</f>
        <v>0.85</v>
      </c>
      <c r="CF52" s="730">
        <f>'Recycling - Case 2'!CB121</f>
        <v>0.67206984488050125</v>
      </c>
      <c r="CG52" s="483">
        <f>'Recycling - Case 2'!CC121</f>
        <v>0.64292497656199366</v>
      </c>
      <c r="CH52" s="483">
        <f>'Recycling - Case 2'!CD121</f>
        <v>0.67206984488050125</v>
      </c>
      <c r="CI52" s="604">
        <f>'Recycling - Case 2'!CE121</f>
        <v>0.85</v>
      </c>
      <c r="CJ52" s="730">
        <f>'Recycling - Case 3'!CB121</f>
        <v>0.67206984488050125</v>
      </c>
      <c r="CK52" s="483">
        <f>'Recycling - Case 3'!CC121</f>
        <v>0.64292497656199366</v>
      </c>
      <c r="CL52" s="483">
        <f>'Recycling - Case 3'!CD121</f>
        <v>0.67206984488050125</v>
      </c>
      <c r="CM52" s="604">
        <f>'Recycling - Case 3'!CE121</f>
        <v>0.85</v>
      </c>
    </row>
    <row r="53" spans="1:91">
      <c r="A53" s="4">
        <f>'Input data'!A142</f>
        <v>2042</v>
      </c>
      <c r="B53" s="4"/>
      <c r="C53" s="891">
        <f>'4A SWD Case 1'!BG111</f>
        <v>461.44354550582676</v>
      </c>
      <c r="D53" s="3">
        <f>'4B Biological treatment '!T106</f>
        <v>1.0965221260179732</v>
      </c>
      <c r="E53" s="1358">
        <f>'4B Biological treatment '!U106</f>
        <v>49.343495670808785</v>
      </c>
      <c r="F53" s="1358">
        <f>'4B Biological treatment '!W106</f>
        <v>2.9606097402485272</v>
      </c>
      <c r="G53" s="1076">
        <f>'4C2 Open-burning '!R113</f>
        <v>16.310608833986393</v>
      </c>
      <c r="H53" s="1076">
        <f>'4C2 Open-burning '!Z113</f>
        <v>5.488020517269919</v>
      </c>
      <c r="I53" s="1076">
        <f>'4C2 Open-burning '!AH113</f>
        <v>7.6402508348908479E-2</v>
      </c>
      <c r="J53" s="1111">
        <f>'4D Wastewater treatment and dis'!AV150</f>
        <v>215.78375571491307</v>
      </c>
      <c r="K53" s="892">
        <f>'4D Wastewater treatment and dis'!AW150</f>
        <v>3.643701371142583</v>
      </c>
      <c r="L53" s="893">
        <f t="shared" si="65"/>
        <v>9690.3144556223615</v>
      </c>
      <c r="M53" s="894">
        <f t="shared" si="66"/>
        <v>23.026964646377436</v>
      </c>
      <c r="N53" s="893">
        <f t="shared" si="67"/>
        <v>1954.0024285640279</v>
      </c>
      <c r="O53" s="895">
        <f t="shared" si="68"/>
        <v>155.24381728481632</v>
      </c>
      <c r="P53" s="893">
        <f t="shared" si="69"/>
        <v>5661.0062950673746</v>
      </c>
      <c r="Q53" s="598">
        <f t="shared" si="70"/>
        <v>9690.3144556223615</v>
      </c>
      <c r="R53" s="600">
        <f t="shared" si="71"/>
        <v>1977.0293932104053</v>
      </c>
      <c r="S53" s="597">
        <f t="shared" si="72"/>
        <v>155.24381728481632</v>
      </c>
      <c r="T53" s="598">
        <f t="shared" si="73"/>
        <v>5661.0062950673746</v>
      </c>
      <c r="U53" s="598">
        <f t="shared" si="74"/>
        <v>17483.593961184957</v>
      </c>
      <c r="V53" s="3"/>
      <c r="W53" s="677">
        <f t="shared" si="75"/>
        <v>2043</v>
      </c>
      <c r="X53" s="1263">
        <f t="shared" si="76"/>
        <v>9562.6651996248565</v>
      </c>
      <c r="Y53" s="1264">
        <f t="shared" si="77"/>
        <v>1961.723023285502</v>
      </c>
      <c r="Z53" s="1264">
        <f t="shared" si="78"/>
        <v>147.68792747966833</v>
      </c>
      <c r="AA53" s="1264">
        <f t="shared" si="79"/>
        <v>5736.8295733086024</v>
      </c>
      <c r="AB53" s="1331">
        <f t="shared" si="22"/>
        <v>17408.90572369863</v>
      </c>
      <c r="AC53" s="1365" t="str">
        <f>'Recycling - Case 1'!T163</f>
        <v>Policies met</v>
      </c>
      <c r="AD53" s="1263">
        <f t="shared" si="80"/>
        <v>8142.6337149814526</v>
      </c>
      <c r="AE53" s="1264">
        <f t="shared" si="81"/>
        <v>801.69338249850898</v>
      </c>
      <c r="AF53" s="1264">
        <f t="shared" si="82"/>
        <v>147.68792747966833</v>
      </c>
      <c r="AG53" s="1264">
        <f t="shared" si="83"/>
        <v>5736.8295733086024</v>
      </c>
      <c r="AH53" s="1331">
        <f t="shared" si="56"/>
        <v>14828.844598268231</v>
      </c>
      <c r="AI53" s="1365" t="str">
        <f>'Recycling - Case 1'!T203</f>
        <v>Policies not met</v>
      </c>
      <c r="AJ53" s="1263">
        <f t="shared" si="84"/>
        <v>7412.1786028473325</v>
      </c>
      <c r="AK53" s="1264">
        <f t="shared" si="85"/>
        <v>1362.4017155721756</v>
      </c>
      <c r="AL53" s="1264">
        <f t="shared" si="86"/>
        <v>135.56911614417857</v>
      </c>
      <c r="AM53" s="1264">
        <f t="shared" si="87"/>
        <v>6021.38006980511</v>
      </c>
      <c r="AN53" s="1331">
        <f t="shared" si="88"/>
        <v>14931.529504368798</v>
      </c>
      <c r="AO53" s="1365" t="str">
        <f>'Recycling - Case 2'!T162</f>
        <v>Policies met</v>
      </c>
      <c r="AP53" s="1263">
        <f t="shared" si="89"/>
        <v>7205.9520279025983</v>
      </c>
      <c r="AQ53" s="1264">
        <f t="shared" si="90"/>
        <v>1362.4017155721756</v>
      </c>
      <c r="AR53" s="1264">
        <f t="shared" si="91"/>
        <v>135.56911614417857</v>
      </c>
      <c r="AS53" s="1264">
        <f t="shared" si="92"/>
        <v>6021.38006980511</v>
      </c>
      <c r="AT53" s="1331">
        <f t="shared" si="37"/>
        <v>14725.302929424062</v>
      </c>
      <c r="AU53" s="1365" t="str">
        <f>'Recycling - Case 2'!T202</f>
        <v>Policies not met</v>
      </c>
      <c r="AV53" s="1263">
        <f t="shared" si="59"/>
        <v>7413.5333479698129</v>
      </c>
      <c r="AW53" s="1264">
        <f t="shared" si="60"/>
        <v>766.22112492583358</v>
      </c>
      <c r="AX53" s="1264">
        <f t="shared" si="61"/>
        <v>135.56911614417857</v>
      </c>
      <c r="AY53" s="1264">
        <f t="shared" si="62"/>
        <v>6021.38006980511</v>
      </c>
      <c r="AZ53" s="1331">
        <f t="shared" si="63"/>
        <v>14336.703658844934</v>
      </c>
      <c r="BA53" s="1365" t="str">
        <f>'Recycling - Case 2'!T162</f>
        <v>Policies met</v>
      </c>
      <c r="BB53" s="1263">
        <f t="shared" si="93"/>
        <v>7207.3067730250787</v>
      </c>
      <c r="BC53" s="1264">
        <f t="shared" si="94"/>
        <v>465.79693802767173</v>
      </c>
      <c r="BD53" s="1264">
        <f t="shared" si="95"/>
        <v>135.56911614417857</v>
      </c>
      <c r="BE53" s="1264">
        <f t="shared" si="96"/>
        <v>6021.38006980511</v>
      </c>
      <c r="BF53" s="1331">
        <f t="shared" si="47"/>
        <v>13830.052897002039</v>
      </c>
      <c r="BG53" s="1365" t="str">
        <f>'Recycling - Case 2'!T202</f>
        <v>Policies not met</v>
      </c>
      <c r="BH53" s="677">
        <f t="shared" si="48"/>
        <v>2043</v>
      </c>
      <c r="BI53" s="1264">
        <f>'Recycling - Case 1'!BV123</f>
        <v>65.676832459136079</v>
      </c>
      <c r="BJ53" s="483">
        <f>'Recycling - Case 1'!BW123</f>
        <v>0.59899357316531754</v>
      </c>
      <c r="BK53" s="1331">
        <f>'Recycling - Case 1'!BX123</f>
        <v>17.10273764872111</v>
      </c>
      <c r="BL53" s="1263">
        <f>'Recycling - Case 1'!BY123</f>
        <v>70.432137511783253</v>
      </c>
      <c r="BM53" s="483">
        <f>'Recycling - Case 1'!BZ123</f>
        <v>0.41751088915775353</v>
      </c>
      <c r="BN53" s="1331">
        <f>'Recycling - Case 1'!CA123</f>
        <v>50.172070130067617</v>
      </c>
      <c r="BO53" s="1264">
        <f>'Recycling - Case 2'!BV122</f>
        <v>50.991776083637212</v>
      </c>
      <c r="BP53" s="483">
        <f>'Recycling - Case 2'!BW122</f>
        <v>0.81406122796454849</v>
      </c>
      <c r="BQ53" s="1331">
        <f>'Recycling - Case 2'!BX122</f>
        <v>17.10273764872111</v>
      </c>
      <c r="BR53" s="1263">
        <f>'Recycling - Case 2'!BY122</f>
        <v>69.527792919906389</v>
      </c>
      <c r="BS53" s="483">
        <f>'Recycling - Case 2'!BZ122</f>
        <v>0.79229576189754736</v>
      </c>
      <c r="BT53" s="1331">
        <f>'Recycling - Case 2'!CA122</f>
        <v>50.172070130067617</v>
      </c>
      <c r="BU53" s="1264">
        <f>'Recycling - Case 3'!BV122</f>
        <v>50.991776083637212</v>
      </c>
      <c r="BV53" s="483">
        <f>'Recycling - Case 3'!BW122</f>
        <v>0.81406122796454849</v>
      </c>
      <c r="BW53" s="1331">
        <f>'Recycling - Case 3'!BX122</f>
        <v>17.10273764872111</v>
      </c>
      <c r="BX53" s="1263">
        <f>'Recycling - Case 3'!BY122</f>
        <v>69.527792919906389</v>
      </c>
      <c r="BY53" s="483">
        <f>'Recycling - Case 3'!BZ122</f>
        <v>0.79229576189754736</v>
      </c>
      <c r="BZ53" s="1331">
        <f>'Recycling - Case 3'!CA122</f>
        <v>50.172070130067617</v>
      </c>
      <c r="CA53" s="677">
        <v>2043</v>
      </c>
      <c r="CB53" s="730">
        <f>'Recycling - Case 1'!CB123</f>
        <v>0.64275547156198976</v>
      </c>
      <c r="CC53" s="483">
        <f>'Recycling - Case 1'!CC123</f>
        <v>0.39031293246177778</v>
      </c>
      <c r="CD53" s="483">
        <f>'Recycling - Case 1'!CD123</f>
        <v>0.64275547156198976</v>
      </c>
      <c r="CE53" s="604">
        <f>'Recycling - Case 1'!CE123</f>
        <v>0.85</v>
      </c>
      <c r="CF53" s="730">
        <f>'Recycling - Case 2'!CB122</f>
        <v>0.67206984488050125</v>
      </c>
      <c r="CG53" s="483">
        <f>'Recycling - Case 2'!CC122</f>
        <v>0.61404708700249144</v>
      </c>
      <c r="CH53" s="483">
        <f>'Recycling - Case 2'!CD122</f>
        <v>0.67206984488050125</v>
      </c>
      <c r="CI53" s="604">
        <f>'Recycling - Case 2'!CE122</f>
        <v>0.85</v>
      </c>
      <c r="CJ53" s="730">
        <f>'Recycling - Case 3'!CB122</f>
        <v>0.67206984488050125</v>
      </c>
      <c r="CK53" s="483">
        <f>'Recycling - Case 3'!CC122</f>
        <v>0.61404708700249144</v>
      </c>
      <c r="CL53" s="483">
        <f>'Recycling - Case 3'!CD122</f>
        <v>0.67206984488050125</v>
      </c>
      <c r="CM53" s="604">
        <f>'Recycling - Case 3'!CE122</f>
        <v>0.85</v>
      </c>
    </row>
    <row r="54" spans="1:91">
      <c r="A54" s="4">
        <f>'Input data'!A143</f>
        <v>2043</v>
      </c>
      <c r="B54" s="4"/>
      <c r="C54" s="891">
        <f>'4A SWD Case 1'!BG112</f>
        <v>455.36500950594558</v>
      </c>
      <c r="D54" s="3">
        <f>'4B Biological treatment '!T107</f>
        <v>1.0880327361539113</v>
      </c>
      <c r="E54" s="1358">
        <f>'4B Biological treatment '!U107</f>
        <v>48.961473126926002</v>
      </c>
      <c r="F54" s="1358">
        <f>'4B Biological treatment '!W107</f>
        <v>2.9376883876155606</v>
      </c>
      <c r="G54" s="1076">
        <f>'4C2 Open-burning '!R114</f>
        <v>15.516753302990452</v>
      </c>
      <c r="H54" s="1076">
        <f>'4C2 Open-burning '!Z114</f>
        <v>5.2209124352726439</v>
      </c>
      <c r="I54" s="1076">
        <f>'4C2 Open-burning '!AH114</f>
        <v>7.2683913019201185E-2</v>
      </c>
      <c r="J54" s="1111">
        <f>'4D Wastewater treatment and dis'!AV151</f>
        <v>219.06019027175444</v>
      </c>
      <c r="K54" s="892">
        <f>'4D Wastewater treatment and dis'!AW151</f>
        <v>3.6663405729089016</v>
      </c>
      <c r="L54" s="893">
        <f t="shared" si="65"/>
        <v>9562.6651996248565</v>
      </c>
      <c r="M54" s="894">
        <f t="shared" si="66"/>
        <v>22.848687459232139</v>
      </c>
      <c r="N54" s="893">
        <f t="shared" si="67"/>
        <v>1938.8743358262698</v>
      </c>
      <c r="O54" s="895">
        <f t="shared" si="68"/>
        <v>147.68792747966833</v>
      </c>
      <c r="P54" s="893">
        <f t="shared" si="69"/>
        <v>5736.8295733086024</v>
      </c>
      <c r="Q54" s="598">
        <f t="shared" si="70"/>
        <v>9562.6651996248565</v>
      </c>
      <c r="R54" s="600">
        <f t="shared" si="71"/>
        <v>1961.723023285502</v>
      </c>
      <c r="S54" s="597">
        <f t="shared" si="72"/>
        <v>147.68792747966833</v>
      </c>
      <c r="T54" s="598">
        <f t="shared" si="73"/>
        <v>5736.8295733086024</v>
      </c>
      <c r="U54" s="598">
        <f t="shared" si="74"/>
        <v>17408.90572369863</v>
      </c>
      <c r="V54" s="3"/>
      <c r="W54" s="677">
        <f t="shared" si="75"/>
        <v>2044</v>
      </c>
      <c r="X54" s="1263">
        <f t="shared" si="76"/>
        <v>9436.9528312839593</v>
      </c>
      <c r="Y54" s="1264">
        <f t="shared" si="77"/>
        <v>1948.3278194464137</v>
      </c>
      <c r="Z54" s="1264">
        <f t="shared" si="78"/>
        <v>140.03063992767423</v>
      </c>
      <c r="AA54" s="1264">
        <f t="shared" si="79"/>
        <v>5813.3137796102064</v>
      </c>
      <c r="AB54" s="1331">
        <f t="shared" si="22"/>
        <v>17338.625070268252</v>
      </c>
      <c r="AC54" s="1365" t="str">
        <f>'Recycling - Case 1'!T164</f>
        <v>Policies met</v>
      </c>
      <c r="AD54" s="1263">
        <f t="shared" si="80"/>
        <v>7931.3206113700608</v>
      </c>
      <c r="AE54" s="1264">
        <f t="shared" si="81"/>
        <v>791.96429325004726</v>
      </c>
      <c r="AF54" s="1264">
        <f t="shared" si="82"/>
        <v>140.03063992767423</v>
      </c>
      <c r="AG54" s="1264">
        <f t="shared" si="83"/>
        <v>5813.3137796102064</v>
      </c>
      <c r="AH54" s="1331">
        <f t="shared" si="56"/>
        <v>14676.629324157988</v>
      </c>
      <c r="AI54" s="1365" t="str">
        <f>'Recycling - Case 1'!T204</f>
        <v>Policies not met</v>
      </c>
      <c r="AJ54" s="1263">
        <f t="shared" si="84"/>
        <v>7297.3411488564225</v>
      </c>
      <c r="AK54" s="1264">
        <f t="shared" si="85"/>
        <v>1467.7237729642752</v>
      </c>
      <c r="AL54" s="1264">
        <f t="shared" si="86"/>
        <v>136.4099675810549</v>
      </c>
      <c r="AM54" s="1264">
        <f t="shared" si="87"/>
        <v>6058.7269687720527</v>
      </c>
      <c r="AN54" s="1331">
        <f t="shared" si="88"/>
        <v>14960.201858173807</v>
      </c>
      <c r="AO54" s="1365" t="str">
        <f>'Recycling - Case 2'!T163</f>
        <v>Policies met</v>
      </c>
      <c r="AP54" s="1263">
        <f t="shared" si="89"/>
        <v>7021.6860294050584</v>
      </c>
      <c r="AQ54" s="1264">
        <f t="shared" si="90"/>
        <v>1467.7237729642752</v>
      </c>
      <c r="AR54" s="1264">
        <f t="shared" si="91"/>
        <v>136.4099675810549</v>
      </c>
      <c r="AS54" s="1264">
        <f t="shared" si="92"/>
        <v>6058.7269687720527</v>
      </c>
      <c r="AT54" s="1331">
        <f t="shared" si="37"/>
        <v>14684.546738722442</v>
      </c>
      <c r="AU54" s="1365" t="str">
        <f>'Recycling - Case 2'!T203</f>
        <v>Policies not met</v>
      </c>
      <c r="AV54" s="1263">
        <f t="shared" si="59"/>
        <v>7298.7417461528812</v>
      </c>
      <c r="AW54" s="1264">
        <f t="shared" si="60"/>
        <v>828.87854823025521</v>
      </c>
      <c r="AX54" s="1264">
        <f t="shared" si="61"/>
        <v>136.4099675810549</v>
      </c>
      <c r="AY54" s="1264">
        <f t="shared" si="62"/>
        <v>6058.7269687720527</v>
      </c>
      <c r="AZ54" s="1331">
        <f t="shared" si="63"/>
        <v>14322.757230736244</v>
      </c>
      <c r="BA54" s="1365" t="str">
        <f>'Recycling - Case 2'!T163</f>
        <v>Policies met</v>
      </c>
      <c r="BB54" s="1263">
        <f t="shared" si="93"/>
        <v>7023.0866267015172</v>
      </c>
      <c r="BC54" s="1264">
        <f t="shared" si="94"/>
        <v>474.67618409873995</v>
      </c>
      <c r="BD54" s="1264">
        <f t="shared" si="95"/>
        <v>136.4099675810549</v>
      </c>
      <c r="BE54" s="1264">
        <f t="shared" si="96"/>
        <v>6058.7269687720527</v>
      </c>
      <c r="BF54" s="1331">
        <f t="shared" si="47"/>
        <v>13692.899747153366</v>
      </c>
      <c r="BG54" s="1365" t="str">
        <f>'Recycling - Case 2'!T203</f>
        <v>Policies not met</v>
      </c>
      <c r="BH54" s="677">
        <f t="shared" si="48"/>
        <v>2044</v>
      </c>
      <c r="BI54" s="1264">
        <f>'Recycling - Case 1'!BV124</f>
        <v>64.033005936569438</v>
      </c>
      <c r="BJ54" s="483">
        <f>'Recycling - Case 1'!BW124</f>
        <v>0.60133606655908911</v>
      </c>
      <c r="BK54" s="1331">
        <f>'Recycling - Case 1'!BX124</f>
        <v>15.821756711124728</v>
      </c>
      <c r="BL54" s="1263">
        <f>'Recycling - Case 1'!BY124</f>
        <v>70.158774527451826</v>
      </c>
      <c r="BM54" s="483">
        <f>'Recycling - Case 1'!BZ124</f>
        <v>0.41216400214235493</v>
      </c>
      <c r="BN54" s="1331">
        <f>'Recycling - Case 1'!CA124</f>
        <v>50.172070130067617</v>
      </c>
      <c r="BO54" s="1264">
        <f>'Recycling - Case 2'!BV123</f>
        <v>52.285439768867342</v>
      </c>
      <c r="BP54" s="483">
        <f>'Recycling - Case 2'!BW123</f>
        <v>0.80660593745077303</v>
      </c>
      <c r="BQ54" s="1331">
        <f>'Recycling - Case 2'!BX123</f>
        <v>15.821756711124728</v>
      </c>
      <c r="BR54" s="1263">
        <f>'Recycling - Case 2'!BY123</f>
        <v>69.88858833798335</v>
      </c>
      <c r="BS54" s="483">
        <f>'Recycling - Case 2'!BZ123</f>
        <v>0.79209831292977029</v>
      </c>
      <c r="BT54" s="1331">
        <f>'Recycling - Case 2'!CA123</f>
        <v>50.172070130067617</v>
      </c>
      <c r="BU54" s="1264">
        <f>'Recycling - Case 3'!BV123</f>
        <v>52.285439768867342</v>
      </c>
      <c r="BV54" s="483">
        <f>'Recycling - Case 3'!BW123</f>
        <v>0.80660593745077303</v>
      </c>
      <c r="BW54" s="1331">
        <f>'Recycling - Case 3'!BX123</f>
        <v>15.821756711124728</v>
      </c>
      <c r="BX54" s="1263">
        <f>'Recycling - Case 3'!BY123</f>
        <v>69.88858833798335</v>
      </c>
      <c r="BY54" s="483">
        <f>'Recycling - Case 3'!BZ123</f>
        <v>0.79209831292977029</v>
      </c>
      <c r="BZ54" s="1331">
        <f>'Recycling - Case 3'!CA123</f>
        <v>50.172070130067617</v>
      </c>
      <c r="CA54" s="677">
        <v>2044</v>
      </c>
      <c r="CB54" s="730">
        <f>'Recycling - Case 1'!CB124</f>
        <v>0.66336573281802869</v>
      </c>
      <c r="CC54" s="483">
        <f>'Recycling - Case 1'!CC124</f>
        <v>0.40608610199260547</v>
      </c>
      <c r="CD54" s="483">
        <f>'Recycling - Case 1'!CD124</f>
        <v>0.66336573281802869</v>
      </c>
      <c r="CE54" s="604">
        <f>'Recycling - Case 1'!CE124</f>
        <v>0.85</v>
      </c>
      <c r="CF54" s="730">
        <f>'Recycling - Case 2'!CB123</f>
        <v>0.67206984488050125</v>
      </c>
      <c r="CG54" s="483">
        <f>'Recycling - Case 2'!CC123</f>
        <v>0.58660162548775696</v>
      </c>
      <c r="CH54" s="483">
        <f>'Recycling - Case 2'!CD123</f>
        <v>0.67206984488050125</v>
      </c>
      <c r="CI54" s="604">
        <f>'Recycling - Case 2'!CE123</f>
        <v>0.85</v>
      </c>
      <c r="CJ54" s="730">
        <f>'Recycling - Case 3'!CB123</f>
        <v>0.67206984488050125</v>
      </c>
      <c r="CK54" s="483">
        <f>'Recycling - Case 3'!CC123</f>
        <v>0.58660162548775696</v>
      </c>
      <c r="CL54" s="483">
        <f>'Recycling - Case 3'!CD123</f>
        <v>0.67206984488050125</v>
      </c>
      <c r="CM54" s="604">
        <f>'Recycling - Case 3'!CE123</f>
        <v>0.85</v>
      </c>
    </row>
    <row r="55" spans="1:91">
      <c r="A55" s="4">
        <f>'Input data'!A144</f>
        <v>2044</v>
      </c>
      <c r="B55" s="4"/>
      <c r="C55" s="891">
        <f>'4A SWD Case 1'!BG113</f>
        <v>449.37870625161713</v>
      </c>
      <c r="D55" s="3">
        <f>'4B Biological treatment '!T108</f>
        <v>1.080603338572609</v>
      </c>
      <c r="E55" s="1358">
        <f>'4B Biological treatment '!U108</f>
        <v>48.627150235767395</v>
      </c>
      <c r="F55" s="1358">
        <f>'4B Biological treatment '!W108</f>
        <v>2.9176290141460437</v>
      </c>
      <c r="G55" s="1076">
        <f>'4C2 Open-burning '!R115</f>
        <v>14.712244471822048</v>
      </c>
      <c r="H55" s="1076">
        <f>'4C2 Open-burning '!Z115</f>
        <v>4.9502198439220875</v>
      </c>
      <c r="I55" s="1076">
        <f>'4C2 Open-burning '!AH115</f>
        <v>6.8915415269317243E-2</v>
      </c>
      <c r="J55" s="1111">
        <f>'4D Wastewater treatment and dis'!AV152</f>
        <v>222.36660896201545</v>
      </c>
      <c r="K55" s="892">
        <f>'4D Wastewater treatment and dis'!AW152</f>
        <v>3.6890806174447812</v>
      </c>
      <c r="L55" s="893">
        <f t="shared" si="65"/>
        <v>9436.9528312839593</v>
      </c>
      <c r="M55" s="894">
        <f t="shared" si="66"/>
        <v>22.692670110024789</v>
      </c>
      <c r="N55" s="893">
        <f t="shared" si="67"/>
        <v>1925.6351493363888</v>
      </c>
      <c r="O55" s="895">
        <f t="shared" si="68"/>
        <v>140.03063992767423</v>
      </c>
      <c r="P55" s="893">
        <f t="shared" si="69"/>
        <v>5813.3137796102064</v>
      </c>
      <c r="Q55" s="598">
        <f t="shared" si="70"/>
        <v>9436.9528312839593</v>
      </c>
      <c r="R55" s="600">
        <f t="shared" si="71"/>
        <v>1948.3278194464137</v>
      </c>
      <c r="S55" s="597">
        <f t="shared" si="72"/>
        <v>140.03063992767423</v>
      </c>
      <c r="T55" s="598">
        <f t="shared" si="73"/>
        <v>5813.3137796102064</v>
      </c>
      <c r="U55" s="598">
        <f t="shared" si="74"/>
        <v>17338.625070268252</v>
      </c>
      <c r="V55" s="3"/>
      <c r="W55" s="677">
        <f t="shared" si="75"/>
        <v>2045</v>
      </c>
      <c r="X55" s="1263">
        <f t="shared" si="76"/>
        <v>9313.206785928287</v>
      </c>
      <c r="Y55" s="1264">
        <f t="shared" si="77"/>
        <v>1938.1275162842444</v>
      </c>
      <c r="Z55" s="1264">
        <f t="shared" si="78"/>
        <v>132.27484501144806</v>
      </c>
      <c r="AA55" s="1264">
        <f t="shared" si="79"/>
        <v>5890.622295987414</v>
      </c>
      <c r="AB55" s="1331">
        <f t="shared" si="22"/>
        <v>17274.231443211393</v>
      </c>
      <c r="AC55" s="1365" t="str">
        <f>'Recycling - Case 1'!T165</f>
        <v>Policies met</v>
      </c>
      <c r="AD55" s="1263">
        <f t="shared" si="80"/>
        <v>7726.6380305591665</v>
      </c>
      <c r="AE55" s="1264">
        <f t="shared" si="81"/>
        <v>782.71088832050009</v>
      </c>
      <c r="AF55" s="1264">
        <f t="shared" si="82"/>
        <v>132.27484501144806</v>
      </c>
      <c r="AG55" s="1264">
        <f t="shared" si="83"/>
        <v>5890.622295987414</v>
      </c>
      <c r="AH55" s="1331">
        <f t="shared" si="56"/>
        <v>14532.246059878529</v>
      </c>
      <c r="AI55" s="1365" t="str">
        <f>'Recycling - Case 1'!T205</f>
        <v>Policies not met</v>
      </c>
      <c r="AJ55" s="1263">
        <f t="shared" si="84"/>
        <v>7202.5464991104445</v>
      </c>
      <c r="AK55" s="1264">
        <f t="shared" si="85"/>
        <v>1576.3532742992065</v>
      </c>
      <c r="AL55" s="1264">
        <f t="shared" si="86"/>
        <v>137.25827668034256</v>
      </c>
      <c r="AM55" s="1264">
        <f t="shared" si="87"/>
        <v>6096.4051040934646</v>
      </c>
      <c r="AN55" s="1331">
        <f t="shared" si="88"/>
        <v>15012.563154183459</v>
      </c>
      <c r="AO55" s="1365" t="str">
        <f>'Recycling - Case 2'!T164</f>
        <v>Policies met</v>
      </c>
      <c r="AP55" s="1263">
        <f t="shared" si="89"/>
        <v>6848.7408109701091</v>
      </c>
      <c r="AQ55" s="1264">
        <f t="shared" si="90"/>
        <v>1576.3532742992065</v>
      </c>
      <c r="AR55" s="1264">
        <f t="shared" si="91"/>
        <v>137.25827668034256</v>
      </c>
      <c r="AS55" s="1264">
        <f t="shared" si="92"/>
        <v>6096.4051040934646</v>
      </c>
      <c r="AT55" s="1331">
        <f t="shared" si="37"/>
        <v>14658.757466043124</v>
      </c>
      <c r="AU55" s="1365" t="str">
        <f>'Recycling - Case 2'!T204</f>
        <v>Policies not met</v>
      </c>
      <c r="AV55" s="1263">
        <f t="shared" si="59"/>
        <v>7203.9910520828889</v>
      </c>
      <c r="AW55" s="1264">
        <f t="shared" si="60"/>
        <v>892.85583664760338</v>
      </c>
      <c r="AX55" s="1264">
        <f t="shared" si="61"/>
        <v>137.25827668034256</v>
      </c>
      <c r="AY55" s="1264">
        <f t="shared" si="62"/>
        <v>6096.4051040934646</v>
      </c>
      <c r="AZ55" s="1331">
        <f t="shared" si="63"/>
        <v>14330.510269504301</v>
      </c>
      <c r="BA55" s="1365" t="str">
        <f>'Recycling - Case 2'!T164</f>
        <v>Policies met</v>
      </c>
      <c r="BB55" s="1263">
        <f t="shared" si="93"/>
        <v>6850.1853639425535</v>
      </c>
      <c r="BC55" s="1264">
        <f t="shared" si="94"/>
        <v>484.02871699055231</v>
      </c>
      <c r="BD55" s="1264">
        <f t="shared" si="95"/>
        <v>137.25827668034256</v>
      </c>
      <c r="BE55" s="1264">
        <f t="shared" si="96"/>
        <v>6096.4051040934646</v>
      </c>
      <c r="BF55" s="1331">
        <f t="shared" si="47"/>
        <v>13567.877461706914</v>
      </c>
      <c r="BG55" s="1365" t="str">
        <f>'Recycling - Case 2'!T204</f>
        <v>Policies not met</v>
      </c>
      <c r="BH55" s="677">
        <f t="shared" si="48"/>
        <v>2045</v>
      </c>
      <c r="BI55" s="1264">
        <f>'Recycling - Case 1'!BV125</f>
        <v>62.466698841367347</v>
      </c>
      <c r="BJ55" s="483">
        <f>'Recycling - Case 1'!BW125</f>
        <v>0.60369988597554669</v>
      </c>
      <c r="BK55" s="1331">
        <f>'Recycling - Case 1'!BX125</f>
        <v>14.540775773528345</v>
      </c>
      <c r="BL55" s="1263">
        <f>'Recycling - Case 1'!BY125</f>
        <v>69.896560281462811</v>
      </c>
      <c r="BM55" s="483">
        <f>'Recycling - Case 1'!BZ125</f>
        <v>0.4067806467064316</v>
      </c>
      <c r="BN55" s="1331">
        <f>'Recycling - Case 1'!CA125</f>
        <v>50.172070130067617</v>
      </c>
      <c r="BO55" s="1264">
        <f>'Recycling - Case 2'!BV124</f>
        <v>53.65986657354533</v>
      </c>
      <c r="BP55" s="483">
        <f>'Recycling - Case 2'!BW124</f>
        <v>0.79921612323790836</v>
      </c>
      <c r="BQ55" s="1331">
        <f>'Recycling - Case 2'!BX124</f>
        <v>14.540775773528345</v>
      </c>
      <c r="BR55" s="1263">
        <f>'Recycling - Case 2'!BY124</f>
        <v>70.268439944739271</v>
      </c>
      <c r="BS55" s="483">
        <f>'Recycling - Case 2'!BZ124</f>
        <v>0.79184898362168576</v>
      </c>
      <c r="BT55" s="1331">
        <f>'Recycling - Case 2'!CA124</f>
        <v>50.172070130067617</v>
      </c>
      <c r="BU55" s="1264">
        <f>'Recycling - Case 3'!BV124</f>
        <v>53.65986657354533</v>
      </c>
      <c r="BV55" s="483">
        <f>'Recycling - Case 3'!BW124</f>
        <v>0.79921612323790836</v>
      </c>
      <c r="BW55" s="1331">
        <f>'Recycling - Case 3'!BX124</f>
        <v>14.540775773528345</v>
      </c>
      <c r="BX55" s="1263">
        <f>'Recycling - Case 3'!BY124</f>
        <v>70.268439944739271</v>
      </c>
      <c r="BY55" s="483">
        <f>'Recycling - Case 3'!BZ124</f>
        <v>0.79184898362168576</v>
      </c>
      <c r="BZ55" s="1331">
        <f>'Recycling - Case 3'!CA124</f>
        <v>50.172070130067617</v>
      </c>
      <c r="CA55" s="677">
        <v>2045</v>
      </c>
      <c r="CB55" s="730">
        <f>'Recycling - Case 1'!CB125</f>
        <v>0.68397599407406773</v>
      </c>
      <c r="CC55" s="483">
        <f>'Recycling - Case 1'!CC125</f>
        <v>0.42069854454195821</v>
      </c>
      <c r="CD55" s="483">
        <f>'Recycling - Case 1'!CD125</f>
        <v>0.68397599407406773</v>
      </c>
      <c r="CE55" s="604">
        <f>'Recycling - Case 1'!CE125</f>
        <v>0.85</v>
      </c>
      <c r="CF55" s="730">
        <f>'Recycling - Case 2'!CB124</f>
        <v>0.67206984488050125</v>
      </c>
      <c r="CG55" s="483">
        <f>'Recycling - Case 2'!CC124</f>
        <v>0.56042316076715204</v>
      </c>
      <c r="CH55" s="483">
        <f>'Recycling - Case 2'!CD124</f>
        <v>0.67206984488050125</v>
      </c>
      <c r="CI55" s="604">
        <f>'Recycling - Case 2'!CE124</f>
        <v>0.85</v>
      </c>
      <c r="CJ55" s="730">
        <f>'Recycling - Case 3'!CB124</f>
        <v>0.67206984488050125</v>
      </c>
      <c r="CK55" s="483">
        <f>'Recycling - Case 3'!CC124</f>
        <v>0.56042316076715204</v>
      </c>
      <c r="CL55" s="483">
        <f>'Recycling - Case 3'!CD124</f>
        <v>0.67206984488050125</v>
      </c>
      <c r="CM55" s="604">
        <f>'Recycling - Case 3'!CE124</f>
        <v>0.85</v>
      </c>
    </row>
    <row r="56" spans="1:91">
      <c r="A56" s="4">
        <f>'Input data'!A145</f>
        <v>2045</v>
      </c>
      <c r="B56" s="4"/>
      <c r="C56" s="891">
        <f>'4A SWD Case 1'!BG114</f>
        <v>443.48603742515655</v>
      </c>
      <c r="D56" s="3">
        <f>'4B Biological treatment '!T109</f>
        <v>1.0749459324926482</v>
      </c>
      <c r="E56" s="1358">
        <f>'4B Biological treatment '!U109</f>
        <v>48.372566962169167</v>
      </c>
      <c r="F56" s="1358">
        <f>'4B Biological treatment '!W109</f>
        <v>2.9023540177301497</v>
      </c>
      <c r="G56" s="1076">
        <f>'4C2 Open-burning '!R116</f>
        <v>13.897386016988383</v>
      </c>
      <c r="H56" s="1076">
        <f>'4C2 Open-burning '!Z116</f>
        <v>4.6760449210657562</v>
      </c>
      <c r="I56" s="1076">
        <f>'4C2 Open-burning '!AH116</f>
        <v>6.5098437587350996E-2</v>
      </c>
      <c r="J56" s="1111">
        <f>'4D Wastewater treatment and dis'!AV153</f>
        <v>225.70930325029914</v>
      </c>
      <c r="K56" s="892">
        <f>'4D Wastewater treatment and dis'!AW153</f>
        <v>3.7120223475197802</v>
      </c>
      <c r="L56" s="893">
        <f t="shared" si="65"/>
        <v>9313.206785928287</v>
      </c>
      <c r="M56" s="894">
        <f t="shared" si="66"/>
        <v>22.573864582345614</v>
      </c>
      <c r="N56" s="893">
        <f t="shared" si="67"/>
        <v>1915.5536517018988</v>
      </c>
      <c r="O56" s="895">
        <f t="shared" si="68"/>
        <v>132.27484501144806</v>
      </c>
      <c r="P56" s="893">
        <f t="shared" si="69"/>
        <v>5890.622295987414</v>
      </c>
      <c r="Q56" s="598">
        <f t="shared" si="70"/>
        <v>9313.206785928287</v>
      </c>
      <c r="R56" s="600">
        <f t="shared" si="71"/>
        <v>1938.1275162842444</v>
      </c>
      <c r="S56" s="597">
        <f t="shared" si="72"/>
        <v>132.27484501144806</v>
      </c>
      <c r="T56" s="598">
        <f t="shared" si="73"/>
        <v>5890.622295987414</v>
      </c>
      <c r="U56" s="598">
        <f t="shared" si="74"/>
        <v>17274.231443211393</v>
      </c>
      <c r="V56" s="3"/>
      <c r="W56" s="677">
        <f t="shared" si="75"/>
        <v>2046</v>
      </c>
      <c r="X56" s="1263">
        <f t="shared" si="76"/>
        <v>9191.6263954443984</v>
      </c>
      <c r="Y56" s="1264">
        <f t="shared" si="77"/>
        <v>1929.6381416906395</v>
      </c>
      <c r="Z56" s="1264">
        <f t="shared" si="78"/>
        <v>124.27805467995177</v>
      </c>
      <c r="AA56" s="1264">
        <f t="shared" si="79"/>
        <v>5961.9937050903318</v>
      </c>
      <c r="AB56" s="1331">
        <f t="shared" si="22"/>
        <v>17207.53629690532</v>
      </c>
      <c r="AC56" s="1365" t="str">
        <f>'Recycling - Case 1'!T166</f>
        <v>Policies met</v>
      </c>
      <c r="AD56" s="1263">
        <f t="shared" si="80"/>
        <v>7528.1948308504197</v>
      </c>
      <c r="AE56" s="1264">
        <f t="shared" si="81"/>
        <v>773.40824175399234</v>
      </c>
      <c r="AF56" s="1264">
        <f t="shared" si="82"/>
        <v>124.27805467995177</v>
      </c>
      <c r="AG56" s="1264">
        <f t="shared" si="83"/>
        <v>5961.9937050903318</v>
      </c>
      <c r="AH56" s="1331">
        <f t="shared" si="56"/>
        <v>14387.874832374695</v>
      </c>
      <c r="AI56" s="1365" t="str">
        <f>'Recycling - Case 1'!T206</f>
        <v>Policies not met</v>
      </c>
      <c r="AJ56" s="1263">
        <f t="shared" si="84"/>
        <v>7127.2632927942286</v>
      </c>
      <c r="AK56" s="1264">
        <f t="shared" si="85"/>
        <v>1687.3357015958557</v>
      </c>
      <c r="AL56" s="1264">
        <f t="shared" si="86"/>
        <v>137.95743253140378</v>
      </c>
      <c r="AM56" s="1264">
        <f t="shared" si="87"/>
        <v>6127.4585123254001</v>
      </c>
      <c r="AN56" s="1331">
        <f t="shared" si="88"/>
        <v>15080.014939246888</v>
      </c>
      <c r="AO56" s="1365" t="str">
        <f>'Recycling - Case 2'!T165</f>
        <v>Policies met</v>
      </c>
      <c r="AP56" s="1263">
        <f t="shared" si="89"/>
        <v>6686.6728993045563</v>
      </c>
      <c r="AQ56" s="1264">
        <f t="shared" si="90"/>
        <v>1687.3357015958557</v>
      </c>
      <c r="AR56" s="1264">
        <f t="shared" si="91"/>
        <v>137.95743253140378</v>
      </c>
      <c r="AS56" s="1264">
        <f t="shared" si="92"/>
        <v>6127.4585123254001</v>
      </c>
      <c r="AT56" s="1331">
        <f t="shared" si="37"/>
        <v>14639.424545757216</v>
      </c>
      <c r="AU56" s="1365" t="str">
        <f>'Recycling - Case 2'!T205</f>
        <v>Policies not met</v>
      </c>
      <c r="AV56" s="1263">
        <f t="shared" si="59"/>
        <v>7128.7500222504123</v>
      </c>
      <c r="AW56" s="1264">
        <f t="shared" si="60"/>
        <v>958.56928119511156</v>
      </c>
      <c r="AX56" s="1264">
        <f t="shared" si="61"/>
        <v>137.95743253140378</v>
      </c>
      <c r="AY56" s="1264">
        <f t="shared" si="62"/>
        <v>6127.4585123254001</v>
      </c>
      <c r="AZ56" s="1331">
        <f t="shared" si="63"/>
        <v>14352.735248302328</v>
      </c>
      <c r="BA56" s="1365" t="str">
        <f>'Recycling - Case 2'!T165</f>
        <v>Policies met</v>
      </c>
      <c r="BB56" s="1263">
        <f t="shared" si="93"/>
        <v>6688.1596287607399</v>
      </c>
      <c r="BC56" s="1264">
        <f t="shared" si="94"/>
        <v>493.51116236467317</v>
      </c>
      <c r="BD56" s="1264">
        <f t="shared" si="95"/>
        <v>137.95743253140378</v>
      </c>
      <c r="BE56" s="1264">
        <f t="shared" si="96"/>
        <v>6127.4585123254001</v>
      </c>
      <c r="BF56" s="1331">
        <f t="shared" si="47"/>
        <v>13447.086735982217</v>
      </c>
      <c r="BG56" s="1365" t="str">
        <f>'Recycling - Case 2'!T205</f>
        <v>Policies not met</v>
      </c>
      <c r="BH56" s="677">
        <f t="shared" si="48"/>
        <v>2046</v>
      </c>
      <c r="BI56" s="1264">
        <f>'Recycling - Case 1'!BV126</f>
        <v>60.941022408450195</v>
      </c>
      <c r="BJ56" s="483">
        <f>'Recycling - Case 1'!BW126</f>
        <v>0.60595760819201749</v>
      </c>
      <c r="BK56" s="1331">
        <f>'Recycling - Case 1'!BX126</f>
        <v>13.259794835931967</v>
      </c>
      <c r="BL56" s="1263">
        <f>'Recycling - Case 1'!BY126</f>
        <v>69.632014427032146</v>
      </c>
      <c r="BM56" s="483">
        <f>'Recycling - Case 1'!BZ126</f>
        <v>0.40124455501675582</v>
      </c>
      <c r="BN56" s="1331">
        <f>'Recycling - Case 1'!CA126</f>
        <v>50.172070130067617</v>
      </c>
      <c r="BO56" s="1264">
        <f>'Recycling - Case 2'!BV125</f>
        <v>55.091024455938516</v>
      </c>
      <c r="BP56" s="483">
        <f>'Recycling - Case 2'!BW125</f>
        <v>0.7917875026663157</v>
      </c>
      <c r="BQ56" s="1331">
        <f>'Recycling - Case 2'!BX125</f>
        <v>13.259794835931967</v>
      </c>
      <c r="BR56" s="1263">
        <f>'Recycling - Case 2'!BY125</f>
        <v>70.652813500285546</v>
      </c>
      <c r="BS56" s="483">
        <f>'Recycling - Case 2'!BZ125</f>
        <v>0.79141230762401338</v>
      </c>
      <c r="BT56" s="1331">
        <f>'Recycling - Case 2'!CA125</f>
        <v>50.172070130067617</v>
      </c>
      <c r="BU56" s="1264">
        <f>'Recycling - Case 3'!BV125</f>
        <v>55.091024455938516</v>
      </c>
      <c r="BV56" s="483">
        <f>'Recycling - Case 3'!BW125</f>
        <v>0.7917875026663157</v>
      </c>
      <c r="BW56" s="1331">
        <f>'Recycling - Case 3'!BX125</f>
        <v>13.259794835931967</v>
      </c>
      <c r="BX56" s="1263">
        <f>'Recycling - Case 3'!BY125</f>
        <v>70.652813500285546</v>
      </c>
      <c r="BY56" s="483">
        <f>'Recycling - Case 3'!BZ125</f>
        <v>0.79141230762401338</v>
      </c>
      <c r="BZ56" s="1331">
        <f>'Recycling - Case 3'!CA125</f>
        <v>50.172070130067617</v>
      </c>
      <c r="CA56" s="677">
        <v>2046</v>
      </c>
      <c r="CB56" s="730">
        <f>'Recycling - Case 1'!CB126</f>
        <v>0.70458625533010688</v>
      </c>
      <c r="CC56" s="483">
        <f>'Recycling - Case 1'!CC126</f>
        <v>0.43440732685961825</v>
      </c>
      <c r="CD56" s="483">
        <f>'Recycling - Case 1'!CD126</f>
        <v>0.70458625533010688</v>
      </c>
      <c r="CE56" s="604">
        <f>'Recycling - Case 1'!CE126</f>
        <v>0.85</v>
      </c>
      <c r="CF56" s="730">
        <f>'Recycling - Case 2'!CB125</f>
        <v>0.67206984488050125</v>
      </c>
      <c r="CG56" s="483">
        <f>'Recycling - Case 2'!CC125</f>
        <v>0.535588158172707</v>
      </c>
      <c r="CH56" s="483">
        <f>'Recycling - Case 2'!CD125</f>
        <v>0.67206984488050125</v>
      </c>
      <c r="CI56" s="604">
        <f>'Recycling - Case 2'!CE125</f>
        <v>0.85</v>
      </c>
      <c r="CJ56" s="730">
        <f>'Recycling - Case 3'!CB125</f>
        <v>0.67206984488050125</v>
      </c>
      <c r="CK56" s="483">
        <f>'Recycling - Case 3'!CC125</f>
        <v>0.535588158172707</v>
      </c>
      <c r="CL56" s="483">
        <f>'Recycling - Case 3'!CD125</f>
        <v>0.67206984488050125</v>
      </c>
      <c r="CM56" s="604">
        <f>'Recycling - Case 3'!CE125</f>
        <v>0.85</v>
      </c>
    </row>
    <row r="57" spans="1:91">
      <c r="A57" s="4">
        <f>'Input data'!A146</f>
        <v>2046</v>
      </c>
      <c r="B57" s="4"/>
      <c r="C57" s="891">
        <f>'4A SWD Case 1'!BG115</f>
        <v>437.69649502116181</v>
      </c>
      <c r="D57" s="3">
        <f>'4B Biological treatment '!T110</f>
        <v>1.0702374607269216</v>
      </c>
      <c r="E57" s="1358">
        <f>'4B Biological treatment '!U110</f>
        <v>48.160685732711471</v>
      </c>
      <c r="F57" s="1358">
        <f>'4B Biological treatment '!W110</f>
        <v>2.8896411439626877</v>
      </c>
      <c r="G57" s="1076">
        <f>'4C2 Open-burning '!R117</f>
        <v>13.057207507430453</v>
      </c>
      <c r="H57" s="1076">
        <f>'4C2 Open-burning '!Z117</f>
        <v>4.3933505749776192</v>
      </c>
      <c r="I57" s="1076">
        <f>'4C2 Open-burning '!AH117</f>
        <v>6.1162855154810701E-2</v>
      </c>
      <c r="J57" s="1111">
        <f>'4D Wastewater treatment and dis'!AV154</f>
        <v>228.82882339897614</v>
      </c>
      <c r="K57" s="892">
        <f>'4D Wastewater treatment and dis'!AW154</f>
        <v>3.7309303668123635</v>
      </c>
      <c r="L57" s="893">
        <f t="shared" si="65"/>
        <v>9191.6263954443984</v>
      </c>
      <c r="M57" s="894">
        <f t="shared" si="66"/>
        <v>22.474986675265352</v>
      </c>
      <c r="N57" s="893">
        <f t="shared" si="67"/>
        <v>1907.1631550153741</v>
      </c>
      <c r="O57" s="895">
        <f t="shared" si="68"/>
        <v>124.27805467995177</v>
      </c>
      <c r="P57" s="893">
        <f t="shared" si="69"/>
        <v>5961.9937050903318</v>
      </c>
      <c r="Q57" s="598">
        <f t="shared" si="70"/>
        <v>9191.6263954443984</v>
      </c>
      <c r="R57" s="600">
        <f t="shared" si="71"/>
        <v>1929.6381416906395</v>
      </c>
      <c r="S57" s="597">
        <f t="shared" si="72"/>
        <v>124.27805467995177</v>
      </c>
      <c r="T57" s="598">
        <f t="shared" si="73"/>
        <v>5961.9937050903318</v>
      </c>
      <c r="U57" s="598">
        <f t="shared" si="74"/>
        <v>17207.53629690532</v>
      </c>
      <c r="V57" s="3"/>
      <c r="W57" s="677">
        <f t="shared" si="75"/>
        <v>2047</v>
      </c>
      <c r="X57" s="1263">
        <f t="shared" si="76"/>
        <v>9072.1176228856766</v>
      </c>
      <c r="Y57" s="1264">
        <f t="shared" si="77"/>
        <v>1923.0664118254572</v>
      </c>
      <c r="Z57" s="1264">
        <f t="shared" si="78"/>
        <v>116.19806820023413</v>
      </c>
      <c r="AA57" s="1264">
        <f t="shared" si="79"/>
        <v>6034.0277904697159</v>
      </c>
      <c r="AB57" s="1331">
        <f t="shared" si="22"/>
        <v>17145.409893381082</v>
      </c>
      <c r="AC57" s="1365" t="str">
        <f>'Recycling - Case 1'!T167</f>
        <v>Policies met</v>
      </c>
      <c r="AD57" s="1263">
        <f t="shared" si="80"/>
        <v>7335.4633259352313</v>
      </c>
      <c r="AE57" s="1264">
        <f t="shared" si="81"/>
        <v>764.51697491535856</v>
      </c>
      <c r="AF57" s="1264">
        <f t="shared" si="82"/>
        <v>116.19806820023413</v>
      </c>
      <c r="AG57" s="1264">
        <f t="shared" si="83"/>
        <v>6034.0277904697159</v>
      </c>
      <c r="AH57" s="1331">
        <f t="shared" si="56"/>
        <v>14250.20615952054</v>
      </c>
      <c r="AI57" s="1365" t="str">
        <f>'Recycling - Case 1'!T207</f>
        <v>Policies not met</v>
      </c>
      <c r="AJ57" s="1263">
        <f t="shared" si="84"/>
        <v>7070.7812796762291</v>
      </c>
      <c r="AK57" s="1264">
        <f t="shared" si="85"/>
        <v>1801.1512293040571</v>
      </c>
      <c r="AL57" s="1264">
        <f t="shared" si="86"/>
        <v>138.6621816292735</v>
      </c>
      <c r="AM57" s="1264">
        <f t="shared" si="87"/>
        <v>6158.7603478231922</v>
      </c>
      <c r="AN57" s="1331">
        <f t="shared" si="88"/>
        <v>15169.355038432752</v>
      </c>
      <c r="AO57" s="1365" t="str">
        <f>'Recycling - Case 2'!T166</f>
        <v>Policies met</v>
      </c>
      <c r="AP57" s="1263">
        <f t="shared" si="89"/>
        <v>6534.9075912243525</v>
      </c>
      <c r="AQ57" s="1264">
        <f t="shared" si="90"/>
        <v>1801.1512293040571</v>
      </c>
      <c r="AR57" s="1264">
        <f t="shared" si="91"/>
        <v>138.6621816292735</v>
      </c>
      <c r="AS57" s="1264">
        <f t="shared" si="92"/>
        <v>6158.7603478231922</v>
      </c>
      <c r="AT57" s="1331">
        <f t="shared" si="37"/>
        <v>14633.481349980875</v>
      </c>
      <c r="AU57" s="1365" t="str">
        <f>'Recycling - Case 2'!T206</f>
        <v>Policies not met</v>
      </c>
      <c r="AV57" s="1263">
        <f t="shared" si="59"/>
        <v>7072.3083727899239</v>
      </c>
      <c r="AW57" s="1264">
        <f t="shared" si="60"/>
        <v>1025.9809875284045</v>
      </c>
      <c r="AX57" s="1264">
        <f t="shared" si="61"/>
        <v>138.6621816292735</v>
      </c>
      <c r="AY57" s="1264">
        <f t="shared" si="62"/>
        <v>6158.7603478231922</v>
      </c>
      <c r="AZ57" s="1331">
        <f t="shared" si="63"/>
        <v>14395.711889770793</v>
      </c>
      <c r="BA57" s="1365" t="str">
        <f>'Recycling - Case 2'!T166</f>
        <v>Policies met</v>
      </c>
      <c r="BB57" s="1263">
        <f t="shared" si="93"/>
        <v>6536.4346843380472</v>
      </c>
      <c r="BC57" s="1264">
        <f t="shared" si="94"/>
        <v>503.39795306749835</v>
      </c>
      <c r="BD57" s="1264">
        <f t="shared" si="95"/>
        <v>138.6621816292735</v>
      </c>
      <c r="BE57" s="1264">
        <f t="shared" si="96"/>
        <v>6158.7603478231922</v>
      </c>
      <c r="BF57" s="1331">
        <f t="shared" si="47"/>
        <v>13337.255166858013</v>
      </c>
      <c r="BG57" s="1365" t="str">
        <f>'Recycling - Case 2'!T206</f>
        <v>Policies not met</v>
      </c>
      <c r="BH57" s="677">
        <f t="shared" si="48"/>
        <v>2047</v>
      </c>
      <c r="BI57" s="1264">
        <f>'Recycling - Case 1'!BV127</f>
        <v>59.461761887929043</v>
      </c>
      <c r="BJ57" s="483">
        <f>'Recycling - Case 1'!BW127</f>
        <v>0.60824235919197667</v>
      </c>
      <c r="BK57" s="1331">
        <f>'Recycling - Case 1'!BX127</f>
        <v>11.978813898335586</v>
      </c>
      <c r="BL57" s="1263">
        <f>'Recycling - Case 1'!BY127</f>
        <v>69.377119537757409</v>
      </c>
      <c r="BM57" s="483">
        <f>'Recycling - Case 1'!BZ127</f>
        <v>0.39568263978550711</v>
      </c>
      <c r="BN57" s="1331">
        <f>'Recycling - Case 1'!CA127</f>
        <v>50.172070130067617</v>
      </c>
      <c r="BO57" s="1264">
        <f>'Recycling - Case 2'!BV126</f>
        <v>56.591358931225336</v>
      </c>
      <c r="BP57" s="483">
        <f>'Recycling - Case 2'!BW126</f>
        <v>0.78452776141344993</v>
      </c>
      <c r="BQ57" s="1331">
        <f>'Recycling - Case 2'!BX126</f>
        <v>11.978813898335586</v>
      </c>
      <c r="BR57" s="1263">
        <f>'Recycling - Case 2'!BY126</f>
        <v>71.053463770575604</v>
      </c>
      <c r="BS57" s="483">
        <f>'Recycling - Case 2'!BZ126</f>
        <v>0.79093434427047604</v>
      </c>
      <c r="BT57" s="1331">
        <f>'Recycling - Case 2'!CA126</f>
        <v>50.172070130067617</v>
      </c>
      <c r="BU57" s="1264">
        <f>'Recycling - Case 3'!BV126</f>
        <v>56.591358931225336</v>
      </c>
      <c r="BV57" s="483">
        <f>'Recycling - Case 3'!BW126</f>
        <v>0.78452776141344993</v>
      </c>
      <c r="BW57" s="1331">
        <f>'Recycling - Case 3'!BX126</f>
        <v>11.978813898335586</v>
      </c>
      <c r="BX57" s="1263">
        <f>'Recycling - Case 3'!BY126</f>
        <v>71.053463770575604</v>
      </c>
      <c r="BY57" s="483">
        <f>'Recycling - Case 3'!BZ126</f>
        <v>0.79093434427047604</v>
      </c>
      <c r="BZ57" s="1331">
        <f>'Recycling - Case 3'!CA126</f>
        <v>50.172070130067617</v>
      </c>
      <c r="CA57" s="677">
        <v>2047</v>
      </c>
      <c r="CB57" s="730">
        <f>'Recycling - Case 1'!CB127</f>
        <v>0.72519651658614603</v>
      </c>
      <c r="CC57" s="483">
        <f>'Recycling - Case 1'!CC127</f>
        <v>0.44733299973319618</v>
      </c>
      <c r="CD57" s="483">
        <f>'Recycling - Case 1'!CD127</f>
        <v>0.72519651658614603</v>
      </c>
      <c r="CE57" s="604">
        <f>'Recycling - Case 1'!CE127</f>
        <v>0.85</v>
      </c>
      <c r="CF57" s="730">
        <f>'Recycling - Case 2'!CB126</f>
        <v>0.67206984488050125</v>
      </c>
      <c r="CG57" s="483">
        <f>'Recycling - Case 2'!CC126</f>
        <v>0.51207702752838513</v>
      </c>
      <c r="CH57" s="483">
        <f>'Recycling - Case 2'!CD126</f>
        <v>0.67206984488050125</v>
      </c>
      <c r="CI57" s="604">
        <f>'Recycling - Case 2'!CE126</f>
        <v>0.85</v>
      </c>
      <c r="CJ57" s="730">
        <f>'Recycling - Case 3'!CB126</f>
        <v>0.67206984488050125</v>
      </c>
      <c r="CK57" s="483">
        <f>'Recycling - Case 3'!CC126</f>
        <v>0.51207702752838513</v>
      </c>
      <c r="CL57" s="483">
        <f>'Recycling - Case 3'!CD126</f>
        <v>0.67206984488050125</v>
      </c>
      <c r="CM57" s="604">
        <f>'Recycling - Case 3'!CE126</f>
        <v>0.85</v>
      </c>
    </row>
    <row r="58" spans="1:91">
      <c r="A58" s="4">
        <f>'Input data'!A147</f>
        <v>2047</v>
      </c>
      <c r="B58" s="4"/>
      <c r="C58" s="891">
        <f>'4A SWD Case 1'!BG116</f>
        <v>432.00560108979408</v>
      </c>
      <c r="D58" s="3">
        <f>'4B Biological treatment '!T111</f>
        <v>1.0665925745010858</v>
      </c>
      <c r="E58" s="1358">
        <f>'4B Biological treatment '!U111</f>
        <v>47.996665852548844</v>
      </c>
      <c r="F58" s="1358">
        <f>'4B Biological treatment '!W111</f>
        <v>2.8797999511529309</v>
      </c>
      <c r="G58" s="1076">
        <f>'4C2 Open-burning '!R118</f>
        <v>12.208288038948259</v>
      </c>
      <c r="H58" s="1076">
        <f>'4C2 Open-burning '!Z118</f>
        <v>4.1077151638191811</v>
      </c>
      <c r="I58" s="1076">
        <f>'4C2 Open-burning '!AH118</f>
        <v>5.718632813252604E-2</v>
      </c>
      <c r="J58" s="1111">
        <f>'4D Wastewater treatment and dis'!AV155</f>
        <v>231.97766661377796</v>
      </c>
      <c r="K58" s="892">
        <f>'4D Wastewater treatment and dis'!AW155</f>
        <v>3.7499896502592862</v>
      </c>
      <c r="L58" s="893">
        <f t="shared" si="65"/>
        <v>9072.1176228856766</v>
      </c>
      <c r="M58" s="894">
        <f t="shared" si="66"/>
        <v>22.398444064522803</v>
      </c>
      <c r="N58" s="893">
        <f t="shared" si="67"/>
        <v>1900.6679677609343</v>
      </c>
      <c r="O58" s="895">
        <f t="shared" si="68"/>
        <v>116.19806820023413</v>
      </c>
      <c r="P58" s="893">
        <f t="shared" si="69"/>
        <v>6034.0277904697159</v>
      </c>
      <c r="Q58" s="598">
        <f t="shared" si="70"/>
        <v>9072.1176228856766</v>
      </c>
      <c r="R58" s="600">
        <f t="shared" si="71"/>
        <v>1923.0664118254572</v>
      </c>
      <c r="S58" s="597">
        <f t="shared" si="72"/>
        <v>116.19806820023413</v>
      </c>
      <c r="T58" s="598">
        <f t="shared" si="73"/>
        <v>6034.0277904697159</v>
      </c>
      <c r="U58" s="598">
        <f t="shared" si="74"/>
        <v>17145.409893381082</v>
      </c>
      <c r="V58" s="3"/>
      <c r="W58" s="677">
        <f t="shared" si="75"/>
        <v>2048</v>
      </c>
      <c r="X58" s="1263">
        <f t="shared" si="76"/>
        <v>8954.7058320098968</v>
      </c>
      <c r="Y58" s="1264">
        <f t="shared" si="77"/>
        <v>1940.8864335162036</v>
      </c>
      <c r="Z58" s="1264">
        <f t="shared" si="78"/>
        <v>116.79176841289316</v>
      </c>
      <c r="AA58" s="1264">
        <f t="shared" si="79"/>
        <v>6106.6478924824532</v>
      </c>
      <c r="AB58" s="1331">
        <f t="shared" si="22"/>
        <v>17119.031926421449</v>
      </c>
      <c r="AC58" s="1365" t="str">
        <f>'Recycling - Case 1'!T168</f>
        <v>Policies met</v>
      </c>
      <c r="AD58" s="1263">
        <f t="shared" si="80"/>
        <v>7148.0902742484059</v>
      </c>
      <c r="AE58" s="1264">
        <f t="shared" si="81"/>
        <v>780.64216653983374</v>
      </c>
      <c r="AF58" s="1264">
        <f t="shared" si="82"/>
        <v>116.79176841289316</v>
      </c>
      <c r="AG58" s="1264">
        <f t="shared" si="83"/>
        <v>6106.6478924824532</v>
      </c>
      <c r="AH58" s="1331">
        <f t="shared" si="56"/>
        <v>14152.172101683587</v>
      </c>
      <c r="AI58" s="1365" t="str">
        <f>'Recycling - Case 1'!T208</f>
        <v>Policies not met</v>
      </c>
      <c r="AJ58" s="1263">
        <f t="shared" si="84"/>
        <v>7032.5654704523658</v>
      </c>
      <c r="AK58" s="1264">
        <f t="shared" si="85"/>
        <v>1915.6886067563173</v>
      </c>
      <c r="AL58" s="1264">
        <f t="shared" si="86"/>
        <v>139.37065955834888</v>
      </c>
      <c r="AM58" s="1264">
        <f t="shared" si="87"/>
        <v>6190.2278014982176</v>
      </c>
      <c r="AN58" s="1331">
        <f t="shared" si="88"/>
        <v>15277.852538265248</v>
      </c>
      <c r="AO58" s="1365" t="str">
        <f>'Recycling - Case 2'!T167</f>
        <v>Policies met</v>
      </c>
      <c r="AP58" s="1263">
        <f t="shared" si="89"/>
        <v>6393.0350558853606</v>
      </c>
      <c r="AQ58" s="1264">
        <f t="shared" si="90"/>
        <v>1915.6886067563173</v>
      </c>
      <c r="AR58" s="1264">
        <f t="shared" si="91"/>
        <v>139.37065955834888</v>
      </c>
      <c r="AS58" s="1264">
        <f t="shared" si="92"/>
        <v>6190.2278014982176</v>
      </c>
      <c r="AT58" s="1331">
        <f t="shared" si="37"/>
        <v>14638.322123698243</v>
      </c>
      <c r="AU58" s="1365" t="str">
        <f>'Recycling - Case 2'!T207</f>
        <v>Policies not met</v>
      </c>
      <c r="AV58" s="1263">
        <f t="shared" si="59"/>
        <v>7034.1312251148511</v>
      </c>
      <c r="AW58" s="1264">
        <f t="shared" si="60"/>
        <v>1095.1100512702492</v>
      </c>
      <c r="AX58" s="1264">
        <f t="shared" si="61"/>
        <v>139.37065955834888</v>
      </c>
      <c r="AY58" s="1264">
        <f t="shared" si="62"/>
        <v>6190.2278014982176</v>
      </c>
      <c r="AZ58" s="1331">
        <f t="shared" si="63"/>
        <v>14458.839737441667</v>
      </c>
      <c r="BA58" s="1365" t="str">
        <f>'Recycling - Case 2'!T167</f>
        <v>Policies met</v>
      </c>
      <c r="BB58" s="1263">
        <f t="shared" si="93"/>
        <v>6394.6008105478459</v>
      </c>
      <c r="BC58" s="1264">
        <f t="shared" si="94"/>
        <v>513.39085166072687</v>
      </c>
      <c r="BD58" s="1264">
        <f t="shared" si="95"/>
        <v>139.37065955834888</v>
      </c>
      <c r="BE58" s="1264">
        <f t="shared" si="96"/>
        <v>6190.2278014982176</v>
      </c>
      <c r="BF58" s="1331">
        <f t="shared" si="47"/>
        <v>13237.590123265139</v>
      </c>
      <c r="BG58" s="1365" t="str">
        <f>'Recycling - Case 2'!T207</f>
        <v>Policies not met</v>
      </c>
      <c r="BH58" s="677">
        <f t="shared" si="48"/>
        <v>2048</v>
      </c>
      <c r="BI58" s="1264">
        <f>'Recycling - Case 1'!BV128</f>
        <v>58.61851550449007</v>
      </c>
      <c r="BJ58" s="483">
        <f>'Recycling - Case 1'!BW128</f>
        <v>0.61879267788203407</v>
      </c>
      <c r="BK58" s="1331">
        <f>'Recycling - Case 1'!BX128</f>
        <v>10.697832960739207</v>
      </c>
      <c r="BL58" s="1263">
        <f>'Recycling - Case 1'!BY128</f>
        <v>69.773486644656458</v>
      </c>
      <c r="BM58" s="483">
        <f>'Recycling - Case 1'!BZ128</f>
        <v>0.39700042270129143</v>
      </c>
      <c r="BN58" s="1331">
        <f>'Recycling - Case 1'!CA128</f>
        <v>50.172070130067617</v>
      </c>
      <c r="BO58" s="1264">
        <f>'Recycling - Case 2'!BV127</f>
        <v>58.109329809666157</v>
      </c>
      <c r="BP58" s="483">
        <f>'Recycling - Case 2'!BW127</f>
        <v>0.77763754189993606</v>
      </c>
      <c r="BQ58" s="1331">
        <f>'Recycling - Case 2'!BX127</f>
        <v>10.697832960739207</v>
      </c>
      <c r="BR58" s="1263">
        <f>'Recycling - Case 2'!BY127</f>
        <v>71.45839595900253</v>
      </c>
      <c r="BS58" s="483">
        <f>'Recycling - Case 2'!BZ127</f>
        <v>0.79045255888919375</v>
      </c>
      <c r="BT58" s="1331">
        <f>'Recycling - Case 2'!CA127</f>
        <v>50.172070130067617</v>
      </c>
      <c r="BU58" s="1264">
        <f>'Recycling - Case 3'!BV127</f>
        <v>58.109329809666157</v>
      </c>
      <c r="BV58" s="483">
        <f>'Recycling - Case 3'!BW127</f>
        <v>0.77763754189993606</v>
      </c>
      <c r="BW58" s="1331">
        <f>'Recycling - Case 3'!BX127</f>
        <v>10.697832960739207</v>
      </c>
      <c r="BX58" s="1263">
        <f>'Recycling - Case 3'!BY127</f>
        <v>71.45839595900253</v>
      </c>
      <c r="BY58" s="483">
        <f>'Recycling - Case 3'!BZ127</f>
        <v>0.79045255888919375</v>
      </c>
      <c r="BZ58" s="1331">
        <f>'Recycling - Case 3'!CA127</f>
        <v>50.172070130067617</v>
      </c>
      <c r="CA58" s="677">
        <v>2048</v>
      </c>
      <c r="CB58" s="730">
        <f>'Recycling - Case 1'!CB128</f>
        <v>0.72519651658614603</v>
      </c>
      <c r="CC58" s="483">
        <f>'Recycling - Case 1'!CC128</f>
        <v>0.45978556769934609</v>
      </c>
      <c r="CD58" s="483">
        <f>'Recycling - Case 1'!CD128</f>
        <v>0.72519651658614603</v>
      </c>
      <c r="CE58" s="604">
        <f>'Recycling - Case 1'!CE128</f>
        <v>0.85</v>
      </c>
      <c r="CF58" s="730">
        <f>'Recycling - Case 2'!CB127</f>
        <v>0.67206984488050125</v>
      </c>
      <c r="CG58" s="483">
        <f>'Recycling - Case 2'!CC127</f>
        <v>0.49001825584653547</v>
      </c>
      <c r="CH58" s="483">
        <f>'Recycling - Case 2'!CD127</f>
        <v>0.67206984488050125</v>
      </c>
      <c r="CI58" s="604">
        <f>'Recycling - Case 2'!CE127</f>
        <v>0.85</v>
      </c>
      <c r="CJ58" s="730">
        <f>'Recycling - Case 3'!CB127</f>
        <v>0.67206984488050125</v>
      </c>
      <c r="CK58" s="483">
        <f>'Recycling - Case 3'!CC127</f>
        <v>0.49001825584653547</v>
      </c>
      <c r="CL58" s="483">
        <f>'Recycling - Case 3'!CD127</f>
        <v>0.67206984488050125</v>
      </c>
      <c r="CM58" s="604">
        <f>'Recycling - Case 3'!CE127</f>
        <v>0.85</v>
      </c>
    </row>
    <row r="59" spans="1:91">
      <c r="A59" s="4">
        <f>'Input data'!A148</f>
        <v>2048</v>
      </c>
      <c r="B59" s="4"/>
      <c r="C59" s="891">
        <f>'4A SWD Case 1'!BG117</f>
        <v>426.41456342904269</v>
      </c>
      <c r="D59" s="3">
        <f>'4B Biological treatment '!T112</f>
        <v>1.0764761139856927</v>
      </c>
      <c r="E59" s="1358">
        <f>'4B Biological treatment '!U112</f>
        <v>48.441425129356162</v>
      </c>
      <c r="F59" s="1358">
        <f>'4B Biological treatment '!W112</f>
        <v>2.9064855077613698</v>
      </c>
      <c r="G59" s="1076">
        <f>'4C2 Open-burning '!R119</f>
        <v>12.270664835027485</v>
      </c>
      <c r="H59" s="1076">
        <f>'4C2 Open-burning '!Z119</f>
        <v>4.1287030460109886</v>
      </c>
      <c r="I59" s="1076">
        <f>'4C2 Open-burning '!AH119</f>
        <v>5.7478514876241629E-2</v>
      </c>
      <c r="J59" s="1111">
        <f>'4D Wastewater treatment and dis'!AV156</f>
        <v>235.1529267511888</v>
      </c>
      <c r="K59" s="892">
        <f>'4D Wastewater treatment and dis'!AW156</f>
        <v>3.76914977647577</v>
      </c>
      <c r="L59" s="893">
        <f t="shared" si="65"/>
        <v>8954.7058320098968</v>
      </c>
      <c r="M59" s="894">
        <f t="shared" si="66"/>
        <v>22.605998393699547</v>
      </c>
      <c r="N59" s="893">
        <f t="shared" si="67"/>
        <v>1918.2804351225041</v>
      </c>
      <c r="O59" s="895">
        <f t="shared" si="68"/>
        <v>116.79176841289316</v>
      </c>
      <c r="P59" s="893">
        <f t="shared" si="69"/>
        <v>6106.6478924824532</v>
      </c>
      <c r="Q59" s="598">
        <f t="shared" si="70"/>
        <v>8954.7058320098968</v>
      </c>
      <c r="R59" s="600">
        <f t="shared" si="71"/>
        <v>1940.8864335162036</v>
      </c>
      <c r="S59" s="597">
        <f t="shared" si="72"/>
        <v>116.79176841289316</v>
      </c>
      <c r="T59" s="598">
        <f t="shared" si="73"/>
        <v>6106.6478924824532</v>
      </c>
      <c r="U59" s="598">
        <f t="shared" si="74"/>
        <v>17119.031926421449</v>
      </c>
      <c r="V59" s="3"/>
      <c r="W59" s="677">
        <f t="shared" si="75"/>
        <v>2049</v>
      </c>
      <c r="X59" s="1263">
        <f t="shared" si="76"/>
        <v>8846.5143381953694</v>
      </c>
      <c r="Y59" s="1264">
        <f t="shared" si="77"/>
        <v>1960.9145105451528</v>
      </c>
      <c r="Z59" s="1264">
        <f t="shared" si="78"/>
        <v>117.38703099453285</v>
      </c>
      <c r="AA59" s="1264">
        <f t="shared" si="79"/>
        <v>6179.775115323424</v>
      </c>
      <c r="AB59" s="1331">
        <f t="shared" si="22"/>
        <v>17104.590995058479</v>
      </c>
      <c r="AC59" s="1365" t="str">
        <f>'Recycling - Case 1'!T169</f>
        <v>Policies met</v>
      </c>
      <c r="AD59" s="1263">
        <f t="shared" si="80"/>
        <v>6973.1233216738356</v>
      </c>
      <c r="AE59" s="1264">
        <f t="shared" si="81"/>
        <v>797.48310512349315</v>
      </c>
      <c r="AF59" s="1264">
        <f t="shared" si="82"/>
        <v>117.38703099453285</v>
      </c>
      <c r="AG59" s="1264">
        <f t="shared" si="83"/>
        <v>6179.775115323424</v>
      </c>
      <c r="AH59" s="1331">
        <f t="shared" si="56"/>
        <v>14067.768573115285</v>
      </c>
      <c r="AI59" s="1365" t="str">
        <f>'Recycling - Case 1'!T209</f>
        <v>Policies not met</v>
      </c>
      <c r="AJ59" s="1263">
        <f t="shared" si="84"/>
        <v>7011.8241443476309</v>
      </c>
      <c r="AK59" s="1264">
        <f t="shared" si="85"/>
        <v>2033.3150876409661</v>
      </c>
      <c r="AL59" s="1264">
        <f t="shared" si="86"/>
        <v>140.0810019030271</v>
      </c>
      <c r="AM59" s="1264">
        <f t="shared" si="87"/>
        <v>6221.7780642618636</v>
      </c>
      <c r="AN59" s="1331">
        <f t="shared" si="88"/>
        <v>15406.998298153487</v>
      </c>
      <c r="AO59" s="1365" t="str">
        <f>'Recycling - Case 2'!T168</f>
        <v>Policies met</v>
      </c>
      <c r="AP59" s="1263">
        <f t="shared" si="89"/>
        <v>6260.5989105546969</v>
      </c>
      <c r="AQ59" s="1264">
        <f t="shared" si="90"/>
        <v>2033.3150876409661</v>
      </c>
      <c r="AR59" s="1264">
        <f t="shared" si="91"/>
        <v>140.0810019030271</v>
      </c>
      <c r="AS59" s="1264">
        <f t="shared" si="92"/>
        <v>6221.7780642618636</v>
      </c>
      <c r="AT59" s="1331">
        <f t="shared" si="37"/>
        <v>14655.773064360554</v>
      </c>
      <c r="AU59" s="1365" t="str">
        <f>'Recycling - Case 2'!T208</f>
        <v>Policies not met</v>
      </c>
      <c r="AV59" s="1263">
        <f t="shared" si="59"/>
        <v>7013.426961004433</v>
      </c>
      <c r="AW59" s="1264">
        <f t="shared" si="60"/>
        <v>1164.6742652764931</v>
      </c>
      <c r="AX59" s="1264">
        <f t="shared" si="61"/>
        <v>140.0810019030271</v>
      </c>
      <c r="AY59" s="1264">
        <f t="shared" si="62"/>
        <v>6221.7780642618636</v>
      </c>
      <c r="AZ59" s="1331">
        <f t="shared" si="63"/>
        <v>14539.960292445818</v>
      </c>
      <c r="BA59" s="1365" t="str">
        <f>'Recycling - Case 2'!T168</f>
        <v>Policies met</v>
      </c>
      <c r="BB59" s="1263">
        <f t="shared" si="93"/>
        <v>6262.201727211499</v>
      </c>
      <c r="BC59" s="1264">
        <f t="shared" si="94"/>
        <v>523.81896410959268</v>
      </c>
      <c r="BD59" s="1264">
        <f t="shared" si="95"/>
        <v>140.0810019030271</v>
      </c>
      <c r="BE59" s="1264">
        <f t="shared" si="96"/>
        <v>6221.7780642618636</v>
      </c>
      <c r="BF59" s="1331">
        <f t="shared" si="47"/>
        <v>13147.879757485982</v>
      </c>
      <c r="BG59" s="1365" t="str">
        <f>'Recycling - Case 2'!T208</f>
        <v>Policies not met</v>
      </c>
      <c r="BH59" s="677">
        <f t="shared" si="48"/>
        <v>2049</v>
      </c>
      <c r="BI59" s="1264">
        <f>'Recycling - Case 1'!BV129</f>
        <v>57.829170705284398</v>
      </c>
      <c r="BJ59" s="483">
        <f>'Recycling - Case 1'!BW129</f>
        <v>0.62975701214482482</v>
      </c>
      <c r="BK59" s="1331">
        <f>'Recycling - Case 1'!BX129</f>
        <v>9.4168520231428214</v>
      </c>
      <c r="BL59" s="1263">
        <f>'Recycling - Case 1'!BY129</f>
        <v>70.187331042055291</v>
      </c>
      <c r="BM59" s="483">
        <f>'Recycling - Case 1'!BZ129</f>
        <v>0.39834810071831678</v>
      </c>
      <c r="BN59" s="1331">
        <f>'Recycling - Case 1'!CA129</f>
        <v>50.172070130067617</v>
      </c>
      <c r="BO59" s="1264">
        <f>'Recycling - Case 2'!BV128</f>
        <v>59.702708328326267</v>
      </c>
      <c r="BP59" s="483">
        <f>'Recycling - Case 2'!BW128</f>
        <v>0.77089004315281895</v>
      </c>
      <c r="BQ59" s="1331">
        <f>'Recycling - Case 2'!BX128</f>
        <v>9.4168520231428214</v>
      </c>
      <c r="BR59" s="1263">
        <f>'Recycling - Case 2'!BY128</f>
        <v>71.880827977617415</v>
      </c>
      <c r="BS59" s="483">
        <f>'Recycling - Case 2'!BZ128</f>
        <v>0.7899228486263834</v>
      </c>
      <c r="BT59" s="1331">
        <f>'Recycling - Case 2'!CA128</f>
        <v>50.172070130067617</v>
      </c>
      <c r="BU59" s="1264">
        <f>'Recycling - Case 3'!BV128</f>
        <v>59.702708328326267</v>
      </c>
      <c r="BV59" s="483">
        <f>'Recycling - Case 3'!BW128</f>
        <v>0.77089004315281895</v>
      </c>
      <c r="BW59" s="1331">
        <f>'Recycling - Case 3'!BX128</f>
        <v>9.4168520231428214</v>
      </c>
      <c r="BX59" s="1263">
        <f>'Recycling - Case 3'!BY128</f>
        <v>71.880827977617415</v>
      </c>
      <c r="BY59" s="483">
        <f>'Recycling - Case 3'!BZ128</f>
        <v>0.7899228486263834</v>
      </c>
      <c r="BZ59" s="1331">
        <f>'Recycling - Case 3'!CA128</f>
        <v>50.172070130067617</v>
      </c>
      <c r="CA59" s="677">
        <v>2049</v>
      </c>
      <c r="CB59" s="730">
        <f>'Recycling - Case 1'!CB129</f>
        <v>0.72519651658614603</v>
      </c>
      <c r="CC59" s="483">
        <f>'Recycling - Case 1'!CC129</f>
        <v>0.47155636748080432</v>
      </c>
      <c r="CD59" s="483">
        <f>'Recycling - Case 1'!CD129</f>
        <v>0.72519651658614603</v>
      </c>
      <c r="CE59" s="604">
        <f>'Recycling - Case 1'!CE129</f>
        <v>0.85</v>
      </c>
      <c r="CF59" s="730">
        <f>'Recycling - Case 2'!CB128</f>
        <v>0.67206984488050125</v>
      </c>
      <c r="CG59" s="483">
        <f>'Recycling - Case 2'!CC128</f>
        <v>0.46915699032269942</v>
      </c>
      <c r="CH59" s="483">
        <f>'Recycling - Case 2'!CD128</f>
        <v>0.67206984488050125</v>
      </c>
      <c r="CI59" s="604">
        <f>'Recycling - Case 2'!CE128</f>
        <v>0.85</v>
      </c>
      <c r="CJ59" s="730">
        <f>'Recycling - Case 3'!CB128</f>
        <v>0.67206984488050125</v>
      </c>
      <c r="CK59" s="483">
        <f>'Recycling - Case 3'!CC128</f>
        <v>0.46915699032269942</v>
      </c>
      <c r="CL59" s="483">
        <f>'Recycling - Case 3'!CD128</f>
        <v>0.67206984488050125</v>
      </c>
      <c r="CM59" s="604">
        <f>'Recycling - Case 3'!CE128</f>
        <v>0.85</v>
      </c>
    </row>
    <row r="60" spans="1:91" ht="15" thickBot="1">
      <c r="A60" s="4">
        <f>'Input data'!A149</f>
        <v>2049</v>
      </c>
      <c r="B60" s="4"/>
      <c r="C60" s="891">
        <f>'4A SWD Case 1'!BG118</f>
        <v>421.26258753311282</v>
      </c>
      <c r="D60" s="3">
        <f>'4B Biological treatment '!T113</f>
        <v>1.0875843097865521</v>
      </c>
      <c r="E60" s="1358">
        <f>'4B Biological treatment '!U113</f>
        <v>48.941293940394829</v>
      </c>
      <c r="F60" s="1358">
        <f>'4B Biological treatment '!W113</f>
        <v>2.9364776364236898</v>
      </c>
      <c r="G60" s="1076">
        <f>'4C2 Open-burning '!R120</f>
        <v>12.333205780570079</v>
      </c>
      <c r="H60" s="1076">
        <f>'4C2 Open-burning '!Z120</f>
        <v>4.1497461594717215</v>
      </c>
      <c r="I60" s="1076">
        <f>'4C2 Open-burning '!AH120</f>
        <v>5.7771470532440694E-2</v>
      </c>
      <c r="J60" s="1111">
        <f>'4D Wastewater treatment and dis'!AV157</f>
        <v>238.35159118378778</v>
      </c>
      <c r="K60" s="892">
        <f>'4D Wastewater treatment and dis'!AW157</f>
        <v>3.7883603240770336</v>
      </c>
      <c r="L60" s="893">
        <f t="shared" si="65"/>
        <v>8846.5143381953694</v>
      </c>
      <c r="M60" s="894">
        <f t="shared" si="66"/>
        <v>22.839270505517593</v>
      </c>
      <c r="N60" s="893">
        <f t="shared" si="67"/>
        <v>1938.0752400396352</v>
      </c>
      <c r="O60" s="895">
        <f t="shared" si="68"/>
        <v>117.38703099453285</v>
      </c>
      <c r="P60" s="893">
        <f t="shared" si="69"/>
        <v>6179.775115323424</v>
      </c>
      <c r="Q60" s="598">
        <f t="shared" si="70"/>
        <v>8846.5143381953694</v>
      </c>
      <c r="R60" s="600">
        <f t="shared" si="71"/>
        <v>1960.9145105451528</v>
      </c>
      <c r="S60" s="597">
        <f t="shared" si="72"/>
        <v>117.38703099453285</v>
      </c>
      <c r="T60" s="598">
        <f t="shared" si="73"/>
        <v>6179.775115323424</v>
      </c>
      <c r="U60" s="598">
        <f t="shared" si="74"/>
        <v>17104.590995058479</v>
      </c>
      <c r="V60" s="3"/>
      <c r="W60" s="1332">
        <f t="shared" si="75"/>
        <v>2050</v>
      </c>
      <c r="X60" s="1336">
        <f t="shared" si="76"/>
        <v>8747.3973747462278</v>
      </c>
      <c r="Y60" s="1333">
        <f t="shared" si="77"/>
        <v>1983.1370846035243</v>
      </c>
      <c r="Z60" s="1333">
        <f t="shared" si="78"/>
        <v>117.98698068311457</v>
      </c>
      <c r="AA60" s="1333">
        <f t="shared" si="79"/>
        <v>6253.5767542913654</v>
      </c>
      <c r="AB60" s="1334">
        <f t="shared" si="22"/>
        <v>17102.09819432423</v>
      </c>
      <c r="AC60" s="1365" t="str">
        <f>'Recycling - Case 1'!T170</f>
        <v>Policies met</v>
      </c>
      <c r="AD60" s="1336">
        <f t="shared" si="80"/>
        <v>6810.0621145560754</v>
      </c>
      <c r="AE60" s="1333">
        <f t="shared" si="81"/>
        <v>815.10530612965204</v>
      </c>
      <c r="AF60" s="1333">
        <f t="shared" si="82"/>
        <v>117.98698068311457</v>
      </c>
      <c r="AG60" s="1333">
        <f t="shared" si="83"/>
        <v>6253.5767542913654</v>
      </c>
      <c r="AH60" s="1334">
        <f t="shared" si="56"/>
        <v>13996.731155660207</v>
      </c>
      <c r="AI60" s="1365" t="str">
        <f>'Recycling - Case 1'!T210</f>
        <v>Policies not met</v>
      </c>
      <c r="AJ60" s="1336">
        <f t="shared" si="84"/>
        <v>7008.1192274707564</v>
      </c>
      <c r="AK60" s="1333">
        <f t="shared" si="85"/>
        <v>2154.2865855883824</v>
      </c>
      <c r="AL60" s="1333">
        <f t="shared" si="86"/>
        <v>140.7969374945138</v>
      </c>
      <c r="AM60" s="1333">
        <f t="shared" si="87"/>
        <v>6253.5767542913654</v>
      </c>
      <c r="AN60" s="1334">
        <f t="shared" si="88"/>
        <v>15556.779504845017</v>
      </c>
      <c r="AO60" s="1365" t="str">
        <f>'Recycling - Case 2'!T169</f>
        <v>Policies met</v>
      </c>
      <c r="AP60" s="1336">
        <f t="shared" si="89"/>
        <v>6137.2363914913258</v>
      </c>
      <c r="AQ60" s="1333">
        <f t="shared" si="90"/>
        <v>2154.2865855883824</v>
      </c>
      <c r="AR60" s="1333">
        <f t="shared" si="91"/>
        <v>140.7969374945138</v>
      </c>
      <c r="AS60" s="1333">
        <f t="shared" si="92"/>
        <v>6253.5767542913654</v>
      </c>
      <c r="AT60" s="1334">
        <f t="shared" si="37"/>
        <v>14685.896668865587</v>
      </c>
      <c r="AU60" s="1365" t="str">
        <f>'Recycling - Case 2'!T209</f>
        <v>Policies not met</v>
      </c>
      <c r="AV60" s="1336">
        <f t="shared" si="59"/>
        <v>7009.7576014337792</v>
      </c>
      <c r="AW60" s="1333">
        <f t="shared" si="60"/>
        <v>1236.1210457522488</v>
      </c>
      <c r="AX60" s="1333">
        <f t="shared" si="61"/>
        <v>140.7969374945138</v>
      </c>
      <c r="AY60" s="1333">
        <f t="shared" si="62"/>
        <v>6253.5767542913654</v>
      </c>
      <c r="AZ60" s="1334">
        <f t="shared" si="63"/>
        <v>14640.252338971906</v>
      </c>
      <c r="BA60" s="1365" t="str">
        <f>'Recycling - Case 2'!T169</f>
        <v>Policies met</v>
      </c>
      <c r="BB60" s="1336">
        <f t="shared" si="93"/>
        <v>6138.8747654543486</v>
      </c>
      <c r="BC60" s="1333">
        <f t="shared" si="94"/>
        <v>534.72313054451445</v>
      </c>
      <c r="BD60" s="1333">
        <f t="shared" si="95"/>
        <v>140.7969374945138</v>
      </c>
      <c r="BE60" s="1333">
        <f t="shared" si="96"/>
        <v>6253.5767542913654</v>
      </c>
      <c r="BF60" s="1334">
        <f t="shared" si="47"/>
        <v>13067.971587784743</v>
      </c>
      <c r="BG60" s="1365" t="str">
        <f>'Recycling - Case 2'!T209</f>
        <v>Policies not met</v>
      </c>
      <c r="BH60" s="1332">
        <f t="shared" si="48"/>
        <v>2050</v>
      </c>
      <c r="BI60" s="1333">
        <f>'Recycling - Case 1'!BV130</f>
        <v>57.09341120670873</v>
      </c>
      <c r="BJ60" s="732">
        <f>'Recycling - Case 1'!BW130</f>
        <v>0.64113279036900128</v>
      </c>
      <c r="BK60" s="1334">
        <f>'Recycling - Case 1'!BX130</f>
        <v>8.1358710855464391</v>
      </c>
      <c r="BL60" s="1336">
        <f>'Recycling - Case 1'!BY130</f>
        <v>70.620266480612941</v>
      </c>
      <c r="BM60" s="732">
        <f>'Recycling - Case 1'!BZ130</f>
        <v>0.39973001505239486</v>
      </c>
      <c r="BN60" s="1334">
        <f>'Recycling - Case 1'!CA130</f>
        <v>50.172070130067617</v>
      </c>
      <c r="BO60" s="1333">
        <f>'Recycling - Case 2'!BV129</f>
        <v>61.37775831207469</v>
      </c>
      <c r="BP60" s="732">
        <f>'Recycling - Case 2'!BW129</f>
        <v>0.76428504859512059</v>
      </c>
      <c r="BQ60" s="1334">
        <f>'Recycling - Case 2'!BX129</f>
        <v>8.1358710855464391</v>
      </c>
      <c r="BR60" s="1336">
        <f>'Recycling - Case 2'!BY129</f>
        <v>72.322418656455824</v>
      </c>
      <c r="BS60" s="732">
        <f>'Recycling - Case 2'!BZ129</f>
        <v>0.78934556267027101</v>
      </c>
      <c r="BT60" s="1334">
        <f>'Recycling - Case 2'!CA129</f>
        <v>50.172070130067617</v>
      </c>
      <c r="BU60" s="1333">
        <f>'Recycling - Case 3'!BV129</f>
        <v>61.37775831207469</v>
      </c>
      <c r="BV60" s="732">
        <f>'Recycling - Case 3'!BW129</f>
        <v>0.76428504859512059</v>
      </c>
      <c r="BW60" s="1334">
        <f>'Recycling - Case 3'!BX129</f>
        <v>8.1358710855464391</v>
      </c>
      <c r="BX60" s="1336">
        <f>'Recycling - Case 3'!BY129</f>
        <v>72.322418656455824</v>
      </c>
      <c r="BY60" s="732">
        <f>'Recycling - Case 3'!BZ129</f>
        <v>0.78934556267027101</v>
      </c>
      <c r="BZ60" s="1334">
        <f>'Recycling - Case 3'!CA129</f>
        <v>50.172070130067617</v>
      </c>
      <c r="CA60" s="1332">
        <v>2050</v>
      </c>
      <c r="CB60" s="731">
        <f>'Recycling - Case 1'!CB130</f>
        <v>0.72519651658614603</v>
      </c>
      <c r="CC60" s="732">
        <f>'Recycling - Case 1'!CC130</f>
        <v>0.48272606133503143</v>
      </c>
      <c r="CD60" s="732">
        <f>'Recycling - Case 1'!CD130</f>
        <v>0.72519651658614603</v>
      </c>
      <c r="CE60" s="733">
        <f>'Recycling - Case 1'!CE130</f>
        <v>0.85</v>
      </c>
      <c r="CF60" s="731">
        <f>'Recycling - Case 2'!CB129</f>
        <v>0.67206984488050125</v>
      </c>
      <c r="CG60" s="732">
        <f>'Recycling - Case 2'!CC129</f>
        <v>0.44946072524742625</v>
      </c>
      <c r="CH60" s="732">
        <f>'Recycling - Case 2'!CD129</f>
        <v>0.67206984488050125</v>
      </c>
      <c r="CI60" s="733">
        <f>'Recycling - Case 2'!CE129</f>
        <v>0.85</v>
      </c>
      <c r="CJ60" s="731">
        <f>'Recycling - Case 3'!CB129</f>
        <v>0.67206984488050125</v>
      </c>
      <c r="CK60" s="732">
        <f>'Recycling - Case 3'!CC129</f>
        <v>0.44946072524742625</v>
      </c>
      <c r="CL60" s="732">
        <f>'Recycling - Case 3'!CD129</f>
        <v>0.67206984488050125</v>
      </c>
      <c r="CM60" s="733">
        <f>'Recycling - Case 3'!CE129</f>
        <v>0.85</v>
      </c>
    </row>
    <row r="61" spans="1:91">
      <c r="A61" s="4">
        <f>'Input data'!A150</f>
        <v>2050</v>
      </c>
      <c r="B61" s="4"/>
      <c r="C61" s="891">
        <f>'4A SWD Case 1'!BG119</f>
        <v>416.54273213077272</v>
      </c>
      <c r="D61" s="3">
        <f>'4B Biological treatment '!T114</f>
        <v>1.0999096420429975</v>
      </c>
      <c r="E61" s="1358">
        <f>'4B Biological treatment '!U114</f>
        <v>49.495933891934875</v>
      </c>
      <c r="F61" s="1358">
        <f>'4B Biological treatment '!W114</f>
        <v>2.9697560335160929</v>
      </c>
      <c r="G61" s="1076">
        <f>'4C2 Open-burning '!R121</f>
        <v>12.396239174502771</v>
      </c>
      <c r="H61" s="1076">
        <f>'4C2 Open-burning '!Z121</f>
        <v>4.1709549667392318</v>
      </c>
      <c r="I61" s="1076">
        <f>'4C2 Open-burning '!AH121</f>
        <v>5.8066732926090131E-2</v>
      </c>
      <c r="J61" s="1111">
        <f>'4D Wastewater treatment and dis'!AV158</f>
        <v>241.58013772301177</v>
      </c>
      <c r="K61" s="892">
        <f>'4D Wastewater treatment and dis'!AW158</f>
        <v>3.8077221358326381</v>
      </c>
      <c r="L61" s="893">
        <f t="shared" si="65"/>
        <v>8747.3973747462278</v>
      </c>
      <c r="M61" s="894">
        <f t="shared" si="66"/>
        <v>23.098102482902945</v>
      </c>
      <c r="N61" s="893">
        <f t="shared" si="67"/>
        <v>1960.0389821206213</v>
      </c>
      <c r="O61" s="895">
        <f t="shared" si="68"/>
        <v>117.98698068311457</v>
      </c>
      <c r="P61" s="893">
        <f t="shared" si="69"/>
        <v>6253.5767542913654</v>
      </c>
      <c r="Q61" s="538">
        <f t="shared" si="70"/>
        <v>8747.3973747462278</v>
      </c>
      <c r="R61" s="596">
        <f t="shared" si="71"/>
        <v>1983.1370846035243</v>
      </c>
      <c r="S61" s="593">
        <f t="shared" si="72"/>
        <v>117.98698068311457</v>
      </c>
      <c r="T61" s="538">
        <f t="shared" si="73"/>
        <v>6253.5767542913654</v>
      </c>
      <c r="U61" s="538">
        <f t="shared" si="74"/>
        <v>17102.09819432423</v>
      </c>
      <c r="AJ61" s="53"/>
      <c r="AK61" s="53"/>
      <c r="AL61" s="53"/>
      <c r="AM61" s="53"/>
      <c r="AN61" s="53"/>
      <c r="AP61" s="598"/>
      <c r="AQ61" s="598"/>
      <c r="AR61" s="598"/>
      <c r="AS61" s="598"/>
      <c r="AT61" s="598"/>
      <c r="AU61" s="598"/>
      <c r="AV61" s="598"/>
      <c r="AW61" s="598"/>
      <c r="AX61" s="598"/>
      <c r="AY61" s="598"/>
      <c r="AZ61" s="598"/>
      <c r="BA61" s="53"/>
      <c r="BB61" s="598"/>
      <c r="BC61" s="598"/>
      <c r="BD61" s="598"/>
      <c r="BE61" s="598"/>
      <c r="BF61" s="598"/>
      <c r="BJ61" s="114"/>
      <c r="BM61" s="114"/>
      <c r="BP61" s="114"/>
    </row>
    <row r="62" spans="1:91">
      <c r="A62" s="479" t="s">
        <v>739</v>
      </c>
      <c r="B62" s="479"/>
      <c r="C62" s="538"/>
      <c r="D62" s="3">
        <f>'4B Biological treatment '!T115</f>
        <v>0</v>
      </c>
      <c r="E62" s="539">
        <f>'4B Biological treatment '!U115</f>
        <v>0</v>
      </c>
      <c r="F62" s="539">
        <f>'4B Biological treatment '!W115</f>
        <v>0</v>
      </c>
      <c r="G62" s="594"/>
      <c r="H62" s="594"/>
      <c r="I62" s="594"/>
      <c r="J62" s="1110"/>
      <c r="K62" s="594"/>
      <c r="L62" s="538"/>
      <c r="M62" s="3"/>
      <c r="N62" s="538"/>
      <c r="O62" s="593"/>
      <c r="P62" s="538"/>
      <c r="Q62" s="538"/>
      <c r="R62" s="596"/>
      <c r="S62" s="593"/>
      <c r="T62" s="538"/>
      <c r="U62" s="538"/>
      <c r="AP62" s="598"/>
      <c r="AQ62" s="598"/>
      <c r="AR62" s="598"/>
      <c r="AS62" s="598"/>
      <c r="AT62" s="598"/>
      <c r="AU62" s="598"/>
      <c r="AV62" s="598"/>
      <c r="AW62" s="598"/>
      <c r="AX62" s="598"/>
      <c r="AY62" s="598"/>
      <c r="AZ62" s="598"/>
      <c r="BB62" s="598"/>
      <c r="BC62" s="598"/>
      <c r="BD62" s="598"/>
      <c r="BE62" s="598"/>
      <c r="BF62" s="598"/>
    </row>
    <row r="63" spans="1:91">
      <c r="A63" s="4">
        <f>'Input data'!A118</f>
        <v>2018</v>
      </c>
      <c r="B63" s="4"/>
      <c r="C63" s="891">
        <f>'4A SWD Case 1'!BN87</f>
        <v>718.72894597883851</v>
      </c>
      <c r="D63" s="3">
        <f>'4B Biological treatment '!T116</f>
        <v>0.6481062291086146</v>
      </c>
      <c r="E63" s="1358">
        <f>'4B Biological treatment '!U116</f>
        <v>34.953835508219989</v>
      </c>
      <c r="F63" s="1358">
        <f>'4B Biological treatment '!W116</f>
        <v>2.0972301304931991</v>
      </c>
      <c r="G63" s="1076">
        <f>'4C2 Open-burning '!R89</f>
        <v>33.437280995125889</v>
      </c>
      <c r="H63" s="1076">
        <f>'4C2 Open-burning '!Z89</f>
        <v>11.250621360044049</v>
      </c>
      <c r="I63" s="1076">
        <f>'4C2 Open-burning '!AH89</f>
        <v>0.15662763826888526</v>
      </c>
      <c r="J63" s="1111">
        <f>'4D Wastewater treatment and dis'!AV126</f>
        <v>134.80820881535828</v>
      </c>
      <c r="K63" s="892">
        <f>'4D Wastewater treatment and dis'!AW126</f>
        <v>2.8960026562367029</v>
      </c>
      <c r="L63" s="893">
        <f t="shared" ref="L63:L95" si="97">C63*$B$3</f>
        <v>15093.307865555609</v>
      </c>
      <c r="M63" s="894">
        <f t="shared" ref="M63:M95" si="98">D63*$B$3</f>
        <v>13.610230811280907</v>
      </c>
      <c r="N63" s="893">
        <f t="shared" ref="N63:N95" si="99">E63*$B$3+F63*$C$3</f>
        <v>1384.1718861255113</v>
      </c>
      <c r="O63" s="895">
        <f t="shared" ref="O63:O95" si="100">G63+H63*$B$3+I63*$C$3</f>
        <v>318.25489741940532</v>
      </c>
      <c r="P63" s="893">
        <f t="shared" ref="P63:P95" si="101">J63*$B$3+K63*$C$3</f>
        <v>3728.7332085559019</v>
      </c>
      <c r="Q63" s="538">
        <f t="shared" ref="Q63:Q95" si="102">L63</f>
        <v>15093.307865555609</v>
      </c>
      <c r="R63" s="596">
        <f t="shared" ref="R63:R95" si="103">M63+N63</f>
        <v>1397.7821169367921</v>
      </c>
      <c r="S63" s="593">
        <f t="shared" ref="S63:S95" si="104">O63</f>
        <v>318.25489741940532</v>
      </c>
      <c r="T63" s="538">
        <f t="shared" ref="T63:T95" si="105">P63</f>
        <v>3728.7332085559019</v>
      </c>
      <c r="U63" s="538">
        <f t="shared" ref="U63:U95" si="106">SUM(Q63:T63)</f>
        <v>20538.078088467711</v>
      </c>
    </row>
    <row r="64" spans="1:91">
      <c r="A64" s="4">
        <f>'Input data'!A119</f>
        <v>2019</v>
      </c>
      <c r="B64" s="4"/>
      <c r="C64" s="891">
        <f>'4A SWD Case 1'!BN88</f>
        <v>715.51148891397781</v>
      </c>
      <c r="D64" s="3">
        <f>'4B Biological treatment '!T117</f>
        <v>0.66905166528151505</v>
      </c>
      <c r="E64" s="1358">
        <f>'4B Biological treatment '!U117</f>
        <v>34.767998439225167</v>
      </c>
      <c r="F64" s="1358">
        <f>'4B Biological treatment '!W117</f>
        <v>2.0860799063535103</v>
      </c>
      <c r="G64" s="1076">
        <f>'4C2 Open-burning '!R90</f>
        <v>33.141257633565822</v>
      </c>
      <c r="H64" s="1076">
        <f>'4C2 Open-burning '!Z90</f>
        <v>11.151018561744589</v>
      </c>
      <c r="I64" s="1076">
        <f>'4C2 Open-burning '!AH90</f>
        <v>0.15524099920572906</v>
      </c>
      <c r="J64" s="1111">
        <f>'4D Wastewater treatment and dis'!AV127</f>
        <v>138.54240079281473</v>
      </c>
      <c r="K64" s="892">
        <f>'4D Wastewater treatment and dis'!AW127</f>
        <v>2.9428441226975277</v>
      </c>
      <c r="L64" s="893">
        <f t="shared" si="97"/>
        <v>15025.741267193534</v>
      </c>
      <c r="M64" s="894">
        <f t="shared" si="98"/>
        <v>14.050084970911817</v>
      </c>
      <c r="N64" s="893">
        <f t="shared" si="99"/>
        <v>1376.8127381933168</v>
      </c>
      <c r="O64" s="895">
        <f t="shared" si="100"/>
        <v>315.43735718397818</v>
      </c>
      <c r="P64" s="893">
        <f t="shared" si="101"/>
        <v>3821.6720946853429</v>
      </c>
      <c r="Q64" s="598">
        <f t="shared" si="102"/>
        <v>15025.741267193534</v>
      </c>
      <c r="R64" s="600">
        <f t="shared" si="103"/>
        <v>1390.8628231642285</v>
      </c>
      <c r="S64" s="597">
        <f t="shared" si="104"/>
        <v>315.43735718397818</v>
      </c>
      <c r="T64" s="598">
        <f t="shared" si="105"/>
        <v>3821.6720946853429</v>
      </c>
      <c r="U64" s="598">
        <f t="shared" si="106"/>
        <v>20553.713542227084</v>
      </c>
    </row>
    <row r="65" spans="1:21">
      <c r="A65" s="4">
        <f>'Input data'!A120</f>
        <v>2020</v>
      </c>
      <c r="B65" s="4"/>
      <c r="C65" s="891">
        <f>'4A SWD Case 1'!BN89</f>
        <v>709.49594974432944</v>
      </c>
      <c r="D65" s="3">
        <f>'4B Biological treatment '!T118</f>
        <v>0.57011434259756943</v>
      </c>
      <c r="E65" s="1358">
        <f>'4B Biological treatment '!U118</f>
        <v>28.973606870225087</v>
      </c>
      <c r="F65" s="1358">
        <f>'4B Biological treatment '!W118</f>
        <v>1.7384164122135051</v>
      </c>
      <c r="G65" s="1076">
        <f>'4C2 Open-burning '!R91</f>
        <v>32.875085670840846</v>
      </c>
      <c r="H65" s="1076">
        <f>'4C2 Open-burning '!Z91</f>
        <v>11.061459845241448</v>
      </c>
      <c r="I65" s="1076">
        <f>'4C2 Open-burning '!AH91</f>
        <v>0.15399419071370238</v>
      </c>
      <c r="J65" s="1111">
        <f>'4D Wastewater treatment and dis'!AV128</f>
        <v>142.36205971856938</v>
      </c>
      <c r="K65" s="892">
        <f>'4D Wastewater treatment and dis'!AW128</f>
        <v>2.9904419099300554</v>
      </c>
      <c r="L65" s="893">
        <f t="shared" si="97"/>
        <v>14899.414944630918</v>
      </c>
      <c r="M65" s="894">
        <f t="shared" si="98"/>
        <v>11.972401194548958</v>
      </c>
      <c r="N65" s="893">
        <f t="shared" si="99"/>
        <v>1147.3548320609134</v>
      </c>
      <c r="O65" s="895">
        <f t="shared" si="100"/>
        <v>312.90394154215903</v>
      </c>
      <c r="P65" s="893">
        <f t="shared" si="101"/>
        <v>3916.6402461682742</v>
      </c>
      <c r="Q65" s="598">
        <f t="shared" si="102"/>
        <v>14899.414944630918</v>
      </c>
      <c r="R65" s="600">
        <f t="shared" si="103"/>
        <v>1159.3272332554623</v>
      </c>
      <c r="S65" s="597">
        <f t="shared" si="104"/>
        <v>312.90394154215903</v>
      </c>
      <c r="T65" s="598">
        <f t="shared" si="105"/>
        <v>3916.6402461682742</v>
      </c>
      <c r="U65" s="598">
        <f t="shared" si="106"/>
        <v>20288.286365596814</v>
      </c>
    </row>
    <row r="66" spans="1:21">
      <c r="A66" s="4">
        <f>'Input data'!A121</f>
        <v>2021</v>
      </c>
      <c r="B66" s="4"/>
      <c r="C66" s="891">
        <f>'4A SWD Case 1'!BN90</f>
        <v>697.81837714463643</v>
      </c>
      <c r="D66" s="3">
        <f>'4B Biological treatment '!T119</f>
        <v>0.60664602924248046</v>
      </c>
      <c r="E66" s="1358">
        <f>'4B Biological treatment '!U119</f>
        <v>29.055638608274869</v>
      </c>
      <c r="F66" s="1358">
        <f>'4B Biological treatment '!W119</f>
        <v>1.7433383164964922</v>
      </c>
      <c r="G66" s="1076">
        <f>'4C2 Open-burning '!R92</f>
        <v>32.49010916485382</v>
      </c>
      <c r="H66" s="1076">
        <f>'4C2 Open-burning '!Z92</f>
        <v>10.931927037175978</v>
      </c>
      <c r="I66" s="1076">
        <f>'4C2 Open-burning '!AH92</f>
        <v>0.15219087539836484</v>
      </c>
      <c r="J66" s="1111">
        <f>'4D Wastewater treatment and dis'!AV129</f>
        <v>145.59854093589945</v>
      </c>
      <c r="K66" s="892">
        <f>'4D Wastewater treatment and dis'!AW129</f>
        <v>3.024879715734945</v>
      </c>
      <c r="L66" s="893">
        <f t="shared" si="97"/>
        <v>14654.185920037366</v>
      </c>
      <c r="M66" s="894">
        <f t="shared" si="98"/>
        <v>12.739566614092089</v>
      </c>
      <c r="N66" s="893">
        <f t="shared" si="99"/>
        <v>1150.6032888876848</v>
      </c>
      <c r="O66" s="895">
        <f t="shared" si="100"/>
        <v>309.23974831904246</v>
      </c>
      <c r="P66" s="893">
        <f t="shared" si="101"/>
        <v>3995.2820715317216</v>
      </c>
      <c r="Q66" s="598">
        <f t="shared" si="102"/>
        <v>14654.185920037366</v>
      </c>
      <c r="R66" s="600">
        <f t="shared" si="103"/>
        <v>1163.342855501777</v>
      </c>
      <c r="S66" s="597">
        <f t="shared" si="104"/>
        <v>309.23974831904246</v>
      </c>
      <c r="T66" s="598">
        <f t="shared" si="105"/>
        <v>3995.2820715317216</v>
      </c>
      <c r="U66" s="598">
        <f t="shared" si="106"/>
        <v>20122.050595389905</v>
      </c>
    </row>
    <row r="67" spans="1:21">
      <c r="A67" s="4">
        <f>'Input data'!A122</f>
        <v>2022</v>
      </c>
      <c r="B67" s="4"/>
      <c r="C67" s="891">
        <f>'4A SWD Case 1'!BN91</f>
        <v>684.88180549620972</v>
      </c>
      <c r="D67" s="3">
        <f>'4B Biological treatment '!T120</f>
        <v>0.64318057173625143</v>
      </c>
      <c r="E67" s="1358">
        <f>'4B Biological treatment '!U120</f>
        <v>28.94312572813131</v>
      </c>
      <c r="F67" s="1358">
        <f>'4B Biological treatment '!W120</f>
        <v>1.7365875436878784</v>
      </c>
      <c r="G67" s="1076">
        <f>'4C2 Open-burning '!R93</f>
        <v>32.139172084466054</v>
      </c>
      <c r="H67" s="1076">
        <f>'4C2 Open-burning '!Z93</f>
        <v>10.813847453694965</v>
      </c>
      <c r="I67" s="1076">
        <f>'4C2 Open-burning '!AH93</f>
        <v>0.15054700830013618</v>
      </c>
      <c r="J67" s="1111">
        <f>'4D Wastewater treatment and dis'!AV130</f>
        <v>148.88856151515967</v>
      </c>
      <c r="K67" s="892">
        <f>'4D Wastewater treatment and dis'!AW130</f>
        <v>3.0596704712332969</v>
      </c>
      <c r="L67" s="893">
        <f t="shared" si="97"/>
        <v>14382.517915420403</v>
      </c>
      <c r="M67" s="894">
        <f t="shared" si="98"/>
        <v>13.50679200646128</v>
      </c>
      <c r="N67" s="893">
        <f t="shared" si="99"/>
        <v>1146.1477788339998</v>
      </c>
      <c r="O67" s="895">
        <f t="shared" si="100"/>
        <v>305.89954118510258</v>
      </c>
      <c r="P67" s="893">
        <f t="shared" si="101"/>
        <v>4075.1576379006751</v>
      </c>
      <c r="Q67" s="598">
        <f t="shared" si="102"/>
        <v>14382.517915420403</v>
      </c>
      <c r="R67" s="600">
        <f t="shared" si="103"/>
        <v>1159.654570840461</v>
      </c>
      <c r="S67" s="597">
        <f t="shared" si="104"/>
        <v>305.89954118510258</v>
      </c>
      <c r="T67" s="598">
        <f t="shared" si="105"/>
        <v>4075.1576379006751</v>
      </c>
      <c r="U67" s="598">
        <f t="shared" si="106"/>
        <v>19923.229665346644</v>
      </c>
    </row>
    <row r="68" spans="1:21">
      <c r="A68" s="4">
        <f>'Input data'!A123</f>
        <v>2023</v>
      </c>
      <c r="B68" s="4"/>
      <c r="C68" s="891">
        <f>'4A SWD Case 1'!BN92</f>
        <v>670.83581651966131</v>
      </c>
      <c r="D68" s="3">
        <f>'4B Biological treatment '!T121</f>
        <v>0.64260747773607596</v>
      </c>
      <c r="E68" s="1358">
        <f>'4B Biological treatment '!U121</f>
        <v>28.917336498123412</v>
      </c>
      <c r="F68" s="1358">
        <f>'4B Biological treatment '!W121</f>
        <v>1.7350401898874046</v>
      </c>
      <c r="G68" s="1076">
        <f>'4C2 Open-burning '!R94</f>
        <v>31.824172735047821</v>
      </c>
      <c r="H68" s="1076">
        <f>'4C2 Open-burning '!Z94</f>
        <v>10.707859816438177</v>
      </c>
      <c r="I68" s="1076">
        <f>'4C2 Open-burning '!AH94</f>
        <v>0.14907148150228428</v>
      </c>
      <c r="J68" s="1111">
        <f>'4D Wastewater treatment and dis'!AV131</f>
        <v>152.2376409126438</v>
      </c>
      <c r="K68" s="892">
        <f>'4D Wastewater treatment and dis'!AW131</f>
        <v>3.0949150191946715</v>
      </c>
      <c r="L68" s="893">
        <f t="shared" si="97"/>
        <v>14087.552146912887</v>
      </c>
      <c r="M68" s="894">
        <f t="shared" si="98"/>
        <v>13.494757032457596</v>
      </c>
      <c r="N68" s="893">
        <f t="shared" si="99"/>
        <v>1145.126525325687</v>
      </c>
      <c r="O68" s="895">
        <f t="shared" si="100"/>
        <v>302.90138814595764</v>
      </c>
      <c r="P68" s="893">
        <f t="shared" si="101"/>
        <v>4156.4141151158683</v>
      </c>
      <c r="Q68" s="598">
        <f t="shared" si="102"/>
        <v>14087.552146912887</v>
      </c>
      <c r="R68" s="600">
        <f t="shared" si="103"/>
        <v>1158.6212823581445</v>
      </c>
      <c r="S68" s="597">
        <f t="shared" si="104"/>
        <v>302.90138814595764</v>
      </c>
      <c r="T68" s="598">
        <f t="shared" si="105"/>
        <v>4156.4141151158683</v>
      </c>
      <c r="U68" s="598">
        <f t="shared" si="106"/>
        <v>19705.488932532859</v>
      </c>
    </row>
    <row r="69" spans="1:21">
      <c r="A69" s="4">
        <f>'Input data'!A124</f>
        <v>2024</v>
      </c>
      <c r="B69" s="4"/>
      <c r="C69" s="891">
        <f>'4A SWD Case 1'!BN93</f>
        <v>655.86107979263033</v>
      </c>
      <c r="D69" s="3">
        <f>'4B Biological treatment '!T122</f>
        <v>0.63910800803442869</v>
      </c>
      <c r="E69" s="1358">
        <f>'4B Biological treatment '!U122</f>
        <v>28.75986036154929</v>
      </c>
      <c r="F69" s="1358">
        <f>'4B Biological treatment '!W122</f>
        <v>1.725591621692957</v>
      </c>
      <c r="G69" s="1076">
        <f>'4C2 Open-burning '!R95</f>
        <v>31.545625006256476</v>
      </c>
      <c r="H69" s="1076">
        <f>'4C2 Open-burning '!Z95</f>
        <v>10.614137033542388</v>
      </c>
      <c r="I69" s="1076">
        <f>'4C2 Open-burning '!AH95</f>
        <v>0.14776670217790949</v>
      </c>
      <c r="J69" s="1111">
        <f>'4D Wastewater treatment and dis'!AV132</f>
        <v>155.64399106583625</v>
      </c>
      <c r="K69" s="892">
        <f>'4D Wastewater treatment and dis'!AW132</f>
        <v>3.1305629382342866</v>
      </c>
      <c r="L69" s="893">
        <f t="shared" si="97"/>
        <v>13773.082675645237</v>
      </c>
      <c r="M69" s="894">
        <f t="shared" si="98"/>
        <v>13.421268168723003</v>
      </c>
      <c r="N69" s="893">
        <f t="shared" si="99"/>
        <v>1138.8904703173516</v>
      </c>
      <c r="O69" s="895">
        <f t="shared" si="100"/>
        <v>300.25018038579856</v>
      </c>
      <c r="P69" s="893">
        <f t="shared" si="101"/>
        <v>4238.9983232351897</v>
      </c>
      <c r="Q69" s="598">
        <f t="shared" si="102"/>
        <v>13773.082675645237</v>
      </c>
      <c r="R69" s="600">
        <f t="shared" si="103"/>
        <v>1152.3117384860745</v>
      </c>
      <c r="S69" s="597">
        <f t="shared" si="104"/>
        <v>300.25018038579856</v>
      </c>
      <c r="T69" s="598">
        <f t="shared" si="105"/>
        <v>4238.9983232351897</v>
      </c>
      <c r="U69" s="598">
        <f t="shared" si="106"/>
        <v>19464.642917752302</v>
      </c>
    </row>
    <row r="70" spans="1:21">
      <c r="A70" s="4">
        <f>'Input data'!A125</f>
        <v>2025</v>
      </c>
      <c r="B70" s="4"/>
      <c r="C70" s="891">
        <f>'4A SWD Case 1'!BN94</f>
        <v>640.1025236095229</v>
      </c>
      <c r="D70" s="3">
        <f>'4B Biological treatment '!T123</f>
        <v>0.63555607825386362</v>
      </c>
      <c r="E70" s="1358">
        <f>'4B Biological treatment '!U123</f>
        <v>28.600023521423857</v>
      </c>
      <c r="F70" s="1358">
        <f>'4B Biological treatment '!W123</f>
        <v>1.7160014112854314</v>
      </c>
      <c r="G70" s="1076">
        <f>'4C2 Open-burning '!R96</f>
        <v>31.304845735881266</v>
      </c>
      <c r="H70" s="1076">
        <f>'4C2 Open-burning '!Z96</f>
        <v>10.533122180608201</v>
      </c>
      <c r="I70" s="1076">
        <f>'4C2 Open-burning '!AH96</f>
        <v>0.14663883868720068</v>
      </c>
      <c r="J70" s="1111">
        <f>'4D Wastewater treatment and dis'!AV133</f>
        <v>159.10825087816576</v>
      </c>
      <c r="K70" s="892">
        <f>'4D Wastewater treatment and dis'!AW133</f>
        <v>3.166614228352143</v>
      </c>
      <c r="L70" s="893">
        <f t="shared" si="97"/>
        <v>13442.152995799981</v>
      </c>
      <c r="M70" s="894">
        <f t="shared" si="98"/>
        <v>13.346677643331136</v>
      </c>
      <c r="N70" s="893">
        <f t="shared" si="99"/>
        <v>1132.5609314483847</v>
      </c>
      <c r="O70" s="895">
        <f t="shared" si="100"/>
        <v>297.95845152168567</v>
      </c>
      <c r="P70" s="893">
        <f t="shared" si="101"/>
        <v>4322.9236792306456</v>
      </c>
      <c r="Q70" s="598">
        <f t="shared" si="102"/>
        <v>13442.152995799981</v>
      </c>
      <c r="R70" s="600">
        <f t="shared" si="103"/>
        <v>1145.9076090917158</v>
      </c>
      <c r="S70" s="597">
        <f t="shared" si="104"/>
        <v>297.95845152168567</v>
      </c>
      <c r="T70" s="598">
        <f t="shared" si="105"/>
        <v>4322.9236792306456</v>
      </c>
      <c r="U70" s="598">
        <f t="shared" si="106"/>
        <v>19208.942735644028</v>
      </c>
    </row>
    <row r="71" spans="1:21">
      <c r="A71" s="4">
        <f>'Input data'!A126</f>
        <v>2026</v>
      </c>
      <c r="B71" s="4"/>
      <c r="C71" s="891">
        <f>'4A SWD Case 1'!BN95</f>
        <v>623.73774337637713</v>
      </c>
      <c r="D71" s="3">
        <f>'4B Biological treatment '!T124</f>
        <v>0.63645780215267089</v>
      </c>
      <c r="E71" s="1358">
        <f>'4B Biological treatment '!U124</f>
        <v>28.640601096870189</v>
      </c>
      <c r="F71" s="1358">
        <f>'4B Biological treatment '!W124</f>
        <v>1.7184360658122109</v>
      </c>
      <c r="G71" s="1076">
        <f>'4C2 Open-burning '!R97</f>
        <v>31.052044706058311</v>
      </c>
      <c r="H71" s="1076">
        <f>'4C2 Open-burning '!Z97</f>
        <v>10.448062373670496</v>
      </c>
      <c r="I71" s="1076">
        <f>'4C2 Open-burning '!AH97</f>
        <v>0.14545466260963971</v>
      </c>
      <c r="J71" s="1111">
        <f>'4D Wastewater treatment and dis'!AV134</f>
        <v>162.3622518163962</v>
      </c>
      <c r="K71" s="892">
        <f>'4D Wastewater treatment and dis'!AW134</f>
        <v>3.1977746441463193</v>
      </c>
      <c r="L71" s="893">
        <f t="shared" si="97"/>
        <v>13098.492610903919</v>
      </c>
      <c r="M71" s="894">
        <f t="shared" si="98"/>
        <v>13.365613845206088</v>
      </c>
      <c r="N71" s="893">
        <f t="shared" si="99"/>
        <v>1134.1678034360593</v>
      </c>
      <c r="O71" s="895">
        <f t="shared" si="100"/>
        <v>295.55229996212705</v>
      </c>
      <c r="P71" s="893">
        <f t="shared" si="101"/>
        <v>4400.9174278296796</v>
      </c>
      <c r="Q71" s="598">
        <f t="shared" si="102"/>
        <v>13098.492610903919</v>
      </c>
      <c r="R71" s="600">
        <f t="shared" si="103"/>
        <v>1147.5334172812654</v>
      </c>
      <c r="S71" s="597">
        <f t="shared" si="104"/>
        <v>295.55229996212705</v>
      </c>
      <c r="T71" s="598">
        <f t="shared" si="105"/>
        <v>4400.9174278296796</v>
      </c>
      <c r="U71" s="598">
        <f t="shared" si="106"/>
        <v>18942.49575597699</v>
      </c>
    </row>
    <row r="72" spans="1:21">
      <c r="A72" s="4">
        <f>'Input data'!A127</f>
        <v>2027</v>
      </c>
      <c r="B72" s="4"/>
      <c r="C72" s="891">
        <f>'4A SWD Case 1'!BN96</f>
        <v>606.96783992399139</v>
      </c>
      <c r="D72" s="3">
        <f>'4B Biological treatment '!T125</f>
        <v>0.63689328050372807</v>
      </c>
      <c r="E72" s="1358">
        <f>'4B Biological treatment '!U125</f>
        <v>28.660197622667759</v>
      </c>
      <c r="F72" s="1358">
        <f>'4B Biological treatment '!W125</f>
        <v>1.7196118573600656</v>
      </c>
      <c r="G72" s="1076">
        <f>'4C2 Open-burning '!R98</f>
        <v>30.841816400680194</v>
      </c>
      <c r="H72" s="1076">
        <f>'4C2 Open-burning '!Z98</f>
        <v>10.377326985128654</v>
      </c>
      <c r="I72" s="1076">
        <f>'4C2 Open-burning '!AH98</f>
        <v>0.14446990661307874</v>
      </c>
      <c r="J72" s="1111">
        <f>'4D Wastewater treatment and dis'!AV135</f>
        <v>165.66726312381803</v>
      </c>
      <c r="K72" s="892">
        <f>'4D Wastewater treatment and dis'!AW135</f>
        <v>3.2292880096339567</v>
      </c>
      <c r="L72" s="893">
        <f t="shared" si="97"/>
        <v>12746.324638403819</v>
      </c>
      <c r="M72" s="894">
        <f t="shared" si="98"/>
        <v>13.37475889057829</v>
      </c>
      <c r="N72" s="893">
        <f t="shared" si="99"/>
        <v>1134.9438258576433</v>
      </c>
      <c r="O72" s="895">
        <f t="shared" si="100"/>
        <v>293.55135413843635</v>
      </c>
      <c r="P72" s="893">
        <f t="shared" si="101"/>
        <v>4480.0918085867052</v>
      </c>
      <c r="Q72" s="598">
        <f t="shared" si="102"/>
        <v>12746.324638403819</v>
      </c>
      <c r="R72" s="600">
        <f t="shared" si="103"/>
        <v>1148.3185847482216</v>
      </c>
      <c r="S72" s="597">
        <f t="shared" si="104"/>
        <v>293.55135413843635</v>
      </c>
      <c r="T72" s="598">
        <f t="shared" si="105"/>
        <v>4480.0918085867052</v>
      </c>
      <c r="U72" s="598">
        <f t="shared" si="106"/>
        <v>18668.286385877182</v>
      </c>
    </row>
    <row r="73" spans="1:21">
      <c r="A73" s="4">
        <f>'Input data'!A128</f>
        <v>2028</v>
      </c>
      <c r="B73" s="4"/>
      <c r="C73" s="891">
        <f>'4A SWD Case 1'!BN97</f>
        <v>589.89927323798611</v>
      </c>
      <c r="D73" s="3">
        <f>'4B Biological treatment '!T126</f>
        <v>0.59187702113716334</v>
      </c>
      <c r="E73" s="1358">
        <f>'4B Biological treatment '!U126</f>
        <v>26.634465951172345</v>
      </c>
      <c r="F73" s="1358">
        <f>'4B Biological treatment '!W126</f>
        <v>1.5980679570703404</v>
      </c>
      <c r="G73" s="1076">
        <f>'4C2 Open-burning '!R99</f>
        <v>29.528061406389611</v>
      </c>
      <c r="H73" s="1076">
        <f>'4C2 Open-burning '!Z99</f>
        <v>9.9352886506485056</v>
      </c>
      <c r="I73" s="1076">
        <f>'4C2 Open-burning '!AH99</f>
        <v>0.13831598691937869</v>
      </c>
      <c r="J73" s="1111">
        <f>'4D Wastewater treatment and dis'!AV136</f>
        <v>169.01861721537597</v>
      </c>
      <c r="K73" s="892">
        <f>'4D Wastewater treatment and dis'!AW136</f>
        <v>3.2610534820454951</v>
      </c>
      <c r="L73" s="893">
        <f t="shared" si="97"/>
        <v>12387.884737997709</v>
      </c>
      <c r="M73" s="894">
        <f t="shared" si="98"/>
        <v>12.42941744388043</v>
      </c>
      <c r="N73" s="893">
        <f t="shared" si="99"/>
        <v>1054.7248516664247</v>
      </c>
      <c r="O73" s="895">
        <f t="shared" si="100"/>
        <v>281.04707901501564</v>
      </c>
      <c r="P73" s="893">
        <f t="shared" si="101"/>
        <v>4560.3175409569985</v>
      </c>
      <c r="Q73" s="598">
        <f t="shared" si="102"/>
        <v>12387.884737997709</v>
      </c>
      <c r="R73" s="600">
        <f t="shared" si="103"/>
        <v>1067.1542691103052</v>
      </c>
      <c r="S73" s="597">
        <f t="shared" si="104"/>
        <v>281.04707901501564</v>
      </c>
      <c r="T73" s="598">
        <f t="shared" si="105"/>
        <v>4560.3175409569985</v>
      </c>
      <c r="U73" s="598">
        <f t="shared" si="106"/>
        <v>18296.403627080028</v>
      </c>
    </row>
    <row r="74" spans="1:21">
      <c r="A74" s="4">
        <f>'Input data'!A129</f>
        <v>2029</v>
      </c>
      <c r="B74" s="4"/>
      <c r="C74" s="891">
        <f>'4A SWD Case 1'!BN98</f>
        <v>573.07528990622939</v>
      </c>
      <c r="D74" s="3">
        <f>'4B Biological treatment '!T127</f>
        <v>0.56784325574164685</v>
      </c>
      <c r="E74" s="1358">
        <f>'4B Biological treatment '!U127</f>
        <v>25.552946508374099</v>
      </c>
      <c r="F74" s="1358">
        <f>'4B Biological treatment '!W127</f>
        <v>1.5331767905024463</v>
      </c>
      <c r="G74" s="1076">
        <f>'4C2 Open-burning '!R100</f>
        <v>28.270615373473987</v>
      </c>
      <c r="H74" s="1076">
        <f>'4C2 Open-burning '!Z100</f>
        <v>9.5121965577511993</v>
      </c>
      <c r="I74" s="1076">
        <f>'4C2 Open-burning '!AH100</f>
        <v>0.13242583088621135</v>
      </c>
      <c r="J74" s="1111">
        <f>'4D Wastewater treatment and dis'!AV137</f>
        <v>172.42199327322078</v>
      </c>
      <c r="K74" s="892">
        <f>'4D Wastewater treatment and dis'!AW137</f>
        <v>3.2931719041504954</v>
      </c>
      <c r="L74" s="893">
        <f t="shared" si="97"/>
        <v>12034.581088030816</v>
      </c>
      <c r="M74" s="894">
        <f t="shared" si="98"/>
        <v>11.924708370574583</v>
      </c>
      <c r="N74" s="893">
        <f t="shared" si="99"/>
        <v>1011.8966817316143</v>
      </c>
      <c r="O74" s="895">
        <f t="shared" si="100"/>
        <v>269.07875066097472</v>
      </c>
      <c r="P74" s="893">
        <f t="shared" si="101"/>
        <v>4641.7451490242902</v>
      </c>
      <c r="Q74" s="598">
        <f t="shared" si="102"/>
        <v>12034.581088030816</v>
      </c>
      <c r="R74" s="600">
        <f t="shared" si="103"/>
        <v>1023.8213901021888</v>
      </c>
      <c r="S74" s="597">
        <f t="shared" si="104"/>
        <v>269.07875066097472</v>
      </c>
      <c r="T74" s="598">
        <f t="shared" si="105"/>
        <v>4641.7451490242902</v>
      </c>
      <c r="U74" s="598">
        <f t="shared" si="106"/>
        <v>17969.226377818268</v>
      </c>
    </row>
    <row r="75" spans="1:21">
      <c r="A75" s="4">
        <f>'Input data'!A130</f>
        <v>2030</v>
      </c>
      <c r="B75" s="4"/>
      <c r="C75" s="891">
        <f>'4A SWD Case 1'!BN99</f>
        <v>556.72298798028896</v>
      </c>
      <c r="D75" s="3">
        <f>'4B Biological treatment '!T128</f>
        <v>0.55292738259629837</v>
      </c>
      <c r="E75" s="1358">
        <f>'4B Biological treatment '!U128</f>
        <v>24.881732216833427</v>
      </c>
      <c r="F75" s="1358">
        <f>'4B Biological treatment '!W128</f>
        <v>1.4929039330100053</v>
      </c>
      <c r="G75" s="1076">
        <f>'4C2 Open-burning '!R101</f>
        <v>27.066605014483478</v>
      </c>
      <c r="H75" s="1076">
        <f>'4C2 Open-burning '!Z101</f>
        <v>9.1070839331766269</v>
      </c>
      <c r="I75" s="1076">
        <f>'4C2 Open-burning '!AH101</f>
        <v>0.12678597939806416</v>
      </c>
      <c r="J75" s="1111">
        <f>'4D Wastewater treatment and dis'!AV138</f>
        <v>175.87528378312254</v>
      </c>
      <c r="K75" s="892">
        <f>'4D Wastewater treatment and dis'!AW138</f>
        <v>3.3255928545641762</v>
      </c>
      <c r="L75" s="893">
        <f t="shared" si="97"/>
        <v>11691.182747586068</v>
      </c>
      <c r="M75" s="894">
        <f t="shared" si="98"/>
        <v>11.611475034522266</v>
      </c>
      <c r="N75" s="893">
        <f t="shared" si="99"/>
        <v>985.31659578660356</v>
      </c>
      <c r="O75" s="895">
        <f t="shared" si="100"/>
        <v>257.61902122459253</v>
      </c>
      <c r="P75" s="893">
        <f t="shared" si="101"/>
        <v>4724.3147443604685</v>
      </c>
      <c r="Q75" s="598">
        <f t="shared" si="102"/>
        <v>11691.182747586068</v>
      </c>
      <c r="R75" s="600">
        <f t="shared" si="103"/>
        <v>996.92807082112586</v>
      </c>
      <c r="S75" s="597">
        <f t="shared" si="104"/>
        <v>257.61902122459253</v>
      </c>
      <c r="T75" s="598">
        <f t="shared" si="105"/>
        <v>4724.3147443604685</v>
      </c>
      <c r="U75" s="598">
        <f t="shared" si="106"/>
        <v>17670.044583992254</v>
      </c>
    </row>
    <row r="76" spans="1:21">
      <c r="A76" s="4">
        <f>'Input data'!A131</f>
        <v>2031</v>
      </c>
      <c r="B76" s="4"/>
      <c r="C76" s="891">
        <f>'4A SWD Case 1'!BN100</f>
        <v>540.92260790246928</v>
      </c>
      <c r="D76" s="3">
        <f>'4B Biological treatment '!T129</f>
        <v>0.54083019363970375</v>
      </c>
      <c r="E76" s="1358">
        <f>'4B Biological treatment '!U129</f>
        <v>24.337358713786667</v>
      </c>
      <c r="F76" s="1358">
        <f>'4B Biological treatment '!W129</f>
        <v>1.4602415228272001</v>
      </c>
      <c r="G76" s="1076">
        <f>'4C2 Open-burning '!R102</f>
        <v>26.005209810108362</v>
      </c>
      <c r="H76" s="1076">
        <f>'4C2 Open-burning '!Z102</f>
        <v>8.7499569419140375</v>
      </c>
      <c r="I76" s="1076">
        <f>'4C2 Open-burning '!AH102</f>
        <v>0.12181416891636178</v>
      </c>
      <c r="J76" s="1111">
        <f>'4D Wastewater treatment and dis'!AV139</f>
        <v>179.14735481190519</v>
      </c>
      <c r="K76" s="892">
        <f>'4D Wastewater treatment and dis'!AW139</f>
        <v>3.3539800941954407</v>
      </c>
      <c r="L76" s="893">
        <f t="shared" si="97"/>
        <v>11359.374765951856</v>
      </c>
      <c r="M76" s="894">
        <f t="shared" si="98"/>
        <v>11.357434066433779</v>
      </c>
      <c r="N76" s="893">
        <f t="shared" si="99"/>
        <v>963.75940506595202</v>
      </c>
      <c r="O76" s="895">
        <f t="shared" si="100"/>
        <v>247.5166979543753</v>
      </c>
      <c r="P76" s="893">
        <f t="shared" si="101"/>
        <v>4801.8282802505955</v>
      </c>
      <c r="Q76" s="598">
        <f t="shared" si="102"/>
        <v>11359.374765951856</v>
      </c>
      <c r="R76" s="600">
        <f t="shared" si="103"/>
        <v>975.11683913238585</v>
      </c>
      <c r="S76" s="597">
        <f t="shared" si="104"/>
        <v>247.5166979543753</v>
      </c>
      <c r="T76" s="598">
        <f t="shared" si="105"/>
        <v>4801.8282802505955</v>
      </c>
      <c r="U76" s="598">
        <f t="shared" si="106"/>
        <v>17383.836583289212</v>
      </c>
    </row>
    <row r="77" spans="1:21">
      <c r="A77" s="4">
        <f>'Input data'!A132</f>
        <v>2032</v>
      </c>
      <c r="B77" s="4"/>
      <c r="C77" s="891">
        <f>'4A SWD Case 1'!BN101</f>
        <v>525.65621450438107</v>
      </c>
      <c r="D77" s="3">
        <f>'4B Biological treatment '!T130</f>
        <v>0.52824431338289246</v>
      </c>
      <c r="E77" s="1358">
        <f>'4B Biological treatment '!U130</f>
        <v>23.770994102230159</v>
      </c>
      <c r="F77" s="1358">
        <f>'4B Biological treatment '!W130</f>
        <v>1.4262596461338095</v>
      </c>
      <c r="G77" s="1076">
        <f>'4C2 Open-burning '!R103</f>
        <v>24.923794482381798</v>
      </c>
      <c r="H77" s="1076">
        <f>'4C2 Open-burning '!Z103</f>
        <v>8.3860937920672232</v>
      </c>
      <c r="I77" s="1076">
        <f>'4C2 Open-burning '!AH103</f>
        <v>0.11674857973779565</v>
      </c>
      <c r="J77" s="1111">
        <f>'4D Wastewater treatment and dis'!AV140</f>
        <v>182.46300004329916</v>
      </c>
      <c r="K77" s="892">
        <f>'4D Wastewater treatment and dis'!AW140</f>
        <v>3.3826194407506049</v>
      </c>
      <c r="L77" s="893">
        <f t="shared" si="97"/>
        <v>11038.780504592003</v>
      </c>
      <c r="M77" s="894">
        <f t="shared" si="98"/>
        <v>11.093130581040741</v>
      </c>
      <c r="N77" s="893">
        <f t="shared" si="99"/>
        <v>941.33136644831427</v>
      </c>
      <c r="O77" s="895">
        <f t="shared" si="100"/>
        <v>237.22382383451014</v>
      </c>
      <c r="P77" s="893">
        <f t="shared" si="101"/>
        <v>4880.3350275419698</v>
      </c>
      <c r="Q77" s="598">
        <f t="shared" si="102"/>
        <v>11038.780504592003</v>
      </c>
      <c r="R77" s="600">
        <f t="shared" si="103"/>
        <v>952.42449702935505</v>
      </c>
      <c r="S77" s="597">
        <f t="shared" si="104"/>
        <v>237.22382383451014</v>
      </c>
      <c r="T77" s="598">
        <f t="shared" si="105"/>
        <v>4880.3350275419698</v>
      </c>
      <c r="U77" s="598">
        <f t="shared" si="106"/>
        <v>17108.763852997839</v>
      </c>
    </row>
    <row r="78" spans="1:21">
      <c r="A78" s="4">
        <f>'Input data'!A133</f>
        <v>2033</v>
      </c>
      <c r="B78" s="4"/>
      <c r="C78" s="891">
        <f>'4A SWD Case 1'!BN102</f>
        <v>510.8832906798749</v>
      </c>
      <c r="D78" s="3">
        <f>'4B Biological treatment '!T131</f>
        <v>0.5157631191713915</v>
      </c>
      <c r="E78" s="1358">
        <f>'4B Biological treatment '!U131</f>
        <v>23.209340362712609</v>
      </c>
      <c r="F78" s="1358">
        <f>'4B Biological treatment '!W131</f>
        <v>1.3925604217627565</v>
      </c>
      <c r="G78" s="1076">
        <f>'4C2 Open-burning '!R104</f>
        <v>23.821715502804061</v>
      </c>
      <c r="H78" s="1076">
        <f>'4C2 Open-burning '!Z104</f>
        <v>8.0152779559978899</v>
      </c>
      <c r="I78" s="1076">
        <f>'4C2 Open-burning '!AH104</f>
        <v>0.11158619743218276</v>
      </c>
      <c r="J78" s="1111">
        <f>'4D Wastewater treatment and dis'!AV141</f>
        <v>185.81987237428893</v>
      </c>
      <c r="K78" s="892">
        <f>'4D Wastewater treatment and dis'!AW141</f>
        <v>3.4114604728448907</v>
      </c>
      <c r="L78" s="893">
        <f t="shared" si="97"/>
        <v>10728.549104277374</v>
      </c>
      <c r="M78" s="894">
        <f t="shared" si="98"/>
        <v>10.831025502599221</v>
      </c>
      <c r="N78" s="893">
        <f t="shared" si="99"/>
        <v>919.0898783634193</v>
      </c>
      <c r="O78" s="895">
        <f t="shared" si="100"/>
        <v>226.73427378273641</v>
      </c>
      <c r="P78" s="893">
        <f t="shared" si="101"/>
        <v>4959.7700664419835</v>
      </c>
      <c r="Q78" s="598">
        <f t="shared" si="102"/>
        <v>10728.549104277374</v>
      </c>
      <c r="R78" s="600">
        <f t="shared" si="103"/>
        <v>929.92090386601853</v>
      </c>
      <c r="S78" s="597">
        <f t="shared" si="104"/>
        <v>226.73427378273641</v>
      </c>
      <c r="T78" s="598">
        <f t="shared" si="105"/>
        <v>4959.7700664419835</v>
      </c>
      <c r="U78" s="598">
        <f t="shared" si="106"/>
        <v>16844.974348368112</v>
      </c>
    </row>
    <row r="79" spans="1:21">
      <c r="A79" s="4">
        <f>'Input data'!A134</f>
        <v>2034</v>
      </c>
      <c r="B79" s="4"/>
      <c r="C79" s="891">
        <f>'4A SWD Case 1'!BN103</f>
        <v>496.57181655212833</v>
      </c>
      <c r="D79" s="3">
        <f>'4B Biological treatment '!T132</f>
        <v>0.50326609431825109</v>
      </c>
      <c r="E79" s="1358">
        <f>'4B Biological treatment '!U132</f>
        <v>22.646974244321292</v>
      </c>
      <c r="F79" s="1358">
        <f>'4B Biological treatment '!W132</f>
        <v>1.3588184546592776</v>
      </c>
      <c r="G79" s="1076">
        <f>'4C2 Open-burning '!R105</f>
        <v>22.699405027289806</v>
      </c>
      <c r="H79" s="1076">
        <f>'4C2 Open-burning '!Z105</f>
        <v>7.6376548409407059</v>
      </c>
      <c r="I79" s="1076">
        <f>'4C2 Open-burning '!AH105</f>
        <v>0.10632904631364978</v>
      </c>
      <c r="J79" s="1111">
        <f>'4D Wastewater treatment and dis'!AV142</f>
        <v>189.22383733385854</v>
      </c>
      <c r="K79" s="892">
        <f>'4D Wastewater treatment and dis'!AW142</f>
        <v>3.4406040332478574</v>
      </c>
      <c r="L79" s="893">
        <f t="shared" si="97"/>
        <v>10428.008147594695</v>
      </c>
      <c r="M79" s="894">
        <f t="shared" si="98"/>
        <v>10.568587980683272</v>
      </c>
      <c r="N79" s="893">
        <f t="shared" si="99"/>
        <v>896.82018007512318</v>
      </c>
      <c r="O79" s="895">
        <f t="shared" si="100"/>
        <v>216.05216104427603</v>
      </c>
      <c r="P79" s="893">
        <f t="shared" si="101"/>
        <v>5040.2878343178654</v>
      </c>
      <c r="Q79" s="598">
        <f t="shared" si="102"/>
        <v>10428.008147594695</v>
      </c>
      <c r="R79" s="600">
        <f t="shared" si="103"/>
        <v>907.38876805580639</v>
      </c>
      <c r="S79" s="597">
        <f t="shared" si="104"/>
        <v>216.05216104427603</v>
      </c>
      <c r="T79" s="598">
        <f t="shared" si="105"/>
        <v>5040.2878343178654</v>
      </c>
      <c r="U79" s="598">
        <f t="shared" si="106"/>
        <v>16591.736911012642</v>
      </c>
    </row>
    <row r="80" spans="1:21">
      <c r="A80" s="4">
        <f>'Input data'!A135</f>
        <v>2035</v>
      </c>
      <c r="B80" s="4"/>
      <c r="C80" s="891">
        <f>'4A SWD Case 1'!BN104</f>
        <v>482.68988389669619</v>
      </c>
      <c r="D80" s="3">
        <f>'4B Biological treatment '!T133</f>
        <v>0.49075651186021019</v>
      </c>
      <c r="E80" s="1358">
        <f>'4B Biological treatment '!U133</f>
        <v>22.084043033709452</v>
      </c>
      <c r="F80" s="1358">
        <f>'4B Biological treatment '!W133</f>
        <v>1.3250425820225673</v>
      </c>
      <c r="G80" s="1076">
        <f>'4C2 Open-burning '!R106</f>
        <v>21.555886871961349</v>
      </c>
      <c r="H80" s="1076">
        <f>'4C2 Open-burning '!Z106</f>
        <v>7.2528959909070601</v>
      </c>
      <c r="I80" s="1076">
        <f>'4C2 Open-burning '!AH106</f>
        <v>0.10097255372046327</v>
      </c>
      <c r="J80" s="1111">
        <f>'4D Wastewater treatment and dis'!AV143</f>
        <v>192.66977478035747</v>
      </c>
      <c r="K80" s="892">
        <f>'4D Wastewater treatment and dis'!AW143</f>
        <v>3.4699492791899456</v>
      </c>
      <c r="L80" s="893">
        <f t="shared" si="97"/>
        <v>10136.48756183062</v>
      </c>
      <c r="M80" s="894">
        <f t="shared" si="98"/>
        <v>10.305886749064413</v>
      </c>
      <c r="N80" s="893">
        <f t="shared" si="99"/>
        <v>874.52810413489442</v>
      </c>
      <c r="O80" s="895">
        <f t="shared" si="100"/>
        <v>205.16819433435322</v>
      </c>
      <c r="P80" s="893">
        <f t="shared" si="101"/>
        <v>5121.7495469363903</v>
      </c>
      <c r="Q80" s="598">
        <f t="shared" si="102"/>
        <v>10136.48756183062</v>
      </c>
      <c r="R80" s="600">
        <f t="shared" si="103"/>
        <v>884.83399088395879</v>
      </c>
      <c r="S80" s="597">
        <f t="shared" si="104"/>
        <v>205.16819433435322</v>
      </c>
      <c r="T80" s="598">
        <f t="shared" si="105"/>
        <v>5121.7495469363903</v>
      </c>
      <c r="U80" s="598">
        <f t="shared" si="106"/>
        <v>16348.239293985323</v>
      </c>
    </row>
    <row r="81" spans="1:21">
      <c r="A81" s="4">
        <f>'Input data'!A136</f>
        <v>2036</v>
      </c>
      <c r="B81" s="4"/>
      <c r="C81" s="891">
        <f>'4A SWD Case 1'!BN105</f>
        <v>469.20682444752924</v>
      </c>
      <c r="D81" s="3">
        <f>'4B Biological treatment '!T134</f>
        <v>0.47769978974876193</v>
      </c>
      <c r="E81" s="1358">
        <f>'4B Biological treatment '!U134</f>
        <v>21.496490538694282</v>
      </c>
      <c r="F81" s="1358">
        <f>'4B Biological treatment '!W134</f>
        <v>1.289789432321657</v>
      </c>
      <c r="G81" s="1076">
        <f>'4C2 Open-burning '!R107</f>
        <v>20.366836590480755</v>
      </c>
      <c r="H81" s="1076">
        <f>'4C2 Open-burning '!Z107</f>
        <v>6.8528169744062275</v>
      </c>
      <c r="I81" s="1076">
        <f>'4C2 Open-burning '!AH107</f>
        <v>9.5402778552488132E-2</v>
      </c>
      <c r="J81" s="1111">
        <f>'4D Wastewater treatment and dis'!AV144</f>
        <v>195.92624915733671</v>
      </c>
      <c r="K81" s="892">
        <f>'4D Wastewater treatment and dis'!AW144</f>
        <v>3.4953616571191763</v>
      </c>
      <c r="L81" s="893">
        <f t="shared" si="97"/>
        <v>9853.3433133981143</v>
      </c>
      <c r="M81" s="894">
        <f t="shared" si="98"/>
        <v>10.031695584724</v>
      </c>
      <c r="N81" s="893">
        <f t="shared" si="99"/>
        <v>851.26102533229368</v>
      </c>
      <c r="O81" s="895">
        <f t="shared" si="100"/>
        <v>193.85085440428284</v>
      </c>
      <c r="P81" s="893">
        <f t="shared" si="101"/>
        <v>5198.0133460110155</v>
      </c>
      <c r="Q81" s="598">
        <f t="shared" si="102"/>
        <v>9853.3433133981143</v>
      </c>
      <c r="R81" s="600">
        <f t="shared" si="103"/>
        <v>861.29272091701773</v>
      </c>
      <c r="S81" s="597">
        <f t="shared" si="104"/>
        <v>193.85085440428284</v>
      </c>
      <c r="T81" s="598">
        <f t="shared" si="105"/>
        <v>5198.0133460110155</v>
      </c>
      <c r="U81" s="598">
        <f t="shared" si="106"/>
        <v>16106.500234730431</v>
      </c>
    </row>
    <row r="82" spans="1:21">
      <c r="A82" s="4">
        <f>'Input data'!A137</f>
        <v>2037</v>
      </c>
      <c r="B82" s="4"/>
      <c r="C82" s="891">
        <f>'4A SWD Case 1'!BN106</f>
        <v>456.08196345330902</v>
      </c>
      <c r="D82" s="3">
        <f>'4B Biological treatment '!T135</f>
        <v>0.47818895734387012</v>
      </c>
      <c r="E82" s="1358">
        <f>'4B Biological treatment '!U135</f>
        <v>21.518503080474154</v>
      </c>
      <c r="F82" s="1358">
        <f>'4B Biological treatment '!W135</f>
        <v>1.2911101848284492</v>
      </c>
      <c r="G82" s="1076">
        <f>'4C2 Open-burning '!R108</f>
        <v>20.059474797030845</v>
      </c>
      <c r="H82" s="1076">
        <f>'4C2 Open-burning '!Z108</f>
        <v>6.7493991409061564</v>
      </c>
      <c r="I82" s="1076">
        <f>'4C2 Open-burning '!AH108</f>
        <v>9.396302776027611E-2</v>
      </c>
      <c r="J82" s="1111">
        <f>'4D Wastewater treatment and dis'!AV145</f>
        <v>199.21811618301393</v>
      </c>
      <c r="K82" s="892">
        <f>'4D Wastewater treatment and dis'!AW145</f>
        <v>3.5209252992027475</v>
      </c>
      <c r="L82" s="893">
        <f t="shared" si="97"/>
        <v>9577.7212325194887</v>
      </c>
      <c r="M82" s="894">
        <f t="shared" si="98"/>
        <v>10.041968104221272</v>
      </c>
      <c r="N82" s="893">
        <f t="shared" si="99"/>
        <v>852.13272198677646</v>
      </c>
      <c r="O82" s="895">
        <f t="shared" si="100"/>
        <v>190.92539536174573</v>
      </c>
      <c r="P82" s="893">
        <f t="shared" si="101"/>
        <v>5275.0672825961447</v>
      </c>
      <c r="Q82" s="598">
        <f t="shared" si="102"/>
        <v>9577.7212325194887</v>
      </c>
      <c r="R82" s="600">
        <f t="shared" si="103"/>
        <v>862.17469009099773</v>
      </c>
      <c r="S82" s="597">
        <f t="shared" si="104"/>
        <v>190.92539536174573</v>
      </c>
      <c r="T82" s="598">
        <f t="shared" si="105"/>
        <v>5275.0672825961447</v>
      </c>
      <c r="U82" s="598">
        <f t="shared" si="106"/>
        <v>15905.888600568378</v>
      </c>
    </row>
    <row r="83" spans="1:21">
      <c r="A83" s="4">
        <f>'Input data'!A138</f>
        <v>2038</v>
      </c>
      <c r="B83" s="4"/>
      <c r="C83" s="891">
        <f>'4A SWD Case 1'!BN107</f>
        <v>443.60846233339072</v>
      </c>
      <c r="D83" s="3">
        <f>'4B Biological treatment '!T136</f>
        <v>0.47253151766971746</v>
      </c>
      <c r="E83" s="1358">
        <f>'4B Biological treatment '!U136</f>
        <v>21.263918295137284</v>
      </c>
      <c r="F83" s="1358">
        <f>'4B Biological treatment '!W136</f>
        <v>1.2758350977082369</v>
      </c>
      <c r="G83" s="1076">
        <f>'4C2 Open-burning '!R109</f>
        <v>19.340557599798252</v>
      </c>
      <c r="H83" s="1076">
        <f>'4C2 Open-burning '!Z109</f>
        <v>6.5075055139552394</v>
      </c>
      <c r="I83" s="1076">
        <f>'4C2 Open-burning '!AH109</f>
        <v>9.0595460202081396E-2</v>
      </c>
      <c r="J83" s="1111">
        <f>'4D Wastewater treatment and dis'!AV146</f>
        <v>202.55137449125439</v>
      </c>
      <c r="K83" s="892">
        <f>'4D Wastewater treatment and dis'!AW146</f>
        <v>3.5467410482102202</v>
      </c>
      <c r="L83" s="893">
        <f t="shared" si="97"/>
        <v>9315.7777090012059</v>
      </c>
      <c r="M83" s="894">
        <f t="shared" si="98"/>
        <v>9.9231618710640674</v>
      </c>
      <c r="N83" s="893">
        <f t="shared" si="99"/>
        <v>842.05116448743638</v>
      </c>
      <c r="O83" s="895">
        <f t="shared" si="100"/>
        <v>184.0827660555035</v>
      </c>
      <c r="P83" s="893">
        <f t="shared" si="101"/>
        <v>5353.0685892615111</v>
      </c>
      <c r="Q83" s="598">
        <f t="shared" si="102"/>
        <v>9315.7777090012059</v>
      </c>
      <c r="R83" s="600">
        <f t="shared" si="103"/>
        <v>851.97432635850043</v>
      </c>
      <c r="S83" s="597">
        <f t="shared" si="104"/>
        <v>184.0827660555035</v>
      </c>
      <c r="T83" s="598">
        <f t="shared" si="105"/>
        <v>5353.0685892615111</v>
      </c>
      <c r="U83" s="598">
        <f t="shared" si="106"/>
        <v>15704.903390676722</v>
      </c>
    </row>
    <row r="84" spans="1:21">
      <c r="A84" s="4">
        <f>'Input data'!A139</f>
        <v>2039</v>
      </c>
      <c r="B84" s="4"/>
      <c r="C84" s="891">
        <f>'4A SWD Case 1'!BN108</f>
        <v>431.60611750801633</v>
      </c>
      <c r="D84" s="3">
        <f>'4B Biological treatment '!T137</f>
        <v>0.46690981227928252</v>
      </c>
      <c r="E84" s="1358">
        <f>'4B Biological treatment '!U137</f>
        <v>21.010941552567708</v>
      </c>
      <c r="F84" s="1358">
        <f>'4B Biological treatment '!W137</f>
        <v>1.2606564931540625</v>
      </c>
      <c r="G84" s="1076">
        <f>'4C2 Open-burning '!R110</f>
        <v>18.609821641203279</v>
      </c>
      <c r="H84" s="1076">
        <f>'4C2 Open-burning '!Z110</f>
        <v>6.2616352356416609</v>
      </c>
      <c r="I84" s="1076">
        <f>'4C2 Open-burning '!AH110</f>
        <v>8.7172530945077376E-2</v>
      </c>
      <c r="J84" s="1111">
        <f>'4D Wastewater treatment and dis'!AV147</f>
        <v>205.92061110966921</v>
      </c>
      <c r="K84" s="892">
        <f>'4D Wastewater treatment and dis'!AW147</f>
        <v>3.5727080613720332</v>
      </c>
      <c r="L84" s="893">
        <f t="shared" si="97"/>
        <v>9063.728467668343</v>
      </c>
      <c r="M84" s="894">
        <f t="shared" si="98"/>
        <v>9.8051060578649327</v>
      </c>
      <c r="N84" s="893">
        <f t="shared" si="99"/>
        <v>832.03328548168122</v>
      </c>
      <c r="O84" s="895">
        <f t="shared" si="100"/>
        <v>177.12764618265214</v>
      </c>
      <c r="P84" s="893">
        <f t="shared" si="101"/>
        <v>5431.872332328383</v>
      </c>
      <c r="Q84" s="598">
        <f t="shared" si="102"/>
        <v>9063.728467668343</v>
      </c>
      <c r="R84" s="600">
        <f t="shared" si="103"/>
        <v>841.83839153954614</v>
      </c>
      <c r="S84" s="597">
        <f t="shared" si="104"/>
        <v>177.12764618265214</v>
      </c>
      <c r="T84" s="598">
        <f t="shared" si="105"/>
        <v>5431.872332328383</v>
      </c>
      <c r="U84" s="598">
        <f t="shared" si="106"/>
        <v>15514.566837718925</v>
      </c>
    </row>
    <row r="85" spans="1:21">
      <c r="A85" s="4">
        <f>'Input data'!A140</f>
        <v>2040</v>
      </c>
      <c r="B85" s="4"/>
      <c r="C85" s="891">
        <f>'4A SWD Case 1'!BN109</f>
        <v>420.04644373532994</v>
      </c>
      <c r="D85" s="3">
        <f>'4B Biological treatment '!T138</f>
        <v>0.46144019934011304</v>
      </c>
      <c r="E85" s="1358">
        <f>'4B Biological treatment '!U138</f>
        <v>20.764808970305083</v>
      </c>
      <c r="F85" s="1358">
        <f>'4B Biological treatment '!W138</f>
        <v>1.2458885382183049</v>
      </c>
      <c r="G85" s="1076">
        <f>'4C2 Open-burning '!R111</f>
        <v>17.867156120358153</v>
      </c>
      <c r="H85" s="1076">
        <f>'4C2 Open-burning '!Z111</f>
        <v>6.0117510248589019</v>
      </c>
      <c r="I85" s="1076">
        <f>'4C2 Open-burning '!AH111</f>
        <v>8.3693720973337743E-2</v>
      </c>
      <c r="J85" s="1111">
        <f>'4D Wastewater treatment and dis'!AV148</f>
        <v>209.32606562704407</v>
      </c>
      <c r="K85" s="892">
        <f>'4D Wastewater treatment and dis'!AW148</f>
        <v>3.5988263386881876</v>
      </c>
      <c r="L85" s="893">
        <f t="shared" si="97"/>
        <v>8820.9753184419296</v>
      </c>
      <c r="M85" s="894">
        <f t="shared" si="98"/>
        <v>9.6902441861423743</v>
      </c>
      <c r="N85" s="893">
        <f t="shared" si="99"/>
        <v>822.28643522408129</v>
      </c>
      <c r="O85" s="895">
        <f t="shared" si="100"/>
        <v>170.05898114412977</v>
      </c>
      <c r="P85" s="893">
        <f t="shared" si="101"/>
        <v>5511.4835431612637</v>
      </c>
      <c r="Q85" s="598">
        <f t="shared" si="102"/>
        <v>8820.9753184419296</v>
      </c>
      <c r="R85" s="600">
        <f t="shared" si="103"/>
        <v>831.97667941022371</v>
      </c>
      <c r="S85" s="597">
        <f t="shared" si="104"/>
        <v>170.05898114412977</v>
      </c>
      <c r="T85" s="598">
        <f t="shared" si="105"/>
        <v>5511.4835431612637</v>
      </c>
      <c r="U85" s="598">
        <f t="shared" si="106"/>
        <v>15334.494522157547</v>
      </c>
    </row>
    <row r="86" spans="1:21">
      <c r="A86" s="4">
        <f>'Input data'!A141</f>
        <v>2041</v>
      </c>
      <c r="B86" s="4"/>
      <c r="C86" s="891">
        <f>'4A SWD Case 1'!BN110</f>
        <v>408.90356338691902</v>
      </c>
      <c r="D86" s="3">
        <f>'4B Biological treatment '!T139</f>
        <v>0.45574850113806631</v>
      </c>
      <c r="E86" s="1358">
        <f>'4B Biological treatment '!U139</f>
        <v>20.508682551212978</v>
      </c>
      <c r="F86" s="1358">
        <f>'4B Biological treatment '!W139</f>
        <v>1.2305209530727788</v>
      </c>
      <c r="G86" s="1076">
        <f>'4C2 Open-burning '!R112</f>
        <v>17.09412294879025</v>
      </c>
      <c r="H86" s="1076">
        <f>'4C2 Open-burning '!Z112</f>
        <v>5.7516490293248683</v>
      </c>
      <c r="I86" s="1076">
        <f>'4C2 Open-burning '!AH112</f>
        <v>8.0072662192157668E-2</v>
      </c>
      <c r="J86" s="1111">
        <f>'4D Wastewater treatment and dis'!AV149</f>
        <v>212.54010495110225</v>
      </c>
      <c r="K86" s="892">
        <f>'4D Wastewater treatment and dis'!AW149</f>
        <v>3.6212134335306052</v>
      </c>
      <c r="L86" s="893">
        <f t="shared" si="97"/>
        <v>8586.9748311252988</v>
      </c>
      <c r="M86" s="894">
        <f t="shared" si="98"/>
        <v>9.5707185238993926</v>
      </c>
      <c r="N86" s="893">
        <f t="shared" si="99"/>
        <v>812.14382902803391</v>
      </c>
      <c r="O86" s="895">
        <f t="shared" si="100"/>
        <v>162.70127784418136</v>
      </c>
      <c r="P86" s="893">
        <f t="shared" si="101"/>
        <v>5585.9183683676356</v>
      </c>
      <c r="Q86" s="598">
        <f t="shared" si="102"/>
        <v>8586.9748311252988</v>
      </c>
      <c r="R86" s="600">
        <f t="shared" si="103"/>
        <v>821.71454755193326</v>
      </c>
      <c r="S86" s="597">
        <f t="shared" si="104"/>
        <v>162.70127784418136</v>
      </c>
      <c r="T86" s="598">
        <f t="shared" si="105"/>
        <v>5585.9183683676356</v>
      </c>
      <c r="U86" s="598">
        <f t="shared" si="106"/>
        <v>15157.309024889051</v>
      </c>
    </row>
    <row r="87" spans="1:21">
      <c r="A87" s="4">
        <f>'Input data'!A142</f>
        <v>2042</v>
      </c>
      <c r="B87" s="4"/>
      <c r="C87" s="891">
        <f>'4A SWD Case 1'!BN111</f>
        <v>398.14411294913498</v>
      </c>
      <c r="D87" s="3">
        <f>'4B Biological treatment '!T140</f>
        <v>0.45015433938952287</v>
      </c>
      <c r="E87" s="1358">
        <f>'4B Biological treatment '!U140</f>
        <v>20.256945272528526</v>
      </c>
      <c r="F87" s="1358">
        <f>'4B Biological treatment '!W140</f>
        <v>1.2154167163517116</v>
      </c>
      <c r="G87" s="1076">
        <f>'4C2 Open-burning '!R113</f>
        <v>16.310608833986393</v>
      </c>
      <c r="H87" s="1076">
        <f>'4C2 Open-burning '!Z113</f>
        <v>5.488020517269919</v>
      </c>
      <c r="I87" s="1076">
        <f>'4C2 Open-burning '!AH113</f>
        <v>7.6402508348908479E-2</v>
      </c>
      <c r="J87" s="1111">
        <f>'4D Wastewater treatment and dis'!AV150</f>
        <v>215.78375571491307</v>
      </c>
      <c r="K87" s="892">
        <f>'4D Wastewater treatment and dis'!AW150</f>
        <v>3.643701371142583</v>
      </c>
      <c r="L87" s="893">
        <f t="shared" si="97"/>
        <v>8361.0263719318355</v>
      </c>
      <c r="M87" s="894">
        <f t="shared" si="98"/>
        <v>9.4532411271799806</v>
      </c>
      <c r="N87" s="893">
        <f t="shared" si="99"/>
        <v>802.17503279212963</v>
      </c>
      <c r="O87" s="895">
        <f t="shared" si="100"/>
        <v>155.24381728481632</v>
      </c>
      <c r="P87" s="893">
        <f t="shared" si="101"/>
        <v>5661.0062950673746</v>
      </c>
      <c r="Q87" s="598">
        <f t="shared" si="102"/>
        <v>8361.0263719318355</v>
      </c>
      <c r="R87" s="600">
        <f t="shared" si="103"/>
        <v>811.62827391930966</v>
      </c>
      <c r="S87" s="597">
        <f t="shared" si="104"/>
        <v>155.24381728481632</v>
      </c>
      <c r="T87" s="598">
        <f t="shared" si="105"/>
        <v>5661.0062950673746</v>
      </c>
      <c r="U87" s="598">
        <f t="shared" si="106"/>
        <v>14988.904758203336</v>
      </c>
    </row>
    <row r="88" spans="1:21">
      <c r="A88" s="4">
        <f>'Input data'!A143</f>
        <v>2043</v>
      </c>
      <c r="B88" s="4"/>
      <c r="C88" s="891">
        <f>'4A SWD Case 1'!BN112</f>
        <v>387.74446261816439</v>
      </c>
      <c r="D88" s="3">
        <f>'4B Biological treatment '!T141</f>
        <v>0.44464413893428123</v>
      </c>
      <c r="E88" s="1358">
        <f>'4B Biological treatment '!U141</f>
        <v>20.008986252042654</v>
      </c>
      <c r="F88" s="1358">
        <f>'4B Biological treatment '!W141</f>
        <v>1.2005391751225591</v>
      </c>
      <c r="G88" s="1076">
        <f>'4C2 Open-burning '!R114</f>
        <v>15.516753302990452</v>
      </c>
      <c r="H88" s="1076">
        <f>'4C2 Open-burning '!Z114</f>
        <v>5.2209124352726439</v>
      </c>
      <c r="I88" s="1076">
        <f>'4C2 Open-burning '!AH114</f>
        <v>7.2683913019201185E-2</v>
      </c>
      <c r="J88" s="1111">
        <f>'4D Wastewater treatment and dis'!AV151</f>
        <v>219.06019027175444</v>
      </c>
      <c r="K88" s="892">
        <f>'4D Wastewater treatment and dis'!AW151</f>
        <v>3.6663405729089016</v>
      </c>
      <c r="L88" s="893">
        <f t="shared" si="97"/>
        <v>8142.6337149814526</v>
      </c>
      <c r="M88" s="894">
        <f t="shared" si="98"/>
        <v>9.3375269176199058</v>
      </c>
      <c r="N88" s="893">
        <f t="shared" si="99"/>
        <v>792.35585558088906</v>
      </c>
      <c r="O88" s="895">
        <f t="shared" si="100"/>
        <v>147.68792747966833</v>
      </c>
      <c r="P88" s="893">
        <f t="shared" si="101"/>
        <v>5736.8295733086024</v>
      </c>
      <c r="Q88" s="598">
        <f t="shared" si="102"/>
        <v>8142.6337149814526</v>
      </c>
      <c r="R88" s="600">
        <f t="shared" si="103"/>
        <v>801.69338249850898</v>
      </c>
      <c r="S88" s="597">
        <f t="shared" si="104"/>
        <v>147.68792747966833</v>
      </c>
      <c r="T88" s="598">
        <f t="shared" si="105"/>
        <v>5736.8295733086024</v>
      </c>
      <c r="U88" s="598">
        <f t="shared" si="106"/>
        <v>14828.844598268231</v>
      </c>
    </row>
    <row r="89" spans="1:21">
      <c r="A89" s="4">
        <f>'Input data'!A144</f>
        <v>2044</v>
      </c>
      <c r="B89" s="4"/>
      <c r="C89" s="891">
        <f>'4A SWD Case 1'!BN113</f>
        <v>377.68193387476481</v>
      </c>
      <c r="D89" s="3">
        <f>'4B Biological treatment '!T142</f>
        <v>0.43924808277872845</v>
      </c>
      <c r="E89" s="1358">
        <f>'4B Biological treatment '!U142</f>
        <v>19.766163725042777</v>
      </c>
      <c r="F89" s="1358">
        <f>'4B Biological treatment '!W142</f>
        <v>1.1859698235025666</v>
      </c>
      <c r="G89" s="1076">
        <f>'4C2 Open-burning '!R115</f>
        <v>14.712244471822048</v>
      </c>
      <c r="H89" s="1076">
        <f>'4C2 Open-burning '!Z115</f>
        <v>4.9502198439220875</v>
      </c>
      <c r="I89" s="1076">
        <f>'4C2 Open-burning '!AH115</f>
        <v>6.8915415269317243E-2</v>
      </c>
      <c r="J89" s="1111">
        <f>'4D Wastewater treatment and dis'!AV152</f>
        <v>222.36660896201545</v>
      </c>
      <c r="K89" s="892">
        <f>'4D Wastewater treatment and dis'!AW152</f>
        <v>3.6890806174447812</v>
      </c>
      <c r="L89" s="893">
        <f t="shared" si="97"/>
        <v>7931.3206113700608</v>
      </c>
      <c r="M89" s="894">
        <f t="shared" si="98"/>
        <v>9.2242097383532968</v>
      </c>
      <c r="N89" s="893">
        <f t="shared" si="99"/>
        <v>782.74008351169391</v>
      </c>
      <c r="O89" s="895">
        <f t="shared" si="100"/>
        <v>140.03063992767423</v>
      </c>
      <c r="P89" s="893">
        <f t="shared" si="101"/>
        <v>5813.3137796102064</v>
      </c>
      <c r="Q89" s="598">
        <f t="shared" si="102"/>
        <v>7931.3206113700608</v>
      </c>
      <c r="R89" s="600">
        <f t="shared" si="103"/>
        <v>791.96429325004726</v>
      </c>
      <c r="S89" s="597">
        <f t="shared" si="104"/>
        <v>140.03063992767423</v>
      </c>
      <c r="T89" s="598">
        <f t="shared" si="105"/>
        <v>5813.3137796102064</v>
      </c>
      <c r="U89" s="598">
        <f t="shared" si="106"/>
        <v>14676.629324157988</v>
      </c>
    </row>
    <row r="90" spans="1:21">
      <c r="A90" s="4">
        <f>'Input data'!A145</f>
        <v>2045</v>
      </c>
      <c r="B90" s="4"/>
      <c r="C90" s="891">
        <f>'4A SWD Case 1'!BN114</f>
        <v>367.93514431234127</v>
      </c>
      <c r="D90" s="3">
        <f>'4B Biological treatment '!T143</f>
        <v>0.43411585597365521</v>
      </c>
      <c r="E90" s="1358">
        <f>'4B Biological treatment '!U143</f>
        <v>19.53521351881448</v>
      </c>
      <c r="F90" s="1358">
        <f>'4B Biological treatment '!W143</f>
        <v>1.1721128111288688</v>
      </c>
      <c r="G90" s="1076">
        <f>'4C2 Open-burning '!R116</f>
        <v>13.897386016988383</v>
      </c>
      <c r="H90" s="1076">
        <f>'4C2 Open-burning '!Z116</f>
        <v>4.6760449210657562</v>
      </c>
      <c r="I90" s="1076">
        <f>'4C2 Open-burning '!AH116</f>
        <v>6.5098437587350996E-2</v>
      </c>
      <c r="J90" s="1111">
        <f>'4D Wastewater treatment and dis'!AV153</f>
        <v>225.70930325029914</v>
      </c>
      <c r="K90" s="892">
        <f>'4D Wastewater treatment and dis'!AW153</f>
        <v>3.7120223475197802</v>
      </c>
      <c r="L90" s="893">
        <f t="shared" si="97"/>
        <v>7726.6380305591665</v>
      </c>
      <c r="M90" s="894">
        <f t="shared" si="98"/>
        <v>9.1164329754467595</v>
      </c>
      <c r="N90" s="893">
        <f t="shared" si="99"/>
        <v>773.59445534505335</v>
      </c>
      <c r="O90" s="895">
        <f t="shared" si="100"/>
        <v>132.27484501144806</v>
      </c>
      <c r="P90" s="893">
        <f t="shared" si="101"/>
        <v>5890.622295987414</v>
      </c>
      <c r="Q90" s="598">
        <f t="shared" si="102"/>
        <v>7726.6380305591665</v>
      </c>
      <c r="R90" s="600">
        <f t="shared" si="103"/>
        <v>782.71088832050009</v>
      </c>
      <c r="S90" s="597">
        <f t="shared" si="104"/>
        <v>132.27484501144806</v>
      </c>
      <c r="T90" s="598">
        <f t="shared" si="105"/>
        <v>5890.622295987414</v>
      </c>
      <c r="U90" s="598">
        <f t="shared" si="106"/>
        <v>14532.246059878529</v>
      </c>
    </row>
    <row r="91" spans="1:21">
      <c r="A91" s="4">
        <f>'Input data'!A146</f>
        <v>2046</v>
      </c>
      <c r="B91" s="4"/>
      <c r="C91" s="891">
        <f>'4A SWD Case 1'!BN115</f>
        <v>358.48546813573427</v>
      </c>
      <c r="D91" s="3">
        <f>'4B Biological treatment '!T144</f>
        <v>0.42895631822184832</v>
      </c>
      <c r="E91" s="1358">
        <f>'4B Biological treatment '!U144</f>
        <v>19.303034319983169</v>
      </c>
      <c r="F91" s="1358">
        <f>'4B Biological treatment '!W144</f>
        <v>1.1581820591989902</v>
      </c>
      <c r="G91" s="1076">
        <f>'4C2 Open-burning '!R117</f>
        <v>13.057207507430453</v>
      </c>
      <c r="H91" s="1076">
        <f>'4C2 Open-burning '!Z117</f>
        <v>4.3933505749776192</v>
      </c>
      <c r="I91" s="1076">
        <f>'4C2 Open-burning '!AH117</f>
        <v>6.1162855154810701E-2</v>
      </c>
      <c r="J91" s="1111">
        <f>'4D Wastewater treatment and dis'!AV154</f>
        <v>228.82882339897614</v>
      </c>
      <c r="K91" s="892">
        <f>'4D Wastewater treatment and dis'!AW154</f>
        <v>3.7309303668123635</v>
      </c>
      <c r="L91" s="893">
        <f t="shared" si="97"/>
        <v>7528.1948308504197</v>
      </c>
      <c r="M91" s="894">
        <f t="shared" si="98"/>
        <v>9.0080826826588147</v>
      </c>
      <c r="N91" s="893">
        <f t="shared" si="99"/>
        <v>764.40015907133352</v>
      </c>
      <c r="O91" s="895">
        <f t="shared" si="100"/>
        <v>124.27805467995177</v>
      </c>
      <c r="P91" s="893">
        <f t="shared" si="101"/>
        <v>5961.9937050903318</v>
      </c>
      <c r="Q91" s="598">
        <f t="shared" si="102"/>
        <v>7528.1948308504197</v>
      </c>
      <c r="R91" s="600">
        <f t="shared" si="103"/>
        <v>773.40824175399234</v>
      </c>
      <c r="S91" s="597">
        <f t="shared" si="104"/>
        <v>124.27805467995177</v>
      </c>
      <c r="T91" s="598">
        <f t="shared" si="105"/>
        <v>5961.9937050903318</v>
      </c>
      <c r="U91" s="598">
        <f t="shared" si="106"/>
        <v>14387.874832374695</v>
      </c>
    </row>
    <row r="92" spans="1:21">
      <c r="A92" s="4">
        <f>'Input data'!A147</f>
        <v>2047</v>
      </c>
      <c r="B92" s="4"/>
      <c r="C92" s="891">
        <f>'4A SWD Case 1'!BN116</f>
        <v>349.30777742548719</v>
      </c>
      <c r="D92" s="3">
        <f>'4B Biological treatment '!T145</f>
        <v>0.42402494448993822</v>
      </c>
      <c r="E92" s="1358">
        <f>'4B Biological treatment '!U145</f>
        <v>19.081122502047219</v>
      </c>
      <c r="F92" s="1358">
        <f>'4B Biological treatment '!W145</f>
        <v>1.144867350122833</v>
      </c>
      <c r="G92" s="1076">
        <f>'4C2 Open-burning '!R118</f>
        <v>12.208288038948259</v>
      </c>
      <c r="H92" s="1076">
        <f>'4C2 Open-burning '!Z118</f>
        <v>4.1077151638191811</v>
      </c>
      <c r="I92" s="1076">
        <f>'4C2 Open-burning '!AH118</f>
        <v>5.718632813252604E-2</v>
      </c>
      <c r="J92" s="1111">
        <f>'4D Wastewater treatment and dis'!AV155</f>
        <v>231.97766661377796</v>
      </c>
      <c r="K92" s="892">
        <f>'4D Wastewater treatment and dis'!AW155</f>
        <v>3.7499896502592862</v>
      </c>
      <c r="L92" s="893">
        <f t="shared" si="97"/>
        <v>7335.4633259352313</v>
      </c>
      <c r="M92" s="894">
        <f t="shared" si="98"/>
        <v>8.9045238342887032</v>
      </c>
      <c r="N92" s="893">
        <f t="shared" si="99"/>
        <v>755.61245108106982</v>
      </c>
      <c r="O92" s="895">
        <f t="shared" si="100"/>
        <v>116.19806820023413</v>
      </c>
      <c r="P92" s="893">
        <f t="shared" si="101"/>
        <v>6034.0277904697159</v>
      </c>
      <c r="Q92" s="598">
        <f t="shared" si="102"/>
        <v>7335.4633259352313</v>
      </c>
      <c r="R92" s="600">
        <f t="shared" si="103"/>
        <v>764.51697491535856</v>
      </c>
      <c r="S92" s="597">
        <f t="shared" si="104"/>
        <v>116.19806820023413</v>
      </c>
      <c r="T92" s="598">
        <f t="shared" si="105"/>
        <v>6034.0277904697159</v>
      </c>
      <c r="U92" s="598">
        <f t="shared" si="106"/>
        <v>14250.20615952054</v>
      </c>
    </row>
    <row r="93" spans="1:21">
      <c r="A93" s="4">
        <f>'Input data'!A148</f>
        <v>2048</v>
      </c>
      <c r="B93" s="4"/>
      <c r="C93" s="891">
        <f>'4A SWD Case 1'!BN117</f>
        <v>340.38525115468599</v>
      </c>
      <c r="D93" s="3">
        <f>'4B Biological treatment '!T146</f>
        <v>0.43296847839147756</v>
      </c>
      <c r="E93" s="1358">
        <f>'4B Biological treatment '!U146</f>
        <v>19.483581527616487</v>
      </c>
      <c r="F93" s="1358">
        <f>'4B Biological treatment '!W146</f>
        <v>1.1690148916569889</v>
      </c>
      <c r="G93" s="1076">
        <f>'4C2 Open-burning '!R119</f>
        <v>12.270664835027485</v>
      </c>
      <c r="H93" s="1076">
        <f>'4C2 Open-burning '!Z119</f>
        <v>4.1287030460109886</v>
      </c>
      <c r="I93" s="1076">
        <f>'4C2 Open-burning '!AH119</f>
        <v>5.7478514876241629E-2</v>
      </c>
      <c r="J93" s="1111">
        <f>'4D Wastewater treatment and dis'!AV156</f>
        <v>235.1529267511888</v>
      </c>
      <c r="K93" s="892">
        <f>'4D Wastewater treatment and dis'!AW156</f>
        <v>3.76914977647577</v>
      </c>
      <c r="L93" s="893">
        <f t="shared" si="97"/>
        <v>7148.0902742484059</v>
      </c>
      <c r="M93" s="894">
        <f t="shared" si="98"/>
        <v>9.0923380462210286</v>
      </c>
      <c r="N93" s="893">
        <f t="shared" si="99"/>
        <v>771.54982849361272</v>
      </c>
      <c r="O93" s="895">
        <f t="shared" si="100"/>
        <v>116.79176841289316</v>
      </c>
      <c r="P93" s="893">
        <f t="shared" si="101"/>
        <v>6106.6478924824532</v>
      </c>
      <c r="Q93" s="598">
        <f t="shared" si="102"/>
        <v>7148.0902742484059</v>
      </c>
      <c r="R93" s="600">
        <f t="shared" si="103"/>
        <v>780.64216653983374</v>
      </c>
      <c r="S93" s="597">
        <f t="shared" si="104"/>
        <v>116.79176841289316</v>
      </c>
      <c r="T93" s="598">
        <f t="shared" si="105"/>
        <v>6106.6478924824532</v>
      </c>
      <c r="U93" s="598">
        <f t="shared" si="106"/>
        <v>14152.172101683587</v>
      </c>
    </row>
    <row r="94" spans="1:21">
      <c r="A94" s="4">
        <f>'Input data'!A149</f>
        <v>2049</v>
      </c>
      <c r="B94" s="4"/>
      <c r="C94" s="891">
        <f>'4A SWD Case 1'!BN118</f>
        <v>332.05349150827789</v>
      </c>
      <c r="D94" s="3">
        <f>'4B Biological treatment '!T147</f>
        <v>0.44230898786660749</v>
      </c>
      <c r="E94" s="1358">
        <f>'4B Biological treatment '!U147</f>
        <v>19.903904453997335</v>
      </c>
      <c r="F94" s="1358">
        <f>'4B Biological treatment '!W147</f>
        <v>1.1942342672398401</v>
      </c>
      <c r="G94" s="1076">
        <f>'4C2 Open-burning '!R120</f>
        <v>12.333205780570079</v>
      </c>
      <c r="H94" s="1076">
        <f>'4C2 Open-burning '!Z120</f>
        <v>4.1497461594717215</v>
      </c>
      <c r="I94" s="1076">
        <f>'4C2 Open-burning '!AH120</f>
        <v>5.7771470532440694E-2</v>
      </c>
      <c r="J94" s="1111">
        <f>'4D Wastewater treatment and dis'!AV157</f>
        <v>238.35159118378778</v>
      </c>
      <c r="K94" s="892">
        <f>'4D Wastewater treatment and dis'!AW157</f>
        <v>3.7883603240770336</v>
      </c>
      <c r="L94" s="893">
        <f t="shared" si="97"/>
        <v>6973.1233216738356</v>
      </c>
      <c r="M94" s="894">
        <f t="shared" si="98"/>
        <v>9.288488745198757</v>
      </c>
      <c r="N94" s="893">
        <f t="shared" si="99"/>
        <v>788.19461637829443</v>
      </c>
      <c r="O94" s="895">
        <f t="shared" si="100"/>
        <v>117.38703099453285</v>
      </c>
      <c r="P94" s="893">
        <f t="shared" si="101"/>
        <v>6179.775115323424</v>
      </c>
      <c r="Q94" s="598">
        <f t="shared" si="102"/>
        <v>6973.1233216738356</v>
      </c>
      <c r="R94" s="600">
        <f t="shared" si="103"/>
        <v>797.48310512349315</v>
      </c>
      <c r="S94" s="597">
        <f t="shared" si="104"/>
        <v>117.38703099453285</v>
      </c>
      <c r="T94" s="598">
        <f t="shared" si="105"/>
        <v>6179.775115323424</v>
      </c>
      <c r="U94" s="598">
        <f t="shared" si="106"/>
        <v>14067.768573115285</v>
      </c>
    </row>
    <row r="95" spans="1:21">
      <c r="A95" s="4">
        <f>'Input data'!A150</f>
        <v>2050</v>
      </c>
      <c r="B95" s="4"/>
      <c r="C95" s="891">
        <f>'4A SWD Case 1'!BN119</f>
        <v>324.28867212171787</v>
      </c>
      <c r="D95" s="3">
        <f>'4B Biological treatment '!T148</f>
        <v>0.45208280983341775</v>
      </c>
      <c r="E95" s="1358">
        <f>'4B Biological treatment '!U148</f>
        <v>20.343726442503794</v>
      </c>
      <c r="F95" s="1358">
        <f>'4B Biological treatment '!W148</f>
        <v>1.2206235865502275</v>
      </c>
      <c r="G95" s="1076">
        <f>'4C2 Open-burning '!R121</f>
        <v>12.396239174502771</v>
      </c>
      <c r="H95" s="1076">
        <f>'4C2 Open-burning '!Z121</f>
        <v>4.1709549667392318</v>
      </c>
      <c r="I95" s="1076">
        <f>'4C2 Open-burning '!AH121</f>
        <v>5.8066732926090131E-2</v>
      </c>
      <c r="J95" s="1111">
        <f>'4D Wastewater treatment and dis'!AV158</f>
        <v>241.58013772301177</v>
      </c>
      <c r="K95" s="892">
        <f>'4D Wastewater treatment and dis'!AW158</f>
        <v>3.8077221358326381</v>
      </c>
      <c r="L95" s="893">
        <f t="shared" si="97"/>
        <v>6810.0621145560754</v>
      </c>
      <c r="M95" s="894">
        <f t="shared" si="98"/>
        <v>9.493739006501773</v>
      </c>
      <c r="N95" s="893">
        <f t="shared" si="99"/>
        <v>805.61156712315028</v>
      </c>
      <c r="O95" s="895">
        <f t="shared" si="100"/>
        <v>117.98698068311457</v>
      </c>
      <c r="P95" s="893">
        <f t="shared" si="101"/>
        <v>6253.5767542913654</v>
      </c>
      <c r="Q95" s="538">
        <f t="shared" si="102"/>
        <v>6810.0621145560754</v>
      </c>
      <c r="R95" s="596">
        <f t="shared" si="103"/>
        <v>815.10530612965204</v>
      </c>
      <c r="S95" s="593">
        <f t="shared" si="104"/>
        <v>117.98698068311457</v>
      </c>
      <c r="T95" s="538">
        <f t="shared" si="105"/>
        <v>6253.5767542913654</v>
      </c>
      <c r="U95" s="538">
        <f t="shared" si="106"/>
        <v>13996.731155660207</v>
      </c>
    </row>
    <row r="96" spans="1:21">
      <c r="A96" s="479" t="s">
        <v>749</v>
      </c>
      <c r="B96" s="479"/>
      <c r="C96" s="538"/>
      <c r="D96" s="3"/>
      <c r="E96" s="539"/>
      <c r="F96" s="539"/>
      <c r="G96" s="1076"/>
      <c r="H96" s="1076"/>
      <c r="I96" s="1076"/>
      <c r="J96" s="1110"/>
      <c r="K96" s="594"/>
      <c r="L96" s="538"/>
      <c r="M96" s="3"/>
      <c r="N96" s="538"/>
      <c r="O96" s="593"/>
      <c r="P96" s="538"/>
      <c r="Q96" s="538"/>
      <c r="R96" s="596"/>
      <c r="S96" s="593"/>
      <c r="T96" s="538"/>
      <c r="U96" s="538"/>
    </row>
    <row r="97" spans="1:21">
      <c r="A97" s="4">
        <f>'Input data'!A118</f>
        <v>2018</v>
      </c>
      <c r="B97" s="4"/>
      <c r="C97" s="891">
        <f>'4A SWD Case 2'!BG87</f>
        <v>718.72894597883851</v>
      </c>
      <c r="D97" s="3">
        <f>'4B Biological treatment '!T150</f>
        <v>0.65652746532742168</v>
      </c>
      <c r="E97" s="1358">
        <f>'4B Biological treatment '!U150</f>
        <v>35.337487372665677</v>
      </c>
      <c r="F97" s="1358">
        <f>'4B Biological treatment '!W150</f>
        <v>2.1202492423599404</v>
      </c>
      <c r="G97" s="1076">
        <f>'4C2 Open-burning '!R123</f>
        <v>33.464406201319058</v>
      </c>
      <c r="H97" s="1076">
        <f>'4C2 Open-burning '!Z123</f>
        <v>11.259748161479752</v>
      </c>
      <c r="I97" s="1076">
        <f>'4C2 Open-burning '!AH123</f>
        <v>0.15675469874919792</v>
      </c>
      <c r="J97" s="1111">
        <f>'4D Wastewater treatment and dis'!AV160</f>
        <v>137.16052018288545</v>
      </c>
      <c r="K97" s="892">
        <f>'4D Wastewater treatment and dis'!AW160</f>
        <v>2.8960026562367029</v>
      </c>
      <c r="L97" s="893">
        <f t="shared" ref="L97:L129" si="107">C97*$B$3</f>
        <v>15093.307865555609</v>
      </c>
      <c r="M97" s="894">
        <f t="shared" ref="M97:M129" si="108">D97*$B$3</f>
        <v>13.787076771875855</v>
      </c>
      <c r="N97" s="893">
        <f t="shared" ref="N97:N129" si="109">E97*$B$3+F97*$C$3</f>
        <v>1399.3644999575608</v>
      </c>
      <c r="O97" s="895">
        <f t="shared" ref="O97:O129" si="110">G97+H97*$B$3+I97*$C$3</f>
        <v>318.51307420464519</v>
      </c>
      <c r="P97" s="893">
        <f t="shared" ref="P97:P129" si="111">J97*$B$3+K97*$C$3</f>
        <v>3778.1317472739725</v>
      </c>
      <c r="Q97" s="538">
        <f t="shared" si="70"/>
        <v>15093.307865555609</v>
      </c>
      <c r="R97" s="596">
        <f t="shared" si="71"/>
        <v>1413.1515767294368</v>
      </c>
      <c r="S97" s="593">
        <f t="shared" si="72"/>
        <v>318.51307420464519</v>
      </c>
      <c r="T97" s="538">
        <f t="shared" si="73"/>
        <v>3778.1317472739725</v>
      </c>
      <c r="U97" s="538">
        <f t="shared" si="74"/>
        <v>20603.104263763664</v>
      </c>
    </row>
    <row r="98" spans="1:21">
      <c r="A98" s="4">
        <f>'Input data'!A119</f>
        <v>2019</v>
      </c>
      <c r="B98" s="4"/>
      <c r="C98" s="891">
        <f>'4A SWD Case 2'!BG88</f>
        <v>715.92989617669491</v>
      </c>
      <c r="D98" s="3">
        <f>'4B Biological treatment '!T151</f>
        <v>0.70619185929453532</v>
      </c>
      <c r="E98" s="1358">
        <f>'4B Biological treatment '!U151</f>
        <v>36.483674686022503</v>
      </c>
      <c r="F98" s="1358">
        <f>'4B Biological treatment '!W151</f>
        <v>2.1890204811613501</v>
      </c>
      <c r="G98" s="1076">
        <f>'4C2 Open-burning '!R124</f>
        <v>33.456747505326334</v>
      </c>
      <c r="H98" s="1076">
        <f>'4C2 Open-burning '!Z124</f>
        <v>11.257171244752035</v>
      </c>
      <c r="I98" s="1076">
        <f>'4C2 Open-burning '!AH124</f>
        <v>0.15671882371899637</v>
      </c>
      <c r="J98" s="1111">
        <f>'4D Wastewater treatment and dis'!AV161</f>
        <v>143.32311856444659</v>
      </c>
      <c r="K98" s="892">
        <f>'4D Wastewater treatment and dis'!AW161</f>
        <v>2.9428441226975277</v>
      </c>
      <c r="L98" s="893">
        <f t="shared" si="107"/>
        <v>15034.527819710593</v>
      </c>
      <c r="M98" s="894">
        <f t="shared" si="108"/>
        <v>14.830029045185242</v>
      </c>
      <c r="N98" s="893">
        <f t="shared" si="109"/>
        <v>1444.7535175664912</v>
      </c>
      <c r="O98" s="895">
        <f t="shared" si="110"/>
        <v>318.44017899800792</v>
      </c>
      <c r="P98" s="893">
        <f t="shared" si="111"/>
        <v>3922.0671678896119</v>
      </c>
      <c r="Q98" s="598">
        <f t="shared" si="70"/>
        <v>15034.527819710593</v>
      </c>
      <c r="R98" s="600">
        <f t="shared" si="71"/>
        <v>1459.5835466116764</v>
      </c>
      <c r="S98" s="597">
        <f t="shared" si="72"/>
        <v>318.44017899800792</v>
      </c>
      <c r="T98" s="598">
        <f t="shared" si="73"/>
        <v>3922.0671678896119</v>
      </c>
      <c r="U98" s="598">
        <f t="shared" si="74"/>
        <v>20734.618713209886</v>
      </c>
    </row>
    <row r="99" spans="1:21">
      <c r="A99" s="4">
        <f>'Input data'!A120</f>
        <v>2020</v>
      </c>
      <c r="B99" s="4"/>
      <c r="C99" s="891">
        <f>'4A SWD Case 2'!BG89</f>
        <v>711.32181290234098</v>
      </c>
      <c r="D99" s="3">
        <f>'4B Biological treatment '!T152</f>
        <v>0.66958124530566054</v>
      </c>
      <c r="E99" s="1358">
        <f>'4B Biological treatment '!U152</f>
        <v>33.722847723754199</v>
      </c>
      <c r="F99" s="1358">
        <f>'4B Biological treatment '!W152</f>
        <v>2.0233708634252516</v>
      </c>
      <c r="G99" s="1076">
        <f>'4C2 Open-burning '!R125</f>
        <v>33.216619550945921</v>
      </c>
      <c r="H99" s="1076">
        <f>'4C2 Open-burning '!Z125</f>
        <v>11.176375539709817</v>
      </c>
      <c r="I99" s="1076">
        <f>'4C2 Open-burning '!AH125</f>
        <v>0.15559401113682425</v>
      </c>
      <c r="J99" s="1111">
        <f>'4D Wastewater treatment and dis'!AV162</f>
        <v>149.6491219215433</v>
      </c>
      <c r="K99" s="892">
        <f>'4D Wastewater treatment and dis'!AW162</f>
        <v>2.9904419099300554</v>
      </c>
      <c r="L99" s="893">
        <f t="shared" si="107"/>
        <v>14937.758070949161</v>
      </c>
      <c r="M99" s="894">
        <f t="shared" si="108"/>
        <v>14.061206151418871</v>
      </c>
      <c r="N99" s="893">
        <f t="shared" si="109"/>
        <v>1335.4247698606662</v>
      </c>
      <c r="O99" s="895">
        <f t="shared" si="110"/>
        <v>316.15464933726764</v>
      </c>
      <c r="P99" s="893">
        <f t="shared" si="111"/>
        <v>4069.6685524307268</v>
      </c>
      <c r="Q99" s="598">
        <f t="shared" si="70"/>
        <v>14937.758070949161</v>
      </c>
      <c r="R99" s="600">
        <f t="shared" si="71"/>
        <v>1349.4859760120851</v>
      </c>
      <c r="S99" s="597">
        <f t="shared" si="72"/>
        <v>316.15464933726764</v>
      </c>
      <c r="T99" s="598">
        <f t="shared" si="73"/>
        <v>4069.6685524307268</v>
      </c>
      <c r="U99" s="598">
        <f t="shared" si="74"/>
        <v>20673.06724872924</v>
      </c>
    </row>
    <row r="100" spans="1:21">
      <c r="A100" s="4">
        <f>'Input data'!A121</f>
        <v>2021</v>
      </c>
      <c r="B100" s="4"/>
      <c r="C100" s="891">
        <f>'4A SWD Case 2'!BG90</f>
        <v>700.32222622573613</v>
      </c>
      <c r="D100" s="3">
        <f>'4B Biological treatment '!T153</f>
        <v>0.59965982681188623</v>
      </c>
      <c r="E100" s="1358">
        <f>'4B Biological treatment '!U153</f>
        <v>29.121784447753129</v>
      </c>
      <c r="F100" s="1358">
        <f>'4B Biological treatment '!W153</f>
        <v>1.7473070668651878</v>
      </c>
      <c r="G100" s="1076">
        <f>'4C2 Open-burning '!R126</f>
        <v>31.225627400260244</v>
      </c>
      <c r="H100" s="1076">
        <f>'4C2 Open-burning '!Z126</f>
        <v>10.506467635970589</v>
      </c>
      <c r="I100" s="1076">
        <f>'4C2 Open-burning '!AH126</f>
        <v>0.14626776243797687</v>
      </c>
      <c r="J100" s="1111">
        <f>'4D Wastewater treatment and dis'!AV163</f>
        <v>155.4265138839244</v>
      </c>
      <c r="K100" s="892">
        <f>'4D Wastewater treatment and dis'!AW163</f>
        <v>3.024879715734945</v>
      </c>
      <c r="L100" s="893">
        <f t="shared" si="107"/>
        <v>14706.766750740459</v>
      </c>
      <c r="M100" s="894">
        <f t="shared" si="108"/>
        <v>12.592856363049611</v>
      </c>
      <c r="N100" s="893">
        <f t="shared" si="109"/>
        <v>1153.222664131024</v>
      </c>
      <c r="O100" s="895">
        <f t="shared" si="110"/>
        <v>297.20445411141543</v>
      </c>
      <c r="P100" s="893">
        <f t="shared" si="111"/>
        <v>4201.6695034402455</v>
      </c>
      <c r="Q100" s="598">
        <f t="shared" si="70"/>
        <v>14706.766750740459</v>
      </c>
      <c r="R100" s="600">
        <f t="shared" si="71"/>
        <v>1165.8155204940736</v>
      </c>
      <c r="S100" s="597">
        <f t="shared" si="72"/>
        <v>297.20445411141543</v>
      </c>
      <c r="T100" s="598">
        <f t="shared" si="73"/>
        <v>4201.6695034402455</v>
      </c>
      <c r="U100" s="598">
        <f t="shared" si="74"/>
        <v>20371.456228786192</v>
      </c>
    </row>
    <row r="101" spans="1:21">
      <c r="A101" s="4">
        <f>'Input data'!A122</f>
        <v>2022</v>
      </c>
      <c r="B101" s="4"/>
      <c r="C101" s="891">
        <f>'4A SWD Case 2'!BG91</f>
        <v>680.71386848998111</v>
      </c>
      <c r="D101" s="3">
        <f>'4B Biological treatment '!T154</f>
        <v>0.52236166147580509</v>
      </c>
      <c r="E101" s="1358">
        <f>'4B Biological treatment '!U154</f>
        <v>23.506274766411227</v>
      </c>
      <c r="F101" s="1358">
        <f>'4B Biological treatment '!W154</f>
        <v>1.4103764859846737</v>
      </c>
      <c r="G101" s="1076">
        <f>'4C2 Open-burning '!R127</f>
        <v>26.557065695121505</v>
      </c>
      <c r="H101" s="1076">
        <f>'4C2 Open-burning '!Z127</f>
        <v>8.9356395519474283</v>
      </c>
      <c r="I101" s="1076">
        <f>'4C2 Open-burning '!AH127</f>
        <v>0.12439918424541899</v>
      </c>
      <c r="J101" s="1111">
        <f>'4D Wastewater treatment and dis'!AV164</f>
        <v>161.31482365077883</v>
      </c>
      <c r="K101" s="892">
        <f>'4D Wastewater treatment and dis'!AW164</f>
        <v>3.0596704712332969</v>
      </c>
      <c r="L101" s="893">
        <f t="shared" si="107"/>
        <v>14294.991238289604</v>
      </c>
      <c r="M101" s="894">
        <f t="shared" si="108"/>
        <v>10.969594890991907</v>
      </c>
      <c r="N101" s="893">
        <f t="shared" si="109"/>
        <v>930.84848074988463</v>
      </c>
      <c r="O101" s="895">
        <f t="shared" si="110"/>
        <v>252.7692434020974</v>
      </c>
      <c r="P101" s="893">
        <f t="shared" si="111"/>
        <v>4336.1091427486772</v>
      </c>
      <c r="Q101" s="598">
        <f t="shared" si="70"/>
        <v>14294.991238289604</v>
      </c>
      <c r="R101" s="600">
        <f t="shared" si="71"/>
        <v>941.81807564087649</v>
      </c>
      <c r="S101" s="597">
        <f t="shared" si="72"/>
        <v>252.7692434020974</v>
      </c>
      <c r="T101" s="598">
        <f t="shared" si="73"/>
        <v>4336.1091427486772</v>
      </c>
      <c r="U101" s="598">
        <f t="shared" si="74"/>
        <v>19825.687700081253</v>
      </c>
    </row>
    <row r="102" spans="1:21">
      <c r="A102" s="4">
        <f>'Input data'!A123</f>
        <v>2023</v>
      </c>
      <c r="B102" s="4"/>
      <c r="C102" s="891">
        <f>'4A SWD Case 2'!BG92</f>
        <v>657.64913246721517</v>
      </c>
      <c r="D102" s="3">
        <f>'4B Biological treatment '!T155</f>
        <v>0.51024057084290086</v>
      </c>
      <c r="E102" s="1358">
        <f>'4B Biological treatment '!U155</f>
        <v>22.960825687930537</v>
      </c>
      <c r="F102" s="1358">
        <f>'4B Biological treatment '!W155</f>
        <v>1.3776495412758321</v>
      </c>
      <c r="G102" s="1076">
        <f>'4C2 Open-burning '!R128</f>
        <v>25.591310984719968</v>
      </c>
      <c r="H102" s="1076">
        <f>'4C2 Open-burning '!Z128</f>
        <v>8.6106926588375945</v>
      </c>
      <c r="I102" s="1076">
        <f>'4C2 Open-burning '!AH128</f>
        <v>0.11987537504396825</v>
      </c>
      <c r="J102" s="1111">
        <f>'4D Wastewater treatment and dis'!AV165</f>
        <v>167.32092220488411</v>
      </c>
      <c r="K102" s="892">
        <f>'4D Wastewater treatment and dis'!AW165</f>
        <v>3.0949150191946715</v>
      </c>
      <c r="L102" s="893">
        <f t="shared" si="107"/>
        <v>13810.631781811519</v>
      </c>
      <c r="M102" s="894">
        <f t="shared" si="108"/>
        <v>10.715051987700917</v>
      </c>
      <c r="N102" s="893">
        <f t="shared" si="109"/>
        <v>909.24869724204927</v>
      </c>
      <c r="O102" s="895">
        <f t="shared" si="110"/>
        <v>243.5772230839396</v>
      </c>
      <c r="P102" s="893">
        <f t="shared" si="111"/>
        <v>4473.1630222529147</v>
      </c>
      <c r="Q102" s="598">
        <f t="shared" si="70"/>
        <v>13810.631781811519</v>
      </c>
      <c r="R102" s="600">
        <f t="shared" si="71"/>
        <v>919.96374922975019</v>
      </c>
      <c r="S102" s="597">
        <f t="shared" si="72"/>
        <v>243.5772230839396</v>
      </c>
      <c r="T102" s="598">
        <f t="shared" si="73"/>
        <v>4473.1630222529147</v>
      </c>
      <c r="U102" s="598">
        <f t="shared" si="74"/>
        <v>19447.335776378124</v>
      </c>
    </row>
    <row r="103" spans="1:21">
      <c r="A103" s="4">
        <f>'Input data'!A124</f>
        <v>2024</v>
      </c>
      <c r="B103" s="4"/>
      <c r="C103" s="891">
        <f>'4A SWD Case 2'!BG93</f>
        <v>635.56831195913594</v>
      </c>
      <c r="D103" s="3">
        <f>'4B Biological treatment '!T156</f>
        <v>0.4971098302850987</v>
      </c>
      <c r="E103" s="1358">
        <f>'4B Biological treatment '!U156</f>
        <v>22.369942362829438</v>
      </c>
      <c r="F103" s="1358">
        <f>'4B Biological treatment '!W156</f>
        <v>1.3421965417697663</v>
      </c>
      <c r="G103" s="1076">
        <f>'4C2 Open-burning '!R129</f>
        <v>24.564638588053686</v>
      </c>
      <c r="H103" s="1076">
        <f>'4C2 Open-burning '!Z129</f>
        <v>8.2652488293173363</v>
      </c>
      <c r="I103" s="1076">
        <f>'4C2 Open-burning '!AH129</f>
        <v>0.11506621389270311</v>
      </c>
      <c r="J103" s="1111">
        <f>'4D Wastewater treatment and dis'!AV166</f>
        <v>173.44384059068466</v>
      </c>
      <c r="K103" s="892">
        <f>'4D Wastewater treatment and dis'!AW166</f>
        <v>3.1305629382342866</v>
      </c>
      <c r="L103" s="893">
        <f t="shared" si="107"/>
        <v>13346.934551141854</v>
      </c>
      <c r="M103" s="894">
        <f t="shared" si="108"/>
        <v>10.439306435987072</v>
      </c>
      <c r="N103" s="893">
        <f t="shared" si="109"/>
        <v>885.84971756804578</v>
      </c>
      <c r="O103" s="895">
        <f t="shared" si="110"/>
        <v>233.80539031045572</v>
      </c>
      <c r="P103" s="893">
        <f t="shared" si="111"/>
        <v>4612.7951632570066</v>
      </c>
      <c r="Q103" s="598">
        <f t="shared" si="70"/>
        <v>13346.934551141854</v>
      </c>
      <c r="R103" s="600">
        <f t="shared" si="71"/>
        <v>896.28902400403285</v>
      </c>
      <c r="S103" s="597">
        <f t="shared" si="72"/>
        <v>233.80539031045572</v>
      </c>
      <c r="T103" s="598">
        <f t="shared" si="73"/>
        <v>4612.7951632570066</v>
      </c>
      <c r="U103" s="598">
        <f t="shared" si="74"/>
        <v>19089.82412871335</v>
      </c>
    </row>
    <row r="104" spans="1:21">
      <c r="A104" s="4">
        <f>'Input data'!A125</f>
        <v>2025</v>
      </c>
      <c r="B104" s="4"/>
      <c r="C104" s="891">
        <f>'4A SWD Case 2'!BG94</f>
        <v>614.39073228461825</v>
      </c>
      <c r="D104" s="3">
        <f>'4B Biological treatment '!T157</f>
        <v>0.4831118288619668</v>
      </c>
      <c r="E104" s="1358">
        <f>'4B Biological treatment '!U157</f>
        <v>21.740032298788503</v>
      </c>
      <c r="F104" s="1358">
        <f>'4B Biological treatment '!W157</f>
        <v>1.30440193792731</v>
      </c>
      <c r="G104" s="1076">
        <f>'4C2 Open-burning '!R130</f>
        <v>23.473862461725432</v>
      </c>
      <c r="H104" s="1076">
        <f>'4C2 Open-burning '!Z130</f>
        <v>7.8982360573253887</v>
      </c>
      <c r="I104" s="1076">
        <f>'4C2 Open-burning '!AH130</f>
        <v>0.10995677665790576</v>
      </c>
      <c r="J104" s="1111">
        <f>'4D Wastewater treatment and dis'!AV167</f>
        <v>179.68520063996107</v>
      </c>
      <c r="K104" s="892">
        <f>'4D Wastewater treatment and dis'!AW167</f>
        <v>3.166614228352143</v>
      </c>
      <c r="L104" s="893">
        <f t="shared" si="107"/>
        <v>12902.205377976983</v>
      </c>
      <c r="M104" s="894">
        <f t="shared" si="108"/>
        <v>10.145348406101302</v>
      </c>
      <c r="N104" s="893">
        <f t="shared" si="109"/>
        <v>860.90527903202462</v>
      </c>
      <c r="O104" s="895">
        <f t="shared" si="110"/>
        <v>223.42342042950941</v>
      </c>
      <c r="P104" s="893">
        <f t="shared" si="111"/>
        <v>4755.0396242283468</v>
      </c>
      <c r="Q104" s="598">
        <f t="shared" si="70"/>
        <v>12902.205377976983</v>
      </c>
      <c r="R104" s="600">
        <f t="shared" si="71"/>
        <v>871.05062743812596</v>
      </c>
      <c r="S104" s="597">
        <f t="shared" si="72"/>
        <v>223.42342042950941</v>
      </c>
      <c r="T104" s="598">
        <f t="shared" si="73"/>
        <v>4755.0396242283468</v>
      </c>
      <c r="U104" s="598">
        <f t="shared" si="74"/>
        <v>18751.719050072967</v>
      </c>
    </row>
    <row r="105" spans="1:21">
      <c r="A105" s="4">
        <f>'Input data'!A126</f>
        <v>2026</v>
      </c>
      <c r="B105" s="4"/>
      <c r="C105" s="891">
        <f>'4A SWD Case 2'!BG95</f>
        <v>594.04051083535489</v>
      </c>
      <c r="D105" s="3">
        <f>'4B Biological treatment '!T158</f>
        <v>0.46800480794800503</v>
      </c>
      <c r="E105" s="1358">
        <f>'4B Biological treatment '!U158</f>
        <v>21.06021635766022</v>
      </c>
      <c r="F105" s="1358">
        <f>'4B Biological treatment '!W158</f>
        <v>1.2636129814596133</v>
      </c>
      <c r="G105" s="1076">
        <f>'4C2 Open-burning '!R131</f>
        <v>22.278732943613061</v>
      </c>
      <c r="H105" s="1076">
        <f>'4C2 Open-burning '!Z131</f>
        <v>7.4961115638160596</v>
      </c>
      <c r="I105" s="1076">
        <f>'4C2 Open-burning '!AH131</f>
        <v>0.10435852499759113</v>
      </c>
      <c r="J105" s="1111">
        <f>'4D Wastewater treatment and dis'!AV168</f>
        <v>185.73911394397246</v>
      </c>
      <c r="K105" s="892">
        <f>'4D Wastewater treatment and dis'!AW168</f>
        <v>3.1977746441463193</v>
      </c>
      <c r="L105" s="893">
        <f t="shared" si="107"/>
        <v>12474.850727542453</v>
      </c>
      <c r="M105" s="894">
        <f t="shared" si="108"/>
        <v>9.8281009669081065</v>
      </c>
      <c r="N105" s="893">
        <f t="shared" si="109"/>
        <v>833.98456776334478</v>
      </c>
      <c r="O105" s="895">
        <f t="shared" si="110"/>
        <v>212.04821853300356</v>
      </c>
      <c r="P105" s="893">
        <f t="shared" si="111"/>
        <v>4891.8315325087806</v>
      </c>
      <c r="Q105" s="598">
        <f t="shared" si="70"/>
        <v>12474.850727542453</v>
      </c>
      <c r="R105" s="600">
        <f t="shared" si="71"/>
        <v>843.81266873025288</v>
      </c>
      <c r="S105" s="597">
        <f t="shared" si="72"/>
        <v>212.04821853300356</v>
      </c>
      <c r="T105" s="598">
        <f t="shared" si="73"/>
        <v>4891.8315325087806</v>
      </c>
      <c r="U105" s="598">
        <f t="shared" si="74"/>
        <v>18422.543147314493</v>
      </c>
    </row>
    <row r="106" spans="1:21">
      <c r="A106" s="4">
        <f>'Input data'!A127</f>
        <v>2027</v>
      </c>
      <c r="B106" s="4"/>
      <c r="C106" s="891">
        <f>'4A SWD Case 2'!BG96</f>
        <v>574.43516123001757</v>
      </c>
      <c r="D106" s="3">
        <f>'4B Biological treatment '!T159</f>
        <v>0.45186296377889501</v>
      </c>
      <c r="E106" s="1358">
        <f>'4B Biological treatment '!U159</f>
        <v>20.333833370050272</v>
      </c>
      <c r="F106" s="1358">
        <f>'4B Biological treatment '!W159</f>
        <v>1.2200300022030162</v>
      </c>
      <c r="G106" s="1076">
        <f>'4C2 Open-burning '!R132</f>
        <v>21.017106702586425</v>
      </c>
      <c r="H106" s="1076">
        <f>'4C2 Open-burning '!Z132</f>
        <v>7.0716129588680232</v>
      </c>
      <c r="I106" s="1076">
        <f>'4C2 Open-burning '!AH132</f>
        <v>9.8448787942749277E-2</v>
      </c>
      <c r="J106" s="1111">
        <f>'4D Wastewater treatment and dis'!AV169</f>
        <v>191.89752530165873</v>
      </c>
      <c r="K106" s="892">
        <f>'4D Wastewater treatment and dis'!AW169</f>
        <v>3.2292880096339567</v>
      </c>
      <c r="L106" s="893">
        <f t="shared" si="107"/>
        <v>12063.138385830369</v>
      </c>
      <c r="M106" s="894">
        <f t="shared" si="108"/>
        <v>9.4891222393567958</v>
      </c>
      <c r="N106" s="893">
        <f t="shared" si="109"/>
        <v>805.21980145399073</v>
      </c>
      <c r="O106" s="895">
        <f t="shared" si="110"/>
        <v>200.04010310106719</v>
      </c>
      <c r="P106" s="893">
        <f t="shared" si="111"/>
        <v>5030.9273143213595</v>
      </c>
      <c r="Q106" s="598">
        <f t="shared" si="70"/>
        <v>12063.138385830369</v>
      </c>
      <c r="R106" s="600">
        <f t="shared" si="71"/>
        <v>814.70892369334751</v>
      </c>
      <c r="S106" s="597">
        <f t="shared" si="72"/>
        <v>200.04010310106719</v>
      </c>
      <c r="T106" s="598">
        <f t="shared" si="73"/>
        <v>5030.9273143213595</v>
      </c>
      <c r="U106" s="598">
        <f t="shared" si="74"/>
        <v>18108.814726946144</v>
      </c>
    </row>
    <row r="107" spans="1:21">
      <c r="A107" s="4">
        <f>'Input data'!A128</f>
        <v>2028</v>
      </c>
      <c r="B107" s="4"/>
      <c r="C107" s="891">
        <f>'4A SWD Case 2'!BG97</f>
        <v>555.50338508604466</v>
      </c>
      <c r="D107" s="3">
        <f>'4B Biological treatment '!T160</f>
        <v>0.43479463766771442</v>
      </c>
      <c r="E107" s="1358">
        <f>'4B Biological treatment '!U160</f>
        <v>19.565758695047148</v>
      </c>
      <c r="F107" s="1358">
        <f>'4B Biological treatment '!W160</f>
        <v>1.1739455217028287</v>
      </c>
      <c r="G107" s="1076">
        <f>'4C2 Open-burning '!R133</f>
        <v>19.684894825603294</v>
      </c>
      <c r="H107" s="1076">
        <f>'4C2 Open-burning '!Z133</f>
        <v>6.6233644484261731</v>
      </c>
      <c r="I107" s="1076">
        <f>'4C2 Open-burning '!AH133</f>
        <v>9.2208412118051003E-2</v>
      </c>
      <c r="J107" s="1111">
        <f>'4D Wastewater treatment and dis'!AV170</f>
        <v>198.15572617261648</v>
      </c>
      <c r="K107" s="892">
        <f>'4D Wastewater treatment and dis'!AW170</f>
        <v>3.2610534820454951</v>
      </c>
      <c r="L107" s="893">
        <f t="shared" si="107"/>
        <v>11665.571086806938</v>
      </c>
      <c r="M107" s="894">
        <f t="shared" si="108"/>
        <v>9.1306873910220023</v>
      </c>
      <c r="N107" s="893">
        <f t="shared" si="109"/>
        <v>774.80404432386695</v>
      </c>
      <c r="O107" s="895">
        <f t="shared" si="110"/>
        <v>187.36015599914873</v>
      </c>
      <c r="P107" s="893">
        <f t="shared" si="111"/>
        <v>5172.1968290590494</v>
      </c>
      <c r="Q107" s="598">
        <f t="shared" si="70"/>
        <v>11665.571086806938</v>
      </c>
      <c r="R107" s="600">
        <f t="shared" si="71"/>
        <v>783.93473171488893</v>
      </c>
      <c r="S107" s="597">
        <f t="shared" si="72"/>
        <v>187.36015599914873</v>
      </c>
      <c r="T107" s="598">
        <f t="shared" si="73"/>
        <v>5172.1968290590494</v>
      </c>
      <c r="U107" s="598">
        <f t="shared" si="74"/>
        <v>17809.062803580026</v>
      </c>
    </row>
    <row r="108" spans="1:21">
      <c r="A108" s="4">
        <f>'Input data'!A129</f>
        <v>2029</v>
      </c>
      <c r="B108" s="4"/>
      <c r="C108" s="891">
        <f>'4A SWD Case 2'!BG98</f>
        <v>537.17775821693385</v>
      </c>
      <c r="D108" s="3">
        <f>'4B Biological treatment '!T161</f>
        <v>0.41671557931324155</v>
      </c>
      <c r="E108" s="1358">
        <f>'4B Biological treatment '!U161</f>
        <v>18.752201069095864</v>
      </c>
      <c r="F108" s="1358">
        <f>'4B Biological treatment '!W161</f>
        <v>1.1251320641457521</v>
      </c>
      <c r="G108" s="1076">
        <f>'4C2 Open-burning '!R134</f>
        <v>18.279119829363644</v>
      </c>
      <c r="H108" s="1076">
        <f>'4C2 Open-burning '!Z134</f>
        <v>6.1503642005168082</v>
      </c>
      <c r="I108" s="1076">
        <f>'4C2 Open-burning '!AH134</f>
        <v>8.5623450331518108E-2</v>
      </c>
      <c r="J108" s="1111">
        <f>'4D Wastewater treatment and dis'!AV171</f>
        <v>204.52099299756838</v>
      </c>
      <c r="K108" s="892">
        <f>'4D Wastewater treatment and dis'!AW171</f>
        <v>3.2931719041504954</v>
      </c>
      <c r="L108" s="893">
        <f t="shared" si="107"/>
        <v>11280.732922555611</v>
      </c>
      <c r="M108" s="894">
        <f t="shared" si="108"/>
        <v>8.7510271655780727</v>
      </c>
      <c r="N108" s="893">
        <f t="shared" si="109"/>
        <v>742.58716233619634</v>
      </c>
      <c r="O108" s="895">
        <f t="shared" si="110"/>
        <v>173.98003764298724</v>
      </c>
      <c r="P108" s="893">
        <f t="shared" si="111"/>
        <v>5315.8241432355899</v>
      </c>
      <c r="Q108" s="598">
        <f t="shared" si="70"/>
        <v>11280.732922555611</v>
      </c>
      <c r="R108" s="600">
        <f t="shared" si="71"/>
        <v>751.33818950177442</v>
      </c>
      <c r="S108" s="597">
        <f t="shared" si="72"/>
        <v>173.98003764298724</v>
      </c>
      <c r="T108" s="598">
        <f t="shared" si="73"/>
        <v>5315.8241432355899</v>
      </c>
      <c r="U108" s="598">
        <f t="shared" si="74"/>
        <v>17521.875292935962</v>
      </c>
    </row>
    <row r="109" spans="1:21">
      <c r="A109" s="4">
        <f>'Input data'!A130</f>
        <v>2030</v>
      </c>
      <c r="B109" s="4"/>
      <c r="C109" s="891">
        <f>'4A SWD Case 2'!BG99</f>
        <v>519.39256447909634</v>
      </c>
      <c r="D109" s="3">
        <f>'4B Biological treatment '!T162</f>
        <v>0.39757237415626168</v>
      </c>
      <c r="E109" s="1358">
        <f>'4B Biological treatment '!U162</f>
        <v>17.890756837031777</v>
      </c>
      <c r="F109" s="1358">
        <f>'4B Biological treatment '!W162</f>
        <v>1.0734454102219064</v>
      </c>
      <c r="G109" s="1076">
        <f>'4C2 Open-burning '!R135</f>
        <v>16.79562810762155</v>
      </c>
      <c r="H109" s="1076">
        <f>'4C2 Open-burning '!Z135</f>
        <v>5.6512146538023771</v>
      </c>
      <c r="I109" s="1076">
        <f>'4C2 Open-burning '!AH135</f>
        <v>7.8674446170510601E-2</v>
      </c>
      <c r="J109" s="1111">
        <f>'4D Wastewater treatment and dis'!AV172</f>
        <v>210.99154590506851</v>
      </c>
      <c r="K109" s="892">
        <f>'4D Wastewater treatment and dis'!AW172</f>
        <v>3.3255928545641762</v>
      </c>
      <c r="L109" s="893">
        <f t="shared" si="107"/>
        <v>10907.243854061024</v>
      </c>
      <c r="M109" s="894">
        <f t="shared" si="108"/>
        <v>8.3490198572814958</v>
      </c>
      <c r="N109" s="893">
        <f t="shared" si="109"/>
        <v>708.47397074645824</v>
      </c>
      <c r="O109" s="895">
        <f t="shared" si="110"/>
        <v>159.86021415032977</v>
      </c>
      <c r="P109" s="893">
        <f t="shared" si="111"/>
        <v>5461.7562489213324</v>
      </c>
      <c r="Q109" s="598">
        <f t="shared" si="70"/>
        <v>10907.243854061024</v>
      </c>
      <c r="R109" s="600">
        <f t="shared" si="71"/>
        <v>716.82299060373975</v>
      </c>
      <c r="S109" s="597">
        <f t="shared" si="72"/>
        <v>159.86021415032977</v>
      </c>
      <c r="T109" s="598">
        <f t="shared" si="73"/>
        <v>5461.7562489213324</v>
      </c>
      <c r="U109" s="598">
        <f t="shared" si="74"/>
        <v>17245.683307736428</v>
      </c>
    </row>
    <row r="110" spans="1:21">
      <c r="A110" s="4">
        <f>'Input data'!A131</f>
        <v>2031</v>
      </c>
      <c r="B110" s="4"/>
      <c r="C110" s="891">
        <f>'4A SWD Case 2'!BG100</f>
        <v>502.08386352649239</v>
      </c>
      <c r="D110" s="3">
        <f>'4B Biological treatment '!T163</f>
        <v>0.37413494139353964</v>
      </c>
      <c r="E110" s="1358">
        <f>'4B Biological treatment '!U163</f>
        <v>16.836072362709281</v>
      </c>
      <c r="F110" s="1358">
        <f>'4B Biological treatment '!W163</f>
        <v>1.0101643417625565</v>
      </c>
      <c r="G110" s="1076">
        <f>'4C2 Open-burning '!R136</f>
        <v>14.984496004381816</v>
      </c>
      <c r="H110" s="1076">
        <f>'4C2 Open-burning '!Z136</f>
        <v>5.0418241495463452</v>
      </c>
      <c r="I110" s="1076">
        <f>'4C2 Open-burning '!AH136</f>
        <v>7.0190701814480339E-2</v>
      </c>
      <c r="J110" s="1111">
        <f>'4D Wastewater treatment and dis'!AV173</f>
        <v>212.79256841014094</v>
      </c>
      <c r="K110" s="892">
        <f>'4D Wastewater treatment and dis'!AW173</f>
        <v>3.3539800941954407</v>
      </c>
      <c r="L110" s="893">
        <f t="shared" si="107"/>
        <v>10543.76113405634</v>
      </c>
      <c r="M110" s="894">
        <f t="shared" si="108"/>
        <v>7.8568337692643322</v>
      </c>
      <c r="N110" s="893">
        <f t="shared" si="109"/>
        <v>666.70846556328752</v>
      </c>
      <c r="O110" s="895">
        <f t="shared" si="110"/>
        <v>142.62192070734397</v>
      </c>
      <c r="P110" s="893">
        <f t="shared" si="111"/>
        <v>5508.3777658135459</v>
      </c>
      <c r="Q110" s="598">
        <f t="shared" si="70"/>
        <v>10543.76113405634</v>
      </c>
      <c r="R110" s="600">
        <f t="shared" si="71"/>
        <v>674.56529933255183</v>
      </c>
      <c r="S110" s="597">
        <f t="shared" si="72"/>
        <v>142.62192070734397</v>
      </c>
      <c r="T110" s="598">
        <f t="shared" si="73"/>
        <v>5508.3777658135459</v>
      </c>
      <c r="U110" s="598">
        <f t="shared" si="74"/>
        <v>16869.326119909783</v>
      </c>
    </row>
    <row r="111" spans="1:21">
      <c r="A111" s="4">
        <f>'Input data'!A132</f>
        <v>2032</v>
      </c>
      <c r="B111" s="4"/>
      <c r="C111" s="891">
        <f>'4A SWD Case 2'!BG101</f>
        <v>485.05009934383548</v>
      </c>
      <c r="D111" s="3">
        <f>'4B Biological treatment '!T164</f>
        <v>0.35002602050103293</v>
      </c>
      <c r="E111" s="1358">
        <f>'4B Biological treatment '!U164</f>
        <v>15.751170922546478</v>
      </c>
      <c r="F111" s="1358">
        <f>'4B Biological treatment '!W164</f>
        <v>0.94507025535278877</v>
      </c>
      <c r="G111" s="1076">
        <f>'4C2 Open-burning '!R137</f>
        <v>13.141258541311998</v>
      </c>
      <c r="H111" s="1076">
        <f>'4C2 Open-burning '!Z137</f>
        <v>4.4216311746250412</v>
      </c>
      <c r="I111" s="1076">
        <f>'4C2 Open-burning '!AH137</f>
        <v>6.155656883424665E-2</v>
      </c>
      <c r="J111" s="1111">
        <f>'4D Wastewater treatment and dis'!AV174</f>
        <v>214.6095857864839</v>
      </c>
      <c r="K111" s="892">
        <f>'4D Wastewater treatment and dis'!AW174</f>
        <v>3.3826194407506049</v>
      </c>
      <c r="L111" s="893">
        <f t="shared" si="107"/>
        <v>10186.052086220545</v>
      </c>
      <c r="M111" s="894">
        <f t="shared" si="108"/>
        <v>7.3505464305216917</v>
      </c>
      <c r="N111" s="893">
        <f t="shared" si="109"/>
        <v>623.74636853284051</v>
      </c>
      <c r="O111" s="895">
        <f t="shared" si="110"/>
        <v>125.07804954705433</v>
      </c>
      <c r="P111" s="893">
        <f t="shared" si="111"/>
        <v>5555.4133281488503</v>
      </c>
      <c r="Q111" s="598">
        <f t="shared" si="70"/>
        <v>10186.052086220545</v>
      </c>
      <c r="R111" s="600">
        <f t="shared" si="71"/>
        <v>631.09691496336222</v>
      </c>
      <c r="S111" s="597">
        <f t="shared" si="72"/>
        <v>125.07804954705433</v>
      </c>
      <c r="T111" s="598">
        <f t="shared" si="73"/>
        <v>5555.4133281488503</v>
      </c>
      <c r="U111" s="598">
        <f t="shared" si="74"/>
        <v>16497.640378879812</v>
      </c>
    </row>
    <row r="112" spans="1:21">
      <c r="A112" s="4">
        <f>'Input data'!A133</f>
        <v>2033</v>
      </c>
      <c r="B112" s="4"/>
      <c r="C112" s="891">
        <f>'4A SWD Case 2'!BG102</f>
        <v>468.26490384278429</v>
      </c>
      <c r="D112" s="3">
        <f>'4B Biological treatment '!T165</f>
        <v>0.3559092261337502</v>
      </c>
      <c r="E112" s="1358">
        <f>'4B Biological treatment '!U165</f>
        <v>16.015915176018758</v>
      </c>
      <c r="F112" s="1358">
        <f>'4B Biological treatment '!W165</f>
        <v>0.96095491056112547</v>
      </c>
      <c r="G112" s="1076">
        <f>'4C2 Open-burning '!R138</f>
        <v>13.253304092396867</v>
      </c>
      <c r="H112" s="1076">
        <f>'4C2 Open-burning '!Z138</f>
        <v>4.4593310722488066</v>
      </c>
      <c r="I112" s="1076">
        <f>'4C2 Open-burning '!AH138</f>
        <v>6.2081415039520242E-2</v>
      </c>
      <c r="J112" s="1111">
        <f>'4D Wastewater treatment and dis'!AV175</f>
        <v>216.43939905984345</v>
      </c>
      <c r="K112" s="892">
        <f>'4D Wastewater treatment and dis'!AW175</f>
        <v>3.4114604728448907</v>
      </c>
      <c r="L112" s="893">
        <f t="shared" si="107"/>
        <v>9833.5629806984707</v>
      </c>
      <c r="M112" s="894">
        <f t="shared" si="108"/>
        <v>7.4740937488087544</v>
      </c>
      <c r="N112" s="893">
        <f t="shared" si="109"/>
        <v>634.23024097034283</v>
      </c>
      <c r="O112" s="895">
        <f t="shared" si="110"/>
        <v>126.14449527187307</v>
      </c>
      <c r="P112" s="893">
        <f t="shared" si="111"/>
        <v>5602.7801268386283</v>
      </c>
      <c r="Q112" s="598">
        <f t="shared" si="70"/>
        <v>9833.5629806984707</v>
      </c>
      <c r="R112" s="600">
        <f t="shared" si="71"/>
        <v>641.70433471915157</v>
      </c>
      <c r="S112" s="597">
        <f t="shared" si="72"/>
        <v>126.14449527187307</v>
      </c>
      <c r="T112" s="598">
        <f t="shared" si="73"/>
        <v>5602.7801268386283</v>
      </c>
      <c r="U112" s="598">
        <f t="shared" si="74"/>
        <v>16204.191937528125</v>
      </c>
    </row>
    <row r="113" spans="1:21">
      <c r="A113" s="4">
        <f>'Input data'!A134</f>
        <v>2034</v>
      </c>
      <c r="B113" s="4"/>
      <c r="C113" s="891">
        <f>'4A SWD Case 2'!BG103</f>
        <v>452.38864277454701</v>
      </c>
      <c r="D113" s="3">
        <f>'4B Biological treatment '!T166</f>
        <v>0.36210039246980291</v>
      </c>
      <c r="E113" s="1358">
        <f>'4B Biological treatment '!U166</f>
        <v>16.294517661141128</v>
      </c>
      <c r="F113" s="1358">
        <f>'4B Biological treatment '!W166</f>
        <v>0.97767105966846768</v>
      </c>
      <c r="G113" s="1076">
        <f>'4C2 Open-burning '!R139</f>
        <v>13.366524946465139</v>
      </c>
      <c r="H113" s="1076">
        <f>'4C2 Open-burning '!Z139</f>
        <v>4.4974264233441481</v>
      </c>
      <c r="I113" s="1076">
        <f>'4C2 Open-burning '!AH139</f>
        <v>6.2611766624569409E-2</v>
      </c>
      <c r="J113" s="1111">
        <f>'4D Wastewater treatment and dis'!AV176</f>
        <v>218.28840617872763</v>
      </c>
      <c r="K113" s="892">
        <f>'4D Wastewater treatment and dis'!AW176</f>
        <v>3.4406040332478574</v>
      </c>
      <c r="L113" s="893">
        <f t="shared" si="107"/>
        <v>9500.1614982654864</v>
      </c>
      <c r="M113" s="894">
        <f t="shared" si="108"/>
        <v>7.6041082418658608</v>
      </c>
      <c r="N113" s="893">
        <f t="shared" si="109"/>
        <v>645.26289938118862</v>
      </c>
      <c r="O113" s="895">
        <f t="shared" si="110"/>
        <v>127.22212749030876</v>
      </c>
      <c r="P113" s="893">
        <f t="shared" si="111"/>
        <v>5650.6437800601161</v>
      </c>
      <c r="Q113" s="598">
        <f t="shared" si="70"/>
        <v>9500.1614982654864</v>
      </c>
      <c r="R113" s="600">
        <f t="shared" si="71"/>
        <v>652.86700762305452</v>
      </c>
      <c r="S113" s="597">
        <f t="shared" si="72"/>
        <v>127.22212749030876</v>
      </c>
      <c r="T113" s="598">
        <f t="shared" si="73"/>
        <v>5650.6437800601161</v>
      </c>
      <c r="U113" s="598">
        <f t="shared" si="74"/>
        <v>15930.894413438966</v>
      </c>
    </row>
    <row r="114" spans="1:21">
      <c r="A114" s="4">
        <f>'Input data'!A135</f>
        <v>2035</v>
      </c>
      <c r="B114" s="4"/>
      <c r="C114" s="891">
        <f>'4A SWD Case 2'!BG104</f>
        <v>437.38084803131494</v>
      </c>
      <c r="D114" s="3">
        <f>'4B Biological treatment '!T167</f>
        <v>0.36861163221007093</v>
      </c>
      <c r="E114" s="1358">
        <f>'4B Biological treatment '!U167</f>
        <v>16.587523449453187</v>
      </c>
      <c r="F114" s="1358">
        <f>'4B Biological treatment '!W167</f>
        <v>0.99525140696719139</v>
      </c>
      <c r="G114" s="1076">
        <f>'4C2 Open-burning '!R140</f>
        <v>13.480529335855687</v>
      </c>
      <c r="H114" s="1076">
        <f>'4C2 Open-burning '!Z140</f>
        <v>4.535785410087211</v>
      </c>
      <c r="I114" s="1076">
        <f>'4C2 Open-burning '!AH140</f>
        <v>6.3145788462802332E-2</v>
      </c>
      <c r="J114" s="1111">
        <f>'4D Wastewater treatment and dis'!AV177</f>
        <v>220.15020919462836</v>
      </c>
      <c r="K114" s="892">
        <f>'4D Wastewater treatment and dis'!AW177</f>
        <v>3.4699492791899456</v>
      </c>
      <c r="L114" s="893">
        <f t="shared" si="107"/>
        <v>9184.9978086576139</v>
      </c>
      <c r="M114" s="894">
        <f t="shared" si="108"/>
        <v>7.7408442764114893</v>
      </c>
      <c r="N114" s="893">
        <f t="shared" si="109"/>
        <v>656.86592859834627</v>
      </c>
      <c r="O114" s="895">
        <f t="shared" si="110"/>
        <v>128.30721737115584</v>
      </c>
      <c r="P114" s="893">
        <f t="shared" si="111"/>
        <v>5698.8386696360794</v>
      </c>
      <c r="Q114" s="598">
        <f t="shared" si="70"/>
        <v>9184.9978086576139</v>
      </c>
      <c r="R114" s="600">
        <f t="shared" si="71"/>
        <v>664.60677287475778</v>
      </c>
      <c r="S114" s="597">
        <f t="shared" si="72"/>
        <v>128.30721737115584</v>
      </c>
      <c r="T114" s="598">
        <f t="shared" si="73"/>
        <v>5698.8386696360794</v>
      </c>
      <c r="U114" s="598">
        <f t="shared" si="74"/>
        <v>15676.750468539607</v>
      </c>
    </row>
    <row r="115" spans="1:21">
      <c r="A115" s="4">
        <f>'Input data'!A136</f>
        <v>2036</v>
      </c>
      <c r="B115" s="4"/>
      <c r="C115" s="891">
        <f>'4A SWD Case 2'!BG105</f>
        <v>423.20307171407177</v>
      </c>
      <c r="D115" s="3">
        <f>'4B Biological treatment '!T168</f>
        <v>0.37503333085074869</v>
      </c>
      <c r="E115" s="1358">
        <f>'4B Biological treatment '!U168</f>
        <v>16.876499888283689</v>
      </c>
      <c r="F115" s="1358">
        <f>'4B Biological treatment '!W168</f>
        <v>1.0125899932970213</v>
      </c>
      <c r="G115" s="1076">
        <f>'4C2 Open-burning '!R141</f>
        <v>13.579254786461931</v>
      </c>
      <c r="H115" s="1076">
        <f>'4C2 Open-burning '!Z141</f>
        <v>4.5690035016997577</v>
      </c>
      <c r="I115" s="1076">
        <f>'4C2 Open-burning '!AH141</f>
        <v>6.3608240363952476E-2</v>
      </c>
      <c r="J115" s="1111">
        <f>'4D Wastewater treatment and dis'!AV178</f>
        <v>221.76249221870739</v>
      </c>
      <c r="K115" s="892">
        <f>'4D Wastewater treatment and dis'!AW178</f>
        <v>3.4953616571191763</v>
      </c>
      <c r="L115" s="893">
        <f t="shared" si="107"/>
        <v>8887.2645059955066</v>
      </c>
      <c r="M115" s="894">
        <f t="shared" si="108"/>
        <v>7.8756999478657228</v>
      </c>
      <c r="N115" s="893">
        <f t="shared" si="109"/>
        <v>668.30939557603404</v>
      </c>
      <c r="O115" s="895">
        <f t="shared" si="110"/>
        <v>129.2468828349821</v>
      </c>
      <c r="P115" s="893">
        <f t="shared" si="111"/>
        <v>5740.5744502998004</v>
      </c>
      <c r="Q115" s="598">
        <f t="shared" si="70"/>
        <v>8887.2645059955066</v>
      </c>
      <c r="R115" s="600">
        <f t="shared" si="71"/>
        <v>676.1850955238998</v>
      </c>
      <c r="S115" s="597">
        <f t="shared" si="72"/>
        <v>129.2468828349821</v>
      </c>
      <c r="T115" s="598">
        <f t="shared" si="73"/>
        <v>5740.5744502998004</v>
      </c>
      <c r="U115" s="598">
        <f t="shared" si="74"/>
        <v>15433.270934654191</v>
      </c>
    </row>
    <row r="116" spans="1:21">
      <c r="A116" s="4">
        <f>'Input data'!A137</f>
        <v>2037</v>
      </c>
      <c r="B116" s="4"/>
      <c r="C116" s="891">
        <f>'4A SWD Case 2'!BG106</f>
        <v>409.81044797068057</v>
      </c>
      <c r="D116" s="3">
        <f>'4B Biological treatment '!T169</f>
        <v>0.38167371292166585</v>
      </c>
      <c r="E116" s="1358">
        <f>'4B Biological treatment '!U169</f>
        <v>17.175317081474962</v>
      </c>
      <c r="F116" s="1358">
        <f>'4B Biological treatment '!W169</f>
        <v>1.0305190248884977</v>
      </c>
      <c r="G116" s="1076">
        <f>'4C2 Open-burning '!R142</f>
        <v>13.678567888559883</v>
      </c>
      <c r="H116" s="1076">
        <f>'4C2 Open-burning '!Z142</f>
        <v>4.602419320048095</v>
      </c>
      <c r="I116" s="1076">
        <f>'4C2 Open-burning '!AH142</f>
        <v>6.4073444954990427E-2</v>
      </c>
      <c r="J116" s="1111">
        <f>'4D Wastewater treatment and dis'!AV179</f>
        <v>223.38437216554874</v>
      </c>
      <c r="K116" s="892">
        <f>'4D Wastewater treatment and dis'!AW179</f>
        <v>3.5209252992027475</v>
      </c>
      <c r="L116" s="893">
        <f t="shared" si="107"/>
        <v>8606.0194073842922</v>
      </c>
      <c r="M116" s="894">
        <f t="shared" si="108"/>
        <v>8.0151479713549829</v>
      </c>
      <c r="N116" s="893">
        <f t="shared" si="109"/>
        <v>680.14255642640842</v>
      </c>
      <c r="O116" s="895">
        <f t="shared" si="110"/>
        <v>130.19214154561689</v>
      </c>
      <c r="P116" s="893">
        <f t="shared" si="111"/>
        <v>5782.5586582293754</v>
      </c>
      <c r="Q116" s="598">
        <f t="shared" si="70"/>
        <v>8606.0194073842922</v>
      </c>
      <c r="R116" s="600">
        <f t="shared" si="71"/>
        <v>688.15770439776338</v>
      </c>
      <c r="S116" s="597">
        <f t="shared" si="72"/>
        <v>130.19214154561689</v>
      </c>
      <c r="T116" s="598">
        <f t="shared" si="73"/>
        <v>5782.5586582293754</v>
      </c>
      <c r="U116" s="598">
        <f t="shared" si="74"/>
        <v>15206.927911557046</v>
      </c>
    </row>
    <row r="117" spans="1:21">
      <c r="A117" s="4">
        <f>'Input data'!A138</f>
        <v>2038</v>
      </c>
      <c r="B117" s="4"/>
      <c r="C117" s="891">
        <f>'4A SWD Case 2'!BG107</f>
        <v>397.16738670154547</v>
      </c>
      <c r="D117" s="3">
        <f>'4B Biological treatment '!T170</f>
        <v>0.41293253065681423</v>
      </c>
      <c r="E117" s="1358">
        <f>'4B Biological treatment '!U170</f>
        <v>18.581963879556636</v>
      </c>
      <c r="F117" s="1358">
        <f>'4B Biological treatment '!W170</f>
        <v>1.114917832773398</v>
      </c>
      <c r="G117" s="1076">
        <f>'4C2 Open-burning '!R143</f>
        <v>13.778860409810672</v>
      </c>
      <c r="H117" s="1076">
        <f>'4C2 Open-burning '!Z143</f>
        <v>4.636164682956081</v>
      </c>
      <c r="I117" s="1076">
        <f>'4C2 Open-burning '!AH143</f>
        <v>6.4543237362508055E-2</v>
      </c>
      <c r="J117" s="1111">
        <f>'4D Wastewater treatment and dis'!AV180</f>
        <v>225.02224698366075</v>
      </c>
      <c r="K117" s="892">
        <f>'4D Wastewater treatment and dis'!AW180</f>
        <v>3.5467410482102202</v>
      </c>
      <c r="L117" s="893">
        <f t="shared" si="107"/>
        <v>8340.5151207324543</v>
      </c>
      <c r="M117" s="894">
        <f t="shared" si="108"/>
        <v>8.6715831437930984</v>
      </c>
      <c r="N117" s="893">
        <f t="shared" si="109"/>
        <v>735.84576963044265</v>
      </c>
      <c r="O117" s="895">
        <f t="shared" si="110"/>
        <v>131.14672233426586</v>
      </c>
      <c r="P117" s="893">
        <f t="shared" si="111"/>
        <v>5824.9569116020448</v>
      </c>
      <c r="Q117" s="598">
        <f t="shared" si="70"/>
        <v>8340.5151207324543</v>
      </c>
      <c r="R117" s="600">
        <f t="shared" si="71"/>
        <v>744.51735277423575</v>
      </c>
      <c r="S117" s="597">
        <f t="shared" si="72"/>
        <v>131.14672233426586</v>
      </c>
      <c r="T117" s="598">
        <f t="shared" si="73"/>
        <v>5824.9569116020448</v>
      </c>
      <c r="U117" s="598">
        <f t="shared" si="74"/>
        <v>15041.136107443001</v>
      </c>
    </row>
    <row r="118" spans="1:21">
      <c r="A118" s="4">
        <f>'Input data'!A139</f>
        <v>2039</v>
      </c>
      <c r="B118" s="4"/>
      <c r="C118" s="891">
        <f>'4A SWD Case 2'!BG108</f>
        <v>385.51977189269343</v>
      </c>
      <c r="D118" s="3">
        <f>'4B Biological treatment '!T171</f>
        <v>0.49934213027893476</v>
      </c>
      <c r="E118" s="1358">
        <f>'4B Biological treatment '!U171</f>
        <v>22.47039586255206</v>
      </c>
      <c r="F118" s="1358">
        <f>'4B Biological treatment '!W171</f>
        <v>1.3482237517531233</v>
      </c>
      <c r="G118" s="1076">
        <f>'4C2 Open-burning '!R144</f>
        <v>13.879740582553163</v>
      </c>
      <c r="H118" s="1076">
        <f>'4C2 Open-burning '!Z144</f>
        <v>4.670107772599855</v>
      </c>
      <c r="I118" s="1076">
        <f>'4C2 Open-burning '!AH144</f>
        <v>6.5015782459913463E-2</v>
      </c>
      <c r="J118" s="1111">
        <f>'4D Wastewater treatment and dis'!AV181</f>
        <v>226.66971872453522</v>
      </c>
      <c r="K118" s="892">
        <f>'4D Wastewater treatment and dis'!AW181</f>
        <v>3.5727080613720332</v>
      </c>
      <c r="L118" s="893">
        <f t="shared" si="107"/>
        <v>8095.9152097465621</v>
      </c>
      <c r="M118" s="894">
        <f t="shared" si="108"/>
        <v>10.486184735857631</v>
      </c>
      <c r="N118" s="893">
        <f t="shared" si="109"/>
        <v>889.82767615706143</v>
      </c>
      <c r="O118" s="895">
        <f t="shared" si="110"/>
        <v>132.1068963697233</v>
      </c>
      <c r="P118" s="893">
        <f t="shared" si="111"/>
        <v>5867.6035922405699</v>
      </c>
      <c r="Q118" s="598">
        <f t="shared" si="70"/>
        <v>8095.9152097465621</v>
      </c>
      <c r="R118" s="600">
        <f t="shared" si="71"/>
        <v>900.31386089291902</v>
      </c>
      <c r="S118" s="597">
        <f t="shared" si="72"/>
        <v>132.1068963697233</v>
      </c>
      <c r="T118" s="598">
        <f t="shared" si="73"/>
        <v>5867.6035922405699</v>
      </c>
      <c r="U118" s="598">
        <f t="shared" si="74"/>
        <v>14995.939559249775</v>
      </c>
    </row>
    <row r="119" spans="1:21">
      <c r="A119" s="4">
        <f>'Input data'!A140</f>
        <v>2040</v>
      </c>
      <c r="B119" s="4"/>
      <c r="C119" s="891">
        <f>'4A SWD Case 2'!BG109</f>
        <v>375.45134662965307</v>
      </c>
      <c r="D119" s="3">
        <f>'4B Biological treatment '!T172</f>
        <v>0.58720234509825875</v>
      </c>
      <c r="E119" s="1358">
        <f>'4B Biological treatment '!U172</f>
        <v>26.424105529421638</v>
      </c>
      <c r="F119" s="1358">
        <f>'4B Biological treatment '!W172</f>
        <v>1.5854463317652985</v>
      </c>
      <c r="G119" s="1076">
        <f>'4C2 Open-burning '!R145</f>
        <v>13.981208406787365</v>
      </c>
      <c r="H119" s="1076">
        <f>'4C2 Open-burning '!Z145</f>
        <v>4.7042485889794197</v>
      </c>
      <c r="I119" s="1076">
        <f>'4C2 Open-burning '!AH145</f>
        <v>6.5491080247206679E-2</v>
      </c>
      <c r="J119" s="1111">
        <f>'4D Wastewater treatment and dis'!AV182</f>
        <v>228.32678738817191</v>
      </c>
      <c r="K119" s="892">
        <f>'4D Wastewater treatment and dis'!AW182</f>
        <v>3.5988263386881876</v>
      </c>
      <c r="L119" s="893">
        <f t="shared" si="107"/>
        <v>7884.4782792227143</v>
      </c>
      <c r="M119" s="894">
        <f t="shared" si="108"/>
        <v>12.331249247063434</v>
      </c>
      <c r="N119" s="893">
        <f t="shared" si="109"/>
        <v>1046.394578965097</v>
      </c>
      <c r="O119" s="895">
        <f t="shared" si="110"/>
        <v>133.07266365198925</v>
      </c>
      <c r="P119" s="893">
        <f t="shared" si="111"/>
        <v>5910.4987001449481</v>
      </c>
      <c r="Q119" s="598">
        <f t="shared" si="70"/>
        <v>7884.4782792227143</v>
      </c>
      <c r="R119" s="600">
        <f t="shared" si="71"/>
        <v>1058.7258282121604</v>
      </c>
      <c r="S119" s="597">
        <f t="shared" si="72"/>
        <v>133.07266365198925</v>
      </c>
      <c r="T119" s="598">
        <f t="shared" si="73"/>
        <v>5910.4987001449481</v>
      </c>
      <c r="U119" s="598">
        <f t="shared" si="74"/>
        <v>14986.775471231811</v>
      </c>
    </row>
    <row r="120" spans="1:21">
      <c r="A120" s="4">
        <f>'Input data'!A141</f>
        <v>2041</v>
      </c>
      <c r="B120" s="4"/>
      <c r="C120" s="891">
        <f>'4A SWD Case 2'!BG110</f>
        <v>366.9019031369404</v>
      </c>
      <c r="D120" s="3">
        <f>'4B Biological treatment '!T173</f>
        <v>0.64225060717734794</v>
      </c>
      <c r="E120" s="1358">
        <f>'4B Biological treatment '!U173</f>
        <v>28.901277322980651</v>
      </c>
      <c r="F120" s="1358">
        <f>'4B Biological treatment '!W173</f>
        <v>1.7340766393788387</v>
      </c>
      <c r="G120" s="1076">
        <f>'4C2 Open-burning '!R146</f>
        <v>14.068180827559534</v>
      </c>
      <c r="H120" s="1076">
        <f>'4C2 Open-burning '!Z146</f>
        <v>4.7335121458761877</v>
      </c>
      <c r="I120" s="1076">
        <f>'4C2 Open-burning '!AH146</f>
        <v>6.5898478350600864E-2</v>
      </c>
      <c r="J120" s="1111">
        <f>'4D Wastewater treatment and dis'!AV183</f>
        <v>229.7471319570034</v>
      </c>
      <c r="K120" s="892">
        <f>'4D Wastewater treatment and dis'!AW183</f>
        <v>3.6212134335306052</v>
      </c>
      <c r="L120" s="893">
        <f t="shared" si="107"/>
        <v>7704.9399658757484</v>
      </c>
      <c r="M120" s="894">
        <f t="shared" si="108"/>
        <v>13.487262750724307</v>
      </c>
      <c r="N120" s="893">
        <f t="shared" si="109"/>
        <v>1144.4905819900337</v>
      </c>
      <c r="O120" s="895">
        <f t="shared" si="110"/>
        <v>133.90046417964575</v>
      </c>
      <c r="P120" s="893">
        <f t="shared" si="111"/>
        <v>5947.2659354915595</v>
      </c>
      <c r="Q120" s="598">
        <f t="shared" si="70"/>
        <v>7704.9399658757484</v>
      </c>
      <c r="R120" s="600">
        <f t="shared" si="71"/>
        <v>1157.977844740758</v>
      </c>
      <c r="S120" s="597">
        <f t="shared" si="72"/>
        <v>133.90046417964575</v>
      </c>
      <c r="T120" s="598">
        <f t="shared" si="73"/>
        <v>5947.2659354915595</v>
      </c>
      <c r="U120" s="598">
        <f t="shared" si="74"/>
        <v>14944.08421028771</v>
      </c>
    </row>
    <row r="121" spans="1:21">
      <c r="A121" s="4">
        <f>'Input data'!A142</f>
        <v>2042</v>
      </c>
      <c r="B121" s="4"/>
      <c r="C121" s="891">
        <f>'4A SWD Case 2'!BG111</f>
        <v>359.41809542322392</v>
      </c>
      <c r="D121" s="3">
        <f>'4B Biological treatment '!T174</f>
        <v>0.69841499247561789</v>
      </c>
      <c r="E121" s="1358">
        <f>'4B Biological treatment '!U174</f>
        <v>31.428674661402798</v>
      </c>
      <c r="F121" s="1358">
        <f>'4B Biological treatment '!W174</f>
        <v>1.885720479684168</v>
      </c>
      <c r="G121" s="1076">
        <f>'4C2 Open-burning '!R147</f>
        <v>14.155545015992837</v>
      </c>
      <c r="H121" s="1076">
        <f>'4C2 Open-burning '!Z147</f>
        <v>4.7629075205968157</v>
      </c>
      <c r="I121" s="1076">
        <f>'4C2 Open-burning '!AH147</f>
        <v>6.6307711580586903E-2</v>
      </c>
      <c r="J121" s="1111">
        <f>'4D Wastewater treatment and dis'!AV184</f>
        <v>231.17387447434314</v>
      </c>
      <c r="K121" s="892">
        <f>'4D Wastewater treatment and dis'!AW184</f>
        <v>3.643701371142583</v>
      </c>
      <c r="L121" s="893">
        <f t="shared" si="107"/>
        <v>7547.7800038877022</v>
      </c>
      <c r="M121" s="894">
        <f t="shared" si="108"/>
        <v>14.666714841987975</v>
      </c>
      <c r="N121" s="893">
        <f t="shared" si="109"/>
        <v>1244.5755165915507</v>
      </c>
      <c r="O121" s="895">
        <f t="shared" si="110"/>
        <v>134.73199353850791</v>
      </c>
      <c r="P121" s="893">
        <f t="shared" si="111"/>
        <v>5984.1987890154069</v>
      </c>
      <c r="Q121" s="598">
        <f t="shared" si="70"/>
        <v>7547.7800038877022</v>
      </c>
      <c r="R121" s="600">
        <f t="shared" si="71"/>
        <v>1259.2422314335386</v>
      </c>
      <c r="S121" s="597">
        <f t="shared" si="72"/>
        <v>134.73199353850791</v>
      </c>
      <c r="T121" s="598">
        <f t="shared" si="73"/>
        <v>5984.1987890154069</v>
      </c>
      <c r="U121" s="598">
        <f t="shared" si="74"/>
        <v>14925.953017875156</v>
      </c>
    </row>
    <row r="122" spans="1:21">
      <c r="A122" s="4">
        <f>'Input data'!A143</f>
        <v>2043</v>
      </c>
      <c r="B122" s="4"/>
      <c r="C122" s="891">
        <f>'4A SWD Case 2'!BG112</f>
        <v>352.96088584987297</v>
      </c>
      <c r="D122" s="3">
        <f>'4B Biological treatment '!T175</f>
        <v>0.75563045788806193</v>
      </c>
      <c r="E122" s="1358">
        <f>'4B Biological treatment '!U175</f>
        <v>34.003370604962782</v>
      </c>
      <c r="F122" s="1358">
        <f>'4B Biological treatment '!W175</f>
        <v>2.040202236297767</v>
      </c>
      <c r="G122" s="1076">
        <f>'4C2 Open-burning '!R148</f>
        <v>14.243496855917847</v>
      </c>
      <c r="H122" s="1076">
        <f>'4C2 Open-burning '!Z148</f>
        <v>4.7925006220532325</v>
      </c>
      <c r="I122" s="1076">
        <f>'4C2 Open-burning '!AH148</f>
        <v>6.6719697500460751E-2</v>
      </c>
      <c r="J122" s="1111">
        <f>'4D Wastewater treatment and dis'!AV185</f>
        <v>232.61021391444527</v>
      </c>
      <c r="K122" s="892">
        <f>'4D Wastewater treatment and dis'!AW185</f>
        <v>3.6663405729089016</v>
      </c>
      <c r="L122" s="893">
        <f t="shared" si="107"/>
        <v>7412.1786028473325</v>
      </c>
      <c r="M122" s="894">
        <f t="shared" si="108"/>
        <v>15.868239615649301</v>
      </c>
      <c r="N122" s="893">
        <f t="shared" si="109"/>
        <v>1346.5334759565262</v>
      </c>
      <c r="O122" s="895">
        <f t="shared" si="110"/>
        <v>135.56911614417857</v>
      </c>
      <c r="P122" s="893">
        <f t="shared" si="111"/>
        <v>6021.38006980511</v>
      </c>
      <c r="Q122" s="598">
        <f t="shared" si="70"/>
        <v>7412.1786028473325</v>
      </c>
      <c r="R122" s="600">
        <f t="shared" si="71"/>
        <v>1362.4017155721756</v>
      </c>
      <c r="S122" s="597">
        <f t="shared" si="72"/>
        <v>135.56911614417857</v>
      </c>
      <c r="T122" s="598">
        <f t="shared" si="73"/>
        <v>6021.38006980511</v>
      </c>
      <c r="U122" s="598">
        <f t="shared" si="74"/>
        <v>14931.529504368798</v>
      </c>
    </row>
    <row r="123" spans="1:21">
      <c r="A123" s="4">
        <f>'Input data'!A144</f>
        <v>2044</v>
      </c>
      <c r="B123" s="4"/>
      <c r="C123" s="891">
        <f>'4A SWD Case 2'!BG113</f>
        <v>347.49243565982965</v>
      </c>
      <c r="D123" s="3">
        <f>'4B Biological treatment '!T176</f>
        <v>0.81404535383487253</v>
      </c>
      <c r="E123" s="1358">
        <f>'4B Biological treatment '!U176</f>
        <v>36.63204092256926</v>
      </c>
      <c r="F123" s="1358">
        <f>'4B Biological treatment '!W176</f>
        <v>2.1979224553541559</v>
      </c>
      <c r="G123" s="1076">
        <f>'4C2 Open-burning '!R149</f>
        <v>14.331840463503996</v>
      </c>
      <c r="H123" s="1076">
        <f>'4C2 Open-burning '!Z149</f>
        <v>4.8222255413335091</v>
      </c>
      <c r="I123" s="1076">
        <f>'4C2 Open-burning '!AH149</f>
        <v>6.7133518546926479E-2</v>
      </c>
      <c r="J123" s="1111">
        <f>'4D Wastewater treatment and dis'!AV186</f>
        <v>234.05295130305572</v>
      </c>
      <c r="K123" s="892">
        <f>'4D Wastewater treatment and dis'!AW186</f>
        <v>3.6890806174447812</v>
      </c>
      <c r="L123" s="893">
        <f t="shared" si="107"/>
        <v>7297.3411488564225</v>
      </c>
      <c r="M123" s="894">
        <f t="shared" si="108"/>
        <v>17.094952430532324</v>
      </c>
      <c r="N123" s="893">
        <f t="shared" si="109"/>
        <v>1450.6288205337428</v>
      </c>
      <c r="O123" s="895">
        <f t="shared" si="110"/>
        <v>136.4099675810549</v>
      </c>
      <c r="P123" s="893">
        <f t="shared" si="111"/>
        <v>6058.7269687720527</v>
      </c>
      <c r="Q123" s="598">
        <f t="shared" si="70"/>
        <v>7297.3411488564225</v>
      </c>
      <c r="R123" s="600">
        <f t="shared" si="71"/>
        <v>1467.7237729642752</v>
      </c>
      <c r="S123" s="597">
        <f t="shared" si="72"/>
        <v>136.4099675810549</v>
      </c>
      <c r="T123" s="598">
        <f t="shared" si="73"/>
        <v>6058.7269687720527</v>
      </c>
      <c r="U123" s="598">
        <f t="shared" si="74"/>
        <v>14960.201858173807</v>
      </c>
    </row>
    <row r="124" spans="1:21">
      <c r="A124" s="4">
        <f>'Input data'!A145</f>
        <v>2045</v>
      </c>
      <c r="B124" s="4"/>
      <c r="C124" s="891">
        <f>'4A SWD Case 2'!BG114</f>
        <v>342.97840471954498</v>
      </c>
      <c r="D124" s="3">
        <f>'4B Biological treatment '!T177</f>
        <v>0.87429466128630429</v>
      </c>
      <c r="E124" s="1358">
        <f>'4B Biological treatment '!U177</f>
        <v>39.343259757883686</v>
      </c>
      <c r="F124" s="1358">
        <f>'4B Biological treatment '!W177</f>
        <v>2.3605955854730212</v>
      </c>
      <c r="G124" s="1076">
        <f>'4C2 Open-burning '!R150</f>
        <v>14.420967606412411</v>
      </c>
      <c r="H124" s="1076">
        <f>'4C2 Open-burning '!Z150</f>
        <v>4.8522140962615055</v>
      </c>
      <c r="I124" s="1076">
        <f>'4C2 Open-burning '!AH150</f>
        <v>6.7551009846575916E-2</v>
      </c>
      <c r="J124" s="1111">
        <f>'4D Wastewater treatment and dis'!AV187</f>
        <v>235.50848458868253</v>
      </c>
      <c r="K124" s="892">
        <f>'4D Wastewater treatment and dis'!AW187</f>
        <v>3.7120223475197802</v>
      </c>
      <c r="L124" s="893">
        <f t="shared" si="107"/>
        <v>7202.5464991104445</v>
      </c>
      <c r="M124" s="894">
        <f t="shared" si="108"/>
        <v>18.36018788701239</v>
      </c>
      <c r="N124" s="893">
        <f t="shared" si="109"/>
        <v>1557.9930864121941</v>
      </c>
      <c r="O124" s="895">
        <f t="shared" si="110"/>
        <v>137.25827668034256</v>
      </c>
      <c r="P124" s="893">
        <f t="shared" si="111"/>
        <v>6096.4051040934646</v>
      </c>
      <c r="Q124" s="598">
        <f t="shared" si="70"/>
        <v>7202.5464991104445</v>
      </c>
      <c r="R124" s="600">
        <f t="shared" si="71"/>
        <v>1576.3532742992065</v>
      </c>
      <c r="S124" s="597">
        <f t="shared" si="72"/>
        <v>137.25827668034256</v>
      </c>
      <c r="T124" s="598">
        <f t="shared" si="73"/>
        <v>6096.4051040934646</v>
      </c>
      <c r="U124" s="598">
        <f t="shared" si="74"/>
        <v>15012.563154183459</v>
      </c>
    </row>
    <row r="125" spans="1:21">
      <c r="A125" s="4">
        <f>'Input data'!A146</f>
        <v>2046</v>
      </c>
      <c r="B125" s="4"/>
      <c r="C125" s="891">
        <f>'4A SWD Case 2'!BG115</f>
        <v>339.39349013305849</v>
      </c>
      <c r="D125" s="3">
        <f>'4B Biological treatment '!T178</f>
        <v>0.93584897481744633</v>
      </c>
      <c r="E125" s="1358">
        <f>'4B Biological treatment '!U178</f>
        <v>42.113203866785078</v>
      </c>
      <c r="F125" s="1358">
        <f>'4B Biological treatment '!W178</f>
        <v>2.5267922320071046</v>
      </c>
      <c r="G125" s="1076">
        <f>'4C2 Open-burning '!R151</f>
        <v>14.494424042875391</v>
      </c>
      <c r="H125" s="1076">
        <f>'4C2 Open-burning '!Z151</f>
        <v>4.8769299382351265</v>
      </c>
      <c r="I125" s="1076">
        <f>'4C2 Open-burning '!AH151</f>
        <v>6.7895096082550732E-2</v>
      </c>
      <c r="J125" s="1111">
        <f>'4D Wastewater treatment and dis'!AV188</f>
        <v>236.70809993397941</v>
      </c>
      <c r="K125" s="892">
        <f>'4D Wastewater treatment and dis'!AW188</f>
        <v>3.7309303668123635</v>
      </c>
      <c r="L125" s="893">
        <f t="shared" si="107"/>
        <v>7127.2632927942286</v>
      </c>
      <c r="M125" s="894">
        <f t="shared" si="108"/>
        <v>19.652828471166373</v>
      </c>
      <c r="N125" s="893">
        <f t="shared" si="109"/>
        <v>1667.6828731246892</v>
      </c>
      <c r="O125" s="895">
        <f t="shared" si="110"/>
        <v>137.95743253140378</v>
      </c>
      <c r="P125" s="893">
        <f t="shared" si="111"/>
        <v>6127.4585123254001</v>
      </c>
      <c r="Q125" s="598">
        <f t="shared" si="70"/>
        <v>7127.2632927942286</v>
      </c>
      <c r="R125" s="600">
        <f t="shared" si="71"/>
        <v>1687.3357015958557</v>
      </c>
      <c r="S125" s="597">
        <f t="shared" si="72"/>
        <v>137.95743253140378</v>
      </c>
      <c r="T125" s="598">
        <f t="shared" si="73"/>
        <v>6127.4585123254001</v>
      </c>
      <c r="U125" s="598">
        <f t="shared" si="74"/>
        <v>15080.014939246888</v>
      </c>
    </row>
    <row r="126" spans="1:21">
      <c r="A126" s="4">
        <f>'Input data'!A147</f>
        <v>2047</v>
      </c>
      <c r="B126" s="4"/>
      <c r="C126" s="891">
        <f>'4A SWD Case 2'!BG116</f>
        <v>336.70387046077281</v>
      </c>
      <c r="D126" s="3">
        <f>'4B Biological treatment '!T179</f>
        <v>0.99897461414534527</v>
      </c>
      <c r="E126" s="1358">
        <f>'4B Biological treatment '!U179</f>
        <v>44.953857636540526</v>
      </c>
      <c r="F126" s="1358">
        <f>'4B Biological treatment '!W179</f>
        <v>2.6972314581924315</v>
      </c>
      <c r="G126" s="1076">
        <f>'4C2 Open-burning '!R152</f>
        <v>14.568468130830077</v>
      </c>
      <c r="H126" s="1076">
        <f>'4C2 Open-burning '!Z152</f>
        <v>4.9018435069445374</v>
      </c>
      <c r="I126" s="1076">
        <f>'4C2 Open-burning '!AH152</f>
        <v>6.8241935008413357E-2</v>
      </c>
      <c r="J126" s="1111">
        <f>'4D Wastewater treatment and dis'!AV189</f>
        <v>237.91731220203872</v>
      </c>
      <c r="K126" s="892">
        <f>'4D Wastewater treatment and dis'!AW189</f>
        <v>3.7499896502592862</v>
      </c>
      <c r="L126" s="893">
        <f t="shared" si="107"/>
        <v>7070.7812796762291</v>
      </c>
      <c r="M126" s="894">
        <f t="shared" si="108"/>
        <v>20.97846689705225</v>
      </c>
      <c r="N126" s="893">
        <f t="shared" si="109"/>
        <v>1780.1727624070049</v>
      </c>
      <c r="O126" s="895">
        <f t="shared" si="110"/>
        <v>138.6621816292735</v>
      </c>
      <c r="P126" s="893">
        <f t="shared" si="111"/>
        <v>6158.7603478231922</v>
      </c>
      <c r="Q126" s="598">
        <f t="shared" ref="Q126:Q129" si="112">L126</f>
        <v>7070.7812796762291</v>
      </c>
      <c r="R126" s="600">
        <f t="shared" ref="R126:R129" si="113">M126+N126</f>
        <v>1801.1512293040571</v>
      </c>
      <c r="S126" s="597">
        <f t="shared" ref="S126:S129" si="114">O126</f>
        <v>138.6621816292735</v>
      </c>
      <c r="T126" s="598">
        <f t="shared" ref="T126:T129" si="115">P126</f>
        <v>6158.7603478231922</v>
      </c>
      <c r="U126" s="598">
        <f t="shared" ref="U126:U129" si="116">SUM(Q126:T126)</f>
        <v>15169.355038432752</v>
      </c>
    </row>
    <row r="127" spans="1:21">
      <c r="A127" s="4">
        <f>'Input data'!A148</f>
        <v>2048</v>
      </c>
      <c r="B127" s="4"/>
      <c r="C127" s="891">
        <f>'4A SWD Case 2'!BG117</f>
        <v>334.88407002154122</v>
      </c>
      <c r="D127" s="3">
        <f>'4B Biological treatment '!T180</f>
        <v>1.0625006138415516</v>
      </c>
      <c r="E127" s="1358">
        <f>'4B Biological treatment '!U180</f>
        <v>47.812527622869816</v>
      </c>
      <c r="F127" s="1358">
        <f>'4B Biological treatment '!W180</f>
        <v>2.8687516573721892</v>
      </c>
      <c r="G127" s="1076">
        <f>'4C2 Open-burning '!R153</f>
        <v>14.642903986445896</v>
      </c>
      <c r="H127" s="1076">
        <f>'4C2 Open-burning '!Z153</f>
        <v>4.9268888934778072</v>
      </c>
      <c r="I127" s="1076">
        <f>'4C2 Open-burning '!AH153</f>
        <v>6.8590609060867822E-2</v>
      </c>
      <c r="J127" s="1111">
        <f>'4D Wastewater treatment and dis'!AV190</f>
        <v>239.13292241860617</v>
      </c>
      <c r="K127" s="892">
        <f>'4D Wastewater treatment and dis'!AW190</f>
        <v>3.76914977647577</v>
      </c>
      <c r="L127" s="893">
        <f t="shared" si="107"/>
        <v>7032.5654704523658</v>
      </c>
      <c r="M127" s="894">
        <f t="shared" si="108"/>
        <v>22.312512890672583</v>
      </c>
      <c r="N127" s="893">
        <f t="shared" si="109"/>
        <v>1893.3760938656446</v>
      </c>
      <c r="O127" s="895">
        <f t="shared" si="110"/>
        <v>139.37065955834888</v>
      </c>
      <c r="P127" s="893">
        <f t="shared" si="111"/>
        <v>6190.2278014982176</v>
      </c>
      <c r="Q127" s="598">
        <f t="shared" si="112"/>
        <v>7032.5654704523658</v>
      </c>
      <c r="R127" s="600">
        <f t="shared" si="113"/>
        <v>1915.6886067563173</v>
      </c>
      <c r="S127" s="597">
        <f t="shared" si="114"/>
        <v>139.37065955834888</v>
      </c>
      <c r="T127" s="598">
        <f t="shared" si="115"/>
        <v>6190.2278014982176</v>
      </c>
      <c r="U127" s="598">
        <f t="shared" si="116"/>
        <v>15277.852538265248</v>
      </c>
    </row>
    <row r="128" spans="1:21">
      <c r="A128" s="4">
        <f>'Input data'!A149</f>
        <v>2049</v>
      </c>
      <c r="B128" s="4"/>
      <c r="C128" s="891">
        <f>'4A SWD Case 2'!BG118</f>
        <v>333.89638782607767</v>
      </c>
      <c r="D128" s="3">
        <f>'4B Biological treatment '!T181</f>
        <v>1.1277399265895545</v>
      </c>
      <c r="E128" s="1358">
        <f>'4B Biological treatment '!U181</f>
        <v>50.748296696529941</v>
      </c>
      <c r="F128" s="1358">
        <f>'4B Biological treatment '!W181</f>
        <v>3.0448978017917963</v>
      </c>
      <c r="G128" s="1076">
        <f>'4C2 Open-burning '!R154</f>
        <v>14.717535725892283</v>
      </c>
      <c r="H128" s="1076">
        <f>'4C2 Open-burning '!Z154</f>
        <v>4.9520001889230079</v>
      </c>
      <c r="I128" s="1076">
        <f>'4C2 Open-burning '!AH154</f>
        <v>6.8940200676618241E-2</v>
      </c>
      <c r="J128" s="1111">
        <f>'4D Wastewater treatment and dis'!AV191</f>
        <v>240.35173160942776</v>
      </c>
      <c r="K128" s="892">
        <f>'4D Wastewater treatment and dis'!AW191</f>
        <v>3.7883603240770336</v>
      </c>
      <c r="L128" s="893">
        <f t="shared" si="107"/>
        <v>7011.8241443476309</v>
      </c>
      <c r="M128" s="894">
        <f t="shared" si="108"/>
        <v>23.682538458380645</v>
      </c>
      <c r="N128" s="893">
        <f t="shared" si="109"/>
        <v>2009.6325491825855</v>
      </c>
      <c r="O128" s="895">
        <f t="shared" si="110"/>
        <v>140.0810019030271</v>
      </c>
      <c r="P128" s="893">
        <f t="shared" si="111"/>
        <v>6221.7780642618636</v>
      </c>
      <c r="Q128" s="598">
        <f t="shared" si="112"/>
        <v>7011.8241443476309</v>
      </c>
      <c r="R128" s="600">
        <f t="shared" si="113"/>
        <v>2033.3150876409661</v>
      </c>
      <c r="S128" s="597">
        <f t="shared" si="114"/>
        <v>140.0810019030271</v>
      </c>
      <c r="T128" s="598">
        <f t="shared" si="115"/>
        <v>6221.7780642618636</v>
      </c>
      <c r="U128" s="598">
        <f t="shared" si="116"/>
        <v>15406.998298153487</v>
      </c>
    </row>
    <row r="129" spans="1:21">
      <c r="A129" s="4">
        <f>'Input data'!A150</f>
        <v>2050</v>
      </c>
      <c r="B129" s="4"/>
      <c r="C129" s="891">
        <f>'4A SWD Case 2'!BG119</f>
        <v>333.71996321289316</v>
      </c>
      <c r="D129" s="3">
        <f>'4B Biological treatment '!T182</f>
        <v>1.1948344900656584</v>
      </c>
      <c r="E129" s="1358">
        <f>'4B Biological treatment '!U182</f>
        <v>53.767552052954635</v>
      </c>
      <c r="F129" s="1358">
        <f>'4B Biological treatment '!W182</f>
        <v>3.2260531231772775</v>
      </c>
      <c r="G129" s="1076">
        <f>'4C2 Open-burning '!R155</f>
        <v>14.792755116830378</v>
      </c>
      <c r="H129" s="1076">
        <f>'4C2 Open-burning '!Z155</f>
        <v>4.9773092111039965</v>
      </c>
      <c r="I129" s="1076">
        <f>'4C2 Open-burning '!AH155</f>
        <v>6.9292544982256454E-2</v>
      </c>
      <c r="J129" s="1111">
        <f>'4D Wastewater treatment and dis'!AV192</f>
        <v>241.58013772301177</v>
      </c>
      <c r="K129" s="892">
        <f>'4D Wastewater treatment and dis'!AW192</f>
        <v>3.8077221358326381</v>
      </c>
      <c r="L129" s="893">
        <f t="shared" si="107"/>
        <v>7008.1192274707564</v>
      </c>
      <c r="M129" s="894">
        <f t="shared" si="108"/>
        <v>25.091524291378828</v>
      </c>
      <c r="N129" s="893">
        <f t="shared" si="109"/>
        <v>2129.1950612970036</v>
      </c>
      <c r="O129" s="895">
        <f t="shared" si="110"/>
        <v>140.7969374945138</v>
      </c>
      <c r="P129" s="893">
        <f t="shared" si="111"/>
        <v>6253.5767542913654</v>
      </c>
      <c r="Q129" s="538">
        <f t="shared" si="112"/>
        <v>7008.1192274707564</v>
      </c>
      <c r="R129" s="596">
        <f t="shared" si="113"/>
        <v>2154.2865855883824</v>
      </c>
      <c r="S129" s="593">
        <f t="shared" si="114"/>
        <v>140.7969374945138</v>
      </c>
      <c r="T129" s="538">
        <f t="shared" si="115"/>
        <v>6253.5767542913654</v>
      </c>
      <c r="U129" s="538">
        <f t="shared" si="116"/>
        <v>15556.779504845017</v>
      </c>
    </row>
    <row r="130" spans="1:21">
      <c r="A130" s="479" t="s">
        <v>756</v>
      </c>
      <c r="B130" s="479"/>
      <c r="C130" s="538"/>
      <c r="D130" s="3"/>
      <c r="E130" s="539"/>
      <c r="F130" s="539"/>
      <c r="G130" s="1076"/>
      <c r="H130" s="1076"/>
      <c r="I130" s="1076"/>
      <c r="J130" s="1110"/>
      <c r="K130" s="594"/>
      <c r="L130" s="538"/>
      <c r="M130" s="3"/>
      <c r="N130" s="538"/>
      <c r="O130" s="593"/>
      <c r="P130" s="538"/>
      <c r="Q130" s="538"/>
      <c r="R130" s="596"/>
      <c r="S130" s="593"/>
      <c r="T130" s="538"/>
      <c r="U130" s="538"/>
    </row>
    <row r="131" spans="1:21">
      <c r="A131" s="4">
        <f>'Input data'!A118</f>
        <v>2018</v>
      </c>
      <c r="B131" s="4"/>
      <c r="C131" s="891">
        <f>'4A SWD Case 2'!BN87</f>
        <v>718.72894597883851</v>
      </c>
      <c r="D131" s="3">
        <f>'4B Biological treatment '!T184</f>
        <v>0.65652746532742168</v>
      </c>
      <c r="E131" s="1358">
        <f>'4B Biological treatment '!U184</f>
        <v>35.337487372665677</v>
      </c>
      <c r="F131" s="1358">
        <f>'4B Biological treatment '!W184</f>
        <v>2.1202492423599404</v>
      </c>
      <c r="G131" s="1076">
        <f>'4C2 Open-burning '!R123</f>
        <v>33.464406201319058</v>
      </c>
      <c r="H131" s="1076">
        <f>'4C2 Open-burning '!Z123</f>
        <v>11.259748161479752</v>
      </c>
      <c r="I131" s="1076">
        <f>'4C2 Open-burning '!AH123</f>
        <v>0.15675469874919792</v>
      </c>
      <c r="J131" s="1111">
        <f>'4D Wastewater treatment and dis'!AV160</f>
        <v>137.16052018288545</v>
      </c>
      <c r="K131" s="892">
        <f>'4D Wastewater treatment and dis'!AW160</f>
        <v>2.8960026562367029</v>
      </c>
      <c r="L131" s="893">
        <f t="shared" ref="L131:L163" si="117">C131*$B$3</f>
        <v>15093.307865555609</v>
      </c>
      <c r="M131" s="894">
        <f t="shared" ref="M131:M163" si="118">D131*$B$3</f>
        <v>13.787076771875855</v>
      </c>
      <c r="N131" s="893">
        <f t="shared" ref="N131:N163" si="119">E131*$B$3+F131*$C$3</f>
        <v>1399.3644999575608</v>
      </c>
      <c r="O131" s="895">
        <f t="shared" ref="O131:O163" si="120">G131+H131*$B$3+I131*$C$3</f>
        <v>318.51307420464519</v>
      </c>
      <c r="P131" s="893">
        <f t="shared" ref="P131:P163" si="121">J131*$B$3+K131*$C$3</f>
        <v>3778.1317472739725</v>
      </c>
      <c r="Q131" s="538">
        <f t="shared" ref="Q131:Q163" si="122">L131</f>
        <v>15093.307865555609</v>
      </c>
      <c r="R131" s="596">
        <f t="shared" ref="R131:R163" si="123">M131+N131</f>
        <v>1413.1515767294368</v>
      </c>
      <c r="S131" s="593">
        <f t="shared" ref="S131:S163" si="124">O131</f>
        <v>318.51307420464519</v>
      </c>
      <c r="T131" s="538">
        <f t="shared" ref="T131:T163" si="125">P131</f>
        <v>3778.1317472739725</v>
      </c>
      <c r="U131" s="538">
        <f t="shared" ref="U131:U163" si="126">SUM(Q131:T131)</f>
        <v>20603.104263763664</v>
      </c>
    </row>
    <row r="132" spans="1:21">
      <c r="A132" s="4">
        <f>'Input data'!A119</f>
        <v>2019</v>
      </c>
      <c r="B132" s="4"/>
      <c r="C132" s="891">
        <f>'4A SWD Case 2'!BN88</f>
        <v>715.92989617669491</v>
      </c>
      <c r="D132" s="3">
        <f>'4B Biological treatment '!T185</f>
        <v>0.70619185929453532</v>
      </c>
      <c r="E132" s="1358">
        <f>'4B Biological treatment '!U185</f>
        <v>36.483674686022503</v>
      </c>
      <c r="F132" s="1358">
        <f>'4B Biological treatment '!W185</f>
        <v>2.1890204811613501</v>
      </c>
      <c r="G132" s="1076">
        <f>'4C2 Open-burning '!R124</f>
        <v>33.456747505326334</v>
      </c>
      <c r="H132" s="1076">
        <f>'4C2 Open-burning '!Z124</f>
        <v>11.257171244752035</v>
      </c>
      <c r="I132" s="1076">
        <f>'4C2 Open-burning '!AH124</f>
        <v>0.15671882371899637</v>
      </c>
      <c r="J132" s="1111">
        <f>'4D Wastewater treatment and dis'!AV161</f>
        <v>143.32311856444659</v>
      </c>
      <c r="K132" s="892">
        <f>'4D Wastewater treatment and dis'!AW161</f>
        <v>2.9428441226975277</v>
      </c>
      <c r="L132" s="893">
        <f t="shared" si="117"/>
        <v>15034.527819710593</v>
      </c>
      <c r="M132" s="894">
        <f t="shared" si="118"/>
        <v>14.830029045185242</v>
      </c>
      <c r="N132" s="893">
        <f t="shared" si="119"/>
        <v>1444.7535175664912</v>
      </c>
      <c r="O132" s="895">
        <f t="shared" si="120"/>
        <v>318.44017899800792</v>
      </c>
      <c r="P132" s="893">
        <f t="shared" si="121"/>
        <v>3922.0671678896119</v>
      </c>
      <c r="Q132" s="598">
        <f t="shared" si="122"/>
        <v>15034.527819710593</v>
      </c>
      <c r="R132" s="600">
        <f t="shared" si="123"/>
        <v>1459.5835466116764</v>
      </c>
      <c r="S132" s="597">
        <f t="shared" si="124"/>
        <v>318.44017899800792</v>
      </c>
      <c r="T132" s="598">
        <f t="shared" si="125"/>
        <v>3922.0671678896119</v>
      </c>
      <c r="U132" s="598">
        <f t="shared" si="126"/>
        <v>20734.618713209886</v>
      </c>
    </row>
    <row r="133" spans="1:21">
      <c r="A133" s="4">
        <f>'Input data'!A120</f>
        <v>2020</v>
      </c>
      <c r="B133" s="4"/>
      <c r="C133" s="891">
        <f>'4A SWD Case 2'!BN89</f>
        <v>711.13442176010506</v>
      </c>
      <c r="D133" s="3">
        <f>'4B Biological treatment '!T186</f>
        <v>0.66958124530566054</v>
      </c>
      <c r="E133" s="1358">
        <f>'4B Biological treatment '!U186</f>
        <v>33.722847723754199</v>
      </c>
      <c r="F133" s="1358">
        <f>'4B Biological treatment '!W186</f>
        <v>2.0233708634252516</v>
      </c>
      <c r="G133" s="1076">
        <f>'4C2 Open-burning '!R125</f>
        <v>33.216619550945921</v>
      </c>
      <c r="H133" s="1076">
        <f>'4C2 Open-burning '!Z125</f>
        <v>11.176375539709817</v>
      </c>
      <c r="I133" s="1076">
        <f>'4C2 Open-burning '!AH125</f>
        <v>0.15559401113682425</v>
      </c>
      <c r="J133" s="1111">
        <f>'4D Wastewater treatment and dis'!AV162</f>
        <v>149.6491219215433</v>
      </c>
      <c r="K133" s="892">
        <f>'4D Wastewater treatment and dis'!AW162</f>
        <v>2.9904419099300554</v>
      </c>
      <c r="L133" s="893">
        <f t="shared" si="117"/>
        <v>14933.822856962206</v>
      </c>
      <c r="M133" s="894">
        <f t="shared" si="118"/>
        <v>14.061206151418871</v>
      </c>
      <c r="N133" s="893">
        <f t="shared" si="119"/>
        <v>1335.4247698606662</v>
      </c>
      <c r="O133" s="895">
        <f t="shared" si="120"/>
        <v>316.15464933726764</v>
      </c>
      <c r="P133" s="893">
        <f t="shared" si="121"/>
        <v>4069.6685524307268</v>
      </c>
      <c r="Q133" s="598">
        <f t="shared" si="122"/>
        <v>14933.822856962206</v>
      </c>
      <c r="R133" s="600">
        <f t="shared" si="123"/>
        <v>1349.4859760120851</v>
      </c>
      <c r="S133" s="597">
        <f t="shared" si="124"/>
        <v>316.15464933726764</v>
      </c>
      <c r="T133" s="598">
        <f t="shared" si="125"/>
        <v>4069.6685524307268</v>
      </c>
      <c r="U133" s="598">
        <f t="shared" si="126"/>
        <v>20669.132034742288</v>
      </c>
    </row>
    <row r="134" spans="1:21">
      <c r="A134" s="4">
        <f>'Input data'!A121</f>
        <v>2021</v>
      </c>
      <c r="B134" s="4"/>
      <c r="C134" s="891">
        <f>'4A SWD Case 2'!BN90</f>
        <v>698.81498648646436</v>
      </c>
      <c r="D134" s="3">
        <f>'4B Biological treatment '!T187</f>
        <v>0.59965982681188623</v>
      </c>
      <c r="E134" s="1358">
        <f>'4B Biological treatment '!U187</f>
        <v>29.121784447753129</v>
      </c>
      <c r="F134" s="1358">
        <f>'4B Biological treatment '!W187</f>
        <v>1.7473070668651878</v>
      </c>
      <c r="G134" s="1076">
        <f>'4C2 Open-burning '!R126</f>
        <v>31.225627400260244</v>
      </c>
      <c r="H134" s="1076">
        <f>'4C2 Open-burning '!Z126</f>
        <v>10.506467635970589</v>
      </c>
      <c r="I134" s="1076">
        <f>'4C2 Open-burning '!AH126</f>
        <v>0.14626776243797687</v>
      </c>
      <c r="J134" s="1111">
        <f>'4D Wastewater treatment and dis'!AV163</f>
        <v>155.4265138839244</v>
      </c>
      <c r="K134" s="892">
        <f>'4D Wastewater treatment and dis'!AW163</f>
        <v>3.024879715734945</v>
      </c>
      <c r="L134" s="893">
        <f t="shared" si="117"/>
        <v>14675.114716215752</v>
      </c>
      <c r="M134" s="894">
        <f t="shared" si="118"/>
        <v>12.592856363049611</v>
      </c>
      <c r="N134" s="893">
        <f t="shared" si="119"/>
        <v>1153.222664131024</v>
      </c>
      <c r="O134" s="895">
        <f t="shared" si="120"/>
        <v>297.20445411141543</v>
      </c>
      <c r="P134" s="893">
        <f t="shared" si="121"/>
        <v>4201.6695034402455</v>
      </c>
      <c r="Q134" s="598">
        <f t="shared" si="122"/>
        <v>14675.114716215752</v>
      </c>
      <c r="R134" s="600">
        <f t="shared" si="123"/>
        <v>1165.8155204940736</v>
      </c>
      <c r="S134" s="597">
        <f t="shared" si="124"/>
        <v>297.20445411141543</v>
      </c>
      <c r="T134" s="598">
        <f t="shared" si="125"/>
        <v>4201.6695034402455</v>
      </c>
      <c r="U134" s="598">
        <f t="shared" si="126"/>
        <v>20339.804194261487</v>
      </c>
    </row>
    <row r="135" spans="1:21">
      <c r="A135" s="4">
        <f>'Input data'!A122</f>
        <v>2022</v>
      </c>
      <c r="B135" s="4"/>
      <c r="C135" s="891">
        <f>'4A SWD Case 2'!BN91</f>
        <v>678.14393675177223</v>
      </c>
      <c r="D135" s="3">
        <f>'4B Biological treatment '!T188</f>
        <v>0.52236166147580509</v>
      </c>
      <c r="E135" s="1358">
        <f>'4B Biological treatment '!U188</f>
        <v>23.506274766411227</v>
      </c>
      <c r="F135" s="1358">
        <f>'4B Biological treatment '!W188</f>
        <v>1.4103764859846737</v>
      </c>
      <c r="G135" s="1076">
        <f>'4C2 Open-burning '!R127</f>
        <v>26.557065695121505</v>
      </c>
      <c r="H135" s="1076">
        <f>'4C2 Open-burning '!Z127</f>
        <v>8.9356395519474283</v>
      </c>
      <c r="I135" s="1076">
        <f>'4C2 Open-burning '!AH127</f>
        <v>0.12439918424541899</v>
      </c>
      <c r="J135" s="1111">
        <f>'4D Wastewater treatment and dis'!AV164</f>
        <v>161.31482365077883</v>
      </c>
      <c r="K135" s="892">
        <f>'4D Wastewater treatment and dis'!AW164</f>
        <v>3.0596704712332969</v>
      </c>
      <c r="L135" s="893">
        <f t="shared" si="117"/>
        <v>14241.022671787217</v>
      </c>
      <c r="M135" s="894">
        <f t="shared" si="118"/>
        <v>10.969594890991907</v>
      </c>
      <c r="N135" s="893">
        <f t="shared" si="119"/>
        <v>930.84848074988463</v>
      </c>
      <c r="O135" s="895">
        <f t="shared" si="120"/>
        <v>252.7692434020974</v>
      </c>
      <c r="P135" s="893">
        <f t="shared" si="121"/>
        <v>4336.1091427486772</v>
      </c>
      <c r="Q135" s="598">
        <f t="shared" si="122"/>
        <v>14241.022671787217</v>
      </c>
      <c r="R135" s="600">
        <f t="shared" si="123"/>
        <v>941.81807564087649</v>
      </c>
      <c r="S135" s="597">
        <f t="shared" si="124"/>
        <v>252.7692434020974</v>
      </c>
      <c r="T135" s="598">
        <f t="shared" si="125"/>
        <v>4336.1091427486772</v>
      </c>
      <c r="U135" s="598">
        <f t="shared" si="126"/>
        <v>19771.719133578867</v>
      </c>
    </row>
    <row r="136" spans="1:21">
      <c r="A136" s="4">
        <f>'Input data'!A123</f>
        <v>2023</v>
      </c>
      <c r="B136" s="4"/>
      <c r="C136" s="891">
        <f>'4A SWD Case 2'!BN92</f>
        <v>655.20453777887269</v>
      </c>
      <c r="D136" s="3">
        <f>'4B Biological treatment '!T189</f>
        <v>0.51024057084290086</v>
      </c>
      <c r="E136" s="1358">
        <f>'4B Biological treatment '!U189</f>
        <v>22.960825687930537</v>
      </c>
      <c r="F136" s="1358">
        <f>'4B Biological treatment '!W189</f>
        <v>1.3776495412758321</v>
      </c>
      <c r="G136" s="1076">
        <f>'4C2 Open-burning '!R128</f>
        <v>25.591310984719968</v>
      </c>
      <c r="H136" s="1076">
        <f>'4C2 Open-burning '!Z128</f>
        <v>8.6106926588375945</v>
      </c>
      <c r="I136" s="1076">
        <f>'4C2 Open-burning '!AH128</f>
        <v>0.11987537504396825</v>
      </c>
      <c r="J136" s="1111">
        <f>'4D Wastewater treatment and dis'!AV165</f>
        <v>167.32092220488411</v>
      </c>
      <c r="K136" s="892">
        <f>'4D Wastewater treatment and dis'!AW165</f>
        <v>3.0949150191946715</v>
      </c>
      <c r="L136" s="893">
        <f t="shared" si="117"/>
        <v>13759.295293356327</v>
      </c>
      <c r="M136" s="894">
        <f t="shared" si="118"/>
        <v>10.715051987700917</v>
      </c>
      <c r="N136" s="893">
        <f t="shared" si="119"/>
        <v>909.24869724204927</v>
      </c>
      <c r="O136" s="895">
        <f t="shared" si="120"/>
        <v>243.5772230839396</v>
      </c>
      <c r="P136" s="893">
        <f t="shared" si="121"/>
        <v>4473.1630222529147</v>
      </c>
      <c r="Q136" s="598">
        <f t="shared" si="122"/>
        <v>13759.295293356327</v>
      </c>
      <c r="R136" s="600">
        <f t="shared" si="123"/>
        <v>919.96374922975019</v>
      </c>
      <c r="S136" s="597">
        <f t="shared" si="124"/>
        <v>243.5772230839396</v>
      </c>
      <c r="T136" s="598">
        <f t="shared" si="125"/>
        <v>4473.1630222529147</v>
      </c>
      <c r="U136" s="598">
        <f t="shared" si="126"/>
        <v>19395.999287922932</v>
      </c>
    </row>
    <row r="137" spans="1:21">
      <c r="A137" s="4">
        <f>'Input data'!A124</f>
        <v>2024</v>
      </c>
      <c r="B137" s="4"/>
      <c r="C137" s="891">
        <f>'4A SWD Case 2'!BN93</f>
        <v>633.24294156060637</v>
      </c>
      <c r="D137" s="3">
        <f>'4B Biological treatment '!T190</f>
        <v>0.4971098302850987</v>
      </c>
      <c r="E137" s="1358">
        <f>'4B Biological treatment '!U190</f>
        <v>22.369942362829438</v>
      </c>
      <c r="F137" s="1358">
        <f>'4B Biological treatment '!W190</f>
        <v>1.3421965417697663</v>
      </c>
      <c r="G137" s="1076">
        <f>'4C2 Open-burning '!R129</f>
        <v>24.564638588053686</v>
      </c>
      <c r="H137" s="1076">
        <f>'4C2 Open-burning '!Z129</f>
        <v>8.2652488293173363</v>
      </c>
      <c r="I137" s="1076">
        <f>'4C2 Open-burning '!AH129</f>
        <v>0.11506621389270311</v>
      </c>
      <c r="J137" s="1111">
        <f>'4D Wastewater treatment and dis'!AV166</f>
        <v>173.44384059068466</v>
      </c>
      <c r="K137" s="892">
        <f>'4D Wastewater treatment and dis'!AW166</f>
        <v>3.1305629382342866</v>
      </c>
      <c r="L137" s="893">
        <f t="shared" si="117"/>
        <v>13298.101772772734</v>
      </c>
      <c r="M137" s="894">
        <f t="shared" si="118"/>
        <v>10.439306435987072</v>
      </c>
      <c r="N137" s="893">
        <f t="shared" si="119"/>
        <v>885.84971756804578</v>
      </c>
      <c r="O137" s="895">
        <f t="shared" si="120"/>
        <v>233.80539031045572</v>
      </c>
      <c r="P137" s="893">
        <f t="shared" si="121"/>
        <v>4612.7951632570066</v>
      </c>
      <c r="Q137" s="598">
        <f t="shared" si="122"/>
        <v>13298.101772772734</v>
      </c>
      <c r="R137" s="600">
        <f t="shared" si="123"/>
        <v>896.28902400403285</v>
      </c>
      <c r="S137" s="597">
        <f t="shared" si="124"/>
        <v>233.80539031045572</v>
      </c>
      <c r="T137" s="598">
        <f t="shared" si="125"/>
        <v>4612.7951632570066</v>
      </c>
      <c r="U137" s="598">
        <f t="shared" si="126"/>
        <v>19040.991350344229</v>
      </c>
    </row>
    <row r="138" spans="1:21">
      <c r="A138" s="4">
        <f>'Input data'!A125</f>
        <v>2025</v>
      </c>
      <c r="B138" s="4"/>
      <c r="C138" s="891">
        <f>'4A SWD Case 2'!BN94</f>
        <v>612.17877153867403</v>
      </c>
      <c r="D138" s="3">
        <f>'4B Biological treatment '!T191</f>
        <v>0.4831118288619668</v>
      </c>
      <c r="E138" s="1358">
        <f>'4B Biological treatment '!U191</f>
        <v>21.740032298788503</v>
      </c>
      <c r="F138" s="1358">
        <f>'4B Biological treatment '!W191</f>
        <v>1.30440193792731</v>
      </c>
      <c r="G138" s="1076">
        <f>'4C2 Open-burning '!R130</f>
        <v>23.473862461725432</v>
      </c>
      <c r="H138" s="1076">
        <f>'4C2 Open-burning '!Z130</f>
        <v>7.8982360573253887</v>
      </c>
      <c r="I138" s="1076">
        <f>'4C2 Open-burning '!AH130</f>
        <v>0.10995677665790576</v>
      </c>
      <c r="J138" s="1111">
        <f>'4D Wastewater treatment and dis'!AV167</f>
        <v>179.68520063996107</v>
      </c>
      <c r="K138" s="892">
        <f>'4D Wastewater treatment and dis'!AW167</f>
        <v>3.166614228352143</v>
      </c>
      <c r="L138" s="893">
        <f t="shared" si="117"/>
        <v>12855.754202312155</v>
      </c>
      <c r="M138" s="894">
        <f t="shared" si="118"/>
        <v>10.145348406101302</v>
      </c>
      <c r="N138" s="893">
        <f t="shared" si="119"/>
        <v>860.90527903202462</v>
      </c>
      <c r="O138" s="895">
        <f t="shared" si="120"/>
        <v>223.42342042950941</v>
      </c>
      <c r="P138" s="893">
        <f t="shared" si="121"/>
        <v>4755.0396242283468</v>
      </c>
      <c r="Q138" s="598">
        <f t="shared" si="122"/>
        <v>12855.754202312155</v>
      </c>
      <c r="R138" s="600">
        <f t="shared" si="123"/>
        <v>871.05062743812596</v>
      </c>
      <c r="S138" s="597">
        <f t="shared" si="124"/>
        <v>223.42342042950941</v>
      </c>
      <c r="T138" s="598">
        <f t="shared" si="125"/>
        <v>4755.0396242283468</v>
      </c>
      <c r="U138" s="598">
        <f t="shared" si="126"/>
        <v>18705.267874408139</v>
      </c>
    </row>
    <row r="139" spans="1:21">
      <c r="A139" s="4">
        <f>'Input data'!A126</f>
        <v>2026</v>
      </c>
      <c r="B139" s="4"/>
      <c r="C139" s="891">
        <f>'4A SWD Case 2'!BN95</f>
        <v>591.93642868797212</v>
      </c>
      <c r="D139" s="3">
        <f>'4B Biological treatment '!T192</f>
        <v>0.46800480794800503</v>
      </c>
      <c r="E139" s="1358">
        <f>'4B Biological treatment '!U192</f>
        <v>21.06021635766022</v>
      </c>
      <c r="F139" s="1358">
        <f>'4B Biological treatment '!W192</f>
        <v>1.2636129814596133</v>
      </c>
      <c r="G139" s="1076">
        <f>'4C2 Open-burning '!R131</f>
        <v>22.278732943613061</v>
      </c>
      <c r="H139" s="1076">
        <f>'4C2 Open-burning '!Z131</f>
        <v>7.4961115638160596</v>
      </c>
      <c r="I139" s="1076">
        <f>'4C2 Open-burning '!AH131</f>
        <v>0.10435852499759113</v>
      </c>
      <c r="J139" s="1111">
        <f>'4D Wastewater treatment and dis'!AV168</f>
        <v>185.73911394397246</v>
      </c>
      <c r="K139" s="892">
        <f>'4D Wastewater treatment and dis'!AW168</f>
        <v>3.1977746441463193</v>
      </c>
      <c r="L139" s="893">
        <f t="shared" si="117"/>
        <v>12430.665002447415</v>
      </c>
      <c r="M139" s="894">
        <f t="shared" si="118"/>
        <v>9.8281009669081065</v>
      </c>
      <c r="N139" s="893">
        <f t="shared" si="119"/>
        <v>833.98456776334478</v>
      </c>
      <c r="O139" s="895">
        <f t="shared" si="120"/>
        <v>212.04821853300356</v>
      </c>
      <c r="P139" s="893">
        <f t="shared" si="121"/>
        <v>4891.8315325087806</v>
      </c>
      <c r="Q139" s="598">
        <f t="shared" si="122"/>
        <v>12430.665002447415</v>
      </c>
      <c r="R139" s="600">
        <f t="shared" si="123"/>
        <v>843.81266873025288</v>
      </c>
      <c r="S139" s="597">
        <f t="shared" si="124"/>
        <v>212.04821853300356</v>
      </c>
      <c r="T139" s="598">
        <f t="shared" si="125"/>
        <v>4891.8315325087806</v>
      </c>
      <c r="U139" s="598">
        <f t="shared" si="126"/>
        <v>18378.357422219451</v>
      </c>
    </row>
    <row r="140" spans="1:21">
      <c r="A140" s="4">
        <f>'Input data'!A127</f>
        <v>2027</v>
      </c>
      <c r="B140" s="4"/>
      <c r="C140" s="891">
        <f>'4A SWD Case 2'!BN96</f>
        <v>572.43369637986052</v>
      </c>
      <c r="D140" s="3">
        <f>'4B Biological treatment '!T193</f>
        <v>0.45186296377889501</v>
      </c>
      <c r="E140" s="1358">
        <f>'4B Biological treatment '!U193</f>
        <v>20.333833370050272</v>
      </c>
      <c r="F140" s="1358">
        <f>'4B Biological treatment '!W193</f>
        <v>1.2200300022030162</v>
      </c>
      <c r="G140" s="1076">
        <f>'4C2 Open-burning '!R132</f>
        <v>21.017106702586425</v>
      </c>
      <c r="H140" s="1076">
        <f>'4C2 Open-burning '!Z132</f>
        <v>7.0716129588680232</v>
      </c>
      <c r="I140" s="1076">
        <f>'4C2 Open-burning '!AH132</f>
        <v>9.8448787942749277E-2</v>
      </c>
      <c r="J140" s="1111">
        <f>'4D Wastewater treatment and dis'!AV169</f>
        <v>191.89752530165873</v>
      </c>
      <c r="K140" s="892">
        <f>'4D Wastewater treatment and dis'!AW169</f>
        <v>3.2292880096339567</v>
      </c>
      <c r="L140" s="893">
        <f t="shared" si="117"/>
        <v>12021.10762397707</v>
      </c>
      <c r="M140" s="894">
        <f t="shared" si="118"/>
        <v>9.4891222393567958</v>
      </c>
      <c r="N140" s="893">
        <f t="shared" si="119"/>
        <v>805.21980145399073</v>
      </c>
      <c r="O140" s="895">
        <f t="shared" si="120"/>
        <v>200.04010310106719</v>
      </c>
      <c r="P140" s="893">
        <f t="shared" si="121"/>
        <v>5030.9273143213595</v>
      </c>
      <c r="Q140" s="598">
        <f t="shared" si="122"/>
        <v>12021.10762397707</v>
      </c>
      <c r="R140" s="600">
        <f t="shared" si="123"/>
        <v>814.70892369334751</v>
      </c>
      <c r="S140" s="597">
        <f t="shared" si="124"/>
        <v>200.04010310106719</v>
      </c>
      <c r="T140" s="598">
        <f t="shared" si="125"/>
        <v>5030.9273143213595</v>
      </c>
      <c r="U140" s="598">
        <f t="shared" si="126"/>
        <v>18066.783965092844</v>
      </c>
    </row>
    <row r="141" spans="1:21">
      <c r="A141" s="4">
        <f>'Input data'!A128</f>
        <v>2028</v>
      </c>
      <c r="B141" s="4"/>
      <c r="C141" s="891">
        <f>'4A SWD Case 2'!BN97</f>
        <v>553.59953282847118</v>
      </c>
      <c r="D141" s="3">
        <f>'4B Biological treatment '!T194</f>
        <v>0.43479463766771442</v>
      </c>
      <c r="E141" s="1358">
        <f>'4B Biological treatment '!U194</f>
        <v>19.565758695047148</v>
      </c>
      <c r="F141" s="1358">
        <f>'4B Biological treatment '!W194</f>
        <v>1.1739455217028287</v>
      </c>
      <c r="G141" s="1076">
        <f>'4C2 Open-burning '!R133</f>
        <v>19.684894825603294</v>
      </c>
      <c r="H141" s="1076">
        <f>'4C2 Open-burning '!Z133</f>
        <v>6.6233644484261731</v>
      </c>
      <c r="I141" s="1076">
        <f>'4C2 Open-burning '!AH133</f>
        <v>9.2208412118051003E-2</v>
      </c>
      <c r="J141" s="1111">
        <f>'4D Wastewater treatment and dis'!AV170</f>
        <v>198.15572617261648</v>
      </c>
      <c r="K141" s="892">
        <f>'4D Wastewater treatment and dis'!AW170</f>
        <v>3.2610534820454951</v>
      </c>
      <c r="L141" s="893">
        <f t="shared" si="117"/>
        <v>11625.590189397895</v>
      </c>
      <c r="M141" s="894">
        <f t="shared" si="118"/>
        <v>9.1306873910220023</v>
      </c>
      <c r="N141" s="893">
        <f t="shared" si="119"/>
        <v>774.80404432386695</v>
      </c>
      <c r="O141" s="895">
        <f t="shared" si="120"/>
        <v>187.36015599914873</v>
      </c>
      <c r="P141" s="893">
        <f t="shared" si="121"/>
        <v>5172.1968290590494</v>
      </c>
      <c r="Q141" s="598">
        <f t="shared" si="122"/>
        <v>11625.590189397895</v>
      </c>
      <c r="R141" s="600">
        <f t="shared" si="123"/>
        <v>783.93473171488893</v>
      </c>
      <c r="S141" s="597">
        <f t="shared" si="124"/>
        <v>187.36015599914873</v>
      </c>
      <c r="T141" s="598">
        <f t="shared" si="125"/>
        <v>5172.1968290590494</v>
      </c>
      <c r="U141" s="598">
        <f t="shared" si="126"/>
        <v>17769.081906170984</v>
      </c>
    </row>
    <row r="142" spans="1:21">
      <c r="A142" s="4">
        <f>'Input data'!A129</f>
        <v>2029</v>
      </c>
      <c r="B142" s="4"/>
      <c r="C142" s="891">
        <f>'4A SWD Case 2'!BN98</f>
        <v>535.36675792962797</v>
      </c>
      <c r="D142" s="3">
        <f>'4B Biological treatment '!T195</f>
        <v>0.41671557931324155</v>
      </c>
      <c r="E142" s="1358">
        <f>'4B Biological treatment '!U195</f>
        <v>18.752201069095864</v>
      </c>
      <c r="F142" s="1358">
        <f>'4B Biological treatment '!W195</f>
        <v>1.1251320641457521</v>
      </c>
      <c r="G142" s="1076">
        <f>'4C2 Open-burning '!R134</f>
        <v>18.279119829363644</v>
      </c>
      <c r="H142" s="1076">
        <f>'4C2 Open-burning '!Z134</f>
        <v>6.1503642005168082</v>
      </c>
      <c r="I142" s="1076">
        <f>'4C2 Open-burning '!AH134</f>
        <v>8.5623450331518108E-2</v>
      </c>
      <c r="J142" s="1111">
        <f>'4D Wastewater treatment and dis'!AV171</f>
        <v>204.52099299756838</v>
      </c>
      <c r="K142" s="892">
        <f>'4D Wastewater treatment and dis'!AW171</f>
        <v>3.2931719041504954</v>
      </c>
      <c r="L142" s="893">
        <f t="shared" si="117"/>
        <v>11242.701916522186</v>
      </c>
      <c r="M142" s="894">
        <f t="shared" si="118"/>
        <v>8.7510271655780727</v>
      </c>
      <c r="N142" s="893">
        <f t="shared" si="119"/>
        <v>742.58716233619634</v>
      </c>
      <c r="O142" s="895">
        <f t="shared" si="120"/>
        <v>173.98003764298724</v>
      </c>
      <c r="P142" s="893">
        <f t="shared" si="121"/>
        <v>5315.8241432355899</v>
      </c>
      <c r="Q142" s="598">
        <f t="shared" si="122"/>
        <v>11242.701916522186</v>
      </c>
      <c r="R142" s="600">
        <f t="shared" si="123"/>
        <v>751.33818950177442</v>
      </c>
      <c r="S142" s="597">
        <f t="shared" si="124"/>
        <v>173.98003764298724</v>
      </c>
      <c r="T142" s="598">
        <f t="shared" si="125"/>
        <v>5315.8241432355899</v>
      </c>
      <c r="U142" s="598">
        <f t="shared" si="126"/>
        <v>17483.844286902538</v>
      </c>
    </row>
    <row r="143" spans="1:21">
      <c r="A143" s="4">
        <f>'Input data'!A130</f>
        <v>2030</v>
      </c>
      <c r="B143" s="4"/>
      <c r="C143" s="891">
        <f>'4A SWD Case 2'!BN99</f>
        <v>517.66988771803165</v>
      </c>
      <c r="D143" s="3">
        <f>'4B Biological treatment '!T196</f>
        <v>0.39757237415626168</v>
      </c>
      <c r="E143" s="1358">
        <f>'4B Biological treatment '!U196</f>
        <v>17.890756837031777</v>
      </c>
      <c r="F143" s="1358">
        <f>'4B Biological treatment '!W196</f>
        <v>1.0734454102219064</v>
      </c>
      <c r="G143" s="1076">
        <f>'4C2 Open-burning '!R135</f>
        <v>16.79562810762155</v>
      </c>
      <c r="H143" s="1076">
        <f>'4C2 Open-burning '!Z135</f>
        <v>5.6512146538023771</v>
      </c>
      <c r="I143" s="1076">
        <f>'4C2 Open-burning '!AH135</f>
        <v>7.8674446170510601E-2</v>
      </c>
      <c r="J143" s="1111">
        <f>'4D Wastewater treatment and dis'!AV172</f>
        <v>210.99154590506851</v>
      </c>
      <c r="K143" s="892">
        <f>'4D Wastewater treatment and dis'!AW172</f>
        <v>3.3255928545641762</v>
      </c>
      <c r="L143" s="893">
        <f t="shared" si="117"/>
        <v>10871.067642078664</v>
      </c>
      <c r="M143" s="894">
        <f t="shared" si="118"/>
        <v>8.3490198572814958</v>
      </c>
      <c r="N143" s="893">
        <f t="shared" si="119"/>
        <v>708.47397074645824</v>
      </c>
      <c r="O143" s="895">
        <f t="shared" si="120"/>
        <v>159.86021415032977</v>
      </c>
      <c r="P143" s="893">
        <f t="shared" si="121"/>
        <v>5461.7562489213324</v>
      </c>
      <c r="Q143" s="598">
        <f t="shared" si="122"/>
        <v>10871.067642078664</v>
      </c>
      <c r="R143" s="600">
        <f t="shared" si="123"/>
        <v>716.82299060373975</v>
      </c>
      <c r="S143" s="597">
        <f t="shared" si="124"/>
        <v>159.86021415032977</v>
      </c>
      <c r="T143" s="598">
        <f t="shared" si="125"/>
        <v>5461.7562489213324</v>
      </c>
      <c r="U143" s="598">
        <f t="shared" si="126"/>
        <v>17209.507095754067</v>
      </c>
    </row>
    <row r="144" spans="1:21">
      <c r="A144" s="4">
        <f>'Input data'!A131</f>
        <v>2031</v>
      </c>
      <c r="B144" s="4"/>
      <c r="C144" s="891">
        <f>'4A SWD Case 2'!BN100</f>
        <v>500.4452027024642</v>
      </c>
      <c r="D144" s="3">
        <f>'4B Biological treatment '!T197</f>
        <v>0.37413494139353964</v>
      </c>
      <c r="E144" s="1358">
        <f>'4B Biological treatment '!U197</f>
        <v>16.836072362709281</v>
      </c>
      <c r="F144" s="1358">
        <f>'4B Biological treatment '!W197</f>
        <v>1.0101643417625565</v>
      </c>
      <c r="G144" s="1076">
        <f>'4C2 Open-burning '!R136</f>
        <v>14.984496004381816</v>
      </c>
      <c r="H144" s="1076">
        <f>'4C2 Open-burning '!Z136</f>
        <v>5.0418241495463452</v>
      </c>
      <c r="I144" s="1076">
        <f>'4C2 Open-burning '!AH136</f>
        <v>7.0190701814480339E-2</v>
      </c>
      <c r="J144" s="1111">
        <f>'4D Wastewater treatment and dis'!AV173</f>
        <v>212.79256841014094</v>
      </c>
      <c r="K144" s="892">
        <f>'4D Wastewater treatment and dis'!AW173</f>
        <v>3.3539800941954407</v>
      </c>
      <c r="L144" s="893">
        <f t="shared" si="117"/>
        <v>10509.349256751748</v>
      </c>
      <c r="M144" s="894">
        <f t="shared" si="118"/>
        <v>7.8568337692643322</v>
      </c>
      <c r="N144" s="893">
        <f t="shared" si="119"/>
        <v>666.70846556328752</v>
      </c>
      <c r="O144" s="895">
        <f t="shared" si="120"/>
        <v>142.62192070734397</v>
      </c>
      <c r="P144" s="893">
        <f t="shared" si="121"/>
        <v>5508.3777658135459</v>
      </c>
      <c r="Q144" s="598">
        <f t="shared" si="122"/>
        <v>10509.349256751748</v>
      </c>
      <c r="R144" s="600">
        <f t="shared" si="123"/>
        <v>674.56529933255183</v>
      </c>
      <c r="S144" s="597">
        <f t="shared" si="124"/>
        <v>142.62192070734397</v>
      </c>
      <c r="T144" s="598">
        <f t="shared" si="125"/>
        <v>5508.3777658135459</v>
      </c>
      <c r="U144" s="598">
        <f t="shared" si="126"/>
        <v>16834.914242605191</v>
      </c>
    </row>
    <row r="145" spans="1:21">
      <c r="A145" s="4">
        <f>'Input data'!A132</f>
        <v>2032</v>
      </c>
      <c r="B145" s="4"/>
      <c r="C145" s="891">
        <f>'4A SWD Case 2'!BN101</f>
        <v>483.49135695124318</v>
      </c>
      <c r="D145" s="3">
        <f>'4B Biological treatment '!T198</f>
        <v>0.35002602050103293</v>
      </c>
      <c r="E145" s="1358">
        <f>'4B Biological treatment '!U198</f>
        <v>15.751170922546478</v>
      </c>
      <c r="F145" s="1358">
        <f>'4B Biological treatment '!W198</f>
        <v>0.94507025535278877</v>
      </c>
      <c r="G145" s="1076">
        <f>'4C2 Open-burning '!R137</f>
        <v>13.141258541311998</v>
      </c>
      <c r="H145" s="1076">
        <f>'4C2 Open-burning '!Z137</f>
        <v>4.4216311746250412</v>
      </c>
      <c r="I145" s="1076">
        <f>'4C2 Open-burning '!AH137</f>
        <v>6.155656883424665E-2</v>
      </c>
      <c r="J145" s="1111">
        <f>'4D Wastewater treatment and dis'!AV174</f>
        <v>214.6095857864839</v>
      </c>
      <c r="K145" s="892">
        <f>'4D Wastewater treatment and dis'!AW174</f>
        <v>3.3826194407506049</v>
      </c>
      <c r="L145" s="893">
        <f t="shared" si="117"/>
        <v>10153.318495976107</v>
      </c>
      <c r="M145" s="894">
        <f t="shared" si="118"/>
        <v>7.3505464305216917</v>
      </c>
      <c r="N145" s="893">
        <f t="shared" si="119"/>
        <v>623.74636853284051</v>
      </c>
      <c r="O145" s="895">
        <f t="shared" si="120"/>
        <v>125.07804954705433</v>
      </c>
      <c r="P145" s="893">
        <f t="shared" si="121"/>
        <v>5555.4133281488503</v>
      </c>
      <c r="Q145" s="598">
        <f t="shared" si="122"/>
        <v>10153.318495976107</v>
      </c>
      <c r="R145" s="600">
        <f t="shared" si="123"/>
        <v>631.09691496336222</v>
      </c>
      <c r="S145" s="597">
        <f t="shared" si="124"/>
        <v>125.07804954705433</v>
      </c>
      <c r="T145" s="598">
        <f t="shared" si="125"/>
        <v>5555.4133281488503</v>
      </c>
      <c r="U145" s="598">
        <f t="shared" si="126"/>
        <v>16464.906788635373</v>
      </c>
    </row>
    <row r="146" spans="1:21">
      <c r="A146" s="4">
        <f>'Input data'!A133</f>
        <v>2033</v>
      </c>
      <c r="B146" s="4"/>
      <c r="C146" s="891">
        <f>'4A SWD Case 2'!BN102</f>
        <v>466.7821822137339</v>
      </c>
      <c r="D146" s="3">
        <f>'4B Biological treatment '!T199</f>
        <v>0.3559092261337502</v>
      </c>
      <c r="E146" s="1358">
        <f>'4B Biological treatment '!U199</f>
        <v>16.015915176018758</v>
      </c>
      <c r="F146" s="1358">
        <f>'4B Biological treatment '!W199</f>
        <v>0.96095491056112547</v>
      </c>
      <c r="G146" s="1076">
        <f>'4C2 Open-burning '!R138</f>
        <v>13.253304092396867</v>
      </c>
      <c r="H146" s="1076">
        <f>'4C2 Open-burning '!Z138</f>
        <v>4.4593310722488066</v>
      </c>
      <c r="I146" s="1076">
        <f>'4C2 Open-burning '!AH138</f>
        <v>6.2081415039520242E-2</v>
      </c>
      <c r="J146" s="1111">
        <f>'4D Wastewater treatment and dis'!AV175</f>
        <v>216.43939905984345</v>
      </c>
      <c r="K146" s="892">
        <f>'4D Wastewater treatment and dis'!AW175</f>
        <v>3.4114604728448907</v>
      </c>
      <c r="L146" s="893">
        <f t="shared" si="117"/>
        <v>9802.425826488412</v>
      </c>
      <c r="M146" s="894">
        <f t="shared" si="118"/>
        <v>7.4740937488087544</v>
      </c>
      <c r="N146" s="893">
        <f t="shared" si="119"/>
        <v>634.23024097034283</v>
      </c>
      <c r="O146" s="895">
        <f t="shared" si="120"/>
        <v>126.14449527187307</v>
      </c>
      <c r="P146" s="893">
        <f t="shared" si="121"/>
        <v>5602.7801268386283</v>
      </c>
      <c r="Q146" s="598">
        <f t="shared" si="122"/>
        <v>9802.425826488412</v>
      </c>
      <c r="R146" s="600">
        <f t="shared" si="123"/>
        <v>641.70433471915157</v>
      </c>
      <c r="S146" s="597">
        <f t="shared" si="124"/>
        <v>126.14449527187307</v>
      </c>
      <c r="T146" s="598">
        <f t="shared" si="125"/>
        <v>5602.7801268386283</v>
      </c>
      <c r="U146" s="598">
        <f t="shared" si="126"/>
        <v>16173.054783318066</v>
      </c>
    </row>
    <row r="147" spans="1:21">
      <c r="A147" s="4">
        <f>'Input data'!A134</f>
        <v>2034</v>
      </c>
      <c r="B147" s="4"/>
      <c r="C147" s="891">
        <f>'4A SWD Case 2'!BN103</f>
        <v>450.97823433265063</v>
      </c>
      <c r="D147" s="3">
        <f>'4B Biological treatment '!T200</f>
        <v>0.36210039246980291</v>
      </c>
      <c r="E147" s="1358">
        <f>'4B Biological treatment '!U200</f>
        <v>16.294517661141128</v>
      </c>
      <c r="F147" s="1358">
        <f>'4B Biological treatment '!W200</f>
        <v>0.97767105966846768</v>
      </c>
      <c r="G147" s="1076">
        <f>'4C2 Open-burning '!R139</f>
        <v>13.366524946465139</v>
      </c>
      <c r="H147" s="1076">
        <f>'4C2 Open-burning '!Z139</f>
        <v>4.4974264233441481</v>
      </c>
      <c r="I147" s="1076">
        <f>'4C2 Open-burning '!AH139</f>
        <v>6.2611766624569409E-2</v>
      </c>
      <c r="J147" s="1111">
        <f>'4D Wastewater treatment and dis'!AV176</f>
        <v>218.28840617872763</v>
      </c>
      <c r="K147" s="892">
        <f>'4D Wastewater treatment and dis'!AW176</f>
        <v>3.4406040332478574</v>
      </c>
      <c r="L147" s="893">
        <f t="shared" si="117"/>
        <v>9470.5429209856629</v>
      </c>
      <c r="M147" s="894">
        <f t="shared" si="118"/>
        <v>7.6041082418658608</v>
      </c>
      <c r="N147" s="893">
        <f t="shared" si="119"/>
        <v>645.26289938118862</v>
      </c>
      <c r="O147" s="895">
        <f t="shared" si="120"/>
        <v>127.22212749030876</v>
      </c>
      <c r="P147" s="893">
        <f t="shared" si="121"/>
        <v>5650.6437800601161</v>
      </c>
      <c r="Q147" s="598">
        <f t="shared" si="122"/>
        <v>9470.5429209856629</v>
      </c>
      <c r="R147" s="600">
        <f t="shared" si="123"/>
        <v>652.86700762305452</v>
      </c>
      <c r="S147" s="597">
        <f t="shared" si="124"/>
        <v>127.22212749030876</v>
      </c>
      <c r="T147" s="598">
        <f t="shared" si="125"/>
        <v>5650.6437800601161</v>
      </c>
      <c r="U147" s="598">
        <f t="shared" si="126"/>
        <v>15901.275836159142</v>
      </c>
    </row>
    <row r="148" spans="1:21">
      <c r="A148" s="4">
        <f>'Input data'!A135</f>
        <v>2035</v>
      </c>
      <c r="B148" s="4"/>
      <c r="C148" s="891">
        <f>'4A SWD Case 2'!BN104</f>
        <v>436.03922602081889</v>
      </c>
      <c r="D148" s="3">
        <f>'4B Biological treatment '!T201</f>
        <v>0.36861163221007093</v>
      </c>
      <c r="E148" s="1358">
        <f>'4B Biological treatment '!U201</f>
        <v>16.587523449453187</v>
      </c>
      <c r="F148" s="1358">
        <f>'4B Biological treatment '!W201</f>
        <v>0.99525140696719139</v>
      </c>
      <c r="G148" s="1076">
        <f>'4C2 Open-burning '!R140</f>
        <v>13.480529335855687</v>
      </c>
      <c r="H148" s="1076">
        <f>'4C2 Open-burning '!Z140</f>
        <v>4.535785410087211</v>
      </c>
      <c r="I148" s="1076">
        <f>'4C2 Open-burning '!AH140</f>
        <v>6.3145788462802332E-2</v>
      </c>
      <c r="J148" s="1111">
        <f>'4D Wastewater treatment and dis'!AV177</f>
        <v>220.15020919462836</v>
      </c>
      <c r="K148" s="892">
        <f>'4D Wastewater treatment and dis'!AW177</f>
        <v>3.4699492791899456</v>
      </c>
      <c r="L148" s="893">
        <f t="shared" si="117"/>
        <v>9156.823746437196</v>
      </c>
      <c r="M148" s="894">
        <f t="shared" si="118"/>
        <v>7.7408442764114893</v>
      </c>
      <c r="N148" s="893">
        <f t="shared" si="119"/>
        <v>656.86592859834627</v>
      </c>
      <c r="O148" s="895">
        <f t="shared" si="120"/>
        <v>128.30721737115584</v>
      </c>
      <c r="P148" s="893">
        <f t="shared" si="121"/>
        <v>5698.8386696360794</v>
      </c>
      <c r="Q148" s="598">
        <f t="shared" si="122"/>
        <v>9156.823746437196</v>
      </c>
      <c r="R148" s="600">
        <f t="shared" si="123"/>
        <v>664.60677287475778</v>
      </c>
      <c r="S148" s="597">
        <f t="shared" si="124"/>
        <v>128.30721737115584</v>
      </c>
      <c r="T148" s="598">
        <f t="shared" si="125"/>
        <v>5698.8386696360794</v>
      </c>
      <c r="U148" s="598">
        <f t="shared" si="126"/>
        <v>15648.576406319189</v>
      </c>
    </row>
    <row r="149" spans="1:21">
      <c r="A149" s="4">
        <f>'Input data'!A136</f>
        <v>2036</v>
      </c>
      <c r="B149" s="4"/>
      <c r="C149" s="891">
        <f>'4A SWD Case 2'!BN105</f>
        <v>421.92688138113004</v>
      </c>
      <c r="D149" s="3">
        <f>'4B Biological treatment '!T202</f>
        <v>0.37503333085074869</v>
      </c>
      <c r="E149" s="1358">
        <f>'4B Biological treatment '!U202</f>
        <v>16.876499888283689</v>
      </c>
      <c r="F149" s="1358">
        <f>'4B Biological treatment '!W202</f>
        <v>1.0125899932970213</v>
      </c>
      <c r="G149" s="1076">
        <f>'4C2 Open-burning '!R141</f>
        <v>13.579254786461931</v>
      </c>
      <c r="H149" s="1076">
        <f>'4C2 Open-burning '!Z141</f>
        <v>4.5690035016997577</v>
      </c>
      <c r="I149" s="1076">
        <f>'4C2 Open-burning '!AH141</f>
        <v>6.3608240363952476E-2</v>
      </c>
      <c r="J149" s="1111">
        <f>'4D Wastewater treatment and dis'!AV178</f>
        <v>221.76249221870739</v>
      </c>
      <c r="K149" s="892">
        <f>'4D Wastewater treatment and dis'!AW178</f>
        <v>3.4953616571191763</v>
      </c>
      <c r="L149" s="893">
        <f t="shared" si="117"/>
        <v>8860.4645090037302</v>
      </c>
      <c r="M149" s="894">
        <f t="shared" si="118"/>
        <v>7.8756999478657228</v>
      </c>
      <c r="N149" s="893">
        <f t="shared" si="119"/>
        <v>668.30939557603404</v>
      </c>
      <c r="O149" s="895">
        <f t="shared" si="120"/>
        <v>129.2468828349821</v>
      </c>
      <c r="P149" s="893">
        <f t="shared" si="121"/>
        <v>5740.5744502998004</v>
      </c>
      <c r="Q149" s="598">
        <f t="shared" si="122"/>
        <v>8860.4645090037302</v>
      </c>
      <c r="R149" s="600">
        <f t="shared" si="123"/>
        <v>676.1850955238998</v>
      </c>
      <c r="S149" s="597">
        <f t="shared" si="124"/>
        <v>129.2468828349821</v>
      </c>
      <c r="T149" s="598">
        <f t="shared" si="125"/>
        <v>5740.5744502998004</v>
      </c>
      <c r="U149" s="598">
        <f t="shared" si="126"/>
        <v>15406.470937662414</v>
      </c>
    </row>
    <row r="150" spans="1:21">
      <c r="A150" s="4">
        <f>'Input data'!A137</f>
        <v>2037</v>
      </c>
      <c r="B150" s="4"/>
      <c r="C150" s="891">
        <f>'4A SWD Case 2'!BN106</f>
        <v>408.59649817472308</v>
      </c>
      <c r="D150" s="3">
        <f>'4B Biological treatment '!T203</f>
        <v>0.38167371292166585</v>
      </c>
      <c r="E150" s="1358">
        <f>'4B Biological treatment '!U203</f>
        <v>17.175317081474962</v>
      </c>
      <c r="F150" s="1358">
        <f>'4B Biological treatment '!W203</f>
        <v>1.0305190248884977</v>
      </c>
      <c r="G150" s="1076">
        <f>'4C2 Open-burning '!R142</f>
        <v>13.678567888559883</v>
      </c>
      <c r="H150" s="1076">
        <f>'4C2 Open-burning '!Z142</f>
        <v>4.602419320048095</v>
      </c>
      <c r="I150" s="1076">
        <f>'4C2 Open-burning '!AH142</f>
        <v>6.4073444954990427E-2</v>
      </c>
      <c r="J150" s="1111">
        <f>'4D Wastewater treatment and dis'!AV179</f>
        <v>223.38437216554874</v>
      </c>
      <c r="K150" s="892">
        <f>'4D Wastewater treatment and dis'!AW179</f>
        <v>3.5209252992027475</v>
      </c>
      <c r="L150" s="893">
        <f t="shared" si="117"/>
        <v>8580.5264616691838</v>
      </c>
      <c r="M150" s="894">
        <f t="shared" si="118"/>
        <v>8.0151479713549829</v>
      </c>
      <c r="N150" s="893">
        <f t="shared" si="119"/>
        <v>680.14255642640842</v>
      </c>
      <c r="O150" s="895">
        <f t="shared" si="120"/>
        <v>130.19214154561689</v>
      </c>
      <c r="P150" s="893">
        <f t="shared" si="121"/>
        <v>5782.5586582293754</v>
      </c>
      <c r="Q150" s="598">
        <f t="shared" si="122"/>
        <v>8580.5264616691838</v>
      </c>
      <c r="R150" s="600">
        <f t="shared" si="123"/>
        <v>688.15770439776338</v>
      </c>
      <c r="S150" s="597">
        <f t="shared" si="124"/>
        <v>130.19214154561689</v>
      </c>
      <c r="T150" s="598">
        <f t="shared" si="125"/>
        <v>5782.5586582293754</v>
      </c>
      <c r="U150" s="598">
        <f t="shared" si="126"/>
        <v>15181.434965841938</v>
      </c>
    </row>
    <row r="151" spans="1:21">
      <c r="A151" s="4">
        <f>'Input data'!A138</f>
        <v>2038</v>
      </c>
      <c r="B151" s="4"/>
      <c r="C151" s="891">
        <f>'4A SWD Case 2'!BN107</f>
        <v>396.01264193576412</v>
      </c>
      <c r="D151" s="3">
        <f>'4B Biological treatment '!T204</f>
        <v>0.41293253065681423</v>
      </c>
      <c r="E151" s="1358">
        <f>'4B Biological treatment '!U204</f>
        <v>18.581963879556636</v>
      </c>
      <c r="F151" s="1358">
        <f>'4B Biological treatment '!W204</f>
        <v>1.114917832773398</v>
      </c>
      <c r="G151" s="1076">
        <f>'4C2 Open-burning '!R143</f>
        <v>13.778860409810672</v>
      </c>
      <c r="H151" s="1076">
        <f>'4C2 Open-burning '!Z143</f>
        <v>4.636164682956081</v>
      </c>
      <c r="I151" s="1076">
        <f>'4C2 Open-burning '!AH143</f>
        <v>6.4543237362508055E-2</v>
      </c>
      <c r="J151" s="1111">
        <f>'4D Wastewater treatment and dis'!AV180</f>
        <v>225.02224698366075</v>
      </c>
      <c r="K151" s="892">
        <f>'4D Wastewater treatment and dis'!AW180</f>
        <v>3.5467410482102202</v>
      </c>
      <c r="L151" s="893">
        <f t="shared" si="117"/>
        <v>8316.2654806510473</v>
      </c>
      <c r="M151" s="894">
        <f t="shared" si="118"/>
        <v>8.6715831437930984</v>
      </c>
      <c r="N151" s="893">
        <f t="shared" si="119"/>
        <v>735.84576963044265</v>
      </c>
      <c r="O151" s="895">
        <f t="shared" si="120"/>
        <v>131.14672233426586</v>
      </c>
      <c r="P151" s="893">
        <f t="shared" si="121"/>
        <v>5824.9569116020448</v>
      </c>
      <c r="Q151" s="598">
        <f t="shared" si="122"/>
        <v>8316.2654806510473</v>
      </c>
      <c r="R151" s="600">
        <f t="shared" si="123"/>
        <v>744.51735277423575</v>
      </c>
      <c r="S151" s="597">
        <f t="shared" si="124"/>
        <v>131.14672233426586</v>
      </c>
      <c r="T151" s="598">
        <f t="shared" si="125"/>
        <v>5824.9569116020448</v>
      </c>
      <c r="U151" s="598">
        <f t="shared" si="126"/>
        <v>15016.886467361594</v>
      </c>
    </row>
    <row r="152" spans="1:21">
      <c r="A152" s="4">
        <f>'Input data'!A139</f>
        <v>2039</v>
      </c>
      <c r="B152" s="4"/>
      <c r="C152" s="891">
        <f>'4A SWD Case 2'!BN108</f>
        <v>384.14025223688901</v>
      </c>
      <c r="D152" s="3">
        <f>'4B Biological treatment '!T205</f>
        <v>0.49934213027893476</v>
      </c>
      <c r="E152" s="1358">
        <f>'4B Biological treatment '!U205</f>
        <v>22.47039586255206</v>
      </c>
      <c r="F152" s="1358">
        <f>'4B Biological treatment '!W205</f>
        <v>1.3482237517531233</v>
      </c>
      <c r="G152" s="1076">
        <f>'4C2 Open-burning '!R144</f>
        <v>13.879740582553163</v>
      </c>
      <c r="H152" s="1076">
        <f>'4C2 Open-burning '!Z144</f>
        <v>4.670107772599855</v>
      </c>
      <c r="I152" s="1076">
        <f>'4C2 Open-burning '!AH144</f>
        <v>6.5015782459913463E-2</v>
      </c>
      <c r="J152" s="1111">
        <f>'4D Wastewater treatment and dis'!AV181</f>
        <v>226.66971872453522</v>
      </c>
      <c r="K152" s="892">
        <f>'4D Wastewater treatment and dis'!AW181</f>
        <v>3.5727080613720332</v>
      </c>
      <c r="L152" s="893">
        <f t="shared" si="117"/>
        <v>8066.945296974669</v>
      </c>
      <c r="M152" s="894">
        <f t="shared" si="118"/>
        <v>10.486184735857631</v>
      </c>
      <c r="N152" s="893">
        <f t="shared" si="119"/>
        <v>889.82767615706143</v>
      </c>
      <c r="O152" s="895">
        <f t="shared" si="120"/>
        <v>132.1068963697233</v>
      </c>
      <c r="P152" s="893">
        <f t="shared" si="121"/>
        <v>5867.6035922405699</v>
      </c>
      <c r="Q152" s="598">
        <f t="shared" si="122"/>
        <v>8066.945296974669</v>
      </c>
      <c r="R152" s="600">
        <f t="shared" si="123"/>
        <v>900.31386089291902</v>
      </c>
      <c r="S152" s="597">
        <f t="shared" si="124"/>
        <v>132.1068963697233</v>
      </c>
      <c r="T152" s="598">
        <f t="shared" si="125"/>
        <v>5867.6035922405699</v>
      </c>
      <c r="U152" s="598">
        <f t="shared" si="126"/>
        <v>14966.969646477881</v>
      </c>
    </row>
    <row r="153" spans="1:21">
      <c r="A153" s="4">
        <f>'Input data'!A140</f>
        <v>2040</v>
      </c>
      <c r="B153" s="4"/>
      <c r="C153" s="891">
        <f>'4A SWD Case 2'!BN109</f>
        <v>372.94737853928012</v>
      </c>
      <c r="D153" s="3">
        <f>'4B Biological treatment '!T206</f>
        <v>0.58720234509825875</v>
      </c>
      <c r="E153" s="1358">
        <f>'4B Biological treatment '!U206</f>
        <v>26.424105529421638</v>
      </c>
      <c r="F153" s="1358">
        <f>'4B Biological treatment '!W206</f>
        <v>1.5854463317652985</v>
      </c>
      <c r="G153" s="1076">
        <f>'4C2 Open-burning '!R145</f>
        <v>13.981208406787365</v>
      </c>
      <c r="H153" s="1076">
        <f>'4C2 Open-burning '!Z145</f>
        <v>4.7042485889794197</v>
      </c>
      <c r="I153" s="1076">
        <f>'4C2 Open-burning '!AH145</f>
        <v>6.5491080247206679E-2</v>
      </c>
      <c r="J153" s="1111">
        <f>'4D Wastewater treatment and dis'!AV182</f>
        <v>228.32678738817191</v>
      </c>
      <c r="K153" s="892">
        <f>'4D Wastewater treatment and dis'!AW182</f>
        <v>3.5988263386881876</v>
      </c>
      <c r="L153" s="893">
        <f t="shared" si="117"/>
        <v>7831.8949493248829</v>
      </c>
      <c r="M153" s="894">
        <f t="shared" si="118"/>
        <v>12.331249247063434</v>
      </c>
      <c r="N153" s="893">
        <f t="shared" si="119"/>
        <v>1046.394578965097</v>
      </c>
      <c r="O153" s="895">
        <f t="shared" si="120"/>
        <v>133.07266365198925</v>
      </c>
      <c r="P153" s="893">
        <f t="shared" si="121"/>
        <v>5910.4987001449481</v>
      </c>
      <c r="Q153" s="598">
        <f t="shared" si="122"/>
        <v>7831.8949493248829</v>
      </c>
      <c r="R153" s="600">
        <f t="shared" si="123"/>
        <v>1058.7258282121604</v>
      </c>
      <c r="S153" s="597">
        <f t="shared" si="124"/>
        <v>133.07266365198925</v>
      </c>
      <c r="T153" s="598">
        <f t="shared" si="125"/>
        <v>5910.4987001449481</v>
      </c>
      <c r="U153" s="598">
        <f t="shared" si="126"/>
        <v>14934.192141333981</v>
      </c>
    </row>
    <row r="154" spans="1:21">
      <c r="A154" s="4">
        <f>'Input data'!A141</f>
        <v>2041</v>
      </c>
      <c r="B154" s="4"/>
      <c r="C154" s="891">
        <f>'4A SWD Case 2'!BN110</f>
        <v>362.40497779781572</v>
      </c>
      <c r="D154" s="3">
        <f>'4B Biological treatment '!T207</f>
        <v>0.64225060717734794</v>
      </c>
      <c r="E154" s="1358">
        <f>'4B Biological treatment '!U207</f>
        <v>28.901277322980651</v>
      </c>
      <c r="F154" s="1358">
        <f>'4B Biological treatment '!W207</f>
        <v>1.7340766393788387</v>
      </c>
      <c r="G154" s="1076">
        <f>'4C2 Open-burning '!R146</f>
        <v>14.068180827559534</v>
      </c>
      <c r="H154" s="1076">
        <f>'4C2 Open-burning '!Z146</f>
        <v>4.7335121458761877</v>
      </c>
      <c r="I154" s="1076">
        <f>'4C2 Open-burning '!AH146</f>
        <v>6.5898478350600864E-2</v>
      </c>
      <c r="J154" s="1111">
        <f>'4D Wastewater treatment and dis'!AV183</f>
        <v>229.7471319570034</v>
      </c>
      <c r="K154" s="892">
        <f>'4D Wastewater treatment and dis'!AW183</f>
        <v>3.6212134335306052</v>
      </c>
      <c r="L154" s="893">
        <f t="shared" si="117"/>
        <v>7610.5045337541305</v>
      </c>
      <c r="M154" s="894">
        <f t="shared" si="118"/>
        <v>13.487262750724307</v>
      </c>
      <c r="N154" s="893">
        <f t="shared" si="119"/>
        <v>1144.4905819900337</v>
      </c>
      <c r="O154" s="895">
        <f t="shared" si="120"/>
        <v>133.90046417964575</v>
      </c>
      <c r="P154" s="893">
        <f t="shared" si="121"/>
        <v>5947.2659354915595</v>
      </c>
      <c r="Q154" s="598">
        <f t="shared" si="122"/>
        <v>7610.5045337541305</v>
      </c>
      <c r="R154" s="600">
        <f t="shared" si="123"/>
        <v>1157.977844740758</v>
      </c>
      <c r="S154" s="597">
        <f t="shared" si="124"/>
        <v>133.90046417964575</v>
      </c>
      <c r="T154" s="598">
        <f t="shared" si="125"/>
        <v>5947.2659354915595</v>
      </c>
      <c r="U154" s="598">
        <f t="shared" si="126"/>
        <v>14849.648778166094</v>
      </c>
    </row>
    <row r="155" spans="1:21">
      <c r="A155" s="4">
        <f>'Input data'!A142</f>
        <v>2042</v>
      </c>
      <c r="B155" s="4"/>
      <c r="C155" s="891">
        <f>'4A SWD Case 2'!BN111</f>
        <v>352.47833803457996</v>
      </c>
      <c r="D155" s="3">
        <f>'4B Biological treatment '!T208</f>
        <v>0.69841499247561789</v>
      </c>
      <c r="E155" s="1358">
        <f>'4B Biological treatment '!U208</f>
        <v>31.428674661402798</v>
      </c>
      <c r="F155" s="1358">
        <f>'4B Biological treatment '!W208</f>
        <v>1.885720479684168</v>
      </c>
      <c r="G155" s="1076">
        <f>'4C2 Open-burning '!R147</f>
        <v>14.155545015992837</v>
      </c>
      <c r="H155" s="1076">
        <f>'4C2 Open-burning '!Z147</f>
        <v>4.7629075205968157</v>
      </c>
      <c r="I155" s="1076">
        <f>'4C2 Open-burning '!AH147</f>
        <v>6.6307711580586903E-2</v>
      </c>
      <c r="J155" s="1111">
        <f>'4D Wastewater treatment and dis'!AV184</f>
        <v>231.17387447434314</v>
      </c>
      <c r="K155" s="892">
        <f>'4D Wastewater treatment and dis'!AW184</f>
        <v>3.643701371142583</v>
      </c>
      <c r="L155" s="893">
        <f t="shared" si="117"/>
        <v>7402.0450987261793</v>
      </c>
      <c r="M155" s="894">
        <f t="shared" si="118"/>
        <v>14.666714841987975</v>
      </c>
      <c r="N155" s="893">
        <f t="shared" si="119"/>
        <v>1244.5755165915507</v>
      </c>
      <c r="O155" s="895">
        <f t="shared" si="120"/>
        <v>134.73199353850791</v>
      </c>
      <c r="P155" s="893">
        <f t="shared" si="121"/>
        <v>5984.1987890154069</v>
      </c>
      <c r="Q155" s="598">
        <f t="shared" si="122"/>
        <v>7402.0450987261793</v>
      </c>
      <c r="R155" s="600">
        <f t="shared" si="123"/>
        <v>1259.2422314335386</v>
      </c>
      <c r="S155" s="597">
        <f t="shared" si="124"/>
        <v>134.73199353850791</v>
      </c>
      <c r="T155" s="598">
        <f t="shared" si="125"/>
        <v>5984.1987890154069</v>
      </c>
      <c r="U155" s="598">
        <f t="shared" si="126"/>
        <v>14780.218112713632</v>
      </c>
    </row>
    <row r="156" spans="1:21">
      <c r="A156" s="4">
        <f>'Input data'!A143</f>
        <v>2043</v>
      </c>
      <c r="B156" s="4"/>
      <c r="C156" s="891">
        <f>'4A SWD Case 2'!BN112</f>
        <v>343.14057275726657</v>
      </c>
      <c r="D156" s="3">
        <f>'4B Biological treatment '!T209</f>
        <v>0.75563045788806193</v>
      </c>
      <c r="E156" s="1358">
        <f>'4B Biological treatment '!U209</f>
        <v>34.003370604962782</v>
      </c>
      <c r="F156" s="1358">
        <f>'4B Biological treatment '!W209</f>
        <v>2.040202236297767</v>
      </c>
      <c r="G156" s="1076">
        <f>'4C2 Open-burning '!R148</f>
        <v>14.243496855917847</v>
      </c>
      <c r="H156" s="1076">
        <f>'4C2 Open-burning '!Z148</f>
        <v>4.7925006220532325</v>
      </c>
      <c r="I156" s="1076">
        <f>'4C2 Open-burning '!AH148</f>
        <v>6.6719697500460751E-2</v>
      </c>
      <c r="J156" s="1111">
        <f>'4D Wastewater treatment and dis'!AV185</f>
        <v>232.61021391444527</v>
      </c>
      <c r="K156" s="892">
        <f>'4D Wastewater treatment and dis'!AW185</f>
        <v>3.6663405729089016</v>
      </c>
      <c r="L156" s="893">
        <f t="shared" si="117"/>
        <v>7205.9520279025983</v>
      </c>
      <c r="M156" s="894">
        <f t="shared" si="118"/>
        <v>15.868239615649301</v>
      </c>
      <c r="N156" s="893">
        <f t="shared" si="119"/>
        <v>1346.5334759565262</v>
      </c>
      <c r="O156" s="895">
        <f t="shared" si="120"/>
        <v>135.56911614417857</v>
      </c>
      <c r="P156" s="893">
        <f t="shared" si="121"/>
        <v>6021.38006980511</v>
      </c>
      <c r="Q156" s="598">
        <f t="shared" si="122"/>
        <v>7205.9520279025983</v>
      </c>
      <c r="R156" s="600">
        <f t="shared" si="123"/>
        <v>1362.4017155721756</v>
      </c>
      <c r="S156" s="597">
        <f t="shared" si="124"/>
        <v>135.56911614417857</v>
      </c>
      <c r="T156" s="598">
        <f t="shared" si="125"/>
        <v>6021.38006980511</v>
      </c>
      <c r="U156" s="598">
        <f t="shared" si="126"/>
        <v>14725.302929424062</v>
      </c>
    </row>
    <row r="157" spans="1:21">
      <c r="A157" s="4">
        <f>'Input data'!A144</f>
        <v>2044</v>
      </c>
      <c r="B157" s="4"/>
      <c r="C157" s="891">
        <f>'4A SWD Case 2'!BN113</f>
        <v>334.36600140024086</v>
      </c>
      <c r="D157" s="3">
        <f>'4B Biological treatment '!T210</f>
        <v>0.81404535383487253</v>
      </c>
      <c r="E157" s="1358">
        <f>'4B Biological treatment '!U210</f>
        <v>36.63204092256926</v>
      </c>
      <c r="F157" s="1358">
        <f>'4B Biological treatment '!W210</f>
        <v>2.1979224553541559</v>
      </c>
      <c r="G157" s="1076">
        <f>'4C2 Open-burning '!R149</f>
        <v>14.331840463503996</v>
      </c>
      <c r="H157" s="1076">
        <f>'4C2 Open-burning '!Z149</f>
        <v>4.8222255413335091</v>
      </c>
      <c r="I157" s="1076">
        <f>'4C2 Open-burning '!AH149</f>
        <v>6.7133518546926479E-2</v>
      </c>
      <c r="J157" s="1111">
        <f>'4D Wastewater treatment and dis'!AV186</f>
        <v>234.05295130305572</v>
      </c>
      <c r="K157" s="892">
        <f>'4D Wastewater treatment and dis'!AW186</f>
        <v>3.6890806174447812</v>
      </c>
      <c r="L157" s="893">
        <f t="shared" si="117"/>
        <v>7021.6860294050584</v>
      </c>
      <c r="M157" s="894">
        <f t="shared" si="118"/>
        <v>17.094952430532324</v>
      </c>
      <c r="N157" s="893">
        <f t="shared" si="119"/>
        <v>1450.6288205337428</v>
      </c>
      <c r="O157" s="895">
        <f t="shared" si="120"/>
        <v>136.4099675810549</v>
      </c>
      <c r="P157" s="893">
        <f t="shared" si="121"/>
        <v>6058.7269687720527</v>
      </c>
      <c r="Q157" s="598">
        <f t="shared" si="122"/>
        <v>7021.6860294050584</v>
      </c>
      <c r="R157" s="600">
        <f t="shared" si="123"/>
        <v>1467.7237729642752</v>
      </c>
      <c r="S157" s="597">
        <f t="shared" si="124"/>
        <v>136.4099675810549</v>
      </c>
      <c r="T157" s="598">
        <f t="shared" si="125"/>
        <v>6058.7269687720527</v>
      </c>
      <c r="U157" s="598">
        <f t="shared" si="126"/>
        <v>14684.546738722442</v>
      </c>
    </row>
    <row r="158" spans="1:21">
      <c r="A158" s="4">
        <f>'Input data'!A145</f>
        <v>2045</v>
      </c>
      <c r="B158" s="4"/>
      <c r="C158" s="891">
        <f>'4A SWD Case 2'!BN114</f>
        <v>326.13051480810043</v>
      </c>
      <c r="D158" s="3">
        <f>'4B Biological treatment '!T211</f>
        <v>0.87429466128630429</v>
      </c>
      <c r="E158" s="1358">
        <f>'4B Biological treatment '!U211</f>
        <v>39.343259757883686</v>
      </c>
      <c r="F158" s="1358">
        <f>'4B Biological treatment '!W211</f>
        <v>2.3605955854730212</v>
      </c>
      <c r="G158" s="1076">
        <f>'4C2 Open-burning '!R150</f>
        <v>14.420967606412411</v>
      </c>
      <c r="H158" s="1076">
        <f>'4C2 Open-burning '!Z150</f>
        <v>4.8522140962615055</v>
      </c>
      <c r="I158" s="1076">
        <f>'4C2 Open-burning '!AH150</f>
        <v>6.7551009846575916E-2</v>
      </c>
      <c r="J158" s="1111">
        <f>'4D Wastewater treatment and dis'!AV187</f>
        <v>235.50848458868253</v>
      </c>
      <c r="K158" s="892">
        <f>'4D Wastewater treatment and dis'!AW187</f>
        <v>3.7120223475197802</v>
      </c>
      <c r="L158" s="893">
        <f t="shared" si="117"/>
        <v>6848.7408109701091</v>
      </c>
      <c r="M158" s="894">
        <f t="shared" si="118"/>
        <v>18.36018788701239</v>
      </c>
      <c r="N158" s="893">
        <f t="shared" si="119"/>
        <v>1557.9930864121941</v>
      </c>
      <c r="O158" s="895">
        <f t="shared" si="120"/>
        <v>137.25827668034256</v>
      </c>
      <c r="P158" s="893">
        <f t="shared" si="121"/>
        <v>6096.4051040934646</v>
      </c>
      <c r="Q158" s="598">
        <f t="shared" si="122"/>
        <v>6848.7408109701091</v>
      </c>
      <c r="R158" s="600">
        <f t="shared" si="123"/>
        <v>1576.3532742992065</v>
      </c>
      <c r="S158" s="597">
        <f t="shared" si="124"/>
        <v>137.25827668034256</v>
      </c>
      <c r="T158" s="598">
        <f t="shared" si="125"/>
        <v>6096.4051040934646</v>
      </c>
      <c r="U158" s="598">
        <f t="shared" si="126"/>
        <v>14658.757466043124</v>
      </c>
    </row>
    <row r="159" spans="1:21">
      <c r="A159" s="4">
        <f>'Input data'!A146</f>
        <v>2046</v>
      </c>
      <c r="B159" s="4"/>
      <c r="C159" s="891">
        <f>'4A SWD Case 2'!BN115</f>
        <v>318.41299520497887</v>
      </c>
      <c r="D159" s="3">
        <f>'4B Biological treatment '!T212</f>
        <v>0.93584897481744633</v>
      </c>
      <c r="E159" s="1358">
        <f>'4B Biological treatment '!U212</f>
        <v>42.113203866785078</v>
      </c>
      <c r="F159" s="1358">
        <f>'4B Biological treatment '!W212</f>
        <v>2.5267922320071046</v>
      </c>
      <c r="G159" s="1076">
        <f>'4C2 Open-burning '!R151</f>
        <v>14.494424042875391</v>
      </c>
      <c r="H159" s="1076">
        <f>'4C2 Open-burning '!Z151</f>
        <v>4.8769299382351265</v>
      </c>
      <c r="I159" s="1076">
        <f>'4C2 Open-burning '!AH151</f>
        <v>6.7895096082550732E-2</v>
      </c>
      <c r="J159" s="1111">
        <f>'4D Wastewater treatment and dis'!AV188</f>
        <v>236.70809993397941</v>
      </c>
      <c r="K159" s="892">
        <f>'4D Wastewater treatment and dis'!AW188</f>
        <v>3.7309303668123635</v>
      </c>
      <c r="L159" s="893">
        <f t="shared" si="117"/>
        <v>6686.6728993045563</v>
      </c>
      <c r="M159" s="894">
        <f t="shared" si="118"/>
        <v>19.652828471166373</v>
      </c>
      <c r="N159" s="893">
        <f t="shared" si="119"/>
        <v>1667.6828731246892</v>
      </c>
      <c r="O159" s="895">
        <f t="shared" si="120"/>
        <v>137.95743253140378</v>
      </c>
      <c r="P159" s="893">
        <f t="shared" si="121"/>
        <v>6127.4585123254001</v>
      </c>
      <c r="Q159" s="598">
        <f t="shared" si="122"/>
        <v>6686.6728993045563</v>
      </c>
      <c r="R159" s="600">
        <f t="shared" si="123"/>
        <v>1687.3357015958557</v>
      </c>
      <c r="S159" s="597">
        <f t="shared" si="124"/>
        <v>137.95743253140378</v>
      </c>
      <c r="T159" s="598">
        <f t="shared" si="125"/>
        <v>6127.4585123254001</v>
      </c>
      <c r="U159" s="598">
        <f t="shared" si="126"/>
        <v>14639.424545757216</v>
      </c>
    </row>
    <row r="160" spans="1:21">
      <c r="A160" s="4">
        <f>'Input data'!A147</f>
        <v>2047</v>
      </c>
      <c r="B160" s="4"/>
      <c r="C160" s="891">
        <f>'4A SWD Case 2'!BN116</f>
        <v>311.1860757725882</v>
      </c>
      <c r="D160" s="3">
        <f>'4B Biological treatment '!T213</f>
        <v>0.99897461414534527</v>
      </c>
      <c r="E160" s="1358">
        <f>'4B Biological treatment '!U213</f>
        <v>44.953857636540526</v>
      </c>
      <c r="F160" s="1358">
        <f>'4B Biological treatment '!W213</f>
        <v>2.6972314581924315</v>
      </c>
      <c r="G160" s="1076">
        <f>'4C2 Open-burning '!R152</f>
        <v>14.568468130830077</v>
      </c>
      <c r="H160" s="1076">
        <f>'4C2 Open-burning '!Z152</f>
        <v>4.9018435069445374</v>
      </c>
      <c r="I160" s="1076">
        <f>'4C2 Open-burning '!AH152</f>
        <v>6.8241935008413357E-2</v>
      </c>
      <c r="J160" s="1111">
        <f>'4D Wastewater treatment and dis'!AV189</f>
        <v>237.91731220203872</v>
      </c>
      <c r="K160" s="892">
        <f>'4D Wastewater treatment and dis'!AW189</f>
        <v>3.7499896502592862</v>
      </c>
      <c r="L160" s="893">
        <f t="shared" si="117"/>
        <v>6534.9075912243525</v>
      </c>
      <c r="M160" s="894">
        <f t="shared" si="118"/>
        <v>20.97846689705225</v>
      </c>
      <c r="N160" s="893">
        <f t="shared" si="119"/>
        <v>1780.1727624070049</v>
      </c>
      <c r="O160" s="895">
        <f t="shared" si="120"/>
        <v>138.6621816292735</v>
      </c>
      <c r="P160" s="893">
        <f t="shared" si="121"/>
        <v>6158.7603478231922</v>
      </c>
      <c r="Q160" s="598">
        <f t="shared" si="122"/>
        <v>6534.9075912243525</v>
      </c>
      <c r="R160" s="600">
        <f t="shared" si="123"/>
        <v>1801.1512293040571</v>
      </c>
      <c r="S160" s="597">
        <f t="shared" si="124"/>
        <v>138.6621816292735</v>
      </c>
      <c r="T160" s="598">
        <f t="shared" si="125"/>
        <v>6158.7603478231922</v>
      </c>
      <c r="U160" s="598">
        <f t="shared" si="126"/>
        <v>14633.481349980875</v>
      </c>
    </row>
    <row r="161" spans="1:21">
      <c r="A161" s="4">
        <f>'Input data'!A148</f>
        <v>2048</v>
      </c>
      <c r="B161" s="4"/>
      <c r="C161" s="891">
        <f>'4A SWD Case 2'!BN117</f>
        <v>304.43024075644576</v>
      </c>
      <c r="D161" s="3">
        <f>'4B Biological treatment '!T214</f>
        <v>1.0625006138415516</v>
      </c>
      <c r="E161" s="1358">
        <f>'4B Biological treatment '!U214</f>
        <v>47.812527622869816</v>
      </c>
      <c r="F161" s="1358">
        <f>'4B Biological treatment '!W214</f>
        <v>2.8687516573721892</v>
      </c>
      <c r="G161" s="1076">
        <f>'4C2 Open-burning '!R153</f>
        <v>14.642903986445896</v>
      </c>
      <c r="H161" s="1076">
        <f>'4C2 Open-burning '!Z153</f>
        <v>4.9268888934778072</v>
      </c>
      <c r="I161" s="1076">
        <f>'4C2 Open-burning '!AH153</f>
        <v>6.8590609060867822E-2</v>
      </c>
      <c r="J161" s="1111">
        <f>'4D Wastewater treatment and dis'!AV190</f>
        <v>239.13292241860617</v>
      </c>
      <c r="K161" s="892">
        <f>'4D Wastewater treatment and dis'!AW190</f>
        <v>3.76914977647577</v>
      </c>
      <c r="L161" s="893">
        <f t="shared" si="117"/>
        <v>6393.0350558853606</v>
      </c>
      <c r="M161" s="894">
        <f t="shared" si="118"/>
        <v>22.312512890672583</v>
      </c>
      <c r="N161" s="893">
        <f t="shared" si="119"/>
        <v>1893.3760938656446</v>
      </c>
      <c r="O161" s="895">
        <f t="shared" si="120"/>
        <v>139.37065955834888</v>
      </c>
      <c r="P161" s="893">
        <f t="shared" si="121"/>
        <v>6190.2278014982176</v>
      </c>
      <c r="Q161" s="598">
        <f t="shared" si="122"/>
        <v>6393.0350558853606</v>
      </c>
      <c r="R161" s="600">
        <f t="shared" si="123"/>
        <v>1915.6886067563173</v>
      </c>
      <c r="S161" s="597">
        <f t="shared" si="124"/>
        <v>139.37065955834888</v>
      </c>
      <c r="T161" s="598">
        <f t="shared" si="125"/>
        <v>6190.2278014982176</v>
      </c>
      <c r="U161" s="598">
        <f t="shared" si="126"/>
        <v>14638.322123698243</v>
      </c>
    </row>
    <row r="162" spans="1:21">
      <c r="A162" s="4">
        <f>'Input data'!A149</f>
        <v>2049</v>
      </c>
      <c r="B162" s="4"/>
      <c r="C162" s="891">
        <f>'4A SWD Case 2'!BN118</f>
        <v>298.12375764546175</v>
      </c>
      <c r="D162" s="3">
        <f>'4B Biological treatment '!T215</f>
        <v>1.1277399265895545</v>
      </c>
      <c r="E162" s="1358">
        <f>'4B Biological treatment '!U215</f>
        <v>50.748296696529941</v>
      </c>
      <c r="F162" s="1358">
        <f>'4B Biological treatment '!W215</f>
        <v>3.0448978017917963</v>
      </c>
      <c r="G162" s="1076">
        <f>'4C2 Open-burning '!R154</f>
        <v>14.717535725892283</v>
      </c>
      <c r="H162" s="1076">
        <f>'4C2 Open-burning '!Z154</f>
        <v>4.9520001889230079</v>
      </c>
      <c r="I162" s="1076">
        <f>'4C2 Open-burning '!AH154</f>
        <v>6.8940200676618241E-2</v>
      </c>
      <c r="J162" s="1111">
        <f>'4D Wastewater treatment and dis'!AV191</f>
        <v>240.35173160942776</v>
      </c>
      <c r="K162" s="892">
        <f>'4D Wastewater treatment and dis'!AW191</f>
        <v>3.7883603240770336</v>
      </c>
      <c r="L162" s="893">
        <f t="shared" si="117"/>
        <v>6260.5989105546969</v>
      </c>
      <c r="M162" s="894">
        <f t="shared" si="118"/>
        <v>23.682538458380645</v>
      </c>
      <c r="N162" s="893">
        <f t="shared" si="119"/>
        <v>2009.6325491825855</v>
      </c>
      <c r="O162" s="895">
        <f t="shared" si="120"/>
        <v>140.0810019030271</v>
      </c>
      <c r="P162" s="893">
        <f t="shared" si="121"/>
        <v>6221.7780642618636</v>
      </c>
      <c r="Q162" s="598">
        <f t="shared" si="122"/>
        <v>6260.5989105546969</v>
      </c>
      <c r="R162" s="600">
        <f t="shared" si="123"/>
        <v>2033.3150876409661</v>
      </c>
      <c r="S162" s="597">
        <f t="shared" si="124"/>
        <v>140.0810019030271</v>
      </c>
      <c r="T162" s="598">
        <f t="shared" si="125"/>
        <v>6221.7780642618636</v>
      </c>
      <c r="U162" s="598">
        <f t="shared" si="126"/>
        <v>14655.773064360554</v>
      </c>
    </row>
    <row r="163" spans="1:21">
      <c r="A163" s="4">
        <f>'Input data'!A150</f>
        <v>2050</v>
      </c>
      <c r="B163" s="4"/>
      <c r="C163" s="891">
        <f>'4A SWD Case 2'!BN119</f>
        <v>292.24935197577742</v>
      </c>
      <c r="D163" s="3">
        <f>'4B Biological treatment '!T216</f>
        <v>1.1948344900656584</v>
      </c>
      <c r="E163" s="1358">
        <f>'4B Biological treatment '!U216</f>
        <v>53.767552052954635</v>
      </c>
      <c r="F163" s="1358">
        <f>'4B Biological treatment '!W216</f>
        <v>3.2260531231772775</v>
      </c>
      <c r="G163" s="1076">
        <f>'4C2 Open-burning '!R155</f>
        <v>14.792755116830378</v>
      </c>
      <c r="H163" s="1076">
        <f>'4C2 Open-burning '!Z155</f>
        <v>4.9773092111039965</v>
      </c>
      <c r="I163" s="1076">
        <f>'4C2 Open-burning '!AH155</f>
        <v>6.9292544982256454E-2</v>
      </c>
      <c r="J163" s="1111">
        <f>'4D Wastewater treatment and dis'!AV192</f>
        <v>241.58013772301177</v>
      </c>
      <c r="K163" s="892">
        <f>'4D Wastewater treatment and dis'!AW192</f>
        <v>3.8077221358326381</v>
      </c>
      <c r="L163" s="893">
        <f t="shared" si="117"/>
        <v>6137.2363914913258</v>
      </c>
      <c r="M163" s="894">
        <f t="shared" si="118"/>
        <v>25.091524291378828</v>
      </c>
      <c r="N163" s="893">
        <f t="shared" si="119"/>
        <v>2129.1950612970036</v>
      </c>
      <c r="O163" s="895">
        <f t="shared" si="120"/>
        <v>140.7969374945138</v>
      </c>
      <c r="P163" s="893">
        <f t="shared" si="121"/>
        <v>6253.5767542913654</v>
      </c>
      <c r="Q163" s="538">
        <f t="shared" si="122"/>
        <v>6137.2363914913258</v>
      </c>
      <c r="R163" s="596">
        <f t="shared" si="123"/>
        <v>2154.2865855883824</v>
      </c>
      <c r="S163" s="593">
        <f t="shared" si="124"/>
        <v>140.7969374945138</v>
      </c>
      <c r="T163" s="538">
        <f t="shared" si="125"/>
        <v>6253.5767542913654</v>
      </c>
      <c r="U163" s="538">
        <f t="shared" si="126"/>
        <v>14685.896668865587</v>
      </c>
    </row>
    <row r="164" spans="1:21">
      <c r="A164" s="479" t="s">
        <v>772</v>
      </c>
      <c r="D164" s="3">
        <f>'4B Biological treatment '!T217</f>
        <v>0</v>
      </c>
      <c r="E164" s="178">
        <f>'4B Biological treatment '!U217</f>
        <v>0</v>
      </c>
      <c r="F164" s="178">
        <f>'4B Biological treatment '!W217</f>
        <v>0</v>
      </c>
      <c r="G164" s="1076"/>
      <c r="H164" s="1076"/>
      <c r="I164" s="1076"/>
      <c r="J164" s="1111"/>
      <c r="K164" s="892"/>
      <c r="L164" s="893"/>
      <c r="M164" s="894"/>
      <c r="N164" s="893"/>
      <c r="O164" s="895"/>
      <c r="P164" s="893"/>
      <c r="Q164" s="538"/>
      <c r="R164" s="596"/>
      <c r="S164" s="593"/>
      <c r="T164" s="538"/>
      <c r="U164" s="538"/>
    </row>
    <row r="165" spans="1:21">
      <c r="A165">
        <f>'Input data'!A118</f>
        <v>2018</v>
      </c>
      <c r="C165" s="332">
        <f>'4A SWD Case 3'!BG87</f>
        <v>718.72894597883851</v>
      </c>
      <c r="D165" s="3">
        <f>'4B Biological treatment '!T218</f>
        <v>1.2948183571052194</v>
      </c>
      <c r="E165" s="178">
        <f>'4B Biological treatment '!U218</f>
        <v>32.711835596803169</v>
      </c>
      <c r="F165" s="178">
        <f>'4B Biological treatment '!W218</f>
        <v>1.9627101358081902</v>
      </c>
      <c r="G165" s="1076">
        <f>'4C2 Open-burning '!R157</f>
        <v>33.464406201319058</v>
      </c>
      <c r="H165" s="1076">
        <f>'4C2 Open-burning '!Z157</f>
        <v>11.259748161479752</v>
      </c>
      <c r="I165" s="1076">
        <f>'4C2 Open-burning '!AH157</f>
        <v>0.15675469874919792</v>
      </c>
      <c r="J165" s="1111">
        <f>'4D Wastewater treatment and dis'!AV194</f>
        <v>137.16052018288545</v>
      </c>
      <c r="K165" s="892">
        <f>'4D Wastewater treatment and dis'!AW194</f>
        <v>2.8960026562367029</v>
      </c>
      <c r="L165" s="893">
        <f>C165*$B$3</f>
        <v>15093.307865555609</v>
      </c>
      <c r="M165" s="894">
        <f t="shared" ref="M165:M197" si="127">D165*$B$3</f>
        <v>27.19118549920961</v>
      </c>
      <c r="N165" s="893">
        <f t="shared" ref="N165:N197" si="128">E165*$B$3+F165*$C$3</f>
        <v>1295.3886896334056</v>
      </c>
      <c r="O165" s="895">
        <f t="shared" ref="O165:O197" si="129">G165+H165*$B$3+I165*$C$3</f>
        <v>318.51307420464519</v>
      </c>
      <c r="P165" s="893">
        <f t="shared" ref="P165:P197" si="130">J165*$B$3+K165*$C$3</f>
        <v>3778.1317472739725</v>
      </c>
      <c r="Q165" s="538">
        <f t="shared" ref="Q165:Q197" si="131">L165</f>
        <v>15093.307865555609</v>
      </c>
      <c r="R165" s="596">
        <f t="shared" ref="R165:R197" si="132">M165+N165</f>
        <v>1322.5798751326151</v>
      </c>
      <c r="S165" s="593">
        <f t="shared" ref="S165:S197" si="133">O165</f>
        <v>318.51307420464519</v>
      </c>
      <c r="T165" s="538">
        <f t="shared" ref="T165:T197" si="134">P165</f>
        <v>3778.1317472739725</v>
      </c>
      <c r="U165" s="538">
        <f t="shared" ref="U165:U197" si="135">SUM(Q165:T165)</f>
        <v>20512.532562166842</v>
      </c>
    </row>
    <row r="166" spans="1:21">
      <c r="A166">
        <f>'Input data'!A119</f>
        <v>2019</v>
      </c>
      <c r="C166" s="332">
        <f>'4A SWD Case 3'!BG88</f>
        <v>715.93025711376094</v>
      </c>
      <c r="D166" s="3">
        <f>'4B Biological treatment '!T219</f>
        <v>1.9764984208071139</v>
      </c>
      <c r="E166" s="178">
        <f>'4B Biological treatment '!U219</f>
        <v>29.936724072166015</v>
      </c>
      <c r="F166" s="178">
        <f>'4B Biological treatment '!W219</f>
        <v>1.7962034443299606</v>
      </c>
      <c r="G166" s="1076">
        <f>'4C2 Open-burning '!R158</f>
        <v>33.456747505326334</v>
      </c>
      <c r="H166" s="1076">
        <f>'4C2 Open-burning '!Z158</f>
        <v>11.257171244752035</v>
      </c>
      <c r="I166" s="1076">
        <f>'4C2 Open-burning '!AH158</f>
        <v>0.15671882371899637</v>
      </c>
      <c r="J166" s="1111">
        <f>'4D Wastewater treatment and dis'!AV195</f>
        <v>143.32311856444659</v>
      </c>
      <c r="K166" s="892">
        <f>'4D Wastewater treatment and dis'!AW195</f>
        <v>2.9428441226975277</v>
      </c>
      <c r="L166" s="893">
        <f t="shared" ref="L166:L197" si="136">C166*$B$3</f>
        <v>15034.53539938898</v>
      </c>
      <c r="M166" s="894">
        <f t="shared" si="127"/>
        <v>41.506466836949393</v>
      </c>
      <c r="N166" s="893">
        <f t="shared" si="128"/>
        <v>1185.4942732577742</v>
      </c>
      <c r="O166" s="895">
        <f t="shared" si="129"/>
        <v>318.44017899800792</v>
      </c>
      <c r="P166" s="893">
        <f t="shared" si="130"/>
        <v>3922.0671678896119</v>
      </c>
      <c r="Q166" s="598">
        <f t="shared" si="131"/>
        <v>15034.53539938898</v>
      </c>
      <c r="R166" s="600">
        <f t="shared" si="132"/>
        <v>1227.0007400947236</v>
      </c>
      <c r="S166" s="597">
        <f t="shared" si="133"/>
        <v>318.44017899800792</v>
      </c>
      <c r="T166" s="598">
        <f t="shared" si="134"/>
        <v>3922.0671678896119</v>
      </c>
      <c r="U166" s="598">
        <f t="shared" si="135"/>
        <v>20502.043486371324</v>
      </c>
    </row>
    <row r="167" spans="1:21">
      <c r="A167">
        <f>'Input data'!A120</f>
        <v>2020</v>
      </c>
      <c r="C167" s="332">
        <f>'4A SWD Case 3'!BG89</f>
        <v>711.32288637017166</v>
      </c>
      <c r="D167" s="3">
        <f>'4B Biological treatment '!T220</f>
        <v>2.8038604859819967</v>
      </c>
      <c r="E167" s="178">
        <f>'4B Biological treatment '!U220</f>
        <v>28.27031991835452</v>
      </c>
      <c r="F167" s="178">
        <f>'4B Biological treatment '!W220</f>
        <v>1.6962191951012713</v>
      </c>
      <c r="G167" s="1076">
        <f>'4C2 Open-burning '!R159</f>
        <v>33.216619550945921</v>
      </c>
      <c r="H167" s="1076">
        <f>'4C2 Open-burning '!Z159</f>
        <v>11.176375539709817</v>
      </c>
      <c r="I167" s="1076">
        <f>'4C2 Open-burning '!AH159</f>
        <v>0.15559401113682425</v>
      </c>
      <c r="J167" s="1111">
        <f>'4D Wastewater treatment and dis'!AV196</f>
        <v>149.6491219215433</v>
      </c>
      <c r="K167" s="892">
        <f>'4D Wastewater treatment and dis'!AW196</f>
        <v>2.9904419099300554</v>
      </c>
      <c r="L167" s="893">
        <f t="shared" si="136"/>
        <v>14937.780613773604</v>
      </c>
      <c r="M167" s="894">
        <f t="shared" si="127"/>
        <v>58.881070205621931</v>
      </c>
      <c r="N167" s="893">
        <f t="shared" si="128"/>
        <v>1119.5046687668391</v>
      </c>
      <c r="O167" s="895">
        <f t="shared" si="129"/>
        <v>316.15464933726764</v>
      </c>
      <c r="P167" s="893">
        <f t="shared" si="130"/>
        <v>4069.6685524307268</v>
      </c>
      <c r="Q167" s="598">
        <f t="shared" si="131"/>
        <v>14937.780613773604</v>
      </c>
      <c r="R167" s="600">
        <f t="shared" si="132"/>
        <v>1178.385738972461</v>
      </c>
      <c r="S167" s="597">
        <f t="shared" si="133"/>
        <v>316.15464933726764</v>
      </c>
      <c r="T167" s="598">
        <f t="shared" si="134"/>
        <v>4069.6685524307268</v>
      </c>
      <c r="U167" s="598">
        <f t="shared" si="135"/>
        <v>20501.989554514061</v>
      </c>
    </row>
    <row r="168" spans="1:21">
      <c r="A168">
        <f>'Input data'!A121</f>
        <v>2021</v>
      </c>
      <c r="C168" s="332">
        <f>'4A SWD Case 3'!BG90</f>
        <v>700.32435530156522</v>
      </c>
      <c r="D168" s="3">
        <f>'4B Biological treatment '!T221</f>
        <v>3.3578484619229156</v>
      </c>
      <c r="E168" s="178">
        <f>'4B Biological treatment '!U221</f>
        <v>23.69397562785305</v>
      </c>
      <c r="F168" s="178">
        <f>'4B Biological treatment '!W221</f>
        <v>1.4216385376711829</v>
      </c>
      <c r="G168" s="1076">
        <f>'4C2 Open-burning '!R160</f>
        <v>31.225627400260244</v>
      </c>
      <c r="H168" s="1076">
        <f>'4C2 Open-burning '!Z160</f>
        <v>10.506467635970589</v>
      </c>
      <c r="I168" s="1076">
        <f>'4C2 Open-burning '!AH160</f>
        <v>0.14626776243797687</v>
      </c>
      <c r="J168" s="1111">
        <f>'4D Wastewater treatment and dis'!AV197</f>
        <v>155.4265138839244</v>
      </c>
      <c r="K168" s="892">
        <f>'4D Wastewater treatment and dis'!AW197</f>
        <v>3.024879715734945</v>
      </c>
      <c r="L168" s="893">
        <f t="shared" si="136"/>
        <v>14706.811461332869</v>
      </c>
      <c r="M168" s="894">
        <f t="shared" si="127"/>
        <v>70.514817700381229</v>
      </c>
      <c r="N168" s="893">
        <f t="shared" si="128"/>
        <v>938.28143486298063</v>
      </c>
      <c r="O168" s="895">
        <f t="shared" si="129"/>
        <v>297.20445411141543</v>
      </c>
      <c r="P168" s="893">
        <f t="shared" si="130"/>
        <v>4201.6695034402455</v>
      </c>
      <c r="Q168" s="598">
        <f t="shared" si="131"/>
        <v>14706.811461332869</v>
      </c>
      <c r="R168" s="600">
        <f t="shared" si="132"/>
        <v>1008.7962525633618</v>
      </c>
      <c r="S168" s="597">
        <f t="shared" si="133"/>
        <v>297.20445411141543</v>
      </c>
      <c r="T168" s="598">
        <f t="shared" si="134"/>
        <v>4201.6695034402455</v>
      </c>
      <c r="U168" s="598">
        <f t="shared" si="135"/>
        <v>20214.481671447891</v>
      </c>
    </row>
    <row r="169" spans="1:21">
      <c r="A169">
        <f>'Input data'!A122</f>
        <v>2022</v>
      </c>
      <c r="C169" s="332">
        <f>'4A SWD Case 3'!BG91</f>
        <v>680.71738157561151</v>
      </c>
      <c r="D169" s="3">
        <f>'4B Biological treatment '!T222</f>
        <v>3.0833780201592971</v>
      </c>
      <c r="E169" s="178">
        <f>'4B Biological treatment '!U222</f>
        <v>15.416890100796483</v>
      </c>
      <c r="F169" s="178">
        <f>'4B Biological treatment '!W222</f>
        <v>0.92501340604778903</v>
      </c>
      <c r="G169" s="1076">
        <f>'4C2 Open-burning '!R161</f>
        <v>26.557065695121505</v>
      </c>
      <c r="H169" s="1076">
        <f>'4C2 Open-burning '!Z161</f>
        <v>8.9356395519474283</v>
      </c>
      <c r="I169" s="1076">
        <f>'4C2 Open-burning '!AH161</f>
        <v>0.12439918424541899</v>
      </c>
      <c r="J169" s="1111">
        <f>'4D Wastewater treatment and dis'!AV198</f>
        <v>161.31482365077883</v>
      </c>
      <c r="K169" s="892">
        <f>'4D Wastewater treatment and dis'!AW198</f>
        <v>3.0596704712332969</v>
      </c>
      <c r="L169" s="893">
        <f t="shared" si="136"/>
        <v>14295.065013087842</v>
      </c>
      <c r="M169" s="894">
        <f t="shared" si="127"/>
        <v>64.750938423345232</v>
      </c>
      <c r="N169" s="893">
        <f t="shared" si="128"/>
        <v>610.50884799154073</v>
      </c>
      <c r="O169" s="895">
        <f t="shared" si="129"/>
        <v>252.7692434020974</v>
      </c>
      <c r="P169" s="893">
        <f t="shared" si="130"/>
        <v>4336.1091427486772</v>
      </c>
      <c r="Q169" s="598">
        <f t="shared" si="131"/>
        <v>14295.065013087842</v>
      </c>
      <c r="R169" s="600">
        <f t="shared" si="132"/>
        <v>675.25978641488598</v>
      </c>
      <c r="S169" s="597">
        <f t="shared" si="133"/>
        <v>252.7692434020974</v>
      </c>
      <c r="T169" s="598">
        <f t="shared" si="134"/>
        <v>4336.1091427486772</v>
      </c>
      <c r="U169" s="598">
        <f t="shared" si="135"/>
        <v>19559.203185653503</v>
      </c>
    </row>
    <row r="170" spans="1:21">
      <c r="A170">
        <f>'Input data'!A123</f>
        <v>2023</v>
      </c>
      <c r="C170" s="332">
        <f>'4A SWD Case 3'!BG92</f>
        <v>657.65434764392705</v>
      </c>
      <c r="D170" s="3">
        <f>'4B Biological treatment '!T223</f>
        <v>2.5387700596320175</v>
      </c>
      <c r="E170" s="178">
        <f>'4B Biological treatment '!U223</f>
        <v>12.693850298160086</v>
      </c>
      <c r="F170" s="178">
        <f>'4B Biological treatment '!W223</f>
        <v>0.76163101788960519</v>
      </c>
      <c r="G170" s="1076">
        <f>'4C2 Open-burning '!R162</f>
        <v>25.591310984719968</v>
      </c>
      <c r="H170" s="1076">
        <f>'4C2 Open-burning '!Z162</f>
        <v>8.6106926588375945</v>
      </c>
      <c r="I170" s="1076">
        <f>'4C2 Open-burning '!AH162</f>
        <v>0.11987537504396825</v>
      </c>
      <c r="J170" s="1111">
        <f>'4D Wastewater treatment and dis'!AV199</f>
        <v>167.32092220488411</v>
      </c>
      <c r="K170" s="892">
        <f>'4D Wastewater treatment and dis'!AW199</f>
        <v>3.0949150191946715</v>
      </c>
      <c r="L170" s="893">
        <f t="shared" si="136"/>
        <v>13810.741300522468</v>
      </c>
      <c r="M170" s="894">
        <f t="shared" si="127"/>
        <v>53.314171252272367</v>
      </c>
      <c r="N170" s="893">
        <f t="shared" si="128"/>
        <v>502.67647180713942</v>
      </c>
      <c r="O170" s="895">
        <f t="shared" si="129"/>
        <v>243.5772230839396</v>
      </c>
      <c r="P170" s="893">
        <f t="shared" si="130"/>
        <v>4473.1630222529147</v>
      </c>
      <c r="Q170" s="598">
        <f t="shared" si="131"/>
        <v>13810.741300522468</v>
      </c>
      <c r="R170" s="600">
        <f t="shared" si="132"/>
        <v>555.99064305941181</v>
      </c>
      <c r="S170" s="597">
        <f t="shared" si="133"/>
        <v>243.5772230839396</v>
      </c>
      <c r="T170" s="598">
        <f t="shared" si="134"/>
        <v>4473.1630222529147</v>
      </c>
      <c r="U170" s="598">
        <f t="shared" si="135"/>
        <v>19083.472188918735</v>
      </c>
    </row>
    <row r="171" spans="1:21">
      <c r="A171">
        <f>'Input data'!A124</f>
        <v>2024</v>
      </c>
      <c r="C171" s="332">
        <f>'4A SWD Case 3'!BG93</f>
        <v>635.57553779608452</v>
      </c>
      <c r="D171" s="3">
        <f>'4B Biological treatment '!T224</f>
        <v>2.4735575141969033</v>
      </c>
      <c r="E171" s="178">
        <f>'4B Biological treatment '!U224</f>
        <v>12.367787570984518</v>
      </c>
      <c r="F171" s="178">
        <f>'4B Biological treatment '!W224</f>
        <v>0.74206725425907094</v>
      </c>
      <c r="G171" s="1076">
        <f>'4C2 Open-burning '!R163</f>
        <v>24.564638588053686</v>
      </c>
      <c r="H171" s="1076">
        <f>'4C2 Open-burning '!Z163</f>
        <v>8.2652488293173363</v>
      </c>
      <c r="I171" s="1076">
        <f>'4C2 Open-burning '!AH163</f>
        <v>0.11506621389270311</v>
      </c>
      <c r="J171" s="1111">
        <f>'4D Wastewater treatment and dis'!AV200</f>
        <v>173.44384059068466</v>
      </c>
      <c r="K171" s="892">
        <f>'4D Wastewater treatment and dis'!AW200</f>
        <v>3.1305629382342866</v>
      </c>
      <c r="L171" s="893">
        <f t="shared" si="136"/>
        <v>13347.086293717775</v>
      </c>
      <c r="M171" s="894">
        <f t="shared" si="127"/>
        <v>51.944707798134971</v>
      </c>
      <c r="N171" s="893">
        <f t="shared" si="128"/>
        <v>489.76438781098693</v>
      </c>
      <c r="O171" s="895">
        <f t="shared" si="129"/>
        <v>233.80539031045572</v>
      </c>
      <c r="P171" s="893">
        <f t="shared" si="130"/>
        <v>4612.7951632570066</v>
      </c>
      <c r="Q171" s="598">
        <f t="shared" si="131"/>
        <v>13347.086293717775</v>
      </c>
      <c r="R171" s="600">
        <f t="shared" si="132"/>
        <v>541.70909560912196</v>
      </c>
      <c r="S171" s="597">
        <f t="shared" si="133"/>
        <v>233.80539031045572</v>
      </c>
      <c r="T171" s="598">
        <f t="shared" si="134"/>
        <v>4612.7951632570066</v>
      </c>
      <c r="U171" s="598">
        <f t="shared" si="135"/>
        <v>18735.39594289436</v>
      </c>
    </row>
    <row r="172" spans="1:21">
      <c r="A172">
        <f>'Input data'!A125</f>
        <v>2025</v>
      </c>
      <c r="C172" s="332">
        <f>'4A SWD Case 3'!BG94</f>
        <v>614.40026851846005</v>
      </c>
      <c r="D172" s="3">
        <f>'4B Biological treatment '!T225</f>
        <v>2.4030557645507238</v>
      </c>
      <c r="E172" s="178">
        <f>'4B Biological treatment '!U225</f>
        <v>12.015278822753618</v>
      </c>
      <c r="F172" s="178">
        <f>'4B Biological treatment '!W225</f>
        <v>0.72091672936521711</v>
      </c>
      <c r="G172" s="1076">
        <f>'4C2 Open-burning '!R164</f>
        <v>23.473862461725432</v>
      </c>
      <c r="H172" s="1076">
        <f>'4C2 Open-burning '!Z164</f>
        <v>7.8982360573253887</v>
      </c>
      <c r="I172" s="1076">
        <f>'4C2 Open-burning '!AH164</f>
        <v>0.10995677665790576</v>
      </c>
      <c r="J172" s="1111">
        <f>'4D Wastewater treatment and dis'!AV201</f>
        <v>179.68520063996107</v>
      </c>
      <c r="K172" s="892">
        <f>'4D Wastewater treatment and dis'!AW201</f>
        <v>3.166614228352143</v>
      </c>
      <c r="L172" s="893">
        <f t="shared" si="136"/>
        <v>12902.405638887662</v>
      </c>
      <c r="M172" s="894">
        <f t="shared" si="127"/>
        <v>50.464171055565203</v>
      </c>
      <c r="N172" s="893">
        <f t="shared" si="128"/>
        <v>475.80504138104328</v>
      </c>
      <c r="O172" s="895">
        <f t="shared" si="129"/>
        <v>223.42342042950941</v>
      </c>
      <c r="P172" s="893">
        <f t="shared" si="130"/>
        <v>4755.0396242283468</v>
      </c>
      <c r="Q172" s="598">
        <f t="shared" si="131"/>
        <v>12902.405638887662</v>
      </c>
      <c r="R172" s="600">
        <f t="shared" si="132"/>
        <v>526.26921243660854</v>
      </c>
      <c r="S172" s="597">
        <f t="shared" si="133"/>
        <v>223.42342042950941</v>
      </c>
      <c r="T172" s="598">
        <f t="shared" si="134"/>
        <v>4755.0396242283468</v>
      </c>
      <c r="U172" s="598">
        <f t="shared" si="135"/>
        <v>18407.137895982127</v>
      </c>
    </row>
    <row r="173" spans="1:21">
      <c r="A173">
        <f>'Input data'!A126</f>
        <v>2026</v>
      </c>
      <c r="C173" s="332">
        <f>'4A SWD Case 3'!BG95</f>
        <v>594.05264903543207</v>
      </c>
      <c r="D173" s="3">
        <f>'4B Biological treatment '!T226</f>
        <v>2.325173702858184</v>
      </c>
      <c r="E173" s="178">
        <f>'4B Biological treatment '!U226</f>
        <v>11.625868514290918</v>
      </c>
      <c r="F173" s="178">
        <f>'4B Biological treatment '!W226</f>
        <v>0.69755211085745517</v>
      </c>
      <c r="G173" s="1076">
        <f>'4C2 Open-burning '!R165</f>
        <v>22.278732943613061</v>
      </c>
      <c r="H173" s="1076">
        <f>'4C2 Open-burning '!Z165</f>
        <v>7.4961115638160596</v>
      </c>
      <c r="I173" s="1076">
        <f>'4C2 Open-burning '!AH165</f>
        <v>0.10435852499759113</v>
      </c>
      <c r="J173" s="1111">
        <f>'4D Wastewater treatment and dis'!AV202</f>
        <v>185.73911394397246</v>
      </c>
      <c r="K173" s="892">
        <f>'4D Wastewater treatment and dis'!AW202</f>
        <v>3.1977746441463193</v>
      </c>
      <c r="L173" s="893">
        <f t="shared" si="136"/>
        <v>12475.105629744074</v>
      </c>
      <c r="M173" s="894">
        <f t="shared" si="127"/>
        <v>48.828647760021866</v>
      </c>
      <c r="N173" s="893">
        <f t="shared" si="128"/>
        <v>460.38439316592041</v>
      </c>
      <c r="O173" s="895">
        <f t="shared" si="129"/>
        <v>212.04821853300356</v>
      </c>
      <c r="P173" s="893">
        <f t="shared" si="130"/>
        <v>4891.8315325087806</v>
      </c>
      <c r="Q173" s="598">
        <f t="shared" si="131"/>
        <v>12475.105629744074</v>
      </c>
      <c r="R173" s="600">
        <f t="shared" si="132"/>
        <v>509.21304092594227</v>
      </c>
      <c r="S173" s="597">
        <f t="shared" si="133"/>
        <v>212.04821853300356</v>
      </c>
      <c r="T173" s="598">
        <f t="shared" si="134"/>
        <v>4891.8315325087806</v>
      </c>
      <c r="U173" s="598">
        <f t="shared" si="135"/>
        <v>18088.198421711801</v>
      </c>
    </row>
    <row r="174" spans="1:21">
      <c r="A174">
        <f>'Input data'!A127</f>
        <v>2027</v>
      </c>
      <c r="C174" s="332">
        <f>'4A SWD Case 3'!BG96</f>
        <v>574.45017948627344</v>
      </c>
      <c r="D174" s="3">
        <f>'4B Biological treatment '!T227</f>
        <v>2.2446095737645821</v>
      </c>
      <c r="E174" s="178">
        <f>'4B Biological treatment '!U227</f>
        <v>11.22304786882291</v>
      </c>
      <c r="F174" s="178">
        <f>'4B Biological treatment '!W227</f>
        <v>0.67338287212937464</v>
      </c>
      <c r="G174" s="1076">
        <f>'4C2 Open-burning '!R166</f>
        <v>21.017106702586425</v>
      </c>
      <c r="H174" s="1076">
        <f>'4C2 Open-burning '!Z166</f>
        <v>7.0716129588680232</v>
      </c>
      <c r="I174" s="1076">
        <f>'4C2 Open-burning '!AH166</f>
        <v>9.8448787942749277E-2</v>
      </c>
      <c r="J174" s="1111">
        <f>'4D Wastewater treatment and dis'!AV203</f>
        <v>191.89752530165873</v>
      </c>
      <c r="K174" s="892">
        <f>'4D Wastewater treatment and dis'!AW203</f>
        <v>3.2292880096339567</v>
      </c>
      <c r="L174" s="893">
        <f t="shared" si="136"/>
        <v>12063.453769211743</v>
      </c>
      <c r="M174" s="894">
        <f t="shared" si="127"/>
        <v>47.136801049056224</v>
      </c>
      <c r="N174" s="893">
        <f t="shared" si="128"/>
        <v>444.43269560538727</v>
      </c>
      <c r="O174" s="895">
        <f t="shared" si="129"/>
        <v>200.04010310106719</v>
      </c>
      <c r="P174" s="893">
        <f t="shared" si="130"/>
        <v>5030.9273143213595</v>
      </c>
      <c r="Q174" s="598">
        <f t="shared" si="131"/>
        <v>12063.453769211743</v>
      </c>
      <c r="R174" s="600">
        <f t="shared" si="132"/>
        <v>491.56949665444347</v>
      </c>
      <c r="S174" s="597">
        <f t="shared" si="133"/>
        <v>200.04010310106719</v>
      </c>
      <c r="T174" s="598">
        <f t="shared" si="134"/>
        <v>5030.9273143213595</v>
      </c>
      <c r="U174" s="598">
        <f t="shared" si="135"/>
        <v>17785.990683288612</v>
      </c>
    </row>
    <row r="175" spans="1:21">
      <c r="A175">
        <f>'Input data'!A128</f>
        <v>2028</v>
      </c>
      <c r="C175" s="332">
        <f>'4A SWD Case 3'!BG97</f>
        <v>555.52155350083922</v>
      </c>
      <c r="D175" s="3">
        <f>'4B Biological treatment '!T228</f>
        <v>2.1585620914424446</v>
      </c>
      <c r="E175" s="178">
        <f>'4B Biological treatment '!U228</f>
        <v>10.792810457212221</v>
      </c>
      <c r="F175" s="178">
        <f>'4B Biological treatment '!W228</f>
        <v>0.64756862743273325</v>
      </c>
      <c r="G175" s="1076">
        <f>'4C2 Open-burning '!R167</f>
        <v>19.684894825603294</v>
      </c>
      <c r="H175" s="1076">
        <f>'4C2 Open-burning '!Z167</f>
        <v>6.6233644484261731</v>
      </c>
      <c r="I175" s="1076">
        <f>'4C2 Open-burning '!AH167</f>
        <v>9.2208412118051003E-2</v>
      </c>
      <c r="J175" s="1111">
        <f>'4D Wastewater treatment and dis'!AV204</f>
        <v>198.15572617261648</v>
      </c>
      <c r="K175" s="892">
        <f>'4D Wastewater treatment and dis'!AW204</f>
        <v>3.2610534820454951</v>
      </c>
      <c r="L175" s="893">
        <f t="shared" si="136"/>
        <v>11665.952623517624</v>
      </c>
      <c r="M175" s="894">
        <f t="shared" si="127"/>
        <v>45.32980392029134</v>
      </c>
      <c r="N175" s="893">
        <f t="shared" si="128"/>
        <v>427.39529410560397</v>
      </c>
      <c r="O175" s="895">
        <f t="shared" si="129"/>
        <v>187.36015599914873</v>
      </c>
      <c r="P175" s="893">
        <f t="shared" si="130"/>
        <v>5172.1968290590494</v>
      </c>
      <c r="Q175" s="598">
        <f t="shared" si="131"/>
        <v>11665.952623517624</v>
      </c>
      <c r="R175" s="600">
        <f t="shared" si="132"/>
        <v>472.72509802589531</v>
      </c>
      <c r="S175" s="597">
        <f t="shared" si="133"/>
        <v>187.36015599914873</v>
      </c>
      <c r="T175" s="598">
        <f t="shared" si="134"/>
        <v>5172.1968290590494</v>
      </c>
      <c r="U175" s="598">
        <f t="shared" si="135"/>
        <v>17498.234706601717</v>
      </c>
    </row>
    <row r="176" spans="1:21">
      <c r="A176">
        <f>'Input data'!A129</f>
        <v>2029</v>
      </c>
      <c r="C176" s="332">
        <f>'4A SWD Case 3'!BG98</f>
        <v>537.1993393639201</v>
      </c>
      <c r="D176" s="3">
        <f>'4B Biological treatment '!T229</f>
        <v>2.0676570178389104</v>
      </c>
      <c r="E176" s="178">
        <f>'4B Biological treatment '!U229</f>
        <v>10.338285089194553</v>
      </c>
      <c r="F176" s="178">
        <f>'4B Biological treatment '!W229</f>
        <v>0.62029710535167315</v>
      </c>
      <c r="G176" s="1076">
        <f>'4C2 Open-burning '!R168</f>
        <v>18.279119829363644</v>
      </c>
      <c r="H176" s="1076">
        <f>'4C2 Open-burning '!Z168</f>
        <v>6.1503642005168082</v>
      </c>
      <c r="I176" s="1076">
        <f>'4C2 Open-burning '!AH168</f>
        <v>8.5623450331518108E-2</v>
      </c>
      <c r="J176" s="1111">
        <f>'4D Wastewater treatment and dis'!AV205</f>
        <v>204.52099299756838</v>
      </c>
      <c r="K176" s="892">
        <f>'4D Wastewater treatment and dis'!AW205</f>
        <v>3.2931719041504954</v>
      </c>
      <c r="L176" s="893">
        <f t="shared" si="136"/>
        <v>11281.186126642322</v>
      </c>
      <c r="M176" s="894">
        <f t="shared" si="127"/>
        <v>43.420797374617116</v>
      </c>
      <c r="N176" s="893">
        <f t="shared" si="128"/>
        <v>409.39608953210427</v>
      </c>
      <c r="O176" s="895">
        <f t="shared" si="129"/>
        <v>173.98003764298724</v>
      </c>
      <c r="P176" s="893">
        <f t="shared" si="130"/>
        <v>5315.8241432355899</v>
      </c>
      <c r="Q176" s="598">
        <f t="shared" si="131"/>
        <v>11281.186126642322</v>
      </c>
      <c r="R176" s="600">
        <f t="shared" si="132"/>
        <v>452.81688690672138</v>
      </c>
      <c r="S176" s="597">
        <f t="shared" si="133"/>
        <v>173.98003764298724</v>
      </c>
      <c r="T176" s="598">
        <f t="shared" si="134"/>
        <v>5315.8241432355899</v>
      </c>
      <c r="U176" s="598">
        <f t="shared" si="135"/>
        <v>17223.80719442762</v>
      </c>
    </row>
    <row r="177" spans="1:21">
      <c r="A177">
        <f>'Input data'!A130</f>
        <v>2030</v>
      </c>
      <c r="C177" s="332">
        <f>'4A SWD Case 3'!BG99</f>
        <v>519.41781408674024</v>
      </c>
      <c r="D177" s="3">
        <f>'4B Biological treatment '!T230</f>
        <v>1.9713841534384262</v>
      </c>
      <c r="E177" s="178">
        <f>'4B Biological treatment '!U230</f>
        <v>9.8569207671921308</v>
      </c>
      <c r="F177" s="178">
        <f>'4B Biological treatment '!W230</f>
        <v>0.59141524603152784</v>
      </c>
      <c r="G177" s="1076">
        <f>'4C2 Open-burning '!R169</f>
        <v>16.79562810762155</v>
      </c>
      <c r="H177" s="1076">
        <f>'4C2 Open-burning '!Z169</f>
        <v>5.6512146538023771</v>
      </c>
      <c r="I177" s="1076">
        <f>'4C2 Open-burning '!AH169</f>
        <v>7.8674446170510601E-2</v>
      </c>
      <c r="J177" s="1111">
        <f>'4D Wastewater treatment and dis'!AV206</f>
        <v>210.99154590506851</v>
      </c>
      <c r="K177" s="892">
        <f>'4D Wastewater treatment and dis'!AW206</f>
        <v>3.3255928545641762</v>
      </c>
      <c r="L177" s="893">
        <f t="shared" si="136"/>
        <v>10907.774095821545</v>
      </c>
      <c r="M177" s="894">
        <f t="shared" si="127"/>
        <v>41.399067222206952</v>
      </c>
      <c r="N177" s="893">
        <f t="shared" si="128"/>
        <v>390.3340623808084</v>
      </c>
      <c r="O177" s="895">
        <f t="shared" si="129"/>
        <v>159.86021415032977</v>
      </c>
      <c r="P177" s="893">
        <f t="shared" si="130"/>
        <v>5461.7562489213324</v>
      </c>
      <c r="Q177" s="598">
        <f t="shared" si="131"/>
        <v>10907.774095821545</v>
      </c>
      <c r="R177" s="600">
        <f t="shared" si="132"/>
        <v>431.73312960301536</v>
      </c>
      <c r="S177" s="597">
        <f t="shared" si="133"/>
        <v>159.86021415032977</v>
      </c>
      <c r="T177" s="598">
        <f t="shared" si="134"/>
        <v>5461.7562489213324</v>
      </c>
      <c r="U177" s="598">
        <f t="shared" si="135"/>
        <v>16961.123688496224</v>
      </c>
    </row>
    <row r="178" spans="1:21">
      <c r="A178">
        <f>'Input data'!A131</f>
        <v>2031</v>
      </c>
      <c r="C178" s="332">
        <f>'4A SWD Case 3'!BG100</f>
        <v>502.11303092697915</v>
      </c>
      <c r="D178" s="3">
        <f>'4B Biological treatment '!T231</f>
        <v>1.8508892898202653</v>
      </c>
      <c r="E178" s="178">
        <f>'4B Biological treatment '!U231</f>
        <v>9.2544464491013265</v>
      </c>
      <c r="F178" s="178">
        <f>'4B Biological treatment '!W231</f>
        <v>0.55526678694607945</v>
      </c>
      <c r="G178" s="1076">
        <f>'4C2 Open-burning '!R170</f>
        <v>14.984496004381816</v>
      </c>
      <c r="H178" s="1076">
        <f>'4C2 Open-burning '!Z170</f>
        <v>5.0418241495463452</v>
      </c>
      <c r="I178" s="1076">
        <f>'4C2 Open-burning '!AH170</f>
        <v>7.0190701814480339E-2</v>
      </c>
      <c r="J178" s="1111">
        <f>'4D Wastewater treatment and dis'!AV207</f>
        <v>212.79256841014094</v>
      </c>
      <c r="K178" s="892">
        <f>'4D Wastewater treatment and dis'!AW207</f>
        <v>3.3539800941954407</v>
      </c>
      <c r="L178" s="893">
        <f t="shared" si="136"/>
        <v>10544.373649466563</v>
      </c>
      <c r="M178" s="894">
        <f t="shared" si="127"/>
        <v>38.868675086225572</v>
      </c>
      <c r="N178" s="893">
        <f t="shared" si="128"/>
        <v>366.47607938441251</v>
      </c>
      <c r="O178" s="895">
        <f t="shared" si="129"/>
        <v>142.62192070734397</v>
      </c>
      <c r="P178" s="893">
        <f t="shared" si="130"/>
        <v>5508.3777658135459</v>
      </c>
      <c r="Q178" s="598">
        <f t="shared" si="131"/>
        <v>10544.373649466563</v>
      </c>
      <c r="R178" s="600">
        <f t="shared" si="132"/>
        <v>405.34475447063807</v>
      </c>
      <c r="S178" s="597">
        <f t="shared" si="133"/>
        <v>142.62192070734397</v>
      </c>
      <c r="T178" s="598">
        <f t="shared" si="134"/>
        <v>5508.3777658135459</v>
      </c>
      <c r="U178" s="598">
        <f t="shared" si="135"/>
        <v>16600.718090458089</v>
      </c>
    </row>
    <row r="179" spans="1:21">
      <c r="A179">
        <f>'Input data'!A132</f>
        <v>2032</v>
      </c>
      <c r="C179" s="332">
        <f>'4A SWD Case 3'!BG101</f>
        <v>485.08300237644522</v>
      </c>
      <c r="D179" s="3">
        <f>'4B Biological treatment '!T232</f>
        <v>1.7312740568499412</v>
      </c>
      <c r="E179" s="178">
        <f>'4B Biological treatment '!U232</f>
        <v>8.6563702842497054</v>
      </c>
      <c r="F179" s="178">
        <f>'4B Biological treatment '!W232</f>
        <v>0.51938221705498222</v>
      </c>
      <c r="G179" s="1076">
        <f>'4C2 Open-burning '!R171</f>
        <v>13.141258541311998</v>
      </c>
      <c r="H179" s="1076">
        <f>'4C2 Open-burning '!Z171</f>
        <v>4.4216311746250412</v>
      </c>
      <c r="I179" s="1076">
        <f>'4C2 Open-burning '!AH171</f>
        <v>6.155656883424665E-2</v>
      </c>
      <c r="J179" s="1111">
        <f>'4D Wastewater treatment and dis'!AV208</f>
        <v>214.6095857864839</v>
      </c>
      <c r="K179" s="892">
        <f>'4D Wastewater treatment and dis'!AW208</f>
        <v>3.3826194407506049</v>
      </c>
      <c r="L179" s="893">
        <f t="shared" si="136"/>
        <v>10186.74304990535</v>
      </c>
      <c r="M179" s="894">
        <f t="shared" si="127"/>
        <v>36.356755193848763</v>
      </c>
      <c r="N179" s="893">
        <f t="shared" si="128"/>
        <v>342.79226325628827</v>
      </c>
      <c r="O179" s="895">
        <f t="shared" si="129"/>
        <v>125.07804954705433</v>
      </c>
      <c r="P179" s="893">
        <f t="shared" si="130"/>
        <v>5555.4133281488503</v>
      </c>
      <c r="Q179" s="598">
        <f t="shared" si="131"/>
        <v>10186.74304990535</v>
      </c>
      <c r="R179" s="600">
        <f t="shared" si="132"/>
        <v>379.14901845013702</v>
      </c>
      <c r="S179" s="597">
        <f t="shared" si="133"/>
        <v>125.07804954705433</v>
      </c>
      <c r="T179" s="598">
        <f t="shared" si="134"/>
        <v>5555.4133281488503</v>
      </c>
      <c r="U179" s="598">
        <f t="shared" si="135"/>
        <v>16246.38344605139</v>
      </c>
    </row>
    <row r="180" spans="1:21">
      <c r="A180">
        <f>'Input data'!A133</f>
        <v>2033</v>
      </c>
      <c r="C180" s="332">
        <f>'4A SWD Case 3'!BG102</f>
        <v>468.30137136348219</v>
      </c>
      <c r="D180" s="3">
        <f>'4B Biological treatment '!T233</f>
        <v>1.7586039009044332</v>
      </c>
      <c r="E180" s="178">
        <f>'4B Biological treatment '!U233</f>
        <v>8.7930195045221655</v>
      </c>
      <c r="F180" s="178">
        <f>'4B Biological treatment '!W233</f>
        <v>0.52758117027133</v>
      </c>
      <c r="G180" s="1076">
        <f>'4C2 Open-burning '!R172</f>
        <v>13.253304092396867</v>
      </c>
      <c r="H180" s="1076">
        <f>'4C2 Open-burning '!Z172</f>
        <v>4.4593310722488066</v>
      </c>
      <c r="I180" s="1076">
        <f>'4C2 Open-burning '!AH172</f>
        <v>6.2081415039520242E-2</v>
      </c>
      <c r="J180" s="1111">
        <f>'4D Wastewater treatment and dis'!AV209</f>
        <v>216.43939905984345</v>
      </c>
      <c r="K180" s="892">
        <f>'4D Wastewater treatment and dis'!AW209</f>
        <v>3.4114604728448907</v>
      </c>
      <c r="L180" s="893">
        <f t="shared" si="136"/>
        <v>9834.3287986331252</v>
      </c>
      <c r="M180" s="894">
        <f t="shared" si="127"/>
        <v>36.930681918993095</v>
      </c>
      <c r="N180" s="893">
        <f t="shared" si="128"/>
        <v>348.20357237907774</v>
      </c>
      <c r="O180" s="895">
        <f t="shared" si="129"/>
        <v>126.14449527187307</v>
      </c>
      <c r="P180" s="893">
        <f t="shared" si="130"/>
        <v>5602.7801268386283</v>
      </c>
      <c r="Q180" s="598">
        <f t="shared" si="131"/>
        <v>9834.3287986331252</v>
      </c>
      <c r="R180" s="600">
        <f t="shared" si="132"/>
        <v>385.13425429807086</v>
      </c>
      <c r="S180" s="597">
        <f t="shared" si="133"/>
        <v>126.14449527187307</v>
      </c>
      <c r="T180" s="598">
        <f t="shared" si="134"/>
        <v>5602.7801268386283</v>
      </c>
      <c r="U180" s="598">
        <f t="shared" si="135"/>
        <v>15948.387675041698</v>
      </c>
    </row>
    <row r="181" spans="1:21">
      <c r="A181">
        <f>'Input data'!A134</f>
        <v>2034</v>
      </c>
      <c r="C181" s="332">
        <f>'4A SWD Case 3'!BG103</f>
        <v>452.42851393272718</v>
      </c>
      <c r="D181" s="3">
        <f>'4B Biological treatment '!T234</f>
        <v>1.7881088150652142</v>
      </c>
      <c r="E181" s="178">
        <f>'4B Biological treatment '!U234</f>
        <v>8.9405440753260699</v>
      </c>
      <c r="F181" s="178">
        <f>'4B Biological treatment '!W234</f>
        <v>0.53643264451956418</v>
      </c>
      <c r="G181" s="1076">
        <f>'4C2 Open-burning '!R173</f>
        <v>13.366524946465139</v>
      </c>
      <c r="H181" s="1076">
        <f>'4C2 Open-burning '!Z173</f>
        <v>4.4974264233441481</v>
      </c>
      <c r="I181" s="1076">
        <f>'4C2 Open-burning '!AH173</f>
        <v>6.2611766624569409E-2</v>
      </c>
      <c r="J181" s="1111">
        <f>'4D Wastewater treatment and dis'!AV210</f>
        <v>218.28840617872763</v>
      </c>
      <c r="K181" s="892">
        <f>'4D Wastewater treatment and dis'!AW210</f>
        <v>3.4406040332478574</v>
      </c>
      <c r="L181" s="893">
        <f t="shared" si="136"/>
        <v>9500.9987925872701</v>
      </c>
      <c r="M181" s="894">
        <f t="shared" si="127"/>
        <v>37.550285116369501</v>
      </c>
      <c r="N181" s="893">
        <f t="shared" si="128"/>
        <v>354.04554538291234</v>
      </c>
      <c r="O181" s="895">
        <f t="shared" si="129"/>
        <v>127.22212749030876</v>
      </c>
      <c r="P181" s="893">
        <f t="shared" si="130"/>
        <v>5650.6437800601161</v>
      </c>
      <c r="Q181" s="598">
        <f t="shared" si="131"/>
        <v>9500.9987925872701</v>
      </c>
      <c r="R181" s="600">
        <f t="shared" si="132"/>
        <v>391.59583049928182</v>
      </c>
      <c r="S181" s="597">
        <f t="shared" si="133"/>
        <v>127.22212749030876</v>
      </c>
      <c r="T181" s="598">
        <f t="shared" si="134"/>
        <v>5650.6437800601161</v>
      </c>
      <c r="U181" s="598">
        <f t="shared" si="135"/>
        <v>15670.460530636978</v>
      </c>
    </row>
    <row r="182" spans="1:21">
      <c r="A182">
        <f>'Input data'!A135</f>
        <v>2035</v>
      </c>
      <c r="C182" s="332">
        <f>'4A SWD Case 3'!BG104</f>
        <v>437.42397183374629</v>
      </c>
      <c r="D182" s="3">
        <f>'4B Biological treatment '!T235</f>
        <v>1.8191239040769414</v>
      </c>
      <c r="E182" s="178">
        <f>'4B Biological treatment '!U235</f>
        <v>9.095619520384707</v>
      </c>
      <c r="F182" s="178">
        <f>'4B Biological treatment '!W235</f>
        <v>0.54573717122308241</v>
      </c>
      <c r="G182" s="1076">
        <f>'4C2 Open-burning '!R174</f>
        <v>13.480529335855687</v>
      </c>
      <c r="H182" s="1076">
        <f>'4C2 Open-burning '!Z174</f>
        <v>4.535785410087211</v>
      </c>
      <c r="I182" s="1076">
        <f>'4C2 Open-burning '!AH174</f>
        <v>6.3145788462802332E-2</v>
      </c>
      <c r="J182" s="1111">
        <f>'4D Wastewater treatment and dis'!AV211</f>
        <v>220.15020919462836</v>
      </c>
      <c r="K182" s="892">
        <f>'4D Wastewater treatment and dis'!AW211</f>
        <v>3.4699492791899456</v>
      </c>
      <c r="L182" s="893">
        <f t="shared" si="136"/>
        <v>9185.9034085086714</v>
      </c>
      <c r="M182" s="894">
        <f t="shared" si="127"/>
        <v>38.201601985615767</v>
      </c>
      <c r="N182" s="893">
        <f t="shared" si="128"/>
        <v>360.1865330072344</v>
      </c>
      <c r="O182" s="895">
        <f t="shared" si="129"/>
        <v>128.30721737115584</v>
      </c>
      <c r="P182" s="893">
        <f t="shared" si="130"/>
        <v>5698.8386696360794</v>
      </c>
      <c r="Q182" s="598">
        <f t="shared" si="131"/>
        <v>9185.9034085086714</v>
      </c>
      <c r="R182" s="600">
        <f t="shared" si="132"/>
        <v>398.38813499285015</v>
      </c>
      <c r="S182" s="597">
        <f t="shared" si="133"/>
        <v>128.30721737115584</v>
      </c>
      <c r="T182" s="598">
        <f t="shared" si="134"/>
        <v>5698.8386696360794</v>
      </c>
      <c r="U182" s="598">
        <f t="shared" si="135"/>
        <v>15411.437430508757</v>
      </c>
    </row>
    <row r="183" spans="1:21">
      <c r="A183">
        <f>'Input data'!A136</f>
        <v>2036</v>
      </c>
      <c r="C183" s="332">
        <f>'4A SWD Case 3'!BG105</f>
        <v>423.24930628746063</v>
      </c>
      <c r="D183" s="3">
        <f>'4B Biological treatment '!T236</f>
        <v>1.8505245848147445</v>
      </c>
      <c r="E183" s="178">
        <f>'4B Biological treatment '!U236</f>
        <v>9.252622924073723</v>
      </c>
      <c r="F183" s="178">
        <f>'4B Biological treatment '!W236</f>
        <v>0.55515737544442345</v>
      </c>
      <c r="G183" s="1076">
        <f>'4C2 Open-burning '!R175</f>
        <v>13.579254786461931</v>
      </c>
      <c r="H183" s="1076">
        <f>'4C2 Open-burning '!Z175</f>
        <v>4.5690035016997577</v>
      </c>
      <c r="I183" s="1076">
        <f>'4C2 Open-burning '!AH175</f>
        <v>6.3608240363952476E-2</v>
      </c>
      <c r="J183" s="1111">
        <f>'4D Wastewater treatment and dis'!AV212</f>
        <v>221.76249221870739</v>
      </c>
      <c r="K183" s="892">
        <f>'4D Wastewater treatment and dis'!AW212</f>
        <v>3.4953616571191763</v>
      </c>
      <c r="L183" s="893">
        <f t="shared" si="136"/>
        <v>8888.235432036674</v>
      </c>
      <c r="M183" s="894">
        <f t="shared" si="127"/>
        <v>38.861016281109634</v>
      </c>
      <c r="N183" s="893">
        <f t="shared" si="128"/>
        <v>366.40386779331948</v>
      </c>
      <c r="O183" s="895">
        <f t="shared" si="129"/>
        <v>129.2468828349821</v>
      </c>
      <c r="P183" s="893">
        <f t="shared" si="130"/>
        <v>5740.5744502998004</v>
      </c>
      <c r="Q183" s="598">
        <f t="shared" si="131"/>
        <v>8888.235432036674</v>
      </c>
      <c r="R183" s="600">
        <f t="shared" si="132"/>
        <v>405.26488407442912</v>
      </c>
      <c r="S183" s="597">
        <f t="shared" si="133"/>
        <v>129.2468828349821</v>
      </c>
      <c r="T183" s="598">
        <f t="shared" si="134"/>
        <v>5740.5744502998004</v>
      </c>
      <c r="U183" s="598">
        <f t="shared" si="135"/>
        <v>15163.321649245887</v>
      </c>
    </row>
    <row r="184" spans="1:21">
      <c r="A184">
        <f>'Input data'!A137</f>
        <v>2037</v>
      </c>
      <c r="C184" s="332">
        <f>'4A SWD Case 3'!BG106</f>
        <v>409.85965333165154</v>
      </c>
      <c r="D184" s="3">
        <f>'4B Biological treatment '!T237</f>
        <v>1.882677521016731</v>
      </c>
      <c r="E184" s="178">
        <f>'4B Biological treatment '!U237</f>
        <v>9.4133876050836562</v>
      </c>
      <c r="F184" s="178">
        <f>'4B Biological treatment '!W237</f>
        <v>0.56480325630501926</v>
      </c>
      <c r="G184" s="1076">
        <f>'4C2 Open-burning '!R176</f>
        <v>13.678567888559883</v>
      </c>
      <c r="H184" s="1076">
        <f>'4C2 Open-burning '!Z176</f>
        <v>4.602419320048095</v>
      </c>
      <c r="I184" s="1076">
        <f>'4C2 Open-burning '!AH176</f>
        <v>6.4073444954990427E-2</v>
      </c>
      <c r="J184" s="1111">
        <f>'4D Wastewater treatment and dis'!AV213</f>
        <v>223.38437216554874</v>
      </c>
      <c r="K184" s="892">
        <f>'4D Wastewater treatment and dis'!AW213</f>
        <v>3.5209252992027475</v>
      </c>
      <c r="L184" s="893">
        <f t="shared" si="136"/>
        <v>8607.0527199646822</v>
      </c>
      <c r="M184" s="894">
        <f t="shared" si="127"/>
        <v>39.536227941351349</v>
      </c>
      <c r="N184" s="893">
        <f t="shared" si="128"/>
        <v>372.7701491613127</v>
      </c>
      <c r="O184" s="895">
        <f t="shared" si="129"/>
        <v>130.19214154561689</v>
      </c>
      <c r="P184" s="893">
        <f t="shared" si="130"/>
        <v>5782.5586582293754</v>
      </c>
      <c r="Q184" s="598">
        <f t="shared" si="131"/>
        <v>8607.0527199646822</v>
      </c>
      <c r="R184" s="600">
        <f t="shared" si="132"/>
        <v>412.30637710266404</v>
      </c>
      <c r="S184" s="597">
        <f t="shared" si="133"/>
        <v>130.19214154561689</v>
      </c>
      <c r="T184" s="598">
        <f t="shared" si="134"/>
        <v>5782.5586582293754</v>
      </c>
      <c r="U184" s="598">
        <f t="shared" si="135"/>
        <v>14932.109896842339</v>
      </c>
    </row>
    <row r="185" spans="1:21">
      <c r="A185">
        <f>'Input data'!A138</f>
        <v>2038</v>
      </c>
      <c r="C185" s="332">
        <f>'4A SWD Case 3'!BG107</f>
        <v>397.21943126380268</v>
      </c>
      <c r="D185" s="3">
        <f>'4B Biological treatment '!T238</f>
        <v>1.915953503035646</v>
      </c>
      <c r="E185" s="178">
        <f>'4B Biological treatment '!U238</f>
        <v>9.5797675151782311</v>
      </c>
      <c r="F185" s="178">
        <f>'4B Biological treatment '!W238</f>
        <v>0.5747860509106939</v>
      </c>
      <c r="G185" s="1076">
        <f>'4C2 Open-burning '!R177</f>
        <v>13.778860409810672</v>
      </c>
      <c r="H185" s="1076">
        <f>'4C2 Open-burning '!Z177</f>
        <v>4.636164682956081</v>
      </c>
      <c r="I185" s="1076">
        <f>'4C2 Open-burning '!AH177</f>
        <v>6.4543237362508055E-2</v>
      </c>
      <c r="J185" s="1111">
        <f>'4D Wastewater treatment and dis'!AV214</f>
        <v>225.02224698366075</v>
      </c>
      <c r="K185" s="892">
        <f>'4D Wastewater treatment and dis'!AW214</f>
        <v>3.5467410482102202</v>
      </c>
      <c r="L185" s="893">
        <f t="shared" si="136"/>
        <v>8341.608056539857</v>
      </c>
      <c r="M185" s="894">
        <f t="shared" si="127"/>
        <v>40.23502356374857</v>
      </c>
      <c r="N185" s="893">
        <f t="shared" si="128"/>
        <v>379.35879360105798</v>
      </c>
      <c r="O185" s="895">
        <f t="shared" si="129"/>
        <v>131.14672233426586</v>
      </c>
      <c r="P185" s="893">
        <f t="shared" si="130"/>
        <v>5824.9569116020448</v>
      </c>
      <c r="Q185" s="598">
        <f t="shared" si="131"/>
        <v>8341.608056539857</v>
      </c>
      <c r="R185" s="600">
        <f t="shared" si="132"/>
        <v>419.59381716480652</v>
      </c>
      <c r="S185" s="597">
        <f t="shared" si="133"/>
        <v>131.14672233426586</v>
      </c>
      <c r="T185" s="598">
        <f t="shared" si="134"/>
        <v>5824.9569116020448</v>
      </c>
      <c r="U185" s="598">
        <f t="shared" si="135"/>
        <v>14717.305507640975</v>
      </c>
    </row>
    <row r="186" spans="1:21">
      <c r="A186">
        <f>'Input data'!A139</f>
        <v>2039</v>
      </c>
      <c r="C186" s="332">
        <f>'4A SWD Case 3'!BG108</f>
        <v>385.57453214140077</v>
      </c>
      <c r="D186" s="3">
        <f>'4B Biological treatment '!T239</f>
        <v>2.0722920347099856</v>
      </c>
      <c r="E186" s="178">
        <f>'4B Biological treatment '!U239</f>
        <v>10.361460173549927</v>
      </c>
      <c r="F186" s="178">
        <f>'4B Biological treatment '!W239</f>
        <v>0.62168761041299558</v>
      </c>
      <c r="G186" s="1076">
        <f>'4C2 Open-burning '!R178</f>
        <v>13.879740582553163</v>
      </c>
      <c r="H186" s="1076">
        <f>'4C2 Open-burning '!Z178</f>
        <v>4.670107772599855</v>
      </c>
      <c r="I186" s="1076">
        <f>'4C2 Open-burning '!AH178</f>
        <v>6.5015782459913463E-2</v>
      </c>
      <c r="J186" s="1111">
        <f>'4D Wastewater treatment and dis'!AV215</f>
        <v>226.66971872453522</v>
      </c>
      <c r="K186" s="892">
        <f>'4D Wastewater treatment and dis'!AW215</f>
        <v>3.5727080613720332</v>
      </c>
      <c r="L186" s="893">
        <f t="shared" si="136"/>
        <v>8097.0651749694161</v>
      </c>
      <c r="M186" s="894">
        <f t="shared" si="127"/>
        <v>43.518132728909698</v>
      </c>
      <c r="N186" s="893">
        <f t="shared" si="128"/>
        <v>410.31382287257713</v>
      </c>
      <c r="O186" s="895">
        <f t="shared" si="129"/>
        <v>132.1068963697233</v>
      </c>
      <c r="P186" s="893">
        <f t="shared" si="130"/>
        <v>5867.6035922405699</v>
      </c>
      <c r="Q186" s="598">
        <f t="shared" si="131"/>
        <v>8097.0651749694161</v>
      </c>
      <c r="R186" s="600">
        <f t="shared" si="132"/>
        <v>453.83195560148681</v>
      </c>
      <c r="S186" s="597">
        <f t="shared" si="133"/>
        <v>132.1068963697233</v>
      </c>
      <c r="T186" s="598">
        <f t="shared" si="134"/>
        <v>5867.6035922405699</v>
      </c>
      <c r="U186" s="598">
        <f t="shared" si="135"/>
        <v>14550.607619181197</v>
      </c>
    </row>
    <row r="187" spans="1:21">
      <c r="A187">
        <f>'Input data'!A140</f>
        <v>2040</v>
      </c>
      <c r="C187" s="332">
        <f>'4A SWD Case 3'!BG109</f>
        <v>375.50870648800077</v>
      </c>
      <c r="D187" s="3">
        <f>'4B Biological treatment '!T240</f>
        <v>2.5043844758191858</v>
      </c>
      <c r="E187" s="178">
        <f>'4B Biological treatment '!U240</f>
        <v>12.521922379095926</v>
      </c>
      <c r="F187" s="178">
        <f>'4B Biological treatment '!W240</f>
        <v>0.75131534274575562</v>
      </c>
      <c r="G187" s="1076">
        <f>'4C2 Open-burning '!R179</f>
        <v>13.981208406787365</v>
      </c>
      <c r="H187" s="1076">
        <f>'4C2 Open-burning '!Z179</f>
        <v>4.7042485889794197</v>
      </c>
      <c r="I187" s="1076">
        <f>'4C2 Open-burning '!AH179</f>
        <v>6.5491080247206679E-2</v>
      </c>
      <c r="J187" s="1111">
        <f>'4D Wastewater treatment and dis'!AV216</f>
        <v>228.32678738817191</v>
      </c>
      <c r="K187" s="892">
        <f>'4D Wastewater treatment and dis'!AW216</f>
        <v>3.5988263386881876</v>
      </c>
      <c r="L187" s="893">
        <f t="shared" si="136"/>
        <v>7885.6828362480164</v>
      </c>
      <c r="M187" s="894">
        <f t="shared" si="127"/>
        <v>52.592073992202899</v>
      </c>
      <c r="N187" s="893">
        <f t="shared" si="128"/>
        <v>495.86812621219872</v>
      </c>
      <c r="O187" s="895">
        <f t="shared" si="129"/>
        <v>133.07266365198925</v>
      </c>
      <c r="P187" s="893">
        <f t="shared" si="130"/>
        <v>5910.4987001449481</v>
      </c>
      <c r="Q187" s="598">
        <f t="shared" si="131"/>
        <v>7885.6828362480164</v>
      </c>
      <c r="R187" s="600">
        <f t="shared" si="132"/>
        <v>548.46020020440164</v>
      </c>
      <c r="S187" s="597">
        <f t="shared" si="133"/>
        <v>133.07266365198925</v>
      </c>
      <c r="T187" s="598">
        <f t="shared" si="134"/>
        <v>5910.4987001449481</v>
      </c>
      <c r="U187" s="598">
        <f t="shared" si="135"/>
        <v>14477.714400249355</v>
      </c>
    </row>
    <row r="188" spans="1:21">
      <c r="A188">
        <f>'Input data'!A141</f>
        <v>2041</v>
      </c>
      <c r="C188" s="332">
        <f>'4A SWD Case 3'!BG110</f>
        <v>366.96175353298815</v>
      </c>
      <c r="D188" s="3">
        <f>'4B Biological treatment '!T241</f>
        <v>2.9425892892837324</v>
      </c>
      <c r="E188" s="178">
        <f>'4B Biological treatment '!U241</f>
        <v>14.712946446418659</v>
      </c>
      <c r="F188" s="178">
        <f>'4B Biological treatment '!W241</f>
        <v>0.88277678678511962</v>
      </c>
      <c r="G188" s="1076">
        <f>'4C2 Open-burning '!R180</f>
        <v>14.068180827559534</v>
      </c>
      <c r="H188" s="1076">
        <f>'4C2 Open-burning '!Z180</f>
        <v>4.7335121458761877</v>
      </c>
      <c r="I188" s="1076">
        <f>'4C2 Open-burning '!AH180</f>
        <v>6.5898478350600864E-2</v>
      </c>
      <c r="J188" s="1111">
        <f>'4D Wastewater treatment and dis'!AV217</f>
        <v>229.7471319570034</v>
      </c>
      <c r="K188" s="892">
        <f>'4D Wastewater treatment and dis'!AW217</f>
        <v>3.6212134335306052</v>
      </c>
      <c r="L188" s="893">
        <f t="shared" si="136"/>
        <v>7706.1968241927516</v>
      </c>
      <c r="M188" s="894">
        <f t="shared" si="127"/>
        <v>61.794375074958381</v>
      </c>
      <c r="N188" s="893">
        <f t="shared" si="128"/>
        <v>582.63267927817901</v>
      </c>
      <c r="O188" s="895">
        <f t="shared" si="129"/>
        <v>133.90046417964575</v>
      </c>
      <c r="P188" s="893">
        <f t="shared" si="130"/>
        <v>5947.2659354915595</v>
      </c>
      <c r="Q188" s="598">
        <f t="shared" si="131"/>
        <v>7706.1968241927516</v>
      </c>
      <c r="R188" s="600">
        <f t="shared" si="132"/>
        <v>644.42705435313735</v>
      </c>
      <c r="S188" s="597">
        <f t="shared" si="133"/>
        <v>133.90046417964575</v>
      </c>
      <c r="T188" s="598">
        <f t="shared" si="134"/>
        <v>5947.2659354915595</v>
      </c>
      <c r="U188" s="598">
        <f t="shared" si="135"/>
        <v>14431.790278217093</v>
      </c>
    </row>
    <row r="189" spans="1:21">
      <c r="A189">
        <f>'Input data'!A142</f>
        <v>2042</v>
      </c>
      <c r="C189" s="332">
        <f>'4A SWD Case 3'!BG111</f>
        <v>359.48032759152386</v>
      </c>
      <c r="D189" s="3">
        <f>'4B Biological treatment '!T242</f>
        <v>3.2178602283449096</v>
      </c>
      <c r="E189" s="178">
        <f>'4B Biological treatment '!U242</f>
        <v>16.089301141724548</v>
      </c>
      <c r="F189" s="178">
        <f>'4B Biological treatment '!W242</f>
        <v>0.96535806850347294</v>
      </c>
      <c r="G189" s="1076">
        <f>'4C2 Open-burning '!R181</f>
        <v>14.155545015992837</v>
      </c>
      <c r="H189" s="1076">
        <f>'4C2 Open-burning '!Z181</f>
        <v>4.7629075205968157</v>
      </c>
      <c r="I189" s="1076">
        <f>'4C2 Open-burning '!AH181</f>
        <v>6.6307711580586903E-2</v>
      </c>
      <c r="J189" s="1111">
        <f>'4D Wastewater treatment and dis'!AV218</f>
        <v>231.17387447434314</v>
      </c>
      <c r="K189" s="892">
        <f>'4D Wastewater treatment and dis'!AW218</f>
        <v>3.643701371142583</v>
      </c>
      <c r="L189" s="893">
        <f t="shared" si="136"/>
        <v>7549.0868794220014</v>
      </c>
      <c r="M189" s="894">
        <f t="shared" si="127"/>
        <v>67.575064795243108</v>
      </c>
      <c r="N189" s="893">
        <f t="shared" si="128"/>
        <v>637.13632521229215</v>
      </c>
      <c r="O189" s="895">
        <f t="shared" si="129"/>
        <v>134.73199353850791</v>
      </c>
      <c r="P189" s="893">
        <f t="shared" si="130"/>
        <v>5984.1987890154069</v>
      </c>
      <c r="Q189" s="598">
        <f t="shared" si="131"/>
        <v>7549.0868794220014</v>
      </c>
      <c r="R189" s="600">
        <f t="shared" si="132"/>
        <v>704.71139000753521</v>
      </c>
      <c r="S189" s="597">
        <f t="shared" si="133"/>
        <v>134.73199353850791</v>
      </c>
      <c r="T189" s="598">
        <f t="shared" si="134"/>
        <v>5984.1987890154069</v>
      </c>
      <c r="U189" s="598">
        <f t="shared" si="135"/>
        <v>14372.729051983451</v>
      </c>
    </row>
    <row r="190" spans="1:21">
      <c r="A190">
        <f>'Input data'!A143</f>
        <v>2043</v>
      </c>
      <c r="C190" s="332">
        <f>'4A SWD Case 3'!BG112</f>
        <v>353.02539752237203</v>
      </c>
      <c r="D190" s="3">
        <f>'4B Biological treatment '!T243</f>
        <v>3.4987265978348567</v>
      </c>
      <c r="E190" s="178">
        <f>'4B Biological treatment '!U243</f>
        <v>17.493632989174284</v>
      </c>
      <c r="F190" s="178">
        <f>'4B Biological treatment '!W243</f>
        <v>1.049617979350457</v>
      </c>
      <c r="G190" s="1076">
        <f>'4C2 Open-burning '!R182</f>
        <v>14.243496855917847</v>
      </c>
      <c r="H190" s="1076">
        <f>'4C2 Open-burning '!Z182</f>
        <v>4.7925006220532325</v>
      </c>
      <c r="I190" s="1076">
        <f>'4C2 Open-burning '!AH182</f>
        <v>6.6719697500460751E-2</v>
      </c>
      <c r="J190" s="1111">
        <f>'4D Wastewater treatment and dis'!AV219</f>
        <v>232.61021391444527</v>
      </c>
      <c r="K190" s="892">
        <f>'4D Wastewater treatment and dis'!AW219</f>
        <v>3.6663405729089016</v>
      </c>
      <c r="L190" s="893">
        <f t="shared" si="136"/>
        <v>7413.5333479698129</v>
      </c>
      <c r="M190" s="894">
        <f t="shared" si="127"/>
        <v>73.473258554531995</v>
      </c>
      <c r="N190" s="893">
        <f t="shared" si="128"/>
        <v>692.7478663713016</v>
      </c>
      <c r="O190" s="895">
        <f t="shared" si="129"/>
        <v>135.56911614417857</v>
      </c>
      <c r="P190" s="893">
        <f t="shared" si="130"/>
        <v>6021.38006980511</v>
      </c>
      <c r="Q190" s="598">
        <f t="shared" si="131"/>
        <v>7413.5333479698129</v>
      </c>
      <c r="R190" s="600">
        <f t="shared" si="132"/>
        <v>766.22112492583358</v>
      </c>
      <c r="S190" s="597">
        <f t="shared" si="133"/>
        <v>135.56911614417857</v>
      </c>
      <c r="T190" s="598">
        <f t="shared" si="134"/>
        <v>6021.38006980511</v>
      </c>
      <c r="U190" s="598">
        <f t="shared" si="135"/>
        <v>14336.703658844934</v>
      </c>
    </row>
    <row r="191" spans="1:21">
      <c r="A191">
        <f>'Input data'!A144</f>
        <v>2044</v>
      </c>
      <c r="C191" s="332">
        <f>'4A SWD Case 3'!BG113</f>
        <v>347.55913076918483</v>
      </c>
      <c r="D191" s="3">
        <f>'4B Biological treatment '!T244</f>
        <v>3.7848335535628101</v>
      </c>
      <c r="E191" s="178">
        <f>'4B Biological treatment '!U244</f>
        <v>18.924167767814048</v>
      </c>
      <c r="F191" s="178">
        <f>'4B Biological treatment '!W244</f>
        <v>1.1354500660688429</v>
      </c>
      <c r="G191" s="1076">
        <f>'4C2 Open-burning '!R183</f>
        <v>14.331840463503996</v>
      </c>
      <c r="H191" s="1076">
        <f>'4C2 Open-burning '!Z183</f>
        <v>4.8222255413335091</v>
      </c>
      <c r="I191" s="1076">
        <f>'4C2 Open-burning '!AH183</f>
        <v>6.7133518546926479E-2</v>
      </c>
      <c r="J191" s="1111">
        <f>'4D Wastewater treatment and dis'!AV220</f>
        <v>234.05295130305572</v>
      </c>
      <c r="K191" s="892">
        <f>'4D Wastewater treatment and dis'!AW220</f>
        <v>3.6890806174447812</v>
      </c>
      <c r="L191" s="893">
        <f t="shared" si="136"/>
        <v>7298.7417461528812</v>
      </c>
      <c r="M191" s="894">
        <f t="shared" si="127"/>
        <v>79.48150462481901</v>
      </c>
      <c r="N191" s="893">
        <f t="shared" si="128"/>
        <v>749.39704360543624</v>
      </c>
      <c r="O191" s="895">
        <f t="shared" si="129"/>
        <v>136.4099675810549</v>
      </c>
      <c r="P191" s="893">
        <f t="shared" si="130"/>
        <v>6058.7269687720527</v>
      </c>
      <c r="Q191" s="598">
        <f t="shared" si="131"/>
        <v>7298.7417461528812</v>
      </c>
      <c r="R191" s="600">
        <f t="shared" si="132"/>
        <v>828.87854823025521</v>
      </c>
      <c r="S191" s="597">
        <f t="shared" si="133"/>
        <v>136.4099675810549</v>
      </c>
      <c r="T191" s="598">
        <f t="shared" si="134"/>
        <v>6058.7269687720527</v>
      </c>
      <c r="U191" s="598">
        <f t="shared" si="135"/>
        <v>14322.757230736244</v>
      </c>
    </row>
    <row r="192" spans="1:21">
      <c r="A192">
        <f>'Input data'!A145</f>
        <v>2045</v>
      </c>
      <c r="C192" s="332">
        <f>'4A SWD Case 3'!BG114</f>
        <v>343.04719295632805</v>
      </c>
      <c r="D192" s="3">
        <f>'4B Biological treatment '!T245</f>
        <v>4.0769672906283256</v>
      </c>
      <c r="E192" s="178">
        <f>'4B Biological treatment '!U245</f>
        <v>20.384836453141627</v>
      </c>
      <c r="F192" s="178">
        <f>'4B Biological treatment '!W245</f>
        <v>1.2230901871884976</v>
      </c>
      <c r="G192" s="1076">
        <f>'4C2 Open-burning '!R184</f>
        <v>14.420967606412411</v>
      </c>
      <c r="H192" s="1076">
        <f>'4C2 Open-burning '!Z184</f>
        <v>4.8522140962615055</v>
      </c>
      <c r="I192" s="1076">
        <f>'4C2 Open-burning '!AH184</f>
        <v>6.7551009846575916E-2</v>
      </c>
      <c r="J192" s="1111">
        <f>'4D Wastewater treatment and dis'!AV221</f>
        <v>235.50848458868253</v>
      </c>
      <c r="K192" s="892">
        <f>'4D Wastewater treatment and dis'!AW221</f>
        <v>3.7120223475197802</v>
      </c>
      <c r="L192" s="893">
        <f t="shared" si="136"/>
        <v>7203.9910520828889</v>
      </c>
      <c r="M192" s="894">
        <f t="shared" si="127"/>
        <v>85.616313103194841</v>
      </c>
      <c r="N192" s="893">
        <f t="shared" si="128"/>
        <v>807.23952354440848</v>
      </c>
      <c r="O192" s="895">
        <f t="shared" si="129"/>
        <v>137.25827668034256</v>
      </c>
      <c r="P192" s="893">
        <f t="shared" si="130"/>
        <v>6096.4051040934646</v>
      </c>
      <c r="Q192" s="598">
        <f t="shared" si="131"/>
        <v>7203.9910520828889</v>
      </c>
      <c r="R192" s="600">
        <f t="shared" si="132"/>
        <v>892.85583664760338</v>
      </c>
      <c r="S192" s="597">
        <f t="shared" si="133"/>
        <v>137.25827668034256</v>
      </c>
      <c r="T192" s="598">
        <f t="shared" si="134"/>
        <v>6096.4051040934646</v>
      </c>
      <c r="U192" s="598">
        <f t="shared" si="135"/>
        <v>14330.510269504301</v>
      </c>
    </row>
    <row r="193" spans="1:21">
      <c r="A193">
        <f>'Input data'!A146</f>
        <v>2046</v>
      </c>
      <c r="C193" s="332">
        <f>'4A SWD Case 3'!BG115</f>
        <v>339.46428677382914</v>
      </c>
      <c r="D193" s="3">
        <f>'4B Biological treatment '!T246</f>
        <v>4.3770286812562169</v>
      </c>
      <c r="E193" s="178">
        <f>'4B Biological treatment '!U246</f>
        <v>21.885143406281085</v>
      </c>
      <c r="F193" s="178">
        <f>'4B Biological treatment '!W246</f>
        <v>1.3131086043768652</v>
      </c>
      <c r="G193" s="1076">
        <f>'4C2 Open-burning '!R185</f>
        <v>14.494424042875391</v>
      </c>
      <c r="H193" s="1076">
        <f>'4C2 Open-burning '!Z185</f>
        <v>4.8769299382351265</v>
      </c>
      <c r="I193" s="1076">
        <f>'4C2 Open-burning '!AH185</f>
        <v>6.7895096082550732E-2</v>
      </c>
      <c r="J193" s="1111">
        <f>'4D Wastewater treatment and dis'!AV222</f>
        <v>236.70809993397941</v>
      </c>
      <c r="K193" s="892">
        <f>'4D Wastewater treatment and dis'!AW222</f>
        <v>3.7309303668123635</v>
      </c>
      <c r="L193" s="893">
        <f t="shared" si="136"/>
        <v>7128.7500222504123</v>
      </c>
      <c r="M193" s="894">
        <f t="shared" si="127"/>
        <v>91.917602306380559</v>
      </c>
      <c r="N193" s="893">
        <f t="shared" si="128"/>
        <v>866.651678888731</v>
      </c>
      <c r="O193" s="895">
        <f t="shared" si="129"/>
        <v>137.95743253140378</v>
      </c>
      <c r="P193" s="893">
        <f t="shared" si="130"/>
        <v>6127.4585123254001</v>
      </c>
      <c r="Q193" s="598">
        <f t="shared" si="131"/>
        <v>7128.7500222504123</v>
      </c>
      <c r="R193" s="600">
        <f t="shared" si="132"/>
        <v>958.56928119511156</v>
      </c>
      <c r="S193" s="597">
        <f t="shared" si="133"/>
        <v>137.95743253140378</v>
      </c>
      <c r="T193" s="598">
        <f t="shared" si="134"/>
        <v>6127.4585123254001</v>
      </c>
      <c r="U193" s="598">
        <f t="shared" si="135"/>
        <v>14352.735248302328</v>
      </c>
    </row>
    <row r="194" spans="1:21">
      <c r="A194">
        <f>'Input data'!A147</f>
        <v>2047</v>
      </c>
      <c r="C194" s="332">
        <f>'4A SWD Case 3'!BG116</f>
        <v>336.77658918047257</v>
      </c>
      <c r="D194" s="3">
        <f>'4B Biological treatment '!T247</f>
        <v>4.6848446919105236</v>
      </c>
      <c r="E194" s="178">
        <f>'4B Biological treatment '!U247</f>
        <v>23.424223459552614</v>
      </c>
      <c r="F194" s="178">
        <f>'4B Biological treatment '!W247</f>
        <v>1.4054534075731568</v>
      </c>
      <c r="G194" s="1076">
        <f>'4C2 Open-burning '!R186</f>
        <v>14.568468130830077</v>
      </c>
      <c r="H194" s="1076">
        <f>'4C2 Open-burning '!Z186</f>
        <v>4.9018435069445374</v>
      </c>
      <c r="I194" s="1076">
        <f>'4C2 Open-burning '!AH186</f>
        <v>6.8241935008413357E-2</v>
      </c>
      <c r="J194" s="1111">
        <f>'4D Wastewater treatment and dis'!AV223</f>
        <v>237.91731220203872</v>
      </c>
      <c r="K194" s="892">
        <f>'4D Wastewater treatment and dis'!AW223</f>
        <v>3.7499896502592862</v>
      </c>
      <c r="L194" s="893">
        <f t="shared" si="136"/>
        <v>7072.3083727899239</v>
      </c>
      <c r="M194" s="894">
        <f t="shared" si="127"/>
        <v>98.381738530120998</v>
      </c>
      <c r="N194" s="893">
        <f t="shared" si="128"/>
        <v>927.59924899828354</v>
      </c>
      <c r="O194" s="895">
        <f t="shared" si="129"/>
        <v>138.6621816292735</v>
      </c>
      <c r="P194" s="893">
        <f t="shared" si="130"/>
        <v>6158.7603478231922</v>
      </c>
      <c r="Q194" s="598">
        <f t="shared" si="131"/>
        <v>7072.3083727899239</v>
      </c>
      <c r="R194" s="600">
        <f t="shared" si="132"/>
        <v>1025.9809875284045</v>
      </c>
      <c r="S194" s="597">
        <f t="shared" si="133"/>
        <v>138.6621816292735</v>
      </c>
      <c r="T194" s="598">
        <f t="shared" si="134"/>
        <v>6158.7603478231922</v>
      </c>
      <c r="U194" s="598">
        <f t="shared" si="135"/>
        <v>14395.711889770793</v>
      </c>
    </row>
    <row r="195" spans="1:21">
      <c r="A195">
        <f>'Input data'!A148</f>
        <v>2048</v>
      </c>
      <c r="C195" s="332">
        <f>'4A SWD Case 3'!BG117</f>
        <v>334.95862976737385</v>
      </c>
      <c r="D195" s="3">
        <f>'4B Biological treatment '!T248</f>
        <v>5.0005025172157502</v>
      </c>
      <c r="E195" s="178">
        <f>'4B Biological treatment '!U248</f>
        <v>25.002512586078744</v>
      </c>
      <c r="F195" s="178">
        <f>'4B Biological treatment '!W248</f>
        <v>1.5001507551647248</v>
      </c>
      <c r="G195" s="1076">
        <f>'4C2 Open-burning '!R187</f>
        <v>14.642903986445896</v>
      </c>
      <c r="H195" s="1076">
        <f>'4C2 Open-burning '!Z187</f>
        <v>4.9268888934778072</v>
      </c>
      <c r="I195" s="1076">
        <f>'4C2 Open-burning '!AH187</f>
        <v>6.8590609060867822E-2</v>
      </c>
      <c r="J195" s="1111">
        <f>'4D Wastewater treatment and dis'!AV224</f>
        <v>239.13292241860617</v>
      </c>
      <c r="K195" s="892">
        <f>'4D Wastewater treatment and dis'!AW224</f>
        <v>3.76914977647577</v>
      </c>
      <c r="L195" s="893">
        <f t="shared" si="136"/>
        <v>7034.1312251148511</v>
      </c>
      <c r="M195" s="894">
        <f t="shared" si="127"/>
        <v>105.01055286153075</v>
      </c>
      <c r="N195" s="893">
        <f t="shared" si="128"/>
        <v>990.09949840871832</v>
      </c>
      <c r="O195" s="895">
        <f t="shared" si="129"/>
        <v>139.37065955834888</v>
      </c>
      <c r="P195" s="893">
        <f t="shared" si="130"/>
        <v>6190.2278014982176</v>
      </c>
      <c r="Q195" s="598">
        <f t="shared" si="131"/>
        <v>7034.1312251148511</v>
      </c>
      <c r="R195" s="600">
        <f t="shared" si="132"/>
        <v>1095.1100512702492</v>
      </c>
      <c r="S195" s="597">
        <f t="shared" si="133"/>
        <v>139.37065955834888</v>
      </c>
      <c r="T195" s="598">
        <f t="shared" si="134"/>
        <v>6190.2278014982176</v>
      </c>
      <c r="U195" s="598">
        <f t="shared" si="135"/>
        <v>14458.839737441667</v>
      </c>
    </row>
    <row r="196" spans="1:21">
      <c r="A196">
        <f>'Input data'!A149</f>
        <v>2049</v>
      </c>
      <c r="C196" s="332">
        <f>'4A SWD Case 3'!BG118</f>
        <v>333.97271242878253</v>
      </c>
      <c r="D196" s="3">
        <f>'4B Biological treatment '!T249</f>
        <v>5.3181473300296487</v>
      </c>
      <c r="E196" s="178">
        <f>'4B Biological treatment '!U249</f>
        <v>26.590736650148241</v>
      </c>
      <c r="F196" s="178">
        <f>'4B Biological treatment '!W249</f>
        <v>1.5954441990088943</v>
      </c>
      <c r="G196" s="1076">
        <f>'4C2 Open-burning '!R188</f>
        <v>14.717535725892283</v>
      </c>
      <c r="H196" s="1076">
        <f>'4C2 Open-burning '!Z188</f>
        <v>4.9520001889230079</v>
      </c>
      <c r="I196" s="1076">
        <f>'4C2 Open-burning '!AH188</f>
        <v>6.8940200676618241E-2</v>
      </c>
      <c r="J196" s="1111">
        <f>'4D Wastewater treatment and dis'!AV225</f>
        <v>240.35173160942776</v>
      </c>
      <c r="K196" s="892">
        <f>'4D Wastewater treatment and dis'!AW225</f>
        <v>3.7883603240770336</v>
      </c>
      <c r="L196" s="893">
        <f t="shared" si="136"/>
        <v>7013.426961004433</v>
      </c>
      <c r="M196" s="894">
        <f t="shared" si="127"/>
        <v>111.68109393062262</v>
      </c>
      <c r="N196" s="893">
        <f t="shared" si="128"/>
        <v>1052.9931713458705</v>
      </c>
      <c r="O196" s="895">
        <f t="shared" si="129"/>
        <v>140.0810019030271</v>
      </c>
      <c r="P196" s="893">
        <f t="shared" si="130"/>
        <v>6221.7780642618636</v>
      </c>
      <c r="Q196" s="598">
        <f t="shared" si="131"/>
        <v>7013.426961004433</v>
      </c>
      <c r="R196" s="600">
        <f t="shared" si="132"/>
        <v>1164.6742652764931</v>
      </c>
      <c r="S196" s="597">
        <f t="shared" si="133"/>
        <v>140.0810019030271</v>
      </c>
      <c r="T196" s="598">
        <f t="shared" si="134"/>
        <v>6221.7780642618636</v>
      </c>
      <c r="U196" s="598">
        <f t="shared" si="135"/>
        <v>14539.960292445818</v>
      </c>
    </row>
    <row r="197" spans="1:21">
      <c r="A197">
        <f>'Input data'!A150</f>
        <v>2050</v>
      </c>
      <c r="C197" s="332">
        <f>'4A SWD Case 3'!BG119</f>
        <v>333.79798102065615</v>
      </c>
      <c r="D197" s="3">
        <f>'4B Biological treatment '!T250</f>
        <v>5.6443883367682597</v>
      </c>
      <c r="E197" s="178">
        <f>'4B Biological treatment '!U250</f>
        <v>28.221941683841294</v>
      </c>
      <c r="F197" s="178">
        <f>'4B Biological treatment '!W250</f>
        <v>1.6933165010304778</v>
      </c>
      <c r="G197" s="1076">
        <f>'4C2 Open-burning '!R189</f>
        <v>14.792755116830378</v>
      </c>
      <c r="H197" s="1076">
        <f>'4C2 Open-burning '!Z189</f>
        <v>4.9773092111039965</v>
      </c>
      <c r="I197" s="1076">
        <f>'4C2 Open-burning '!AH189</f>
        <v>6.9292544982256454E-2</v>
      </c>
      <c r="J197" s="1111">
        <f>'4D Wastewater treatment and dis'!AV226</f>
        <v>241.58013772301177</v>
      </c>
      <c r="K197" s="892">
        <f>'4D Wastewater treatment and dis'!AW226</f>
        <v>3.8077221358326381</v>
      </c>
      <c r="L197" s="893">
        <f t="shared" si="136"/>
        <v>7009.7576014337792</v>
      </c>
      <c r="M197" s="894">
        <f t="shared" si="127"/>
        <v>118.53215507213345</v>
      </c>
      <c r="N197" s="893">
        <f t="shared" si="128"/>
        <v>1117.5888906801154</v>
      </c>
      <c r="O197" s="895">
        <f t="shared" si="129"/>
        <v>140.7969374945138</v>
      </c>
      <c r="P197" s="893">
        <f t="shared" si="130"/>
        <v>6253.5767542913654</v>
      </c>
      <c r="Q197" s="538">
        <f t="shared" si="131"/>
        <v>7009.7576014337792</v>
      </c>
      <c r="R197" s="596">
        <f t="shared" si="132"/>
        <v>1236.1210457522488</v>
      </c>
      <c r="S197" s="593">
        <f t="shared" si="133"/>
        <v>140.7969374945138</v>
      </c>
      <c r="T197" s="538">
        <f t="shared" si="134"/>
        <v>6253.5767542913654</v>
      </c>
      <c r="U197" s="538">
        <f t="shared" si="135"/>
        <v>14640.252338971906</v>
      </c>
    </row>
    <row r="198" spans="1:21">
      <c r="A198" s="479" t="s">
        <v>765</v>
      </c>
      <c r="D198" s="3">
        <f>'4B Biological treatment '!T251</f>
        <v>0</v>
      </c>
      <c r="E198" s="178">
        <f>'4B Biological treatment '!U251</f>
        <v>0</v>
      </c>
      <c r="F198" s="178">
        <f>'4B Biological treatment '!W251</f>
        <v>0</v>
      </c>
      <c r="G198" s="1076"/>
      <c r="H198" s="1076"/>
      <c r="I198" s="1076"/>
      <c r="J198" s="1111"/>
      <c r="K198" s="892"/>
      <c r="L198" s="893"/>
      <c r="M198" s="894"/>
      <c r="N198" s="893"/>
      <c r="O198" s="895"/>
      <c r="P198" s="893"/>
      <c r="Q198" s="538">
        <f t="shared" ref="Q198:Q231" si="137">L198</f>
        <v>0</v>
      </c>
      <c r="R198" s="596">
        <f t="shared" ref="R198:R231" si="138">M198+N198</f>
        <v>0</v>
      </c>
      <c r="S198" s="593">
        <f t="shared" ref="S198:S231" si="139">O198</f>
        <v>0</v>
      </c>
      <c r="T198" s="538">
        <f t="shared" ref="T198:T231" si="140">P198</f>
        <v>0</v>
      </c>
      <c r="U198" s="538">
        <f t="shared" ref="U198:U231" si="141">SUM(Q198:T198)</f>
        <v>0</v>
      </c>
    </row>
    <row r="199" spans="1:21">
      <c r="A199">
        <f>'Input data'!A118</f>
        <v>2018</v>
      </c>
      <c r="C199" s="332">
        <f>'4A SWD Case 3'!BN87</f>
        <v>718.72894597883851</v>
      </c>
      <c r="D199" s="3">
        <f>'4B Biological treatment '!T252</f>
        <v>1.2744494605162662</v>
      </c>
      <c r="E199" s="178">
        <f>'4B Biological treatment '!U252</f>
        <v>32.247877396721456</v>
      </c>
      <c r="F199" s="178">
        <f>'4B Biological treatment '!W252</f>
        <v>1.9348726438032873</v>
      </c>
      <c r="G199" s="1076">
        <f>'4C2 Open-burning '!R157</f>
        <v>33.464406201319058</v>
      </c>
      <c r="H199" s="1076">
        <f>'4C2 Open-burning '!Z157</f>
        <v>11.259748161479752</v>
      </c>
      <c r="I199" s="1076">
        <f>'4C2 Open-burning '!AH157</f>
        <v>0.15675469874919792</v>
      </c>
      <c r="J199" s="1111">
        <f>'4D Wastewater treatment and dis'!AV194</f>
        <v>137.16052018288545</v>
      </c>
      <c r="K199" s="892">
        <f>'4D Wastewater treatment and dis'!AW194</f>
        <v>2.8960026562367029</v>
      </c>
      <c r="L199" s="893">
        <f>C199*$B$3</f>
        <v>15093.307865555609</v>
      </c>
      <c r="M199" s="894">
        <f t="shared" ref="M199:M231" si="142">D199*$B$3</f>
        <v>26.763438670841591</v>
      </c>
      <c r="N199" s="893">
        <f t="shared" ref="N199:N231" si="143">E199*$B$3+F199*$C$3</f>
        <v>1277.0159449101695</v>
      </c>
      <c r="O199" s="895">
        <f t="shared" ref="O199:O231" si="144">G199+H199*$B$3+I199*$C$3</f>
        <v>318.51307420464519</v>
      </c>
      <c r="P199" s="893">
        <f t="shared" ref="P199:P231" si="145">J199*$B$3+K199*$C$3</f>
        <v>3778.1317472739725</v>
      </c>
      <c r="Q199" s="538">
        <f t="shared" si="137"/>
        <v>15093.307865555609</v>
      </c>
      <c r="R199" s="596">
        <f t="shared" si="138"/>
        <v>1303.7793835810112</v>
      </c>
      <c r="S199" s="593">
        <f t="shared" si="139"/>
        <v>318.51307420464519</v>
      </c>
      <c r="T199" s="538">
        <f t="shared" si="140"/>
        <v>3778.1317472739725</v>
      </c>
      <c r="U199" s="538">
        <f t="shared" si="141"/>
        <v>20493.732070615239</v>
      </c>
    </row>
    <row r="200" spans="1:21">
      <c r="A200">
        <f>'Input data'!A119</f>
        <v>2019</v>
      </c>
      <c r="C200" s="332">
        <f>'4A SWD Case 3'!BN88</f>
        <v>715.93025711376094</v>
      </c>
      <c r="D200" s="3">
        <f>'4B Biological treatment '!T253</f>
        <v>1.9704955081680899</v>
      </c>
      <c r="E200" s="178">
        <f>'4B Biological treatment '!U253</f>
        <v>29.851298007687596</v>
      </c>
      <c r="F200" s="178">
        <f>'4B Biological treatment '!W253</f>
        <v>1.7910778804612553</v>
      </c>
      <c r="G200" s="1076">
        <f>'4C2 Open-burning '!R158</f>
        <v>33.456747505326334</v>
      </c>
      <c r="H200" s="1076">
        <f>'4C2 Open-burning '!Z158</f>
        <v>11.257171244752035</v>
      </c>
      <c r="I200" s="1076">
        <f>'4C2 Open-burning '!AH158</f>
        <v>0.15671882371899637</v>
      </c>
      <c r="J200" s="1111">
        <f>'4D Wastewater treatment and dis'!AV195</f>
        <v>143.32311856444659</v>
      </c>
      <c r="K200" s="892">
        <f>'4D Wastewater treatment and dis'!AW195</f>
        <v>2.9428441226975277</v>
      </c>
      <c r="L200" s="893">
        <f t="shared" ref="L200:L231" si="146">C200*$B$3</f>
        <v>15034.53539938898</v>
      </c>
      <c r="M200" s="894">
        <f t="shared" si="142"/>
        <v>41.380405671529886</v>
      </c>
      <c r="N200" s="893">
        <f t="shared" si="143"/>
        <v>1182.1114011044288</v>
      </c>
      <c r="O200" s="895">
        <f t="shared" si="144"/>
        <v>318.44017899800792</v>
      </c>
      <c r="P200" s="893">
        <f t="shared" si="145"/>
        <v>3922.0671678896119</v>
      </c>
      <c r="Q200" s="598">
        <f t="shared" si="137"/>
        <v>15034.53539938898</v>
      </c>
      <c r="R200" s="600">
        <f t="shared" si="138"/>
        <v>1223.4918067759586</v>
      </c>
      <c r="S200" s="597">
        <f t="shared" si="139"/>
        <v>318.44017899800792</v>
      </c>
      <c r="T200" s="598">
        <f t="shared" si="140"/>
        <v>3922.0671678896119</v>
      </c>
      <c r="U200" s="598">
        <f t="shared" si="141"/>
        <v>20498.534553052559</v>
      </c>
    </row>
    <row r="201" spans="1:21">
      <c r="A201">
        <f>'Input data'!A120</f>
        <v>2020</v>
      </c>
      <c r="C201" s="332">
        <f>'4A SWD Case 3'!BN89</f>
        <v>711.13549522793573</v>
      </c>
      <c r="D201" s="3">
        <f>'4B Biological treatment '!T254</f>
        <v>2.260886768797584</v>
      </c>
      <c r="E201" s="178">
        <f>'4B Biological treatment '!U254</f>
        <v>23.000280898623451</v>
      </c>
      <c r="F201" s="178">
        <f>'4B Biological treatment '!W254</f>
        <v>1.3800168539174074</v>
      </c>
      <c r="G201" s="1076">
        <f>'4C2 Open-burning '!R159</f>
        <v>33.216619550945921</v>
      </c>
      <c r="H201" s="1076">
        <f>'4C2 Open-burning '!Z159</f>
        <v>11.176375539709817</v>
      </c>
      <c r="I201" s="1076">
        <f>'4C2 Open-burning '!AH159</f>
        <v>0.15559401113682425</v>
      </c>
      <c r="J201" s="1111">
        <f>'4D Wastewater treatment and dis'!AV196</f>
        <v>149.6491219215433</v>
      </c>
      <c r="K201" s="892">
        <f>'4D Wastewater treatment and dis'!AW196</f>
        <v>2.9904419099300554</v>
      </c>
      <c r="L201" s="893">
        <f t="shared" si="146"/>
        <v>14933.845399786651</v>
      </c>
      <c r="M201" s="894">
        <f t="shared" si="142"/>
        <v>47.478622144749266</v>
      </c>
      <c r="N201" s="893">
        <f t="shared" si="143"/>
        <v>910.81112358548876</v>
      </c>
      <c r="O201" s="895">
        <f t="shared" si="144"/>
        <v>316.15464933726764</v>
      </c>
      <c r="P201" s="893">
        <f t="shared" si="145"/>
        <v>4069.6685524307268</v>
      </c>
      <c r="Q201" s="598">
        <f t="shared" si="137"/>
        <v>14933.845399786651</v>
      </c>
      <c r="R201" s="600">
        <f t="shared" si="138"/>
        <v>958.289745730238</v>
      </c>
      <c r="S201" s="597">
        <f t="shared" si="139"/>
        <v>316.15464933726764</v>
      </c>
      <c r="T201" s="598">
        <f t="shared" si="140"/>
        <v>4069.6685524307268</v>
      </c>
      <c r="U201" s="598">
        <f t="shared" si="141"/>
        <v>20277.958347284883</v>
      </c>
    </row>
    <row r="202" spans="1:21">
      <c r="A202">
        <f>'Input data'!A121</f>
        <v>2021</v>
      </c>
      <c r="C202" s="332">
        <f>'4A SWD Case 3'!BN90</f>
        <v>698.81711556229345</v>
      </c>
      <c r="D202" s="3">
        <f>'4B Biological treatment '!T255</f>
        <v>2.3357492884844286</v>
      </c>
      <c r="E202" s="178">
        <f>'4B Biological treatment '!U255</f>
        <v>16.636624192206348</v>
      </c>
      <c r="F202" s="178">
        <f>'4B Biological treatment '!W255</f>
        <v>0.99819745153238082</v>
      </c>
      <c r="G202" s="1076">
        <f>'4C2 Open-burning '!R160</f>
        <v>31.225627400260244</v>
      </c>
      <c r="H202" s="1076">
        <f>'4C2 Open-burning '!Z160</f>
        <v>10.506467635970589</v>
      </c>
      <c r="I202" s="1076">
        <f>'4C2 Open-burning '!AH160</f>
        <v>0.14626776243797687</v>
      </c>
      <c r="J202" s="1111">
        <f>'4D Wastewater treatment and dis'!AV197</f>
        <v>155.4265138839244</v>
      </c>
      <c r="K202" s="892">
        <f>'4D Wastewater treatment and dis'!AW197</f>
        <v>3.024879715734945</v>
      </c>
      <c r="L202" s="893">
        <f t="shared" si="146"/>
        <v>14675.159426808163</v>
      </c>
      <c r="M202" s="894">
        <f t="shared" si="142"/>
        <v>49.050735058173004</v>
      </c>
      <c r="N202" s="893">
        <f t="shared" si="143"/>
        <v>658.81031801137146</v>
      </c>
      <c r="O202" s="895">
        <f t="shared" si="144"/>
        <v>297.20445411141543</v>
      </c>
      <c r="P202" s="893">
        <f t="shared" si="145"/>
        <v>4201.6695034402455</v>
      </c>
      <c r="Q202" s="598">
        <f t="shared" si="137"/>
        <v>14675.159426808163</v>
      </c>
      <c r="R202" s="600">
        <f t="shared" si="138"/>
        <v>707.86105306954448</v>
      </c>
      <c r="S202" s="597">
        <f t="shared" si="139"/>
        <v>297.20445411141543</v>
      </c>
      <c r="T202" s="598">
        <f t="shared" si="140"/>
        <v>4201.6695034402455</v>
      </c>
      <c r="U202" s="598">
        <f t="shared" si="141"/>
        <v>19881.894437429368</v>
      </c>
    </row>
    <row r="203" spans="1:21">
      <c r="A203">
        <f>'Input data'!A122</f>
        <v>2022</v>
      </c>
      <c r="C203" s="332">
        <f>'4A SWD Case 3'!BN91</f>
        <v>678.14744983740263</v>
      </c>
      <c r="D203" s="3">
        <f>'4B Biological treatment '!T256</f>
        <v>2.6118083073790253</v>
      </c>
      <c r="E203" s="178">
        <f>'4B Biological treatment '!U256</f>
        <v>13.059041536895124</v>
      </c>
      <c r="F203" s="178">
        <f>'4B Biological treatment '!W256</f>
        <v>0.78354249221370753</v>
      </c>
      <c r="G203" s="1076">
        <f>'4C2 Open-burning '!R161</f>
        <v>26.557065695121505</v>
      </c>
      <c r="H203" s="1076">
        <f>'4C2 Open-burning '!Z161</f>
        <v>8.9356395519474283</v>
      </c>
      <c r="I203" s="1076">
        <f>'4C2 Open-burning '!AH161</f>
        <v>0.12439918424541899</v>
      </c>
      <c r="J203" s="1111">
        <f>'4D Wastewater treatment and dis'!AV198</f>
        <v>161.31482365077883</v>
      </c>
      <c r="K203" s="892">
        <f>'4D Wastewater treatment and dis'!AW198</f>
        <v>3.0596704712332969</v>
      </c>
      <c r="L203" s="893">
        <f t="shared" si="146"/>
        <v>14241.096446585456</v>
      </c>
      <c r="M203" s="894">
        <f t="shared" si="142"/>
        <v>54.847974454959527</v>
      </c>
      <c r="N203" s="893">
        <f t="shared" si="143"/>
        <v>517.13804486104698</v>
      </c>
      <c r="O203" s="895">
        <f t="shared" si="144"/>
        <v>252.7692434020974</v>
      </c>
      <c r="P203" s="893">
        <f t="shared" si="145"/>
        <v>4336.1091427486772</v>
      </c>
      <c r="Q203" s="598">
        <f t="shared" si="137"/>
        <v>14241.096446585456</v>
      </c>
      <c r="R203" s="600">
        <f t="shared" si="138"/>
        <v>571.98601931600649</v>
      </c>
      <c r="S203" s="597">
        <f t="shared" si="139"/>
        <v>252.7692434020974</v>
      </c>
      <c r="T203" s="598">
        <f t="shared" si="140"/>
        <v>4336.1091427486772</v>
      </c>
      <c r="U203" s="598">
        <f t="shared" si="141"/>
        <v>19401.960852052238</v>
      </c>
    </row>
    <row r="204" spans="1:21">
      <c r="A204">
        <f>'Input data'!A123</f>
        <v>2023</v>
      </c>
      <c r="C204" s="332">
        <f>'4A SWD Case 3'!BN92</f>
        <v>655.20975295558458</v>
      </c>
      <c r="D204" s="3">
        <f>'4B Biological treatment '!T257</f>
        <v>2.551202854214504</v>
      </c>
      <c r="E204" s="178">
        <f>'4B Biological treatment '!U257</f>
        <v>12.75601427107252</v>
      </c>
      <c r="F204" s="178">
        <f>'4B Biological treatment '!W257</f>
        <v>0.76536085626435113</v>
      </c>
      <c r="G204" s="1076">
        <f>'4C2 Open-burning '!R162</f>
        <v>25.591310984719968</v>
      </c>
      <c r="H204" s="1076">
        <f>'4C2 Open-burning '!Z162</f>
        <v>8.6106926588375945</v>
      </c>
      <c r="I204" s="1076">
        <f>'4C2 Open-burning '!AH162</f>
        <v>0.11987537504396825</v>
      </c>
      <c r="J204" s="1111">
        <f>'4D Wastewater treatment and dis'!AV199</f>
        <v>167.32092220488411</v>
      </c>
      <c r="K204" s="892">
        <f>'4D Wastewater treatment and dis'!AW199</f>
        <v>3.0949150191946715</v>
      </c>
      <c r="L204" s="893">
        <f t="shared" si="146"/>
        <v>13759.404812067276</v>
      </c>
      <c r="M204" s="894">
        <f t="shared" si="142"/>
        <v>53.575259938504587</v>
      </c>
      <c r="N204" s="893">
        <f t="shared" si="143"/>
        <v>505.13816513447182</v>
      </c>
      <c r="O204" s="895">
        <f t="shared" si="144"/>
        <v>243.5772230839396</v>
      </c>
      <c r="P204" s="893">
        <f t="shared" si="145"/>
        <v>4473.1630222529147</v>
      </c>
      <c r="Q204" s="598">
        <f t="shared" si="137"/>
        <v>13759.404812067276</v>
      </c>
      <c r="R204" s="600">
        <f t="shared" si="138"/>
        <v>558.71342507297641</v>
      </c>
      <c r="S204" s="597">
        <f t="shared" si="139"/>
        <v>243.5772230839396</v>
      </c>
      <c r="T204" s="598">
        <f t="shared" si="140"/>
        <v>4473.1630222529147</v>
      </c>
      <c r="U204" s="598">
        <f t="shared" si="141"/>
        <v>19034.858482477106</v>
      </c>
    </row>
    <row r="205" spans="1:21">
      <c r="A205">
        <f>'Input data'!A124</f>
        <v>2024</v>
      </c>
      <c r="C205" s="332">
        <f>'4A SWD Case 3'!BN93</f>
        <v>633.25016739755495</v>
      </c>
      <c r="D205" s="3">
        <f>'4B Biological treatment '!T258</f>
        <v>2.4855491514254933</v>
      </c>
      <c r="E205" s="178">
        <f>'4B Biological treatment '!U258</f>
        <v>12.427745757127466</v>
      </c>
      <c r="F205" s="178">
        <f>'4B Biological treatment '!W258</f>
        <v>0.74566474542764782</v>
      </c>
      <c r="G205" s="1076">
        <f>'4C2 Open-burning '!R163</f>
        <v>24.564638588053686</v>
      </c>
      <c r="H205" s="1076">
        <f>'4C2 Open-burning '!Z163</f>
        <v>8.2652488293173363</v>
      </c>
      <c r="I205" s="1076">
        <f>'4C2 Open-burning '!AH163</f>
        <v>0.11506621389270311</v>
      </c>
      <c r="J205" s="1111">
        <f>'4D Wastewater treatment and dis'!AV200</f>
        <v>173.44384059068466</v>
      </c>
      <c r="K205" s="892">
        <f>'4D Wastewater treatment and dis'!AW200</f>
        <v>3.1305629382342866</v>
      </c>
      <c r="L205" s="893">
        <f t="shared" si="146"/>
        <v>13298.253515348653</v>
      </c>
      <c r="M205" s="894">
        <f t="shared" si="142"/>
        <v>52.19653217993536</v>
      </c>
      <c r="N205" s="893">
        <f t="shared" si="143"/>
        <v>492.13873198224758</v>
      </c>
      <c r="O205" s="895">
        <f t="shared" si="144"/>
        <v>233.80539031045572</v>
      </c>
      <c r="P205" s="893">
        <f t="shared" si="145"/>
        <v>4612.7951632570066</v>
      </c>
      <c r="Q205" s="598">
        <f t="shared" si="137"/>
        <v>13298.253515348653</v>
      </c>
      <c r="R205" s="600">
        <f t="shared" si="138"/>
        <v>544.33526416218297</v>
      </c>
      <c r="S205" s="597">
        <f t="shared" si="139"/>
        <v>233.80539031045572</v>
      </c>
      <c r="T205" s="598">
        <f t="shared" si="140"/>
        <v>4612.7951632570066</v>
      </c>
      <c r="U205" s="598">
        <f t="shared" si="141"/>
        <v>18689.189333078299</v>
      </c>
    </row>
    <row r="206" spans="1:21">
      <c r="A206">
        <f>'Input data'!A125</f>
        <v>2025</v>
      </c>
      <c r="C206" s="332">
        <f>'4A SWD Case 3'!BN94</f>
        <v>612.18830777251583</v>
      </c>
      <c r="D206" s="3">
        <f>'4B Biological treatment '!T259</f>
        <v>2.4155591443098334</v>
      </c>
      <c r="E206" s="178">
        <f>'4B Biological treatment '!U259</f>
        <v>12.077795721549167</v>
      </c>
      <c r="F206" s="178">
        <f>'4B Biological treatment '!W259</f>
        <v>0.72466774329295003</v>
      </c>
      <c r="G206" s="1076">
        <f>'4C2 Open-burning '!R164</f>
        <v>23.473862461725432</v>
      </c>
      <c r="H206" s="1076">
        <f>'4C2 Open-burning '!Z164</f>
        <v>7.8982360573253887</v>
      </c>
      <c r="I206" s="1076">
        <f>'4C2 Open-burning '!AH164</f>
        <v>0.10995677665790576</v>
      </c>
      <c r="J206" s="1111">
        <f>'4D Wastewater treatment and dis'!AV201</f>
        <v>179.68520063996107</v>
      </c>
      <c r="K206" s="892">
        <f>'4D Wastewater treatment and dis'!AW201</f>
        <v>3.166614228352143</v>
      </c>
      <c r="L206" s="893">
        <f t="shared" si="146"/>
        <v>12855.954463222832</v>
      </c>
      <c r="M206" s="894">
        <f t="shared" si="142"/>
        <v>50.7267420305065</v>
      </c>
      <c r="N206" s="893">
        <f t="shared" si="143"/>
        <v>478.28071057334705</v>
      </c>
      <c r="O206" s="895">
        <f t="shared" si="144"/>
        <v>223.42342042950941</v>
      </c>
      <c r="P206" s="893">
        <f t="shared" si="145"/>
        <v>4755.0396242283468</v>
      </c>
      <c r="Q206" s="598">
        <f t="shared" si="137"/>
        <v>12855.954463222832</v>
      </c>
      <c r="R206" s="600">
        <f t="shared" si="138"/>
        <v>529.00745260385361</v>
      </c>
      <c r="S206" s="597">
        <f t="shared" si="139"/>
        <v>223.42342042950941</v>
      </c>
      <c r="T206" s="598">
        <f t="shared" si="140"/>
        <v>4755.0396242283468</v>
      </c>
      <c r="U206" s="598">
        <f t="shared" si="141"/>
        <v>18363.424960484543</v>
      </c>
    </row>
    <row r="207" spans="1:21">
      <c r="A207">
        <f>'Input data'!A126</f>
        <v>2026</v>
      </c>
      <c r="C207" s="332">
        <f>'4A SWD Case 3'!BN95</f>
        <v>591.9485668880493</v>
      </c>
      <c r="D207" s="3">
        <f>'4B Biological treatment '!T260</f>
        <v>2.3400240397400247</v>
      </c>
      <c r="E207" s="178">
        <f>'4B Biological treatment '!U260</f>
        <v>11.700120198700123</v>
      </c>
      <c r="F207" s="178">
        <f>'4B Biological treatment '!W260</f>
        <v>0.70200721192200732</v>
      </c>
      <c r="G207" s="1076">
        <f>'4C2 Open-burning '!R165</f>
        <v>22.278732943613061</v>
      </c>
      <c r="H207" s="1076">
        <f>'4C2 Open-burning '!Z165</f>
        <v>7.4961115638160596</v>
      </c>
      <c r="I207" s="1076">
        <f>'4C2 Open-burning '!AH165</f>
        <v>0.10435852499759113</v>
      </c>
      <c r="J207" s="1111">
        <f>'4D Wastewater treatment and dis'!AV202</f>
        <v>185.73911394397246</v>
      </c>
      <c r="K207" s="892">
        <f>'4D Wastewater treatment and dis'!AW202</f>
        <v>3.1977746441463193</v>
      </c>
      <c r="L207" s="893">
        <f t="shared" si="146"/>
        <v>12430.919904649036</v>
      </c>
      <c r="M207" s="894">
        <f t="shared" si="142"/>
        <v>49.140504834540522</v>
      </c>
      <c r="N207" s="893">
        <f t="shared" si="143"/>
        <v>463.32475986852489</v>
      </c>
      <c r="O207" s="895">
        <f t="shared" si="144"/>
        <v>212.04821853300356</v>
      </c>
      <c r="P207" s="893">
        <f t="shared" si="145"/>
        <v>4891.8315325087806</v>
      </c>
      <c r="Q207" s="598">
        <f t="shared" si="137"/>
        <v>12430.919904649036</v>
      </c>
      <c r="R207" s="600">
        <f t="shared" si="138"/>
        <v>512.46526470306537</v>
      </c>
      <c r="S207" s="597">
        <f t="shared" si="139"/>
        <v>212.04821853300356</v>
      </c>
      <c r="T207" s="598">
        <f t="shared" si="140"/>
        <v>4891.8315325087806</v>
      </c>
      <c r="U207" s="598">
        <f t="shared" si="141"/>
        <v>18047.264920393885</v>
      </c>
    </row>
    <row r="208" spans="1:21">
      <c r="A208">
        <f>'Input data'!A127</f>
        <v>2027</v>
      </c>
      <c r="C208" s="332">
        <f>'4A SWD Case 3'!BN96</f>
        <v>572.44871463611639</v>
      </c>
      <c r="D208" s="3">
        <f>'4B Biological treatment '!T261</f>
        <v>2.2593148188944747</v>
      </c>
      <c r="E208" s="178">
        <f>'4B Biological treatment '!U261</f>
        <v>11.296574094472373</v>
      </c>
      <c r="F208" s="178">
        <f>'4B Biological treatment '!W261</f>
        <v>0.67779444566834224</v>
      </c>
      <c r="G208" s="1076">
        <f>'4C2 Open-burning '!R166</f>
        <v>21.017106702586425</v>
      </c>
      <c r="H208" s="1076">
        <f>'4C2 Open-burning '!Z166</f>
        <v>7.0716129588680232</v>
      </c>
      <c r="I208" s="1076">
        <f>'4C2 Open-burning '!AH166</f>
        <v>9.8448787942749277E-2</v>
      </c>
      <c r="J208" s="1111">
        <f>'4D Wastewater treatment and dis'!AV203</f>
        <v>191.89752530165873</v>
      </c>
      <c r="K208" s="892">
        <f>'4D Wastewater treatment and dis'!AW203</f>
        <v>3.2292880096339567</v>
      </c>
      <c r="L208" s="893">
        <f t="shared" si="146"/>
        <v>12021.423007358444</v>
      </c>
      <c r="M208" s="894">
        <f t="shared" si="142"/>
        <v>47.445611196783972</v>
      </c>
      <c r="N208" s="893">
        <f t="shared" si="143"/>
        <v>447.34433414110595</v>
      </c>
      <c r="O208" s="895">
        <f t="shared" si="144"/>
        <v>200.04010310106719</v>
      </c>
      <c r="P208" s="893">
        <f t="shared" si="145"/>
        <v>5030.9273143213595</v>
      </c>
      <c r="Q208" s="598">
        <f t="shared" si="137"/>
        <v>12021.423007358444</v>
      </c>
      <c r="R208" s="600">
        <f t="shared" si="138"/>
        <v>494.78994533788989</v>
      </c>
      <c r="S208" s="597">
        <f t="shared" si="139"/>
        <v>200.04010310106719</v>
      </c>
      <c r="T208" s="598">
        <f t="shared" si="140"/>
        <v>5030.9273143213595</v>
      </c>
      <c r="U208" s="598">
        <f t="shared" si="141"/>
        <v>17747.18037011876</v>
      </c>
    </row>
    <row r="209" spans="1:21">
      <c r="A209">
        <f>'Input data'!A128</f>
        <v>2028</v>
      </c>
      <c r="C209" s="332">
        <f>'4A SWD Case 3'!BN97</f>
        <v>553.61770124326574</v>
      </c>
      <c r="D209" s="3">
        <f>'4B Biological treatment '!T262</f>
        <v>2.173973188338572</v>
      </c>
      <c r="E209" s="178">
        <f>'4B Biological treatment '!U262</f>
        <v>10.86986594169286</v>
      </c>
      <c r="F209" s="178">
        <f>'4B Biological treatment '!W262</f>
        <v>0.65219195650157158</v>
      </c>
      <c r="G209" s="1076">
        <f>'4C2 Open-burning '!R167</f>
        <v>19.684894825603294</v>
      </c>
      <c r="H209" s="1076">
        <f>'4C2 Open-burning '!Z167</f>
        <v>6.6233644484261731</v>
      </c>
      <c r="I209" s="1076">
        <f>'4C2 Open-burning '!AH167</f>
        <v>9.2208412118051003E-2</v>
      </c>
      <c r="J209" s="1111">
        <f>'4D Wastewater treatment and dis'!AV204</f>
        <v>198.15572617261648</v>
      </c>
      <c r="K209" s="892">
        <f>'4D Wastewater treatment and dis'!AW204</f>
        <v>3.2610534820454951</v>
      </c>
      <c r="L209" s="893">
        <f t="shared" si="146"/>
        <v>11625.971726108581</v>
      </c>
      <c r="M209" s="894">
        <f t="shared" si="142"/>
        <v>45.65343695511001</v>
      </c>
      <c r="N209" s="893">
        <f t="shared" si="143"/>
        <v>430.44669129103727</v>
      </c>
      <c r="O209" s="895">
        <f t="shared" si="144"/>
        <v>187.36015599914873</v>
      </c>
      <c r="P209" s="893">
        <f t="shared" si="145"/>
        <v>5172.1968290590494</v>
      </c>
      <c r="Q209" s="598">
        <f t="shared" si="137"/>
        <v>11625.971726108581</v>
      </c>
      <c r="R209" s="600">
        <f t="shared" si="138"/>
        <v>476.10012824614728</v>
      </c>
      <c r="S209" s="597">
        <f t="shared" si="139"/>
        <v>187.36015599914873</v>
      </c>
      <c r="T209" s="598">
        <f t="shared" si="140"/>
        <v>5172.1968290590494</v>
      </c>
      <c r="U209" s="598">
        <f t="shared" si="141"/>
        <v>17461.628839412926</v>
      </c>
    </row>
    <row r="210" spans="1:21">
      <c r="A210">
        <f>'Input data'!A129</f>
        <v>2029</v>
      </c>
      <c r="C210" s="332">
        <f>'4A SWD Case 3'!BN98</f>
        <v>535.38833907661422</v>
      </c>
      <c r="D210" s="3">
        <f>'4B Biological treatment '!T263</f>
        <v>2.0835778965662075</v>
      </c>
      <c r="E210" s="178">
        <f>'4B Biological treatment '!U263</f>
        <v>10.417889482831036</v>
      </c>
      <c r="F210" s="178">
        <f>'4B Biological treatment '!W263</f>
        <v>0.62507336896986221</v>
      </c>
      <c r="G210" s="1076">
        <f>'4C2 Open-burning '!R168</f>
        <v>18.279119829363644</v>
      </c>
      <c r="H210" s="1076">
        <f>'4C2 Open-burning '!Z168</f>
        <v>6.1503642005168082</v>
      </c>
      <c r="I210" s="1076">
        <f>'4C2 Open-burning '!AH168</f>
        <v>8.5623450331518108E-2</v>
      </c>
      <c r="J210" s="1111">
        <f>'4D Wastewater treatment and dis'!AV205</f>
        <v>204.52099299756838</v>
      </c>
      <c r="K210" s="892">
        <f>'4D Wastewater treatment and dis'!AW205</f>
        <v>3.2931719041504954</v>
      </c>
      <c r="L210" s="893">
        <f t="shared" si="146"/>
        <v>11243.155120608899</v>
      </c>
      <c r="M210" s="894">
        <f t="shared" si="142"/>
        <v>43.755135827890356</v>
      </c>
      <c r="N210" s="893">
        <f t="shared" si="143"/>
        <v>412.54842352010905</v>
      </c>
      <c r="O210" s="895">
        <f t="shared" si="144"/>
        <v>173.98003764298724</v>
      </c>
      <c r="P210" s="893">
        <f t="shared" si="145"/>
        <v>5315.8241432355899</v>
      </c>
      <c r="Q210" s="598">
        <f t="shared" si="137"/>
        <v>11243.155120608899</v>
      </c>
      <c r="R210" s="600">
        <f t="shared" si="138"/>
        <v>456.3035593479994</v>
      </c>
      <c r="S210" s="597">
        <f t="shared" si="139"/>
        <v>173.98003764298724</v>
      </c>
      <c r="T210" s="598">
        <f t="shared" si="140"/>
        <v>5315.8241432355899</v>
      </c>
      <c r="U210" s="598">
        <f t="shared" si="141"/>
        <v>17189.262860835475</v>
      </c>
    </row>
    <row r="211" spans="1:21">
      <c r="A211">
        <f>'Input data'!A130</f>
        <v>2030</v>
      </c>
      <c r="C211" s="332">
        <f>'4A SWD Case 3'!BN99</f>
        <v>517.69513732567566</v>
      </c>
      <c r="D211" s="3">
        <f>'4B Biological treatment '!T264</f>
        <v>1.9878618707813083</v>
      </c>
      <c r="E211" s="178">
        <f>'4B Biological treatment '!U264</f>
        <v>9.9393093539065411</v>
      </c>
      <c r="F211" s="178">
        <f>'4B Biological treatment '!W264</f>
        <v>0.59635856123439246</v>
      </c>
      <c r="G211" s="1076">
        <f>'4C2 Open-burning '!R169</f>
        <v>16.79562810762155</v>
      </c>
      <c r="H211" s="1076">
        <f>'4C2 Open-burning '!Z169</f>
        <v>5.6512146538023771</v>
      </c>
      <c r="I211" s="1076">
        <f>'4C2 Open-burning '!AH169</f>
        <v>7.8674446170510601E-2</v>
      </c>
      <c r="J211" s="1111">
        <f>'4D Wastewater treatment and dis'!AV206</f>
        <v>210.99154590506851</v>
      </c>
      <c r="K211" s="892">
        <f>'4D Wastewater treatment and dis'!AW206</f>
        <v>3.3255928545641762</v>
      </c>
      <c r="L211" s="893">
        <f t="shared" si="146"/>
        <v>10871.597883839189</v>
      </c>
      <c r="M211" s="894">
        <f t="shared" si="142"/>
        <v>41.745099286407473</v>
      </c>
      <c r="N211" s="893">
        <f t="shared" si="143"/>
        <v>393.59665041469907</v>
      </c>
      <c r="O211" s="895">
        <f t="shared" si="144"/>
        <v>159.86021415032977</v>
      </c>
      <c r="P211" s="893">
        <f t="shared" si="145"/>
        <v>5461.7562489213324</v>
      </c>
      <c r="Q211" s="598">
        <f t="shared" si="137"/>
        <v>10871.597883839189</v>
      </c>
      <c r="R211" s="600">
        <f t="shared" si="138"/>
        <v>435.34174970110655</v>
      </c>
      <c r="S211" s="597">
        <f t="shared" si="139"/>
        <v>159.86021415032977</v>
      </c>
      <c r="T211" s="598">
        <f t="shared" si="140"/>
        <v>5461.7562489213324</v>
      </c>
      <c r="U211" s="598">
        <f t="shared" si="141"/>
        <v>16928.556096611959</v>
      </c>
    </row>
    <row r="212" spans="1:21">
      <c r="A212">
        <f>'Input data'!A131</f>
        <v>2031</v>
      </c>
      <c r="C212" s="332">
        <f>'4A SWD Case 3'!BN100</f>
        <v>500.47437010295096</v>
      </c>
      <c r="D212" s="3">
        <f>'4B Biological treatment '!T265</f>
        <v>1.8706747069676979</v>
      </c>
      <c r="E212" s="178">
        <f>'4B Biological treatment '!U265</f>
        <v>9.3533735348384877</v>
      </c>
      <c r="F212" s="178">
        <f>'4B Biological treatment '!W265</f>
        <v>0.56120241209030919</v>
      </c>
      <c r="G212" s="1076">
        <f>'4C2 Open-burning '!R170</f>
        <v>14.984496004381816</v>
      </c>
      <c r="H212" s="1076">
        <f>'4C2 Open-burning '!Z170</f>
        <v>5.0418241495463452</v>
      </c>
      <c r="I212" s="1076">
        <f>'4C2 Open-burning '!AH170</f>
        <v>7.0190701814480339E-2</v>
      </c>
      <c r="J212" s="1111">
        <f>'4D Wastewater treatment and dis'!AV207</f>
        <v>212.79256841014094</v>
      </c>
      <c r="K212" s="892">
        <f>'4D Wastewater treatment and dis'!AW207</f>
        <v>3.3539800941954407</v>
      </c>
      <c r="L212" s="893">
        <f t="shared" si="146"/>
        <v>10509.961772161971</v>
      </c>
      <c r="M212" s="894">
        <f t="shared" si="142"/>
        <v>39.284168846321656</v>
      </c>
      <c r="N212" s="893">
        <f t="shared" si="143"/>
        <v>370.39359197960408</v>
      </c>
      <c r="O212" s="895">
        <f t="shared" si="144"/>
        <v>142.62192070734397</v>
      </c>
      <c r="P212" s="893">
        <f t="shared" si="145"/>
        <v>5508.3777658135459</v>
      </c>
      <c r="Q212" s="598">
        <f t="shared" si="137"/>
        <v>10509.961772161971</v>
      </c>
      <c r="R212" s="600">
        <f t="shared" si="138"/>
        <v>409.67776082592576</v>
      </c>
      <c r="S212" s="597">
        <f t="shared" si="139"/>
        <v>142.62192070734397</v>
      </c>
      <c r="T212" s="598">
        <f t="shared" si="140"/>
        <v>5508.3777658135459</v>
      </c>
      <c r="U212" s="598">
        <f t="shared" si="141"/>
        <v>16570.639219508786</v>
      </c>
    </row>
    <row r="213" spans="1:21">
      <c r="A213">
        <f>'Input data'!A132</f>
        <v>2032</v>
      </c>
      <c r="C213" s="332">
        <f>'4A SWD Case 3'!BN101</f>
        <v>483.52425998385291</v>
      </c>
      <c r="D213" s="3">
        <f>'4B Biological treatment '!T266</f>
        <v>1.7501301025051645</v>
      </c>
      <c r="E213" s="178">
        <f>'4B Biological treatment '!U266</f>
        <v>8.7506505125258229</v>
      </c>
      <c r="F213" s="178">
        <f>'4B Biological treatment '!W266</f>
        <v>0.52503903075154934</v>
      </c>
      <c r="G213" s="1076">
        <f>'4C2 Open-burning '!R171</f>
        <v>13.141258541311998</v>
      </c>
      <c r="H213" s="1076">
        <f>'4C2 Open-burning '!Z171</f>
        <v>4.4216311746250412</v>
      </c>
      <c r="I213" s="1076">
        <f>'4C2 Open-burning '!AH171</f>
        <v>6.155656883424665E-2</v>
      </c>
      <c r="J213" s="1111">
        <f>'4D Wastewater treatment and dis'!AV208</f>
        <v>214.6095857864839</v>
      </c>
      <c r="K213" s="892">
        <f>'4D Wastewater treatment and dis'!AW208</f>
        <v>3.3826194407506049</v>
      </c>
      <c r="L213" s="893">
        <f t="shared" si="146"/>
        <v>10154.009459660911</v>
      </c>
      <c r="M213" s="894">
        <f t="shared" si="142"/>
        <v>36.752732152608452</v>
      </c>
      <c r="N213" s="893">
        <f t="shared" si="143"/>
        <v>346.52576029602255</v>
      </c>
      <c r="O213" s="895">
        <f t="shared" si="144"/>
        <v>125.07804954705433</v>
      </c>
      <c r="P213" s="893">
        <f t="shared" si="145"/>
        <v>5555.4133281488503</v>
      </c>
      <c r="Q213" s="598">
        <f t="shared" si="137"/>
        <v>10154.009459660911</v>
      </c>
      <c r="R213" s="600">
        <f t="shared" si="138"/>
        <v>383.27849244863103</v>
      </c>
      <c r="S213" s="597">
        <f t="shared" si="139"/>
        <v>125.07804954705433</v>
      </c>
      <c r="T213" s="598">
        <f t="shared" si="140"/>
        <v>5555.4133281488503</v>
      </c>
      <c r="U213" s="598">
        <f t="shared" si="141"/>
        <v>16217.779329805446</v>
      </c>
    </row>
    <row r="214" spans="1:21">
      <c r="A214">
        <f>'Input data'!A133</f>
        <v>2033</v>
      </c>
      <c r="C214" s="332">
        <f>'4A SWD Case 3'!BN102</f>
        <v>466.8186497344318</v>
      </c>
      <c r="D214" s="3">
        <f>'4B Biological treatment '!T267</f>
        <v>1.7795461306687508</v>
      </c>
      <c r="E214" s="178">
        <f>'4B Biological treatment '!U267</f>
        <v>8.8977306533437535</v>
      </c>
      <c r="F214" s="178">
        <f>'4B Biological treatment '!W267</f>
        <v>0.53386383920062519</v>
      </c>
      <c r="G214" s="1076">
        <f>'4C2 Open-burning '!R172</f>
        <v>13.253304092396867</v>
      </c>
      <c r="H214" s="1076">
        <f>'4C2 Open-burning '!Z172</f>
        <v>4.4593310722488066</v>
      </c>
      <c r="I214" s="1076">
        <f>'4C2 Open-burning '!AH172</f>
        <v>6.2081415039520242E-2</v>
      </c>
      <c r="J214" s="1111">
        <f>'4D Wastewater treatment and dis'!AV209</f>
        <v>216.43939905984345</v>
      </c>
      <c r="K214" s="892">
        <f>'4D Wastewater treatment and dis'!AW209</f>
        <v>3.4114604728448907</v>
      </c>
      <c r="L214" s="893">
        <f t="shared" si="146"/>
        <v>9803.1916444230683</v>
      </c>
      <c r="M214" s="894">
        <f t="shared" si="142"/>
        <v>37.37046874404377</v>
      </c>
      <c r="N214" s="893">
        <f t="shared" si="143"/>
        <v>352.35013387241258</v>
      </c>
      <c r="O214" s="895">
        <f t="shared" si="144"/>
        <v>126.14449527187307</v>
      </c>
      <c r="P214" s="893">
        <f t="shared" si="145"/>
        <v>5602.7801268386283</v>
      </c>
      <c r="Q214" s="598">
        <f t="shared" si="137"/>
        <v>9803.1916444230683</v>
      </c>
      <c r="R214" s="600">
        <f t="shared" si="138"/>
        <v>389.72060261645635</v>
      </c>
      <c r="S214" s="597">
        <f t="shared" si="139"/>
        <v>126.14449527187307</v>
      </c>
      <c r="T214" s="598">
        <f t="shared" si="140"/>
        <v>5602.7801268386283</v>
      </c>
      <c r="U214" s="598">
        <f t="shared" si="141"/>
        <v>15921.836869150027</v>
      </c>
    </row>
    <row r="215" spans="1:21">
      <c r="A215">
        <f>'Input data'!A134</f>
        <v>2034</v>
      </c>
      <c r="C215" s="332">
        <f>'4A SWD Case 3'!BN103</f>
        <v>451.01810549083081</v>
      </c>
      <c r="D215" s="3">
        <f>'4B Biological treatment '!T268</f>
        <v>1.8105019623490144</v>
      </c>
      <c r="E215" s="178">
        <f>'4B Biological treatment '!U268</f>
        <v>9.0525098117450717</v>
      </c>
      <c r="F215" s="178">
        <f>'4B Biological treatment '!W268</f>
        <v>0.54315058870470423</v>
      </c>
      <c r="G215" s="1076">
        <f>'4C2 Open-burning '!R173</f>
        <v>13.366524946465139</v>
      </c>
      <c r="H215" s="1076">
        <f>'4C2 Open-burning '!Z173</f>
        <v>4.4974264233441481</v>
      </c>
      <c r="I215" s="1076">
        <f>'4C2 Open-burning '!AH173</f>
        <v>6.2611766624569409E-2</v>
      </c>
      <c r="J215" s="1111">
        <f>'4D Wastewater treatment and dis'!AV210</f>
        <v>218.28840617872763</v>
      </c>
      <c r="K215" s="892">
        <f>'4D Wastewater treatment and dis'!AW210</f>
        <v>3.4406040332478574</v>
      </c>
      <c r="L215" s="893">
        <f t="shared" si="146"/>
        <v>9471.3802153074466</v>
      </c>
      <c r="M215" s="894">
        <f t="shared" si="142"/>
        <v>38.020541209329302</v>
      </c>
      <c r="N215" s="893">
        <f t="shared" si="143"/>
        <v>358.47938854510483</v>
      </c>
      <c r="O215" s="895">
        <f t="shared" si="144"/>
        <v>127.22212749030876</v>
      </c>
      <c r="P215" s="893">
        <f t="shared" si="145"/>
        <v>5650.6437800601161</v>
      </c>
      <c r="Q215" s="598">
        <f t="shared" si="137"/>
        <v>9471.3802153074466</v>
      </c>
      <c r="R215" s="600">
        <f t="shared" si="138"/>
        <v>396.49992975443411</v>
      </c>
      <c r="S215" s="597">
        <f t="shared" si="139"/>
        <v>127.22212749030876</v>
      </c>
      <c r="T215" s="598">
        <f t="shared" si="140"/>
        <v>5650.6437800601161</v>
      </c>
      <c r="U215" s="598">
        <f t="shared" si="141"/>
        <v>15645.746052612307</v>
      </c>
    </row>
    <row r="216" spans="1:21">
      <c r="A216">
        <f>'Input data'!A135</f>
        <v>2035</v>
      </c>
      <c r="C216" s="332">
        <f>'4A SWD Case 3'!BN104</f>
        <v>436.08234982325024</v>
      </c>
      <c r="D216" s="3">
        <f>'4B Biological treatment '!T269</f>
        <v>1.8430581610503542</v>
      </c>
      <c r="E216" s="178">
        <f>'4B Biological treatment '!U269</f>
        <v>9.2152908052517724</v>
      </c>
      <c r="F216" s="178">
        <f>'4B Biological treatment '!W269</f>
        <v>0.55291744831510625</v>
      </c>
      <c r="G216" s="1076">
        <f>'4C2 Open-burning '!R174</f>
        <v>13.480529335855687</v>
      </c>
      <c r="H216" s="1076">
        <f>'4C2 Open-burning '!Z174</f>
        <v>4.535785410087211</v>
      </c>
      <c r="I216" s="1076">
        <f>'4C2 Open-burning '!AH174</f>
        <v>6.3145788462802332E-2</v>
      </c>
      <c r="J216" s="1111">
        <f>'4D Wastewater treatment and dis'!AV211</f>
        <v>220.15020919462836</v>
      </c>
      <c r="K216" s="892">
        <f>'4D Wastewater treatment and dis'!AW211</f>
        <v>3.4699492791899456</v>
      </c>
      <c r="L216" s="893">
        <f t="shared" si="146"/>
        <v>9157.7293462882553</v>
      </c>
      <c r="M216" s="894">
        <f t="shared" si="142"/>
        <v>38.70422138205744</v>
      </c>
      <c r="N216" s="893">
        <f t="shared" si="143"/>
        <v>364.92551588797016</v>
      </c>
      <c r="O216" s="895">
        <f t="shared" si="144"/>
        <v>128.30721737115584</v>
      </c>
      <c r="P216" s="893">
        <f t="shared" si="145"/>
        <v>5698.8386696360794</v>
      </c>
      <c r="Q216" s="598">
        <f t="shared" si="137"/>
        <v>9157.7293462882553</v>
      </c>
      <c r="R216" s="600">
        <f t="shared" si="138"/>
        <v>403.62973727002759</v>
      </c>
      <c r="S216" s="597">
        <f t="shared" si="139"/>
        <v>128.30721737115584</v>
      </c>
      <c r="T216" s="598">
        <f t="shared" si="140"/>
        <v>5698.8386696360794</v>
      </c>
      <c r="U216" s="598">
        <f t="shared" si="141"/>
        <v>15388.504970565518</v>
      </c>
    </row>
    <row r="217" spans="1:21">
      <c r="A217">
        <f>'Input data'!A136</f>
        <v>2036</v>
      </c>
      <c r="C217" s="332">
        <f>'4A SWD Case 3'!BN105</f>
        <v>421.9731159545189</v>
      </c>
      <c r="D217" s="3">
        <f>'4B Biological treatment '!T270</f>
        <v>1.8751666542537428</v>
      </c>
      <c r="E217" s="178">
        <f>'4B Biological treatment '!U270</f>
        <v>9.3758332712687142</v>
      </c>
      <c r="F217" s="178">
        <f>'4B Biological treatment '!W270</f>
        <v>0.5625499962761229</v>
      </c>
      <c r="G217" s="1076">
        <f>'4C2 Open-burning '!R175</f>
        <v>13.579254786461931</v>
      </c>
      <c r="H217" s="1076">
        <f>'4C2 Open-burning '!Z175</f>
        <v>4.5690035016997577</v>
      </c>
      <c r="I217" s="1076">
        <f>'4C2 Open-burning '!AH175</f>
        <v>6.3608240363952476E-2</v>
      </c>
      <c r="J217" s="1111">
        <f>'4D Wastewater treatment and dis'!AV212</f>
        <v>221.76249221870739</v>
      </c>
      <c r="K217" s="892">
        <f>'4D Wastewater treatment and dis'!AW212</f>
        <v>3.4953616571191763</v>
      </c>
      <c r="L217" s="893">
        <f t="shared" si="146"/>
        <v>8861.4354350448975</v>
      </c>
      <c r="M217" s="894">
        <f t="shared" si="142"/>
        <v>39.378499739328603</v>
      </c>
      <c r="N217" s="893">
        <f t="shared" si="143"/>
        <v>371.28299754224111</v>
      </c>
      <c r="O217" s="895">
        <f t="shared" si="144"/>
        <v>129.2468828349821</v>
      </c>
      <c r="P217" s="893">
        <f t="shared" si="145"/>
        <v>5740.5744502998004</v>
      </c>
      <c r="Q217" s="598">
        <f t="shared" si="137"/>
        <v>8861.4354350448975</v>
      </c>
      <c r="R217" s="600">
        <f t="shared" si="138"/>
        <v>410.66149728156972</v>
      </c>
      <c r="S217" s="597">
        <f t="shared" si="139"/>
        <v>129.2468828349821</v>
      </c>
      <c r="T217" s="598">
        <f t="shared" si="140"/>
        <v>5740.5744502998004</v>
      </c>
      <c r="U217" s="598">
        <f t="shared" si="141"/>
        <v>15141.91826546125</v>
      </c>
    </row>
    <row r="218" spans="1:21">
      <c r="A218">
        <f>'Input data'!A137</f>
        <v>2037</v>
      </c>
      <c r="C218" s="332">
        <f>'4A SWD Case 3'!BN106</f>
        <v>408.64570353569405</v>
      </c>
      <c r="D218" s="3">
        <f>'4B Biological treatment '!T271</f>
        <v>1.9083685646083288</v>
      </c>
      <c r="E218" s="178">
        <f>'4B Biological treatment '!U271</f>
        <v>9.5418428230416446</v>
      </c>
      <c r="F218" s="178">
        <f>'4B Biological treatment '!W271</f>
        <v>0.57251056938249867</v>
      </c>
      <c r="G218" s="1076">
        <f>'4C2 Open-burning '!R176</f>
        <v>13.678567888559883</v>
      </c>
      <c r="H218" s="1076">
        <f>'4C2 Open-burning '!Z176</f>
        <v>4.602419320048095</v>
      </c>
      <c r="I218" s="1076">
        <f>'4C2 Open-burning '!AH176</f>
        <v>6.4073444954990427E-2</v>
      </c>
      <c r="J218" s="1111">
        <f>'4D Wastewater treatment and dis'!AV213</f>
        <v>223.38437216554874</v>
      </c>
      <c r="K218" s="892">
        <f>'4D Wastewater treatment and dis'!AW213</f>
        <v>3.5209252992027475</v>
      </c>
      <c r="L218" s="893">
        <f t="shared" si="146"/>
        <v>8581.5597742495756</v>
      </c>
      <c r="M218" s="894">
        <f t="shared" si="142"/>
        <v>40.075739856774902</v>
      </c>
      <c r="N218" s="893">
        <f t="shared" si="143"/>
        <v>377.85697579244913</v>
      </c>
      <c r="O218" s="895">
        <f t="shared" si="144"/>
        <v>130.19214154561689</v>
      </c>
      <c r="P218" s="893">
        <f t="shared" si="145"/>
        <v>5782.5586582293754</v>
      </c>
      <c r="Q218" s="598">
        <f t="shared" si="137"/>
        <v>8581.5597742495756</v>
      </c>
      <c r="R218" s="600">
        <f t="shared" si="138"/>
        <v>417.93271564922406</v>
      </c>
      <c r="S218" s="597">
        <f t="shared" si="139"/>
        <v>130.19214154561689</v>
      </c>
      <c r="T218" s="598">
        <f t="shared" si="140"/>
        <v>5782.5586582293754</v>
      </c>
      <c r="U218" s="598">
        <f t="shared" si="141"/>
        <v>14912.243289673792</v>
      </c>
    </row>
    <row r="219" spans="1:21">
      <c r="A219">
        <f>'Input data'!A138</f>
        <v>2038</v>
      </c>
      <c r="C219" s="332">
        <f>'4A SWD Case 3'!BN107</f>
        <v>396.06468649802133</v>
      </c>
      <c r="D219" s="3">
        <f>'4B Biological treatment '!T272</f>
        <v>1.9420366864973739</v>
      </c>
      <c r="E219" s="178">
        <f>'4B Biological treatment '!U272</f>
        <v>9.7101834324868701</v>
      </c>
      <c r="F219" s="178">
        <f>'4B Biological treatment '!W272</f>
        <v>0.58261100594921222</v>
      </c>
      <c r="G219" s="1076">
        <f>'4C2 Open-burning '!R177</f>
        <v>13.778860409810672</v>
      </c>
      <c r="H219" s="1076">
        <f>'4C2 Open-burning '!Z177</f>
        <v>4.636164682956081</v>
      </c>
      <c r="I219" s="1076">
        <f>'4C2 Open-burning '!AH177</f>
        <v>6.4543237362508055E-2</v>
      </c>
      <c r="J219" s="1111">
        <f>'4D Wastewater treatment and dis'!AV214</f>
        <v>225.02224698366075</v>
      </c>
      <c r="K219" s="892">
        <f>'4D Wastewater treatment and dis'!AW214</f>
        <v>3.5467410482102202</v>
      </c>
      <c r="L219" s="893">
        <f t="shared" si="146"/>
        <v>8317.3584164584481</v>
      </c>
      <c r="M219" s="894">
        <f t="shared" si="142"/>
        <v>40.782770416444855</v>
      </c>
      <c r="N219" s="893">
        <f t="shared" si="143"/>
        <v>384.52326392648007</v>
      </c>
      <c r="O219" s="895">
        <f t="shared" si="144"/>
        <v>131.14672233426586</v>
      </c>
      <c r="P219" s="893">
        <f t="shared" si="145"/>
        <v>5824.9569116020448</v>
      </c>
      <c r="Q219" s="598">
        <f t="shared" si="137"/>
        <v>8317.3584164584481</v>
      </c>
      <c r="R219" s="600">
        <f t="shared" si="138"/>
        <v>425.30603434292493</v>
      </c>
      <c r="S219" s="597">
        <f t="shared" si="139"/>
        <v>131.14672233426586</v>
      </c>
      <c r="T219" s="598">
        <f t="shared" si="140"/>
        <v>5824.9569116020448</v>
      </c>
      <c r="U219" s="598">
        <f t="shared" si="141"/>
        <v>14698.768084737683</v>
      </c>
    </row>
    <row r="220" spans="1:21">
      <c r="A220">
        <f>'Input data'!A139</f>
        <v>2039</v>
      </c>
      <c r="C220" s="332">
        <f>'4A SWD Case 3'!BN108</f>
        <v>384.19501248559635</v>
      </c>
      <c r="D220" s="3">
        <f>'4B Biological treatment '!T273</f>
        <v>1.9768217539298236</v>
      </c>
      <c r="E220" s="178">
        <f>'4B Biological treatment '!U273</f>
        <v>9.8841087696491172</v>
      </c>
      <c r="F220" s="178">
        <f>'4B Biological treatment '!W273</f>
        <v>0.59304652617894704</v>
      </c>
      <c r="G220" s="1076">
        <f>'4C2 Open-burning '!R178</f>
        <v>13.879740582553163</v>
      </c>
      <c r="H220" s="1076">
        <f>'4C2 Open-burning '!Z178</f>
        <v>4.670107772599855</v>
      </c>
      <c r="I220" s="1076">
        <f>'4C2 Open-burning '!AH178</f>
        <v>6.5015782459913463E-2</v>
      </c>
      <c r="J220" s="1111">
        <f>'4D Wastewater treatment and dis'!AV215</f>
        <v>226.66971872453522</v>
      </c>
      <c r="K220" s="892">
        <f>'4D Wastewater treatment and dis'!AW215</f>
        <v>3.5727080613720332</v>
      </c>
      <c r="L220" s="893">
        <f t="shared" si="146"/>
        <v>8068.095262197523</v>
      </c>
      <c r="M220" s="894">
        <f t="shared" si="142"/>
        <v>41.513256832526295</v>
      </c>
      <c r="N220" s="893">
        <f t="shared" si="143"/>
        <v>391.41070727810506</v>
      </c>
      <c r="O220" s="895">
        <f t="shared" si="144"/>
        <v>132.1068963697233</v>
      </c>
      <c r="P220" s="893">
        <f t="shared" si="145"/>
        <v>5867.6035922405699</v>
      </c>
      <c r="Q220" s="598">
        <f t="shared" si="137"/>
        <v>8068.095262197523</v>
      </c>
      <c r="R220" s="600">
        <f t="shared" si="138"/>
        <v>432.92396411063135</v>
      </c>
      <c r="S220" s="597">
        <f t="shared" si="139"/>
        <v>132.1068963697233</v>
      </c>
      <c r="T220" s="598">
        <f t="shared" si="140"/>
        <v>5867.6035922405699</v>
      </c>
      <c r="U220" s="598">
        <f t="shared" si="141"/>
        <v>14500.729714918447</v>
      </c>
    </row>
    <row r="221" spans="1:21">
      <c r="A221">
        <f>'Input data'!A140</f>
        <v>2040</v>
      </c>
      <c r="C221" s="332">
        <f>'4A SWD Case 3'!BN109</f>
        <v>373.00473839762782</v>
      </c>
      <c r="D221" s="3">
        <f>'4B Biological treatment '!T274</f>
        <v>2.0133139374102238</v>
      </c>
      <c r="E221" s="178">
        <f>'4B Biological treatment '!U274</f>
        <v>10.066569687051118</v>
      </c>
      <c r="F221" s="178">
        <f>'4B Biological treatment '!W274</f>
        <v>0.60399418122306714</v>
      </c>
      <c r="G221" s="1076">
        <f>'4C2 Open-burning '!R179</f>
        <v>13.981208406787365</v>
      </c>
      <c r="H221" s="1076">
        <f>'4C2 Open-burning '!Z179</f>
        <v>4.7042485889794197</v>
      </c>
      <c r="I221" s="1076">
        <f>'4C2 Open-burning '!AH179</f>
        <v>6.5491080247206679E-2</v>
      </c>
      <c r="J221" s="1111">
        <f>'4D Wastewater treatment and dis'!AV216</f>
        <v>228.32678738817191</v>
      </c>
      <c r="K221" s="892">
        <f>'4D Wastewater treatment and dis'!AW216</f>
        <v>3.5988263386881876</v>
      </c>
      <c r="L221" s="893">
        <f t="shared" si="146"/>
        <v>7833.0995063501841</v>
      </c>
      <c r="M221" s="894">
        <f t="shared" si="142"/>
        <v>42.279592685614702</v>
      </c>
      <c r="N221" s="893">
        <f t="shared" si="143"/>
        <v>398.63615960722427</v>
      </c>
      <c r="O221" s="895">
        <f t="shared" si="144"/>
        <v>133.07266365198925</v>
      </c>
      <c r="P221" s="893">
        <f t="shared" si="145"/>
        <v>5910.4987001449481</v>
      </c>
      <c r="Q221" s="598">
        <f t="shared" si="137"/>
        <v>7833.0995063501841</v>
      </c>
      <c r="R221" s="600">
        <f t="shared" si="138"/>
        <v>440.91575229283899</v>
      </c>
      <c r="S221" s="597">
        <f t="shared" si="139"/>
        <v>133.07266365198925</v>
      </c>
      <c r="T221" s="598">
        <f t="shared" si="140"/>
        <v>5910.4987001449481</v>
      </c>
      <c r="U221" s="598">
        <f t="shared" si="141"/>
        <v>14317.58662243996</v>
      </c>
    </row>
    <row r="222" spans="1:21">
      <c r="A222">
        <f>'Input data'!A141</f>
        <v>2041</v>
      </c>
      <c r="C222" s="332">
        <f>'4A SWD Case 3'!BN110</f>
        <v>362.46482819386347</v>
      </c>
      <c r="D222" s="3">
        <f>'4B Biological treatment '!T275</f>
        <v>2.0498960833656961</v>
      </c>
      <c r="E222" s="178">
        <f>'4B Biological treatment '!U275</f>
        <v>10.249480416828478</v>
      </c>
      <c r="F222" s="178">
        <f>'4B Biological treatment '!W275</f>
        <v>0.61496882500970873</v>
      </c>
      <c r="G222" s="1076">
        <f>'4C2 Open-burning '!R180</f>
        <v>14.068180827559534</v>
      </c>
      <c r="H222" s="1076">
        <f>'4C2 Open-burning '!Z180</f>
        <v>4.7335121458761877</v>
      </c>
      <c r="I222" s="1076">
        <f>'4C2 Open-burning '!AH180</f>
        <v>6.5898478350600864E-2</v>
      </c>
      <c r="J222" s="1111">
        <f>'4D Wastewater treatment and dis'!AV217</f>
        <v>229.7471319570034</v>
      </c>
      <c r="K222" s="892">
        <f>'4D Wastewater treatment and dis'!AW217</f>
        <v>3.6212134335306052</v>
      </c>
      <c r="L222" s="893">
        <f t="shared" si="146"/>
        <v>7611.7613920711328</v>
      </c>
      <c r="M222" s="894">
        <f t="shared" si="142"/>
        <v>43.04781775067962</v>
      </c>
      <c r="N222" s="893">
        <f t="shared" si="143"/>
        <v>405.87942450640776</v>
      </c>
      <c r="O222" s="895">
        <f t="shared" si="144"/>
        <v>133.90046417964575</v>
      </c>
      <c r="P222" s="893">
        <f t="shared" si="145"/>
        <v>5947.2659354915595</v>
      </c>
      <c r="Q222" s="598">
        <f t="shared" si="137"/>
        <v>7611.7613920711328</v>
      </c>
      <c r="R222" s="600">
        <f t="shared" si="138"/>
        <v>448.92724225708736</v>
      </c>
      <c r="S222" s="597">
        <f t="shared" si="139"/>
        <v>133.90046417964575</v>
      </c>
      <c r="T222" s="598">
        <f t="shared" si="140"/>
        <v>5947.2659354915595</v>
      </c>
      <c r="U222" s="598">
        <f t="shared" si="141"/>
        <v>14141.855033999425</v>
      </c>
    </row>
    <row r="223" spans="1:21">
      <c r="A223">
        <f>'Input data'!A142</f>
        <v>2042</v>
      </c>
      <c r="C223" s="332">
        <f>'4A SWD Case 3'!BN111</f>
        <v>352.54057020287991</v>
      </c>
      <c r="D223" s="3">
        <f>'4B Biological treatment '!T276</f>
        <v>2.0877881946628749</v>
      </c>
      <c r="E223" s="178">
        <f>'4B Biological treatment '!U276</f>
        <v>10.438940973314374</v>
      </c>
      <c r="F223" s="178">
        <f>'4B Biological treatment '!W276</f>
        <v>0.62633645839886243</v>
      </c>
      <c r="G223" s="1076">
        <f>'4C2 Open-burning '!R181</f>
        <v>14.155545015992837</v>
      </c>
      <c r="H223" s="1076">
        <f>'4C2 Open-burning '!Z181</f>
        <v>4.7629075205968157</v>
      </c>
      <c r="I223" s="1076">
        <f>'4C2 Open-burning '!AH181</f>
        <v>6.6307711580586903E-2</v>
      </c>
      <c r="J223" s="1111">
        <f>'4D Wastewater treatment and dis'!AV218</f>
        <v>231.17387447434314</v>
      </c>
      <c r="K223" s="892">
        <f>'4D Wastewater treatment and dis'!AW218</f>
        <v>3.643701371142583</v>
      </c>
      <c r="L223" s="893">
        <f t="shared" si="146"/>
        <v>7403.3519742604776</v>
      </c>
      <c r="M223" s="894">
        <f t="shared" si="142"/>
        <v>43.843552087920372</v>
      </c>
      <c r="N223" s="893">
        <f t="shared" si="143"/>
        <v>413.38206254324916</v>
      </c>
      <c r="O223" s="895">
        <f t="shared" si="144"/>
        <v>134.73199353850791</v>
      </c>
      <c r="P223" s="893">
        <f t="shared" si="145"/>
        <v>5984.1987890154069</v>
      </c>
      <c r="Q223" s="598">
        <f t="shared" si="137"/>
        <v>7403.3519742604776</v>
      </c>
      <c r="R223" s="600">
        <f t="shared" si="138"/>
        <v>457.22561463116955</v>
      </c>
      <c r="S223" s="597">
        <f t="shared" si="139"/>
        <v>134.73199353850791</v>
      </c>
      <c r="T223" s="598">
        <f t="shared" si="140"/>
        <v>5984.1987890154069</v>
      </c>
      <c r="U223" s="598">
        <f t="shared" si="141"/>
        <v>13979.508371445561</v>
      </c>
    </row>
    <row r="224" spans="1:21">
      <c r="A224">
        <f>'Input data'!A143</f>
        <v>2043</v>
      </c>
      <c r="C224" s="332">
        <f>'4A SWD Case 3'!BN112</f>
        <v>343.20508442976563</v>
      </c>
      <c r="D224" s="3">
        <f>'4B Biological treatment '!T277</f>
        <v>2.1269266576606016</v>
      </c>
      <c r="E224" s="178">
        <f>'4B Biological treatment '!U277</f>
        <v>10.634633288303007</v>
      </c>
      <c r="F224" s="178">
        <f>'4B Biological treatment '!W277</f>
        <v>0.63807799729818049</v>
      </c>
      <c r="G224" s="1076">
        <f>'4C2 Open-burning '!R182</f>
        <v>14.243496855917847</v>
      </c>
      <c r="H224" s="1076">
        <f>'4C2 Open-burning '!Z182</f>
        <v>4.7925006220532325</v>
      </c>
      <c r="I224" s="1076">
        <f>'4C2 Open-burning '!AH182</f>
        <v>6.6719697500460751E-2</v>
      </c>
      <c r="J224" s="1111">
        <f>'4D Wastewater treatment and dis'!AV219</f>
        <v>232.61021391444527</v>
      </c>
      <c r="K224" s="892">
        <f>'4D Wastewater treatment and dis'!AW219</f>
        <v>3.6663405729089016</v>
      </c>
      <c r="L224" s="893">
        <f t="shared" si="146"/>
        <v>7207.3067730250787</v>
      </c>
      <c r="M224" s="894">
        <f t="shared" si="142"/>
        <v>44.665459810872633</v>
      </c>
      <c r="N224" s="893">
        <f t="shared" si="143"/>
        <v>421.13147821679911</v>
      </c>
      <c r="O224" s="895">
        <f t="shared" si="144"/>
        <v>135.56911614417857</v>
      </c>
      <c r="P224" s="893">
        <f t="shared" si="145"/>
        <v>6021.38006980511</v>
      </c>
      <c r="Q224" s="598">
        <f t="shared" si="137"/>
        <v>7207.3067730250787</v>
      </c>
      <c r="R224" s="600">
        <f t="shared" si="138"/>
        <v>465.79693802767173</v>
      </c>
      <c r="S224" s="597">
        <f t="shared" si="139"/>
        <v>135.56911614417857</v>
      </c>
      <c r="T224" s="598">
        <f t="shared" si="140"/>
        <v>6021.38006980511</v>
      </c>
      <c r="U224" s="598">
        <f t="shared" si="141"/>
        <v>13830.052897002039</v>
      </c>
    </row>
    <row r="225" spans="1:21">
      <c r="A225">
        <f>'Input data'!A144</f>
        <v>2044</v>
      </c>
      <c r="C225" s="332">
        <f>'4A SWD Case 3'!BN113</f>
        <v>334.43269650959604</v>
      </c>
      <c r="D225" s="3">
        <f>'4B Biological treatment '!T278</f>
        <v>2.1674711602682191</v>
      </c>
      <c r="E225" s="178">
        <f>'4B Biological treatment '!U278</f>
        <v>10.837355801341094</v>
      </c>
      <c r="F225" s="178">
        <f>'4B Biological treatment '!W278</f>
        <v>0.65024134808046563</v>
      </c>
      <c r="G225" s="1076">
        <f>'4C2 Open-burning '!R183</f>
        <v>14.331840463503996</v>
      </c>
      <c r="H225" s="1076">
        <f>'4C2 Open-burning '!Z183</f>
        <v>4.8222255413335091</v>
      </c>
      <c r="I225" s="1076">
        <f>'4C2 Open-burning '!AH183</f>
        <v>6.7133518546926479E-2</v>
      </c>
      <c r="J225" s="1111">
        <f>'4D Wastewater treatment and dis'!AV220</f>
        <v>234.05295130305572</v>
      </c>
      <c r="K225" s="892">
        <f>'4D Wastewater treatment and dis'!AW220</f>
        <v>3.6890806174447812</v>
      </c>
      <c r="L225" s="893">
        <f t="shared" si="146"/>
        <v>7023.0866267015172</v>
      </c>
      <c r="M225" s="894">
        <f t="shared" si="142"/>
        <v>45.516894365632602</v>
      </c>
      <c r="N225" s="893">
        <f t="shared" si="143"/>
        <v>429.15928973310736</v>
      </c>
      <c r="O225" s="895">
        <f t="shared" si="144"/>
        <v>136.4099675810549</v>
      </c>
      <c r="P225" s="893">
        <f t="shared" si="145"/>
        <v>6058.7269687720527</v>
      </c>
      <c r="Q225" s="598">
        <f t="shared" si="137"/>
        <v>7023.0866267015172</v>
      </c>
      <c r="R225" s="600">
        <f t="shared" si="138"/>
        <v>474.67618409873995</v>
      </c>
      <c r="S225" s="597">
        <f t="shared" si="139"/>
        <v>136.4099675810549</v>
      </c>
      <c r="T225" s="598">
        <f t="shared" si="140"/>
        <v>6058.7269687720527</v>
      </c>
      <c r="U225" s="598">
        <f t="shared" si="141"/>
        <v>13692.899747153366</v>
      </c>
    </row>
    <row r="226" spans="1:21">
      <c r="A226">
        <f>'Input data'!A145</f>
        <v>2045</v>
      </c>
      <c r="C226" s="332">
        <f>'4A SWD Case 3'!BN114</f>
        <v>326.19930304488349</v>
      </c>
      <c r="D226" s="3">
        <f>'4B Biological treatment '!T279</f>
        <v>2.2101767899111979</v>
      </c>
      <c r="E226" s="178">
        <f>'4B Biological treatment '!U279</f>
        <v>11.050883949555988</v>
      </c>
      <c r="F226" s="178">
        <f>'4B Biological treatment '!W279</f>
        <v>0.66305303697335927</v>
      </c>
      <c r="G226" s="1076">
        <f>'4C2 Open-burning '!R184</f>
        <v>14.420967606412411</v>
      </c>
      <c r="H226" s="1076">
        <f>'4C2 Open-burning '!Z184</f>
        <v>4.8522140962615055</v>
      </c>
      <c r="I226" s="1076">
        <f>'4C2 Open-burning '!AH184</f>
        <v>6.7551009846575916E-2</v>
      </c>
      <c r="J226" s="1111">
        <f>'4D Wastewater treatment and dis'!AV221</f>
        <v>235.50848458868253</v>
      </c>
      <c r="K226" s="892">
        <f>'4D Wastewater treatment and dis'!AW221</f>
        <v>3.7120223475197802</v>
      </c>
      <c r="L226" s="893">
        <f t="shared" si="146"/>
        <v>6850.1853639425535</v>
      </c>
      <c r="M226" s="894">
        <f t="shared" si="142"/>
        <v>46.413712588135155</v>
      </c>
      <c r="N226" s="893">
        <f t="shared" si="143"/>
        <v>437.61500440241713</v>
      </c>
      <c r="O226" s="895">
        <f t="shared" si="144"/>
        <v>137.25827668034256</v>
      </c>
      <c r="P226" s="893">
        <f t="shared" si="145"/>
        <v>6096.4051040934646</v>
      </c>
      <c r="Q226" s="598">
        <f t="shared" si="137"/>
        <v>6850.1853639425535</v>
      </c>
      <c r="R226" s="600">
        <f t="shared" si="138"/>
        <v>484.02871699055231</v>
      </c>
      <c r="S226" s="597">
        <f t="shared" si="139"/>
        <v>137.25827668034256</v>
      </c>
      <c r="T226" s="598">
        <f t="shared" si="140"/>
        <v>6096.4051040934646</v>
      </c>
      <c r="U226" s="598">
        <f t="shared" si="141"/>
        <v>13567.877461706914</v>
      </c>
    </row>
    <row r="227" spans="1:21">
      <c r="A227">
        <f>'Input data'!A146</f>
        <v>2046</v>
      </c>
      <c r="C227" s="332">
        <f>'4A SWD Case 3'!BN115</f>
        <v>318.48379184574952</v>
      </c>
      <c r="D227" s="3">
        <f>'4B Biological treatment '!T280</f>
        <v>2.2534756272359506</v>
      </c>
      <c r="E227" s="178">
        <f>'4B Biological treatment '!U280</f>
        <v>11.267378136179751</v>
      </c>
      <c r="F227" s="178">
        <f>'4B Biological treatment '!W280</f>
        <v>0.67604268817078506</v>
      </c>
      <c r="G227" s="1076">
        <f>'4C2 Open-burning '!R185</f>
        <v>14.494424042875391</v>
      </c>
      <c r="H227" s="1076">
        <f>'4C2 Open-burning '!Z185</f>
        <v>4.8769299382351265</v>
      </c>
      <c r="I227" s="1076">
        <f>'4C2 Open-burning '!AH185</f>
        <v>6.7895096082550732E-2</v>
      </c>
      <c r="J227" s="1111">
        <f>'4D Wastewater treatment and dis'!AV222</f>
        <v>236.70809993397941</v>
      </c>
      <c r="K227" s="892">
        <f>'4D Wastewater treatment and dis'!AW222</f>
        <v>3.7309303668123635</v>
      </c>
      <c r="L227" s="893">
        <f t="shared" si="146"/>
        <v>6688.1596287607399</v>
      </c>
      <c r="M227" s="894">
        <f t="shared" si="142"/>
        <v>47.322988171954961</v>
      </c>
      <c r="N227" s="893">
        <f t="shared" si="143"/>
        <v>446.18817419271818</v>
      </c>
      <c r="O227" s="895">
        <f t="shared" si="144"/>
        <v>137.95743253140378</v>
      </c>
      <c r="P227" s="893">
        <f t="shared" si="145"/>
        <v>6127.4585123254001</v>
      </c>
      <c r="Q227" s="598">
        <f t="shared" si="137"/>
        <v>6688.1596287607399</v>
      </c>
      <c r="R227" s="600">
        <f t="shared" si="138"/>
        <v>493.51116236467317</v>
      </c>
      <c r="S227" s="597">
        <f t="shared" si="139"/>
        <v>137.95743253140378</v>
      </c>
      <c r="T227" s="598">
        <f t="shared" si="140"/>
        <v>6127.4585123254001</v>
      </c>
      <c r="U227" s="598">
        <f t="shared" si="141"/>
        <v>13447.086735982217</v>
      </c>
    </row>
    <row r="228" spans="1:21">
      <c r="A228">
        <f>'Input data'!A147</f>
        <v>2047</v>
      </c>
      <c r="C228" s="332">
        <f>'4A SWD Case 3'!BN116</f>
        <v>311.25879449228796</v>
      </c>
      <c r="D228" s="3">
        <f>'4B Biological treatment '!T281</f>
        <v>2.2986207902625497</v>
      </c>
      <c r="E228" s="178">
        <f>'4B Biological treatment '!U281</f>
        <v>11.493103951312749</v>
      </c>
      <c r="F228" s="178">
        <f>'4B Biological treatment '!W281</f>
        <v>0.68958623707876487</v>
      </c>
      <c r="G228" s="1076">
        <f>'4C2 Open-burning '!R186</f>
        <v>14.568468130830077</v>
      </c>
      <c r="H228" s="1076">
        <f>'4C2 Open-burning '!Z186</f>
        <v>4.9018435069445374</v>
      </c>
      <c r="I228" s="1076">
        <f>'4C2 Open-burning '!AH186</f>
        <v>6.8241935008413357E-2</v>
      </c>
      <c r="J228" s="1111">
        <f>'4D Wastewater treatment and dis'!AV223</f>
        <v>237.91731220203872</v>
      </c>
      <c r="K228" s="892">
        <f>'4D Wastewater treatment and dis'!AW223</f>
        <v>3.7499896502592862</v>
      </c>
      <c r="L228" s="893">
        <f t="shared" si="146"/>
        <v>6536.4346843380472</v>
      </c>
      <c r="M228" s="894">
        <f t="shared" si="142"/>
        <v>48.271036595513543</v>
      </c>
      <c r="N228" s="893">
        <f t="shared" si="143"/>
        <v>455.12691647198483</v>
      </c>
      <c r="O228" s="895">
        <f t="shared" si="144"/>
        <v>138.6621816292735</v>
      </c>
      <c r="P228" s="893">
        <f t="shared" si="145"/>
        <v>6158.7603478231922</v>
      </c>
      <c r="Q228" s="598">
        <f t="shared" si="137"/>
        <v>6536.4346843380472</v>
      </c>
      <c r="R228" s="600">
        <f t="shared" si="138"/>
        <v>503.39795306749835</v>
      </c>
      <c r="S228" s="597">
        <f t="shared" si="139"/>
        <v>138.6621816292735</v>
      </c>
      <c r="T228" s="598">
        <f t="shared" si="140"/>
        <v>6158.7603478231922</v>
      </c>
      <c r="U228" s="598">
        <f t="shared" si="141"/>
        <v>13337.255166858013</v>
      </c>
    </row>
    <row r="229" spans="1:21">
      <c r="A229">
        <f>'Input data'!A148</f>
        <v>2048</v>
      </c>
      <c r="C229" s="332">
        <f>'4A SWD Case 3'!BN117</f>
        <v>304.50480050227839</v>
      </c>
      <c r="D229" s="3">
        <f>'4B Biological treatment '!T282</f>
        <v>2.3442504642042326</v>
      </c>
      <c r="E229" s="178">
        <f>'4B Biological treatment '!U282</f>
        <v>11.721252321021161</v>
      </c>
      <c r="F229" s="178">
        <f>'4B Biological treatment '!W282</f>
        <v>0.70327513926126961</v>
      </c>
      <c r="G229" s="1076">
        <f>'4C2 Open-burning '!R187</f>
        <v>14.642903986445896</v>
      </c>
      <c r="H229" s="1076">
        <f>'4C2 Open-burning '!Z187</f>
        <v>4.9268888934778072</v>
      </c>
      <c r="I229" s="1076">
        <f>'4C2 Open-burning '!AH187</f>
        <v>6.8590609060867822E-2</v>
      </c>
      <c r="J229" s="1111">
        <f>'4D Wastewater treatment and dis'!AV224</f>
        <v>239.13292241860617</v>
      </c>
      <c r="K229" s="892">
        <f>'4D Wastewater treatment and dis'!AW224</f>
        <v>3.76914977647577</v>
      </c>
      <c r="L229" s="893">
        <f t="shared" si="146"/>
        <v>6394.6008105478459</v>
      </c>
      <c r="M229" s="894">
        <f t="shared" si="142"/>
        <v>49.229259748288882</v>
      </c>
      <c r="N229" s="893">
        <f t="shared" si="143"/>
        <v>464.16159191243798</v>
      </c>
      <c r="O229" s="895">
        <f t="shared" si="144"/>
        <v>139.37065955834888</v>
      </c>
      <c r="P229" s="893">
        <f t="shared" si="145"/>
        <v>6190.2278014982176</v>
      </c>
      <c r="Q229" s="598">
        <f t="shared" si="137"/>
        <v>6394.6008105478459</v>
      </c>
      <c r="R229" s="600">
        <f t="shared" si="138"/>
        <v>513.39085166072687</v>
      </c>
      <c r="S229" s="597">
        <f t="shared" si="139"/>
        <v>139.37065955834888</v>
      </c>
      <c r="T229" s="598">
        <f t="shared" si="140"/>
        <v>6190.2278014982176</v>
      </c>
      <c r="U229" s="598">
        <f t="shared" si="141"/>
        <v>13237.590123265139</v>
      </c>
    </row>
    <row r="230" spans="1:21">
      <c r="A230">
        <f>'Input data'!A149</f>
        <v>2049</v>
      </c>
      <c r="C230" s="332">
        <f>'4A SWD Case 3'!BN118</f>
        <v>298.20008224816661</v>
      </c>
      <c r="D230" s="3">
        <f>'4B Biological treatment '!T283</f>
        <v>2.3918674160255375</v>
      </c>
      <c r="E230" s="178">
        <f>'4B Biological treatment '!U283</f>
        <v>11.959337080127685</v>
      </c>
      <c r="F230" s="178">
        <f>'4B Biological treatment '!W283</f>
        <v>0.71756022480766113</v>
      </c>
      <c r="G230" s="1076">
        <f>'4C2 Open-burning '!R188</f>
        <v>14.717535725892283</v>
      </c>
      <c r="H230" s="1076">
        <f>'4C2 Open-burning '!Z188</f>
        <v>4.9520001889230079</v>
      </c>
      <c r="I230" s="1076">
        <f>'4C2 Open-burning '!AH188</f>
        <v>6.8940200676618241E-2</v>
      </c>
      <c r="J230" s="1111">
        <f>'4D Wastewater treatment and dis'!AV225</f>
        <v>240.35173160942776</v>
      </c>
      <c r="K230" s="892">
        <f>'4D Wastewater treatment and dis'!AW225</f>
        <v>3.7883603240770336</v>
      </c>
      <c r="L230" s="893">
        <f t="shared" si="146"/>
        <v>6262.201727211499</v>
      </c>
      <c r="M230" s="894">
        <f t="shared" si="142"/>
        <v>50.22921573653629</v>
      </c>
      <c r="N230" s="893">
        <f t="shared" si="143"/>
        <v>473.58974837305635</v>
      </c>
      <c r="O230" s="895">
        <f t="shared" si="144"/>
        <v>140.0810019030271</v>
      </c>
      <c r="P230" s="893">
        <f t="shared" si="145"/>
        <v>6221.7780642618636</v>
      </c>
      <c r="Q230" s="598">
        <f t="shared" si="137"/>
        <v>6262.201727211499</v>
      </c>
      <c r="R230" s="600">
        <f t="shared" si="138"/>
        <v>523.81896410959268</v>
      </c>
      <c r="S230" s="597">
        <f t="shared" si="139"/>
        <v>140.0810019030271</v>
      </c>
      <c r="T230" s="598">
        <f t="shared" si="140"/>
        <v>6221.7780642618636</v>
      </c>
      <c r="U230" s="598">
        <f t="shared" si="141"/>
        <v>13147.879757485982</v>
      </c>
    </row>
    <row r="231" spans="1:21">
      <c r="A231">
        <f>'Input data'!A150</f>
        <v>2050</v>
      </c>
      <c r="C231" s="332">
        <f>'4A SWD Case 3'!BN119</f>
        <v>292.32736978354041</v>
      </c>
      <c r="D231" s="3">
        <f>'4B Biological treatment '!T284</f>
        <v>2.4416581303402487</v>
      </c>
      <c r="E231" s="178">
        <f>'4B Biological treatment '!U284</f>
        <v>12.208290651701242</v>
      </c>
      <c r="F231" s="178">
        <f>'4B Biological treatment '!W284</f>
        <v>0.73249743910207465</v>
      </c>
      <c r="G231" s="1076">
        <f>'4C2 Open-burning '!R189</f>
        <v>14.792755116830378</v>
      </c>
      <c r="H231" s="1076">
        <f>'4C2 Open-burning '!Z189</f>
        <v>4.9773092111039965</v>
      </c>
      <c r="I231" s="1076">
        <f>'4C2 Open-burning '!AH189</f>
        <v>6.9292544982256454E-2</v>
      </c>
      <c r="J231" s="1111">
        <f>'4D Wastewater treatment and dis'!AV226</f>
        <v>241.58013772301177</v>
      </c>
      <c r="K231" s="892">
        <f>'4D Wastewater treatment and dis'!AW226</f>
        <v>3.8077221358326381</v>
      </c>
      <c r="L231" s="893">
        <f t="shared" si="146"/>
        <v>6138.8747654543486</v>
      </c>
      <c r="M231" s="894">
        <f t="shared" si="142"/>
        <v>51.27482073714522</v>
      </c>
      <c r="N231" s="893">
        <f t="shared" si="143"/>
        <v>483.44830980736924</v>
      </c>
      <c r="O231" s="895">
        <f t="shared" si="144"/>
        <v>140.7969374945138</v>
      </c>
      <c r="P231" s="893">
        <f t="shared" si="145"/>
        <v>6253.5767542913654</v>
      </c>
      <c r="Q231" s="538">
        <f t="shared" si="137"/>
        <v>6138.8747654543486</v>
      </c>
      <c r="R231" s="596">
        <f t="shared" si="138"/>
        <v>534.72313054451445</v>
      </c>
      <c r="S231" s="593">
        <f t="shared" si="139"/>
        <v>140.7969374945138</v>
      </c>
      <c r="T231" s="538">
        <f t="shared" si="140"/>
        <v>6253.5767542913654</v>
      </c>
      <c r="U231" s="538">
        <f t="shared" si="141"/>
        <v>13067.971587784743</v>
      </c>
    </row>
    <row r="232" spans="1:21">
      <c r="E232" s="594"/>
    </row>
    <row r="233" spans="1:21">
      <c r="E233" s="594"/>
    </row>
  </sheetData>
  <mergeCells count="35">
    <mergeCell ref="CF5:CG6"/>
    <mergeCell ref="CH5:CI6"/>
    <mergeCell ref="CJ5:CK6"/>
    <mergeCell ref="CL5:CM6"/>
    <mergeCell ref="CB5:CC6"/>
    <mergeCell ref="CD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E23" zoomScale="45" zoomScaleNormal="70" workbookViewId="0">
      <selection activeCell="AG21" sqref="AG21"/>
    </sheetView>
  </sheetViews>
  <sheetFormatPr defaultRowHeight="15.6"/>
  <cols>
    <col min="1" max="1" width="9" bestFit="1" customWidth="1"/>
    <col min="2" max="2" width="25.6640625" customWidth="1"/>
    <col min="3" max="3" width="22" customWidth="1"/>
    <col min="4" max="4" width="25.21875" customWidth="1"/>
    <col min="5" max="5" width="17.33203125" customWidth="1"/>
    <col min="6" max="6" width="15.5546875" style="1457" customWidth="1"/>
    <col min="7" max="7" width="11.88671875" style="1457" customWidth="1"/>
    <col min="8" max="8" width="13.88671875" style="1457" customWidth="1"/>
    <col min="9" max="9" width="11.44140625" style="1457" bestFit="1" customWidth="1"/>
    <col min="10" max="10" width="16.44140625" customWidth="1"/>
    <col min="11" max="11" width="10.109375" customWidth="1"/>
    <col min="12" max="12" width="25.21875" customWidth="1"/>
    <col min="13" max="13" width="17.33203125" customWidth="1"/>
    <col min="14" max="14" width="15.5546875" style="1457" customWidth="1"/>
    <col min="15" max="15" width="11.88671875" style="1457" customWidth="1"/>
    <col min="16" max="16" width="13.88671875" style="1457" customWidth="1"/>
    <col min="17" max="17" width="12.44140625" style="1457" bestFit="1" customWidth="1"/>
    <col min="18" max="18" width="16.44140625" customWidth="1"/>
    <col min="19" max="19" width="10.109375" customWidth="1"/>
    <col min="20" max="20" width="17.5546875" customWidth="1"/>
    <col min="21" max="21" width="15.109375" customWidth="1"/>
    <col min="22" max="22" width="14.77734375" customWidth="1"/>
    <col min="23" max="23" width="15.88671875" customWidth="1"/>
    <col min="24" max="24" width="13.7773437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77734375" customWidth="1"/>
    <col min="32" max="32" width="17.44140625" customWidth="1"/>
    <col min="33" max="33" width="15.5546875" customWidth="1"/>
    <col min="34" max="34" width="19.5546875" style="705" customWidth="1"/>
    <col min="35" max="35" width="12.77734375" style="705" customWidth="1"/>
    <col min="38" max="38" width="15.33203125" customWidth="1"/>
    <col min="39" max="39" width="16" customWidth="1"/>
    <col min="40" max="40" width="17.77734375" customWidth="1"/>
    <col min="41" max="41" width="16.7773437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21875" customWidth="1"/>
    <col min="53" max="53" width="20.88671875" customWidth="1"/>
    <col min="54" max="54" width="22.21875" customWidth="1"/>
  </cols>
  <sheetData>
    <row r="2" spans="1:54" ht="18">
      <c r="A2" s="1456" t="s">
        <v>559</v>
      </c>
      <c r="B2" s="476"/>
    </row>
    <row r="3" spans="1:54" ht="31.8" customHeight="1" thickBot="1">
      <c r="B3" s="1731"/>
      <c r="C3" s="1731"/>
      <c r="E3" s="1458"/>
      <c r="J3" s="1458"/>
      <c r="K3" s="1458"/>
      <c r="M3" s="1458"/>
      <c r="R3" s="1458"/>
      <c r="S3" s="1458"/>
      <c r="T3" s="1458"/>
      <c r="U3" s="1458"/>
      <c r="V3" s="1458"/>
      <c r="W3" s="1458"/>
      <c r="X3" s="1458"/>
      <c r="AL3" s="625" t="s">
        <v>600</v>
      </c>
    </row>
    <row r="4" spans="1:54" ht="50.4" customHeight="1" thickBot="1">
      <c r="A4" s="1729" t="s">
        <v>217</v>
      </c>
      <c r="B4" s="603" t="s">
        <v>400</v>
      </c>
      <c r="C4" s="1599" t="s">
        <v>560</v>
      </c>
      <c r="D4" s="1732" t="s">
        <v>557</v>
      </c>
      <c r="E4" s="1733"/>
      <c r="F4" s="1733"/>
      <c r="G4" s="1733"/>
      <c r="H4" s="1733"/>
      <c r="I4" s="1733"/>
      <c r="J4" s="1733"/>
      <c r="K4" s="1734"/>
      <c r="L4" s="1732" t="s">
        <v>858</v>
      </c>
      <c r="M4" s="1733"/>
      <c r="N4" s="1733"/>
      <c r="O4" s="1733"/>
      <c r="P4" s="1733"/>
      <c r="Q4" s="1733"/>
      <c r="R4" s="1733"/>
      <c r="S4" s="1734"/>
      <c r="T4" s="1735" t="s">
        <v>561</v>
      </c>
      <c r="U4" s="1736"/>
      <c r="V4" s="1736"/>
      <c r="W4" s="1736"/>
      <c r="X4" s="1737"/>
      <c r="Y4" s="1738" t="s">
        <v>568</v>
      </c>
      <c r="Z4" s="1739"/>
      <c r="AA4" s="509" t="s">
        <v>551</v>
      </c>
      <c r="AB4" s="510" t="s">
        <v>555</v>
      </c>
      <c r="AC4" s="1740" t="s">
        <v>561</v>
      </c>
      <c r="AD4" s="1741"/>
      <c r="AE4" s="1741"/>
      <c r="AF4" s="1741"/>
      <c r="AG4" s="1742"/>
      <c r="AH4" s="1740" t="s">
        <v>568</v>
      </c>
      <c r="AI4" s="1743"/>
      <c r="AK4" s="1744" t="s">
        <v>217</v>
      </c>
      <c r="AL4" s="1723" t="s">
        <v>603</v>
      </c>
      <c r="AM4" s="1724"/>
      <c r="AN4" s="1724"/>
      <c r="AO4" s="1724"/>
      <c r="AP4" s="1724"/>
      <c r="AQ4" s="1725"/>
      <c r="AS4" s="1723" t="s">
        <v>604</v>
      </c>
      <c r="AT4" s="1724"/>
      <c r="AU4" s="1724"/>
      <c r="AV4" s="1724"/>
      <c r="AW4" s="1724"/>
      <c r="AX4" s="1725"/>
      <c r="AZ4" s="1726" t="s">
        <v>715</v>
      </c>
      <c r="BA4" s="1727"/>
      <c r="BB4" s="1728"/>
    </row>
    <row r="5" spans="1:54" ht="43.8" customHeight="1" thickBot="1">
      <c r="A5" s="1730"/>
      <c r="B5" s="518" t="s">
        <v>227</v>
      </c>
      <c r="C5" s="519" t="s">
        <v>228</v>
      </c>
      <c r="D5" s="514" t="s">
        <v>221</v>
      </c>
      <c r="E5" s="515" t="s">
        <v>85</v>
      </c>
      <c r="F5" s="515" t="s">
        <v>87</v>
      </c>
      <c r="G5" s="515" t="s">
        <v>222</v>
      </c>
      <c r="H5" s="515" t="s">
        <v>115</v>
      </c>
      <c r="I5" s="515" t="s">
        <v>223</v>
      </c>
      <c r="J5" s="515" t="s">
        <v>224</v>
      </c>
      <c r="K5" s="516" t="s">
        <v>225</v>
      </c>
      <c r="L5" s="514" t="s">
        <v>221</v>
      </c>
      <c r="M5" s="515" t="s">
        <v>85</v>
      </c>
      <c r="N5" s="515" t="s">
        <v>87</v>
      </c>
      <c r="O5" s="515" t="s">
        <v>222</v>
      </c>
      <c r="P5" s="515" t="s">
        <v>115</v>
      </c>
      <c r="Q5" s="515" t="s">
        <v>223</v>
      </c>
      <c r="R5" s="515" t="s">
        <v>224</v>
      </c>
      <c r="S5" s="516" t="s">
        <v>225</v>
      </c>
      <c r="T5" s="482" t="s">
        <v>549</v>
      </c>
      <c r="U5" s="185" t="s">
        <v>565</v>
      </c>
      <c r="V5" s="185" t="s">
        <v>429</v>
      </c>
      <c r="W5" s="185" t="s">
        <v>553</v>
      </c>
      <c r="X5" s="1459" t="s">
        <v>303</v>
      </c>
      <c r="Y5" s="508" t="s">
        <v>567</v>
      </c>
      <c r="Z5" s="188" t="s">
        <v>416</v>
      </c>
      <c r="AA5" s="511" t="s">
        <v>467</v>
      </c>
      <c r="AB5" s="512" t="s">
        <v>228</v>
      </c>
      <c r="AC5" s="512" t="s">
        <v>549</v>
      </c>
      <c r="AD5" s="512" t="s">
        <v>565</v>
      </c>
      <c r="AE5" s="512" t="s">
        <v>429</v>
      </c>
      <c r="AF5" s="512" t="s">
        <v>553</v>
      </c>
      <c r="AG5" s="512" t="s">
        <v>303</v>
      </c>
      <c r="AH5" s="1460" t="s">
        <v>567</v>
      </c>
      <c r="AI5" s="1461" t="s">
        <v>416</v>
      </c>
      <c r="AK5" s="1745"/>
      <c r="AL5" s="514" t="s">
        <v>549</v>
      </c>
      <c r="AM5" s="515" t="s">
        <v>601</v>
      </c>
      <c r="AN5" s="515" t="s">
        <v>602</v>
      </c>
      <c r="AO5" s="515" t="s">
        <v>429</v>
      </c>
      <c r="AP5" s="515" t="s">
        <v>553</v>
      </c>
      <c r="AQ5" s="516" t="s">
        <v>303</v>
      </c>
      <c r="AS5" s="514" t="s">
        <v>549</v>
      </c>
      <c r="AT5" s="515" t="s">
        <v>601</v>
      </c>
      <c r="AU5" s="515" t="s">
        <v>602</v>
      </c>
      <c r="AV5" s="515" t="s">
        <v>429</v>
      </c>
      <c r="AW5" s="515" t="s">
        <v>553</v>
      </c>
      <c r="AX5" s="516" t="s">
        <v>303</v>
      </c>
      <c r="AZ5" s="1345" t="s">
        <v>859</v>
      </c>
      <c r="BA5" s="1346" t="s">
        <v>860</v>
      </c>
      <c r="BB5" s="1347" t="s">
        <v>861</v>
      </c>
    </row>
    <row r="6" spans="1:54" ht="15.6" customHeight="1">
      <c r="A6" s="621">
        <f>'Input data'!A50</f>
        <v>1950</v>
      </c>
      <c r="B6" s="1462">
        <f>'Input data'!I50</f>
        <v>578.73</v>
      </c>
      <c r="C6" s="237">
        <f>B6*'Input data'!B50</f>
        <v>3098.6118014670001</v>
      </c>
      <c r="D6" s="730">
        <f>'Input data'!N50</f>
        <v>0.19892488097366726</v>
      </c>
      <c r="E6" s="483">
        <f>'Input data'!O50</f>
        <v>0.26585903447659598</v>
      </c>
      <c r="F6" s="483">
        <f>'Input data'!P50</f>
        <v>8.9228108703258049E-2</v>
      </c>
      <c r="G6" s="483">
        <f>'Input data'!Q50</f>
        <v>0</v>
      </c>
      <c r="H6" s="483">
        <f>'Input data'!R50</f>
        <v>0</v>
      </c>
      <c r="I6" s="483">
        <f>'Input data'!S50</f>
        <v>0</v>
      </c>
      <c r="J6" s="483">
        <f>'Input data'!T50</f>
        <v>0.4459879758464787</v>
      </c>
      <c r="K6" s="604">
        <f>'Input data'!U50</f>
        <v>1</v>
      </c>
      <c r="L6" s="730">
        <f>'Input data'!V50</f>
        <v>0.29028184578274857</v>
      </c>
      <c r="M6" s="483">
        <f>'Input data'!W50</f>
        <v>0.30317187715157518</v>
      </c>
      <c r="N6" s="483">
        <f>'Input data'!X50</f>
        <v>8.2805443243048754E-2</v>
      </c>
      <c r="O6" s="483">
        <f>'Input data'!Y50</f>
        <v>0</v>
      </c>
      <c r="P6" s="483">
        <f>'Input data'!Z50</f>
        <v>0</v>
      </c>
      <c r="Q6" s="483">
        <f>'Input data'!AA50</f>
        <v>0</v>
      </c>
      <c r="R6" s="483">
        <f>'Input data'!AB50</f>
        <v>0.32374083382262742</v>
      </c>
      <c r="S6" s="604">
        <f>SUM(L6:R6)</f>
        <v>0.99999999999999989</v>
      </c>
      <c r="T6" s="114">
        <f>'Input data'!B38</f>
        <v>0.8</v>
      </c>
      <c r="U6" s="114">
        <f>'Input data'!C38</f>
        <v>0.11</v>
      </c>
      <c r="V6" s="114">
        <f>'Input data'!D38</f>
        <v>0.09</v>
      </c>
      <c r="W6" s="114">
        <f>'Input data'!E38</f>
        <v>0</v>
      </c>
      <c r="X6" s="114">
        <f>SUM(T6:W6)</f>
        <v>1</v>
      </c>
      <c r="Y6" s="730">
        <f>'Input data'!$G$35</f>
        <v>0.66241124199764068</v>
      </c>
      <c r="Z6" s="604">
        <f>'Input data'!$H$35</f>
        <v>0.33758875800235938</v>
      </c>
      <c r="AA6" s="602">
        <f>'Input data'!J50</f>
        <v>27.526054267727826</v>
      </c>
      <c r="AB6" s="236">
        <f>'Input data'!L50</f>
        <v>0</v>
      </c>
      <c r="AC6" s="483">
        <f>'Input data'!B36</f>
        <v>0.85641924869700936</v>
      </c>
      <c r="AD6" s="483">
        <f>'Input data'!C36</f>
        <v>0.14268338865096522</v>
      </c>
      <c r="AE6" s="483">
        <f>'Input data'!D36</f>
        <v>0</v>
      </c>
      <c r="AF6" s="483">
        <f>'Input data'!E36</f>
        <v>8.973626520254116E-4</v>
      </c>
      <c r="AG6" s="483">
        <f>SUM(AC6:AF6)</f>
        <v>1</v>
      </c>
      <c r="AH6" s="502">
        <f>'Input data'!G36</f>
        <v>0.49613166950665732</v>
      </c>
      <c r="AI6" s="1463">
        <f>'Input data'!H36</f>
        <v>0.50386833049334279</v>
      </c>
      <c r="AK6" s="621">
        <f t="shared" ref="AK6:AK69" si="0">A6</f>
        <v>1950</v>
      </c>
      <c r="AL6" s="235">
        <f t="shared" ref="AL6:AL69" si="1">C6*T6</f>
        <v>2478.8894411736001</v>
      </c>
      <c r="AM6" s="485">
        <f t="shared" ref="AM6:AM69" si="2">C6*Y6*U6</f>
        <v>225.78108210661327</v>
      </c>
      <c r="AN6" s="485">
        <f t="shared" ref="AN6:AN69" si="3">C6*U6*Z6</f>
        <v>115.06621605475678</v>
      </c>
      <c r="AO6" s="485">
        <f t="shared" ref="AO6:AO69" si="4">C6*V6</f>
        <v>278.87506213203</v>
      </c>
      <c r="AP6" s="485">
        <f t="shared" ref="AP6:AP69" si="5">C6*W6</f>
        <v>0</v>
      </c>
      <c r="AQ6" s="237">
        <f>SUM(AL6:AP6)</f>
        <v>3098.6118014670001</v>
      </c>
      <c r="AS6" s="606">
        <f>AC6*AB6</f>
        <v>0</v>
      </c>
      <c r="AT6" s="897">
        <f>AB6*AD6*AH6</f>
        <v>0</v>
      </c>
      <c r="AU6" s="897">
        <f>AI6*AD6*AB6</f>
        <v>0</v>
      </c>
      <c r="AV6" s="485">
        <f>AE6*AB6</f>
        <v>0</v>
      </c>
      <c r="AW6" s="704">
        <f>AF6*AB6</f>
        <v>0</v>
      </c>
      <c r="AX6" s="609">
        <f>SUM(AS6:AW6)</f>
        <v>0</v>
      </c>
      <c r="AZ6" s="1291">
        <f>(AX6+AQ6)*1000/10^6</f>
        <v>3.0986118014669999</v>
      </c>
      <c r="BA6" s="728">
        <f>(AX6+AQ6-AS6-AL6)/(AL6+AS6)</f>
        <v>0.25</v>
      </c>
      <c r="BB6" s="929">
        <f>'Input data'!D50/10^6</f>
        <v>0</v>
      </c>
    </row>
    <row r="7" spans="1:54">
      <c r="A7" s="621">
        <f>'Input data'!A51</f>
        <v>1951</v>
      </c>
      <c r="B7" s="1462">
        <f>'Input data'!I51</f>
        <v>578.73</v>
      </c>
      <c r="C7" s="237">
        <f>B7*'Input data'!B51</f>
        <v>3205.8334210812</v>
      </c>
      <c r="D7" s="730">
        <f>'Input data'!N51</f>
        <v>0.19892488097366726</v>
      </c>
      <c r="E7" s="483">
        <f>'Input data'!O51</f>
        <v>0.26585903447659598</v>
      </c>
      <c r="F7" s="483">
        <f>'Input data'!P51</f>
        <v>8.9228108703258049E-2</v>
      </c>
      <c r="G7" s="483">
        <f>'Input data'!Q51</f>
        <v>0</v>
      </c>
      <c r="H7" s="483">
        <f>'Input data'!R51</f>
        <v>0</v>
      </c>
      <c r="I7" s="483">
        <f>'Input data'!S51</f>
        <v>0</v>
      </c>
      <c r="J7" s="483">
        <f>'Input data'!T51</f>
        <v>0.4459879758464787</v>
      </c>
      <c r="K7" s="604">
        <f>'Input data'!U51</f>
        <v>1</v>
      </c>
      <c r="L7" s="730">
        <f>'Input data'!V51</f>
        <v>0.29028184578274857</v>
      </c>
      <c r="M7" s="483">
        <f>'Input data'!W51</f>
        <v>0.30317187715157518</v>
      </c>
      <c r="N7" s="483">
        <f>'Input data'!X51</f>
        <v>8.2805443243048754E-2</v>
      </c>
      <c r="O7" s="483">
        <f>'Input data'!Y51</f>
        <v>0</v>
      </c>
      <c r="P7" s="483">
        <f>'Input data'!Z51</f>
        <v>0</v>
      </c>
      <c r="Q7" s="483">
        <f>'Input data'!AA51</f>
        <v>0</v>
      </c>
      <c r="R7" s="483">
        <f>'Input data'!AB51</f>
        <v>0.32374083382262742</v>
      </c>
      <c r="S7" s="604">
        <f t="shared" ref="S7:S70" si="6">SUM(L7:R7)</f>
        <v>0.99999999999999989</v>
      </c>
      <c r="T7" s="114">
        <f>T6</f>
        <v>0.8</v>
      </c>
      <c r="U7" s="114">
        <f t="shared" ref="U7:W22" si="7">U6</f>
        <v>0.11</v>
      </c>
      <c r="V7" s="114">
        <f t="shared" si="7"/>
        <v>0.09</v>
      </c>
      <c r="W7" s="114">
        <f t="shared" si="7"/>
        <v>0</v>
      </c>
      <c r="X7" s="114">
        <f t="shared" ref="X7:X70" si="8">SUM(T7:W7)</f>
        <v>1</v>
      </c>
      <c r="Y7" s="730">
        <f>'Input data'!$G$35</f>
        <v>0.66241124199764068</v>
      </c>
      <c r="Z7" s="604">
        <f>'Input data'!$H$35</f>
        <v>0.33758875800235938</v>
      </c>
      <c r="AA7" s="602">
        <f>'Input data'!J51</f>
        <v>27.526054267727826</v>
      </c>
      <c r="AB7" s="236">
        <f>'Input data'!L51</f>
        <v>0</v>
      </c>
      <c r="AC7" s="483">
        <f>AC6</f>
        <v>0.85641924869700936</v>
      </c>
      <c r="AD7" s="483">
        <f t="shared" ref="AD7:AF22" si="9">AD6</f>
        <v>0.14268338865096522</v>
      </c>
      <c r="AE7" s="483">
        <f t="shared" si="9"/>
        <v>0</v>
      </c>
      <c r="AF7" s="483">
        <f t="shared" si="9"/>
        <v>8.973626520254116E-4</v>
      </c>
      <c r="AG7" s="483">
        <f>SUM(AC7:AF7)</f>
        <v>1</v>
      </c>
      <c r="AH7" s="502">
        <f>AH6</f>
        <v>0.49613166950665732</v>
      </c>
      <c r="AI7" s="1463">
        <f>AI6</f>
        <v>0.50386833049334279</v>
      </c>
      <c r="AK7" s="621">
        <f t="shared" si="0"/>
        <v>1951</v>
      </c>
      <c r="AL7" s="235">
        <f t="shared" si="1"/>
        <v>2564.6667368649601</v>
      </c>
      <c r="AM7" s="485">
        <f t="shared" si="2"/>
        <v>233.59381079055373</v>
      </c>
      <c r="AN7" s="485">
        <f t="shared" si="3"/>
        <v>119.04786552837828</v>
      </c>
      <c r="AO7" s="485">
        <f t="shared" si="4"/>
        <v>288.525007897308</v>
      </c>
      <c r="AP7" s="485">
        <f t="shared" si="5"/>
        <v>0</v>
      </c>
      <c r="AQ7" s="237">
        <f t="shared" ref="AQ7:AQ70" si="10">SUM(AL7:AP7)</f>
        <v>3205.8334210812</v>
      </c>
      <c r="AS7" s="606">
        <f t="shared" ref="AS7:AS70" si="11">AC7*AB7</f>
        <v>0</v>
      </c>
      <c r="AT7" s="897">
        <f t="shared" ref="AT7:AT70" si="12">AB7*AD7*AH7</f>
        <v>0</v>
      </c>
      <c r="AU7" s="897">
        <f t="shared" ref="AU7:AU70" si="13">AI7*AD7*AB7</f>
        <v>0</v>
      </c>
      <c r="AV7" s="485">
        <f t="shared" ref="AV7:AV70" si="14">AE7*AB7</f>
        <v>0</v>
      </c>
      <c r="AW7" s="704">
        <f t="shared" ref="AW7:AW70" si="15">AF7*AB7</f>
        <v>0</v>
      </c>
      <c r="AX7" s="609">
        <f t="shared" ref="AX7:AX70" si="16">SUM(AS7:AW7)</f>
        <v>0</v>
      </c>
      <c r="AZ7" s="779">
        <f>(AX7+AQ7)*1000/10^6</f>
        <v>3.2058334210811998</v>
      </c>
      <c r="BA7" s="483">
        <f>(AX7+AQ7-AS7-AL7)/(AL7+AS7)</f>
        <v>0.24999999999999994</v>
      </c>
      <c r="BB7" s="205">
        <f>'Input data'!D51/10^6</f>
        <v>0</v>
      </c>
    </row>
    <row r="8" spans="1:54">
      <c r="A8" s="621">
        <f>'Input data'!A52</f>
        <v>1952</v>
      </c>
      <c r="B8" s="1462">
        <f>'Input data'!I52</f>
        <v>578.73</v>
      </c>
      <c r="C8" s="237">
        <f>B8*'Input data'!B52</f>
        <v>3306.2423700306003</v>
      </c>
      <c r="D8" s="730">
        <f>'Input data'!N52</f>
        <v>0.19892488097366726</v>
      </c>
      <c r="E8" s="483">
        <f>'Input data'!O52</f>
        <v>0.26585903447659598</v>
      </c>
      <c r="F8" s="483">
        <f>'Input data'!P52</f>
        <v>8.9228108703258049E-2</v>
      </c>
      <c r="G8" s="483">
        <f>'Input data'!Q52</f>
        <v>0</v>
      </c>
      <c r="H8" s="483">
        <f>'Input data'!R52</f>
        <v>0</v>
      </c>
      <c r="I8" s="483">
        <f>'Input data'!S52</f>
        <v>0</v>
      </c>
      <c r="J8" s="483">
        <f>'Input data'!T52</f>
        <v>0.4459879758464787</v>
      </c>
      <c r="K8" s="604">
        <f>'Input data'!U52</f>
        <v>1</v>
      </c>
      <c r="L8" s="730">
        <f>'Input data'!V52</f>
        <v>0.29028184578274857</v>
      </c>
      <c r="M8" s="483">
        <f>'Input data'!W52</f>
        <v>0.30317187715157518</v>
      </c>
      <c r="N8" s="483">
        <f>'Input data'!X52</f>
        <v>8.2805443243048754E-2</v>
      </c>
      <c r="O8" s="483">
        <f>'Input data'!Y52</f>
        <v>0</v>
      </c>
      <c r="P8" s="483">
        <f>'Input data'!Z52</f>
        <v>0</v>
      </c>
      <c r="Q8" s="483">
        <f>'Input data'!AA52</f>
        <v>0</v>
      </c>
      <c r="R8" s="483">
        <f>'Input data'!AB52</f>
        <v>0.32374083382262742</v>
      </c>
      <c r="S8" s="604">
        <f t="shared" si="6"/>
        <v>0.99999999999999989</v>
      </c>
      <c r="T8" s="114">
        <f t="shared" ref="T8:W23" si="17">T7</f>
        <v>0.8</v>
      </c>
      <c r="U8" s="114">
        <f t="shared" si="7"/>
        <v>0.11</v>
      </c>
      <c r="V8" s="114">
        <f t="shared" si="7"/>
        <v>0.09</v>
      </c>
      <c r="W8" s="114">
        <f t="shared" si="7"/>
        <v>0</v>
      </c>
      <c r="X8" s="114">
        <f t="shared" si="8"/>
        <v>1</v>
      </c>
      <c r="Y8" s="730">
        <f>'Input data'!$G$35</f>
        <v>0.66241124199764068</v>
      </c>
      <c r="Z8" s="604">
        <f>'Input data'!$H$35</f>
        <v>0.33758875800235938</v>
      </c>
      <c r="AA8" s="602">
        <f>'Input data'!J52</f>
        <v>27.526054267727826</v>
      </c>
      <c r="AB8" s="236">
        <f>'Input data'!L52</f>
        <v>0</v>
      </c>
      <c r="AC8" s="483">
        <f t="shared" ref="AC8:AF23" si="18">AC7</f>
        <v>0.85641924869700936</v>
      </c>
      <c r="AD8" s="483">
        <f t="shared" si="9"/>
        <v>0.14268338865096522</v>
      </c>
      <c r="AE8" s="483">
        <f t="shared" si="9"/>
        <v>0</v>
      </c>
      <c r="AF8" s="483">
        <f t="shared" si="9"/>
        <v>8.973626520254116E-4</v>
      </c>
      <c r="AG8" s="483">
        <f t="shared" ref="AG8:AG71" si="19">SUM(AC8:AF8)</f>
        <v>1</v>
      </c>
      <c r="AH8" s="502">
        <f t="shared" ref="AH8:AI23" si="20">AH7</f>
        <v>0.49613166950665732</v>
      </c>
      <c r="AI8" s="1463">
        <f t="shared" si="20"/>
        <v>0.50386833049334279</v>
      </c>
      <c r="AK8" s="621">
        <f t="shared" si="0"/>
        <v>1952</v>
      </c>
      <c r="AL8" s="235">
        <f t="shared" si="1"/>
        <v>2644.9938960244804</v>
      </c>
      <c r="AM8" s="485">
        <f t="shared" si="2"/>
        <v>240.91013261449123</v>
      </c>
      <c r="AN8" s="485">
        <f t="shared" si="3"/>
        <v>122.77652808887483</v>
      </c>
      <c r="AO8" s="485">
        <f t="shared" si="4"/>
        <v>297.56181330275405</v>
      </c>
      <c r="AP8" s="485">
        <f t="shared" si="5"/>
        <v>0</v>
      </c>
      <c r="AQ8" s="237">
        <f t="shared" si="10"/>
        <v>3306.2423700306008</v>
      </c>
      <c r="AS8" s="606">
        <f t="shared" si="11"/>
        <v>0</v>
      </c>
      <c r="AT8" s="897">
        <f t="shared" si="12"/>
        <v>0</v>
      </c>
      <c r="AU8" s="897">
        <f t="shared" si="13"/>
        <v>0</v>
      </c>
      <c r="AV8" s="485">
        <f t="shared" si="14"/>
        <v>0</v>
      </c>
      <c r="AW8" s="704">
        <f t="shared" si="15"/>
        <v>0</v>
      </c>
      <c r="AX8" s="609">
        <f t="shared" si="16"/>
        <v>0</v>
      </c>
      <c r="AZ8" s="779">
        <f t="shared" ref="AZ8:AZ71" si="21">(AX8+AQ8)*1000/10^6</f>
        <v>3.3062423700306005</v>
      </c>
      <c r="BA8" s="483">
        <f t="shared" ref="BA8:BA71" si="22">(AX8+AQ8-AS8-AL8)/(AL8+AS8)</f>
        <v>0.25000000000000011</v>
      </c>
      <c r="BB8" s="205">
        <f>'Input data'!D52/10^6</f>
        <v>0</v>
      </c>
    </row>
    <row r="9" spans="1:54">
      <c r="A9" s="621">
        <f>'Input data'!A53</f>
        <v>1953</v>
      </c>
      <c r="B9" s="1462">
        <f>'Input data'!I53</f>
        <v>578.73</v>
      </c>
      <c r="C9" s="237">
        <f>B9*'Input data'!B53</f>
        <v>3430.9601665794003</v>
      </c>
      <c r="D9" s="730">
        <f>'Input data'!N53</f>
        <v>0.19892488097366726</v>
      </c>
      <c r="E9" s="483">
        <f>'Input data'!O53</f>
        <v>0.26585903447659598</v>
      </c>
      <c r="F9" s="483">
        <f>'Input data'!P53</f>
        <v>8.9228108703258049E-2</v>
      </c>
      <c r="G9" s="483">
        <f>'Input data'!Q53</f>
        <v>0</v>
      </c>
      <c r="H9" s="483">
        <f>'Input data'!R53</f>
        <v>0</v>
      </c>
      <c r="I9" s="483">
        <f>'Input data'!S53</f>
        <v>0</v>
      </c>
      <c r="J9" s="483">
        <f>'Input data'!T53</f>
        <v>0.4459879758464787</v>
      </c>
      <c r="K9" s="604">
        <f>'Input data'!U53</f>
        <v>1</v>
      </c>
      <c r="L9" s="730">
        <f>'Input data'!V53</f>
        <v>0.29028184578274857</v>
      </c>
      <c r="M9" s="483">
        <f>'Input data'!W53</f>
        <v>0.30317187715157518</v>
      </c>
      <c r="N9" s="483">
        <f>'Input data'!X53</f>
        <v>8.2805443243048754E-2</v>
      </c>
      <c r="O9" s="483">
        <f>'Input data'!Y53</f>
        <v>0</v>
      </c>
      <c r="P9" s="483">
        <f>'Input data'!Z53</f>
        <v>0</v>
      </c>
      <c r="Q9" s="483">
        <f>'Input data'!AA53</f>
        <v>0</v>
      </c>
      <c r="R9" s="483">
        <f>'Input data'!AB53</f>
        <v>0.32374083382262742</v>
      </c>
      <c r="S9" s="604">
        <f t="shared" si="6"/>
        <v>0.99999999999999989</v>
      </c>
      <c r="T9" s="114">
        <f t="shared" si="17"/>
        <v>0.8</v>
      </c>
      <c r="U9" s="114">
        <f t="shared" si="7"/>
        <v>0.11</v>
      </c>
      <c r="V9" s="114">
        <f t="shared" si="7"/>
        <v>0.09</v>
      </c>
      <c r="W9" s="114">
        <f t="shared" si="7"/>
        <v>0</v>
      </c>
      <c r="X9" s="114">
        <f t="shared" si="8"/>
        <v>1</v>
      </c>
      <c r="Y9" s="730">
        <f>'Input data'!$G$35</f>
        <v>0.66241124199764068</v>
      </c>
      <c r="Z9" s="604">
        <f>'Input data'!$H$35</f>
        <v>0.33758875800235938</v>
      </c>
      <c r="AA9" s="602">
        <f>'Input data'!J53</f>
        <v>27.526054267727826</v>
      </c>
      <c r="AB9" s="236">
        <f>'Input data'!L53</f>
        <v>0</v>
      </c>
      <c r="AC9" s="483">
        <f t="shared" si="18"/>
        <v>0.85641924869700936</v>
      </c>
      <c r="AD9" s="483">
        <f t="shared" si="9"/>
        <v>0.14268338865096522</v>
      </c>
      <c r="AE9" s="483">
        <f t="shared" si="9"/>
        <v>0</v>
      </c>
      <c r="AF9" s="483">
        <f t="shared" si="9"/>
        <v>8.973626520254116E-4</v>
      </c>
      <c r="AG9" s="483">
        <f t="shared" si="19"/>
        <v>1</v>
      </c>
      <c r="AH9" s="502">
        <f t="shared" si="20"/>
        <v>0.49613166950665732</v>
      </c>
      <c r="AI9" s="1463">
        <f t="shared" si="20"/>
        <v>0.50386833049334279</v>
      </c>
      <c r="AK9" s="621">
        <f t="shared" si="0"/>
        <v>1953</v>
      </c>
      <c r="AL9" s="235">
        <f t="shared" si="1"/>
        <v>2744.7681332635202</v>
      </c>
      <c r="AM9" s="485">
        <f t="shared" si="2"/>
        <v>249.99772437071218</v>
      </c>
      <c r="AN9" s="485">
        <f t="shared" si="3"/>
        <v>127.40789395302185</v>
      </c>
      <c r="AO9" s="485">
        <f t="shared" si="4"/>
        <v>308.78641499214604</v>
      </c>
      <c r="AP9" s="485">
        <f t="shared" si="5"/>
        <v>0</v>
      </c>
      <c r="AQ9" s="237">
        <f t="shared" si="10"/>
        <v>3430.9601665794003</v>
      </c>
      <c r="AS9" s="606">
        <f t="shared" si="11"/>
        <v>0</v>
      </c>
      <c r="AT9" s="897">
        <f t="shared" si="12"/>
        <v>0</v>
      </c>
      <c r="AU9" s="897">
        <f t="shared" si="13"/>
        <v>0</v>
      </c>
      <c r="AV9" s="485">
        <f t="shared" si="14"/>
        <v>0</v>
      </c>
      <c r="AW9" s="704">
        <f t="shared" si="15"/>
        <v>0</v>
      </c>
      <c r="AX9" s="609">
        <f t="shared" si="16"/>
        <v>0</v>
      </c>
      <c r="AZ9" s="779">
        <f t="shared" si="21"/>
        <v>3.4309601665794003</v>
      </c>
      <c r="BA9" s="483">
        <f t="shared" si="22"/>
        <v>0.25</v>
      </c>
      <c r="BB9" s="205">
        <f>'Input data'!D53/10^6</f>
        <v>0</v>
      </c>
    </row>
    <row r="10" spans="1:54">
      <c r="A10" s="621">
        <f>'Input data'!A54</f>
        <v>1954</v>
      </c>
      <c r="B10" s="1462">
        <f>'Input data'!I54</f>
        <v>578.73</v>
      </c>
      <c r="C10" s="237">
        <f>B10*'Input data'!B54</f>
        <v>3534.0550014587998</v>
      </c>
      <c r="D10" s="730">
        <f>'Input data'!N54</f>
        <v>0.19892488097366726</v>
      </c>
      <c r="E10" s="483">
        <f>'Input data'!O54</f>
        <v>0.26585903447659598</v>
      </c>
      <c r="F10" s="483">
        <f>'Input data'!P54</f>
        <v>8.9228108703258049E-2</v>
      </c>
      <c r="G10" s="483">
        <f>'Input data'!Q54</f>
        <v>0</v>
      </c>
      <c r="H10" s="483">
        <f>'Input data'!R54</f>
        <v>0</v>
      </c>
      <c r="I10" s="483">
        <f>'Input data'!S54</f>
        <v>0</v>
      </c>
      <c r="J10" s="483">
        <f>'Input data'!T54</f>
        <v>0.4459879758464787</v>
      </c>
      <c r="K10" s="604">
        <f>'Input data'!U54</f>
        <v>1</v>
      </c>
      <c r="L10" s="730">
        <f>'Input data'!V54</f>
        <v>0.29028184578274857</v>
      </c>
      <c r="M10" s="483">
        <f>'Input data'!W54</f>
        <v>0.30317187715157518</v>
      </c>
      <c r="N10" s="483">
        <f>'Input data'!X54</f>
        <v>8.2805443243048754E-2</v>
      </c>
      <c r="O10" s="483">
        <f>'Input data'!Y54</f>
        <v>0</v>
      </c>
      <c r="P10" s="483">
        <f>'Input data'!Z54</f>
        <v>0</v>
      </c>
      <c r="Q10" s="483">
        <f>'Input data'!AA54</f>
        <v>0</v>
      </c>
      <c r="R10" s="483">
        <f>'Input data'!AB54</f>
        <v>0.32374083382262742</v>
      </c>
      <c r="S10" s="604">
        <f t="shared" si="6"/>
        <v>0.99999999999999989</v>
      </c>
      <c r="T10" s="114">
        <f t="shared" si="17"/>
        <v>0.8</v>
      </c>
      <c r="U10" s="114">
        <f t="shared" si="7"/>
        <v>0.11</v>
      </c>
      <c r="V10" s="114">
        <f t="shared" si="7"/>
        <v>0.09</v>
      </c>
      <c r="W10" s="114">
        <f t="shared" si="7"/>
        <v>0</v>
      </c>
      <c r="X10" s="114">
        <f t="shared" si="8"/>
        <v>1</v>
      </c>
      <c r="Y10" s="730">
        <f>'Input data'!$G$35</f>
        <v>0.66241124199764068</v>
      </c>
      <c r="Z10" s="604">
        <f>'Input data'!$H$35</f>
        <v>0.33758875800235938</v>
      </c>
      <c r="AA10" s="602">
        <f>'Input data'!J54</f>
        <v>27.526054267727826</v>
      </c>
      <c r="AB10" s="236">
        <f>'Input data'!L54</f>
        <v>0</v>
      </c>
      <c r="AC10" s="483">
        <f t="shared" si="18"/>
        <v>0.85641924869700936</v>
      </c>
      <c r="AD10" s="483">
        <f t="shared" si="9"/>
        <v>0.14268338865096522</v>
      </c>
      <c r="AE10" s="483">
        <f t="shared" si="9"/>
        <v>0</v>
      </c>
      <c r="AF10" s="483">
        <f t="shared" si="9"/>
        <v>8.973626520254116E-4</v>
      </c>
      <c r="AG10" s="483">
        <f t="shared" si="19"/>
        <v>1</v>
      </c>
      <c r="AH10" s="502">
        <f t="shared" si="20"/>
        <v>0.49613166950665732</v>
      </c>
      <c r="AI10" s="1463">
        <f t="shared" si="20"/>
        <v>0.50386833049334279</v>
      </c>
      <c r="AK10" s="621">
        <f t="shared" si="0"/>
        <v>1954</v>
      </c>
      <c r="AL10" s="235">
        <f t="shared" si="1"/>
        <v>2827.2440011670401</v>
      </c>
      <c r="AM10" s="485">
        <f t="shared" si="2"/>
        <v>257.5097539084727</v>
      </c>
      <c r="AN10" s="485">
        <f t="shared" si="3"/>
        <v>131.23629625199527</v>
      </c>
      <c r="AO10" s="485">
        <f t="shared" si="4"/>
        <v>318.06495013129199</v>
      </c>
      <c r="AP10" s="485">
        <f t="shared" si="5"/>
        <v>0</v>
      </c>
      <c r="AQ10" s="237">
        <f t="shared" si="10"/>
        <v>3534.0550014587998</v>
      </c>
      <c r="AS10" s="606">
        <f t="shared" si="11"/>
        <v>0</v>
      </c>
      <c r="AT10" s="897">
        <f t="shared" si="12"/>
        <v>0</v>
      </c>
      <c r="AU10" s="897">
        <f t="shared" si="13"/>
        <v>0</v>
      </c>
      <c r="AV10" s="485">
        <f t="shared" si="14"/>
        <v>0</v>
      </c>
      <c r="AW10" s="704">
        <f t="shared" si="15"/>
        <v>0</v>
      </c>
      <c r="AX10" s="609">
        <f t="shared" si="16"/>
        <v>0</v>
      </c>
      <c r="AZ10" s="779">
        <f t="shared" si="21"/>
        <v>3.5340550014588001</v>
      </c>
      <c r="BA10" s="483">
        <f t="shared" si="22"/>
        <v>0.24999999999999989</v>
      </c>
      <c r="BB10" s="205">
        <f>'Input data'!D54/10^6</f>
        <v>0</v>
      </c>
    </row>
    <row r="11" spans="1:54">
      <c r="A11" s="621">
        <f>'Input data'!A55</f>
        <v>1955</v>
      </c>
      <c r="B11" s="1462">
        <f>'Input data'!I55</f>
        <v>578.73</v>
      </c>
      <c r="C11" s="237">
        <f>B11*'Input data'!B55</f>
        <v>3630.1212415104001</v>
      </c>
      <c r="D11" s="730">
        <f>'Input data'!N55</f>
        <v>0.19892488097366726</v>
      </c>
      <c r="E11" s="483">
        <f>'Input data'!O55</f>
        <v>0.26585903447659598</v>
      </c>
      <c r="F11" s="483">
        <f>'Input data'!P55</f>
        <v>8.9228108703258049E-2</v>
      </c>
      <c r="G11" s="483">
        <f>'Input data'!Q55</f>
        <v>0</v>
      </c>
      <c r="H11" s="483">
        <f>'Input data'!R55</f>
        <v>0</v>
      </c>
      <c r="I11" s="483">
        <f>'Input data'!S55</f>
        <v>0</v>
      </c>
      <c r="J11" s="483">
        <f>'Input data'!T55</f>
        <v>0.4459879758464787</v>
      </c>
      <c r="K11" s="604">
        <f>'Input data'!U55</f>
        <v>1</v>
      </c>
      <c r="L11" s="730">
        <f>'Input data'!V55</f>
        <v>0.29028184578274857</v>
      </c>
      <c r="M11" s="483">
        <f>'Input data'!W55</f>
        <v>0.30317187715157518</v>
      </c>
      <c r="N11" s="483">
        <f>'Input data'!X55</f>
        <v>8.2805443243048754E-2</v>
      </c>
      <c r="O11" s="483">
        <f>'Input data'!Y55</f>
        <v>0</v>
      </c>
      <c r="P11" s="483">
        <f>'Input data'!Z55</f>
        <v>0</v>
      </c>
      <c r="Q11" s="483">
        <f>'Input data'!AA55</f>
        <v>0</v>
      </c>
      <c r="R11" s="483">
        <f>'Input data'!AB55</f>
        <v>0.32374083382262742</v>
      </c>
      <c r="S11" s="604">
        <f t="shared" si="6"/>
        <v>0.99999999999999989</v>
      </c>
      <c r="T11" s="114">
        <f t="shared" si="17"/>
        <v>0.8</v>
      </c>
      <c r="U11" s="114">
        <f t="shared" si="7"/>
        <v>0.11</v>
      </c>
      <c r="V11" s="114">
        <f t="shared" si="7"/>
        <v>0.09</v>
      </c>
      <c r="W11" s="114">
        <f t="shared" si="7"/>
        <v>0</v>
      </c>
      <c r="X11" s="114">
        <f t="shared" si="8"/>
        <v>1</v>
      </c>
      <c r="Y11" s="730">
        <f>'Input data'!$G$35</f>
        <v>0.66241124199764068</v>
      </c>
      <c r="Z11" s="604">
        <f>'Input data'!$H$35</f>
        <v>0.33758875800235938</v>
      </c>
      <c r="AA11" s="602">
        <f>'Input data'!J55</f>
        <v>27.526054267727826</v>
      </c>
      <c r="AB11" s="236">
        <f>'Input data'!L55</f>
        <v>0</v>
      </c>
      <c r="AC11" s="483">
        <f t="shared" si="18"/>
        <v>0.85641924869700936</v>
      </c>
      <c r="AD11" s="483">
        <f t="shared" si="9"/>
        <v>0.14268338865096522</v>
      </c>
      <c r="AE11" s="483">
        <f t="shared" si="9"/>
        <v>0</v>
      </c>
      <c r="AF11" s="483">
        <f t="shared" si="9"/>
        <v>8.973626520254116E-4</v>
      </c>
      <c r="AG11" s="483">
        <f t="shared" si="19"/>
        <v>1</v>
      </c>
      <c r="AH11" s="502">
        <f t="shared" si="20"/>
        <v>0.49613166950665732</v>
      </c>
      <c r="AI11" s="1463">
        <f t="shared" si="20"/>
        <v>0.50386833049334279</v>
      </c>
      <c r="AK11" s="621">
        <f t="shared" si="0"/>
        <v>1955</v>
      </c>
      <c r="AL11" s="235">
        <f t="shared" si="1"/>
        <v>2904.0969932083203</v>
      </c>
      <c r="AM11" s="485">
        <f t="shared" si="2"/>
        <v>264.5096432210014</v>
      </c>
      <c r="AN11" s="485">
        <f t="shared" si="3"/>
        <v>134.80369334514268</v>
      </c>
      <c r="AO11" s="485">
        <f t="shared" si="4"/>
        <v>326.71091173593601</v>
      </c>
      <c r="AP11" s="485">
        <f t="shared" si="5"/>
        <v>0</v>
      </c>
      <c r="AQ11" s="237">
        <f t="shared" si="10"/>
        <v>3630.1212415104005</v>
      </c>
      <c r="AS11" s="606">
        <f t="shared" si="11"/>
        <v>0</v>
      </c>
      <c r="AT11" s="897">
        <f t="shared" si="12"/>
        <v>0</v>
      </c>
      <c r="AU11" s="897">
        <f t="shared" si="13"/>
        <v>0</v>
      </c>
      <c r="AV11" s="485">
        <f t="shared" si="14"/>
        <v>0</v>
      </c>
      <c r="AW11" s="704">
        <f t="shared" si="15"/>
        <v>0</v>
      </c>
      <c r="AX11" s="609">
        <f t="shared" si="16"/>
        <v>0</v>
      </c>
      <c r="AZ11" s="779">
        <f t="shared" si="21"/>
        <v>3.6301212415104005</v>
      </c>
      <c r="BA11" s="483">
        <f t="shared" si="22"/>
        <v>0.25000000000000006</v>
      </c>
      <c r="BB11" s="205">
        <f>'Input data'!D55/10^6</f>
        <v>0</v>
      </c>
    </row>
    <row r="12" spans="1:54">
      <c r="A12" s="621">
        <f>'Input data'!A56</f>
        <v>1956</v>
      </c>
      <c r="B12" s="1462">
        <f>'Input data'!I56</f>
        <v>578.73</v>
      </c>
      <c r="C12" s="237">
        <f>B12*'Input data'!B56</f>
        <v>3741.5970937800003</v>
      </c>
      <c r="D12" s="730">
        <f>'Input data'!N56</f>
        <v>0.19892488097366726</v>
      </c>
      <c r="E12" s="483">
        <f>'Input data'!O56</f>
        <v>0.26585903447659598</v>
      </c>
      <c r="F12" s="483">
        <f>'Input data'!P56</f>
        <v>8.9228108703258049E-2</v>
      </c>
      <c r="G12" s="483">
        <f>'Input data'!Q56</f>
        <v>0</v>
      </c>
      <c r="H12" s="483">
        <f>'Input data'!R56</f>
        <v>0</v>
      </c>
      <c r="I12" s="483">
        <f>'Input data'!S56</f>
        <v>0</v>
      </c>
      <c r="J12" s="483">
        <f>'Input data'!T56</f>
        <v>0.4459879758464787</v>
      </c>
      <c r="K12" s="604">
        <f>'Input data'!U56</f>
        <v>1</v>
      </c>
      <c r="L12" s="730">
        <f>'Input data'!V56</f>
        <v>0.29028184578274857</v>
      </c>
      <c r="M12" s="483">
        <f>'Input data'!W56</f>
        <v>0.30317187715157518</v>
      </c>
      <c r="N12" s="483">
        <f>'Input data'!X56</f>
        <v>8.2805443243048754E-2</v>
      </c>
      <c r="O12" s="483">
        <f>'Input data'!Y56</f>
        <v>0</v>
      </c>
      <c r="P12" s="483">
        <f>'Input data'!Z56</f>
        <v>0</v>
      </c>
      <c r="Q12" s="483">
        <f>'Input data'!AA56</f>
        <v>0</v>
      </c>
      <c r="R12" s="483">
        <f>'Input data'!AB56</f>
        <v>0.32374083382262742</v>
      </c>
      <c r="S12" s="604">
        <f t="shared" si="6"/>
        <v>0.99999999999999989</v>
      </c>
      <c r="T12" s="114">
        <f t="shared" si="17"/>
        <v>0.8</v>
      </c>
      <c r="U12" s="114">
        <f t="shared" si="7"/>
        <v>0.11</v>
      </c>
      <c r="V12" s="114">
        <f t="shared" si="7"/>
        <v>0.09</v>
      </c>
      <c r="W12" s="114">
        <f t="shared" si="7"/>
        <v>0</v>
      </c>
      <c r="X12" s="114">
        <f t="shared" si="8"/>
        <v>1</v>
      </c>
      <c r="Y12" s="730">
        <f>'Input data'!$G$35</f>
        <v>0.66241124199764068</v>
      </c>
      <c r="Z12" s="604">
        <f>'Input data'!$H$35</f>
        <v>0.33758875800235938</v>
      </c>
      <c r="AA12" s="602">
        <f>'Input data'!J56</f>
        <v>27.526054267727826</v>
      </c>
      <c r="AB12" s="236">
        <f>'Input data'!L56</f>
        <v>0</v>
      </c>
      <c r="AC12" s="483">
        <f t="shared" si="18"/>
        <v>0.85641924869700936</v>
      </c>
      <c r="AD12" s="483">
        <f t="shared" si="9"/>
        <v>0.14268338865096522</v>
      </c>
      <c r="AE12" s="483">
        <f t="shared" si="9"/>
        <v>0</v>
      </c>
      <c r="AF12" s="483">
        <f t="shared" si="9"/>
        <v>8.973626520254116E-4</v>
      </c>
      <c r="AG12" s="483">
        <f t="shared" si="19"/>
        <v>1</v>
      </c>
      <c r="AH12" s="502">
        <f t="shared" si="20"/>
        <v>0.49613166950665732</v>
      </c>
      <c r="AI12" s="1463">
        <f t="shared" si="20"/>
        <v>0.50386833049334279</v>
      </c>
      <c r="AK12" s="621">
        <f t="shared" si="0"/>
        <v>1956</v>
      </c>
      <c r="AL12" s="235">
        <f t="shared" si="1"/>
        <v>2993.2776750240005</v>
      </c>
      <c r="AM12" s="485">
        <f t="shared" si="2"/>
        <v>272.63235757401299</v>
      </c>
      <c r="AN12" s="485">
        <f t="shared" si="3"/>
        <v>138.94332274178703</v>
      </c>
      <c r="AO12" s="485">
        <f t="shared" si="4"/>
        <v>336.74373844019999</v>
      </c>
      <c r="AP12" s="485">
        <f t="shared" si="5"/>
        <v>0</v>
      </c>
      <c r="AQ12" s="237">
        <f t="shared" si="10"/>
        <v>3741.5970937800007</v>
      </c>
      <c r="AS12" s="606">
        <f t="shared" si="11"/>
        <v>0</v>
      </c>
      <c r="AT12" s="897">
        <f t="shared" si="12"/>
        <v>0</v>
      </c>
      <c r="AU12" s="897">
        <f t="shared" si="13"/>
        <v>0</v>
      </c>
      <c r="AV12" s="485">
        <f t="shared" si="14"/>
        <v>0</v>
      </c>
      <c r="AW12" s="704">
        <f t="shared" si="15"/>
        <v>0</v>
      </c>
      <c r="AX12" s="609">
        <f t="shared" si="16"/>
        <v>0</v>
      </c>
      <c r="AZ12" s="779">
        <f t="shared" si="21"/>
        <v>3.7415970937800007</v>
      </c>
      <c r="BA12" s="483">
        <f t="shared" si="22"/>
        <v>0.25000000000000006</v>
      </c>
      <c r="BB12" s="205">
        <f>'Input data'!D56/10^6</f>
        <v>0</v>
      </c>
    </row>
    <row r="13" spans="1:54">
      <c r="A13" s="621">
        <f>'Input data'!A57</f>
        <v>1957</v>
      </c>
      <c r="B13" s="1462">
        <f>'Input data'!I57</f>
        <v>578.73</v>
      </c>
      <c r="C13" s="237">
        <f>B13*'Input data'!B57</f>
        <v>3853.9197900839999</v>
      </c>
      <c r="D13" s="730">
        <f>'Input data'!N57</f>
        <v>0.19892488097366726</v>
      </c>
      <c r="E13" s="483">
        <f>'Input data'!O57</f>
        <v>0.26585903447659598</v>
      </c>
      <c r="F13" s="483">
        <f>'Input data'!P57</f>
        <v>8.9228108703258049E-2</v>
      </c>
      <c r="G13" s="483">
        <f>'Input data'!Q57</f>
        <v>0</v>
      </c>
      <c r="H13" s="483">
        <f>'Input data'!R57</f>
        <v>0</v>
      </c>
      <c r="I13" s="483">
        <f>'Input data'!S57</f>
        <v>0</v>
      </c>
      <c r="J13" s="483">
        <f>'Input data'!T57</f>
        <v>0.4459879758464787</v>
      </c>
      <c r="K13" s="604">
        <f>'Input data'!U57</f>
        <v>1</v>
      </c>
      <c r="L13" s="730">
        <f>'Input data'!V57</f>
        <v>0.29028184578274857</v>
      </c>
      <c r="M13" s="483">
        <f>'Input data'!W57</f>
        <v>0.30317187715157518</v>
      </c>
      <c r="N13" s="483">
        <f>'Input data'!X57</f>
        <v>8.2805443243048754E-2</v>
      </c>
      <c r="O13" s="483">
        <f>'Input data'!Y57</f>
        <v>0</v>
      </c>
      <c r="P13" s="483">
        <f>'Input data'!Z57</f>
        <v>0</v>
      </c>
      <c r="Q13" s="483">
        <f>'Input data'!AA57</f>
        <v>0</v>
      </c>
      <c r="R13" s="483">
        <f>'Input data'!AB57</f>
        <v>0.32374083382262742</v>
      </c>
      <c r="S13" s="604">
        <f t="shared" si="6"/>
        <v>0.99999999999999989</v>
      </c>
      <c r="T13" s="114">
        <f t="shared" si="17"/>
        <v>0.8</v>
      </c>
      <c r="U13" s="114">
        <f t="shared" si="7"/>
        <v>0.11</v>
      </c>
      <c r="V13" s="114">
        <f t="shared" si="7"/>
        <v>0.09</v>
      </c>
      <c r="W13" s="114">
        <f t="shared" si="7"/>
        <v>0</v>
      </c>
      <c r="X13" s="114">
        <f t="shared" si="8"/>
        <v>1</v>
      </c>
      <c r="Y13" s="730">
        <f>'Input data'!$G$35</f>
        <v>0.66241124199764068</v>
      </c>
      <c r="Z13" s="604">
        <f>'Input data'!$H$35</f>
        <v>0.33758875800235938</v>
      </c>
      <c r="AA13" s="602">
        <f>'Input data'!J57</f>
        <v>27.526054267727826</v>
      </c>
      <c r="AB13" s="236">
        <f>'Input data'!L57</f>
        <v>0</v>
      </c>
      <c r="AC13" s="483">
        <f t="shared" si="18"/>
        <v>0.85641924869700936</v>
      </c>
      <c r="AD13" s="483">
        <f t="shared" si="9"/>
        <v>0.14268338865096522</v>
      </c>
      <c r="AE13" s="483">
        <f t="shared" si="9"/>
        <v>0</v>
      </c>
      <c r="AF13" s="483">
        <f t="shared" si="9"/>
        <v>8.973626520254116E-4</v>
      </c>
      <c r="AG13" s="483">
        <f t="shared" si="19"/>
        <v>1</v>
      </c>
      <c r="AH13" s="502">
        <f t="shared" si="20"/>
        <v>0.49613166950665732</v>
      </c>
      <c r="AI13" s="1463">
        <f t="shared" si="20"/>
        <v>0.50386833049334279</v>
      </c>
      <c r="AK13" s="621">
        <f t="shared" si="0"/>
        <v>1957</v>
      </c>
      <c r="AL13" s="235">
        <f t="shared" si="1"/>
        <v>3083.1358320672002</v>
      </c>
      <c r="AM13" s="485">
        <f t="shared" si="2"/>
        <v>280.8167774179712</v>
      </c>
      <c r="AN13" s="485">
        <f t="shared" si="3"/>
        <v>143.11439949126881</v>
      </c>
      <c r="AO13" s="485">
        <f t="shared" si="4"/>
        <v>346.85278110755996</v>
      </c>
      <c r="AP13" s="485">
        <f t="shared" si="5"/>
        <v>0</v>
      </c>
      <c r="AQ13" s="237">
        <f t="shared" si="10"/>
        <v>3853.9197900839999</v>
      </c>
      <c r="AS13" s="606">
        <f t="shared" si="11"/>
        <v>0</v>
      </c>
      <c r="AT13" s="897">
        <f t="shared" si="12"/>
        <v>0</v>
      </c>
      <c r="AU13" s="897">
        <f t="shared" si="13"/>
        <v>0</v>
      </c>
      <c r="AV13" s="485">
        <f t="shared" si="14"/>
        <v>0</v>
      </c>
      <c r="AW13" s="704">
        <f t="shared" si="15"/>
        <v>0</v>
      </c>
      <c r="AX13" s="609">
        <f t="shared" si="16"/>
        <v>0</v>
      </c>
      <c r="AZ13" s="779">
        <f t="shared" si="21"/>
        <v>3.8539197900839999</v>
      </c>
      <c r="BA13" s="483">
        <f t="shared" si="22"/>
        <v>0.24999999999999989</v>
      </c>
      <c r="BB13" s="205">
        <f>'Input data'!D57/10^6</f>
        <v>0</v>
      </c>
    </row>
    <row r="14" spans="1:54">
      <c r="A14" s="621">
        <f>'Input data'!A58</f>
        <v>1958</v>
      </c>
      <c r="B14" s="1462">
        <f>'Input data'!I58</f>
        <v>578.73</v>
      </c>
      <c r="C14" s="237">
        <f>B14*'Input data'!B58</f>
        <v>3975.8274126480001</v>
      </c>
      <c r="D14" s="730">
        <f>'Input data'!N58</f>
        <v>0.19892488097366726</v>
      </c>
      <c r="E14" s="483">
        <f>'Input data'!O58</f>
        <v>0.26585903447659598</v>
      </c>
      <c r="F14" s="483">
        <f>'Input data'!P58</f>
        <v>8.9228108703258049E-2</v>
      </c>
      <c r="G14" s="483">
        <f>'Input data'!Q58</f>
        <v>0</v>
      </c>
      <c r="H14" s="483">
        <f>'Input data'!R58</f>
        <v>0</v>
      </c>
      <c r="I14" s="483">
        <f>'Input data'!S58</f>
        <v>0</v>
      </c>
      <c r="J14" s="483">
        <f>'Input data'!T58</f>
        <v>0.4459879758464787</v>
      </c>
      <c r="K14" s="604">
        <f>'Input data'!U58</f>
        <v>1</v>
      </c>
      <c r="L14" s="730">
        <f>'Input data'!V58</f>
        <v>0.29028184578274857</v>
      </c>
      <c r="M14" s="483">
        <f>'Input data'!W58</f>
        <v>0.30317187715157518</v>
      </c>
      <c r="N14" s="483">
        <f>'Input data'!X58</f>
        <v>8.2805443243048754E-2</v>
      </c>
      <c r="O14" s="483">
        <f>'Input data'!Y58</f>
        <v>0</v>
      </c>
      <c r="P14" s="483">
        <f>'Input data'!Z58</f>
        <v>0</v>
      </c>
      <c r="Q14" s="483">
        <f>'Input data'!AA58</f>
        <v>0</v>
      </c>
      <c r="R14" s="483">
        <f>'Input data'!AB58</f>
        <v>0.32374083382262742</v>
      </c>
      <c r="S14" s="604">
        <f t="shared" si="6"/>
        <v>0.99999999999999989</v>
      </c>
      <c r="T14" s="114">
        <f t="shared" si="17"/>
        <v>0.8</v>
      </c>
      <c r="U14" s="114">
        <f t="shared" si="7"/>
        <v>0.11</v>
      </c>
      <c r="V14" s="114">
        <f t="shared" si="7"/>
        <v>0.09</v>
      </c>
      <c r="W14" s="114">
        <f t="shared" si="7"/>
        <v>0</v>
      </c>
      <c r="X14" s="114">
        <f t="shared" si="8"/>
        <v>1</v>
      </c>
      <c r="Y14" s="730">
        <f>'Input data'!$G$35</f>
        <v>0.66241124199764068</v>
      </c>
      <c r="Z14" s="604">
        <f>'Input data'!$H$35</f>
        <v>0.33758875800235938</v>
      </c>
      <c r="AA14" s="602">
        <f>'Input data'!J58</f>
        <v>27.526054267727826</v>
      </c>
      <c r="AB14" s="236">
        <f>'Input data'!L58</f>
        <v>0</v>
      </c>
      <c r="AC14" s="483">
        <f t="shared" si="18"/>
        <v>0.85641924869700936</v>
      </c>
      <c r="AD14" s="483">
        <f t="shared" si="9"/>
        <v>0.14268338865096522</v>
      </c>
      <c r="AE14" s="483">
        <f t="shared" si="9"/>
        <v>0</v>
      </c>
      <c r="AF14" s="483">
        <f t="shared" si="9"/>
        <v>8.973626520254116E-4</v>
      </c>
      <c r="AG14" s="483">
        <f t="shared" si="19"/>
        <v>1</v>
      </c>
      <c r="AH14" s="502">
        <f t="shared" si="20"/>
        <v>0.49613166950665732</v>
      </c>
      <c r="AI14" s="1463">
        <f t="shared" si="20"/>
        <v>0.50386833049334279</v>
      </c>
      <c r="AK14" s="621">
        <f t="shared" si="0"/>
        <v>1958</v>
      </c>
      <c r="AL14" s="235">
        <f t="shared" si="1"/>
        <v>3180.6619301184001</v>
      </c>
      <c r="AM14" s="485">
        <f t="shared" si="2"/>
        <v>289.69960518184712</v>
      </c>
      <c r="AN14" s="485">
        <f t="shared" si="3"/>
        <v>147.64141020943296</v>
      </c>
      <c r="AO14" s="485">
        <f t="shared" si="4"/>
        <v>357.82446713832002</v>
      </c>
      <c r="AP14" s="485">
        <f t="shared" si="5"/>
        <v>0</v>
      </c>
      <c r="AQ14" s="237">
        <f t="shared" si="10"/>
        <v>3975.8274126480001</v>
      </c>
      <c r="AS14" s="606">
        <f t="shared" si="11"/>
        <v>0</v>
      </c>
      <c r="AT14" s="897">
        <f t="shared" si="12"/>
        <v>0</v>
      </c>
      <c r="AU14" s="897">
        <f t="shared" si="13"/>
        <v>0</v>
      </c>
      <c r="AV14" s="485">
        <f t="shared" si="14"/>
        <v>0</v>
      </c>
      <c r="AW14" s="704">
        <f t="shared" si="15"/>
        <v>0</v>
      </c>
      <c r="AX14" s="609">
        <f t="shared" si="16"/>
        <v>0</v>
      </c>
      <c r="AZ14" s="779">
        <f t="shared" si="21"/>
        <v>3.9758274126480004</v>
      </c>
      <c r="BA14" s="483">
        <f t="shared" si="22"/>
        <v>0.25</v>
      </c>
      <c r="BB14" s="205">
        <f>'Input data'!D58/10^6</f>
        <v>0</v>
      </c>
    </row>
    <row r="15" spans="1:54">
      <c r="A15" s="621">
        <f>'Input data'!A59</f>
        <v>1959</v>
      </c>
      <c r="B15" s="1462">
        <f>'Input data'!I59</f>
        <v>578.73</v>
      </c>
      <c r="C15" s="237">
        <f>B15*'Input data'!B59</f>
        <v>4099.0053012635999</v>
      </c>
      <c r="D15" s="730">
        <f>'Input data'!N59</f>
        <v>0.19892488097366726</v>
      </c>
      <c r="E15" s="483">
        <f>'Input data'!O59</f>
        <v>0.26585903447659598</v>
      </c>
      <c r="F15" s="483">
        <f>'Input data'!P59</f>
        <v>8.9228108703258049E-2</v>
      </c>
      <c r="G15" s="483">
        <f>'Input data'!Q59</f>
        <v>0</v>
      </c>
      <c r="H15" s="483">
        <f>'Input data'!R59</f>
        <v>0</v>
      </c>
      <c r="I15" s="483">
        <f>'Input data'!S59</f>
        <v>0</v>
      </c>
      <c r="J15" s="483">
        <f>'Input data'!T59</f>
        <v>0.4459879758464787</v>
      </c>
      <c r="K15" s="604">
        <f>'Input data'!U59</f>
        <v>1</v>
      </c>
      <c r="L15" s="730">
        <f>'Input data'!V59</f>
        <v>0.29028184578274857</v>
      </c>
      <c r="M15" s="483">
        <f>'Input data'!W59</f>
        <v>0.30317187715157518</v>
      </c>
      <c r="N15" s="483">
        <f>'Input data'!X59</f>
        <v>8.2805443243048754E-2</v>
      </c>
      <c r="O15" s="483">
        <f>'Input data'!Y59</f>
        <v>0</v>
      </c>
      <c r="P15" s="483">
        <f>'Input data'!Z59</f>
        <v>0</v>
      </c>
      <c r="Q15" s="483">
        <f>'Input data'!AA59</f>
        <v>0</v>
      </c>
      <c r="R15" s="483">
        <f>'Input data'!AB59</f>
        <v>0.32374083382262742</v>
      </c>
      <c r="S15" s="604">
        <f t="shared" si="6"/>
        <v>0.99999999999999989</v>
      </c>
      <c r="T15" s="114">
        <f t="shared" si="17"/>
        <v>0.8</v>
      </c>
      <c r="U15" s="114">
        <f t="shared" si="7"/>
        <v>0.11</v>
      </c>
      <c r="V15" s="114">
        <f t="shared" si="7"/>
        <v>0.09</v>
      </c>
      <c r="W15" s="114">
        <f t="shared" si="7"/>
        <v>0</v>
      </c>
      <c r="X15" s="114">
        <f t="shared" si="8"/>
        <v>1</v>
      </c>
      <c r="Y15" s="730">
        <f>'Input data'!$G$35</f>
        <v>0.66241124199764068</v>
      </c>
      <c r="Z15" s="604">
        <f>'Input data'!$H$35</f>
        <v>0.33758875800235938</v>
      </c>
      <c r="AA15" s="602">
        <f>'Input data'!J59</f>
        <v>27.526054267727826</v>
      </c>
      <c r="AB15" s="236">
        <f>'Input data'!L59</f>
        <v>0</v>
      </c>
      <c r="AC15" s="483">
        <f t="shared" si="18"/>
        <v>0.85641924869700936</v>
      </c>
      <c r="AD15" s="483">
        <f t="shared" si="9"/>
        <v>0.14268338865096522</v>
      </c>
      <c r="AE15" s="483">
        <f t="shared" si="9"/>
        <v>0</v>
      </c>
      <c r="AF15" s="483">
        <f t="shared" si="9"/>
        <v>8.973626520254116E-4</v>
      </c>
      <c r="AG15" s="483">
        <f t="shared" si="19"/>
        <v>1</v>
      </c>
      <c r="AH15" s="502">
        <f t="shared" si="20"/>
        <v>0.49613166950665732</v>
      </c>
      <c r="AI15" s="1463">
        <f t="shared" si="20"/>
        <v>0.50386833049334279</v>
      </c>
      <c r="AK15" s="621">
        <f t="shared" si="0"/>
        <v>1959</v>
      </c>
      <c r="AL15" s="235">
        <f t="shared" si="1"/>
        <v>3279.2042410108802</v>
      </c>
      <c r="AM15" s="485">
        <f t="shared" si="2"/>
        <v>298.67499118214278</v>
      </c>
      <c r="AN15" s="485">
        <f t="shared" si="3"/>
        <v>152.21559195685322</v>
      </c>
      <c r="AO15" s="485">
        <f t="shared" si="4"/>
        <v>368.91047711372397</v>
      </c>
      <c r="AP15" s="485">
        <f t="shared" si="5"/>
        <v>0</v>
      </c>
      <c r="AQ15" s="237">
        <f t="shared" si="10"/>
        <v>4099.0053012635999</v>
      </c>
      <c r="AS15" s="606">
        <f t="shared" si="11"/>
        <v>0</v>
      </c>
      <c r="AT15" s="897">
        <f t="shared" si="12"/>
        <v>0</v>
      </c>
      <c r="AU15" s="897">
        <f t="shared" si="13"/>
        <v>0</v>
      </c>
      <c r="AV15" s="485">
        <f t="shared" si="14"/>
        <v>0</v>
      </c>
      <c r="AW15" s="704">
        <f t="shared" si="15"/>
        <v>0</v>
      </c>
      <c r="AX15" s="609">
        <f t="shared" si="16"/>
        <v>0</v>
      </c>
      <c r="AZ15" s="779">
        <f t="shared" si="21"/>
        <v>4.0990053012635999</v>
      </c>
      <c r="BA15" s="483">
        <f t="shared" si="22"/>
        <v>0.24999999999999989</v>
      </c>
      <c r="BB15" s="205">
        <f>'Input data'!D59/10^6</f>
        <v>0</v>
      </c>
    </row>
    <row r="16" spans="1:54">
      <c r="A16" s="621">
        <f>'Input data'!A60</f>
        <v>1960</v>
      </c>
      <c r="B16" s="1462">
        <f>'Input data'!I60</f>
        <v>578.73</v>
      </c>
      <c r="C16" s="237">
        <f>B16*'Input data'!B60</f>
        <v>4214.2919516880002</v>
      </c>
      <c r="D16" s="730">
        <f>'Input data'!N60</f>
        <v>0.19892488097366726</v>
      </c>
      <c r="E16" s="483">
        <f>'Input data'!O60</f>
        <v>0.26585903447659598</v>
      </c>
      <c r="F16" s="483">
        <f>'Input data'!P60</f>
        <v>8.9228108703258049E-2</v>
      </c>
      <c r="G16" s="483">
        <f>'Input data'!Q60</f>
        <v>0</v>
      </c>
      <c r="H16" s="483">
        <f>'Input data'!R60</f>
        <v>0</v>
      </c>
      <c r="I16" s="483">
        <f>'Input data'!S60</f>
        <v>0</v>
      </c>
      <c r="J16" s="483">
        <f>'Input data'!T60</f>
        <v>0.4459879758464787</v>
      </c>
      <c r="K16" s="604">
        <f>'Input data'!U60</f>
        <v>1</v>
      </c>
      <c r="L16" s="730">
        <f>'Input data'!V60</f>
        <v>0.29028184578274857</v>
      </c>
      <c r="M16" s="483">
        <f>'Input data'!W60</f>
        <v>0.30317187715157518</v>
      </c>
      <c r="N16" s="483">
        <f>'Input data'!X60</f>
        <v>8.2805443243048754E-2</v>
      </c>
      <c r="O16" s="483">
        <f>'Input data'!Y60</f>
        <v>0</v>
      </c>
      <c r="P16" s="483">
        <f>'Input data'!Z60</f>
        <v>0</v>
      </c>
      <c r="Q16" s="483">
        <f>'Input data'!AA60</f>
        <v>0</v>
      </c>
      <c r="R16" s="483">
        <f>'Input data'!AB60</f>
        <v>0.32374083382262742</v>
      </c>
      <c r="S16" s="604">
        <f t="shared" si="6"/>
        <v>0.99999999999999989</v>
      </c>
      <c r="T16" s="114">
        <f t="shared" si="17"/>
        <v>0.8</v>
      </c>
      <c r="U16" s="114">
        <f t="shared" si="7"/>
        <v>0.11</v>
      </c>
      <c r="V16" s="114">
        <f t="shared" si="7"/>
        <v>0.09</v>
      </c>
      <c r="W16" s="114">
        <f t="shared" si="7"/>
        <v>0</v>
      </c>
      <c r="X16" s="114">
        <f t="shared" si="8"/>
        <v>1</v>
      </c>
      <c r="Y16" s="730">
        <f>'Input data'!$G$35</f>
        <v>0.66241124199764068</v>
      </c>
      <c r="Z16" s="604">
        <f>'Input data'!$H$35</f>
        <v>0.33758875800235938</v>
      </c>
      <c r="AA16" s="602">
        <f>'Input data'!J60</f>
        <v>27.526054267727826</v>
      </c>
      <c r="AB16" s="236">
        <f>'Input data'!L60</f>
        <v>0</v>
      </c>
      <c r="AC16" s="483">
        <f t="shared" si="18"/>
        <v>0.85641924869700936</v>
      </c>
      <c r="AD16" s="483">
        <f t="shared" si="9"/>
        <v>0.14268338865096522</v>
      </c>
      <c r="AE16" s="483">
        <f t="shared" si="9"/>
        <v>0</v>
      </c>
      <c r="AF16" s="483">
        <f t="shared" si="9"/>
        <v>8.973626520254116E-4</v>
      </c>
      <c r="AG16" s="483">
        <f t="shared" si="19"/>
        <v>1</v>
      </c>
      <c r="AH16" s="502">
        <f t="shared" si="20"/>
        <v>0.49613166950665732</v>
      </c>
      <c r="AI16" s="1463">
        <f t="shared" si="20"/>
        <v>0.50386833049334279</v>
      </c>
      <c r="AK16" s="621">
        <f t="shared" si="0"/>
        <v>1960</v>
      </c>
      <c r="AL16" s="235">
        <f t="shared" si="1"/>
        <v>3371.4335613504004</v>
      </c>
      <c r="AM16" s="485">
        <f t="shared" si="2"/>
        <v>307.07538024441402</v>
      </c>
      <c r="AN16" s="485">
        <f t="shared" si="3"/>
        <v>156.496734441266</v>
      </c>
      <c r="AO16" s="485">
        <f t="shared" si="4"/>
        <v>379.28627565191999</v>
      </c>
      <c r="AP16" s="485">
        <f t="shared" si="5"/>
        <v>0</v>
      </c>
      <c r="AQ16" s="237">
        <f t="shared" si="10"/>
        <v>4214.2919516880011</v>
      </c>
      <c r="AS16" s="606">
        <f t="shared" si="11"/>
        <v>0</v>
      </c>
      <c r="AT16" s="897">
        <f t="shared" si="12"/>
        <v>0</v>
      </c>
      <c r="AU16" s="897">
        <f t="shared" si="13"/>
        <v>0</v>
      </c>
      <c r="AV16" s="485">
        <f t="shared" si="14"/>
        <v>0</v>
      </c>
      <c r="AW16" s="704">
        <f t="shared" si="15"/>
        <v>0</v>
      </c>
      <c r="AX16" s="609">
        <f t="shared" si="16"/>
        <v>0</v>
      </c>
      <c r="AZ16" s="779">
        <f t="shared" si="21"/>
        <v>4.2142919516880006</v>
      </c>
      <c r="BA16" s="483">
        <f t="shared" si="22"/>
        <v>0.25000000000000017</v>
      </c>
      <c r="BB16" s="205">
        <f>'Input data'!D60/10^6</f>
        <v>0</v>
      </c>
    </row>
    <row r="17" spans="1:54">
      <c r="A17" s="621">
        <f>'Input data'!A61</f>
        <v>1961</v>
      </c>
      <c r="B17" s="1462">
        <f>'Input data'!I61</f>
        <v>578.73</v>
      </c>
      <c r="C17" s="237">
        <f>B17*'Input data'!B61</f>
        <v>4427.193176406</v>
      </c>
      <c r="D17" s="730">
        <f>'Input data'!N61</f>
        <v>0.19892488097366726</v>
      </c>
      <c r="E17" s="483">
        <f>'Input data'!O61</f>
        <v>0.26585903447659598</v>
      </c>
      <c r="F17" s="483">
        <f>'Input data'!P61</f>
        <v>8.9228108703258049E-2</v>
      </c>
      <c r="G17" s="483">
        <f>'Input data'!Q61</f>
        <v>0</v>
      </c>
      <c r="H17" s="483">
        <f>'Input data'!R61</f>
        <v>0</v>
      </c>
      <c r="I17" s="483">
        <f>'Input data'!S61</f>
        <v>0</v>
      </c>
      <c r="J17" s="483">
        <f>'Input data'!T61</f>
        <v>0.4459879758464787</v>
      </c>
      <c r="K17" s="604">
        <f>'Input data'!U61</f>
        <v>1</v>
      </c>
      <c r="L17" s="730">
        <f>'Input data'!V61</f>
        <v>0.29028184578274857</v>
      </c>
      <c r="M17" s="483">
        <f>'Input data'!W61</f>
        <v>0.30317187715157518</v>
      </c>
      <c r="N17" s="483">
        <f>'Input data'!X61</f>
        <v>8.2805443243048754E-2</v>
      </c>
      <c r="O17" s="483">
        <f>'Input data'!Y61</f>
        <v>0</v>
      </c>
      <c r="P17" s="483">
        <f>'Input data'!Z61</f>
        <v>0</v>
      </c>
      <c r="Q17" s="483">
        <f>'Input data'!AA61</f>
        <v>0</v>
      </c>
      <c r="R17" s="483">
        <f>'Input data'!AB61</f>
        <v>0.32374083382262742</v>
      </c>
      <c r="S17" s="604">
        <f t="shared" si="6"/>
        <v>0.99999999999999989</v>
      </c>
      <c r="T17" s="114">
        <f t="shared" si="17"/>
        <v>0.8</v>
      </c>
      <c r="U17" s="114">
        <f t="shared" si="7"/>
        <v>0.11</v>
      </c>
      <c r="V17" s="114">
        <f t="shared" si="7"/>
        <v>0.09</v>
      </c>
      <c r="W17" s="114">
        <f t="shared" si="7"/>
        <v>0</v>
      </c>
      <c r="X17" s="114">
        <f t="shared" si="8"/>
        <v>1</v>
      </c>
      <c r="Y17" s="730">
        <f>'Input data'!$G$35</f>
        <v>0.66241124199764068</v>
      </c>
      <c r="Z17" s="604">
        <f>'Input data'!$H$35</f>
        <v>0.33758875800235938</v>
      </c>
      <c r="AA17" s="602">
        <f>'Input data'!J61</f>
        <v>27.526054267727826</v>
      </c>
      <c r="AB17" s="236">
        <f>'Input data'!L61</f>
        <v>16504.470164711191</v>
      </c>
      <c r="AC17" s="483">
        <f t="shared" si="18"/>
        <v>0.85641924869700936</v>
      </c>
      <c r="AD17" s="483">
        <f t="shared" si="9"/>
        <v>0.14268338865096522</v>
      </c>
      <c r="AE17" s="483">
        <f t="shared" si="9"/>
        <v>0</v>
      </c>
      <c r="AF17" s="483">
        <f t="shared" si="9"/>
        <v>8.973626520254116E-4</v>
      </c>
      <c r="AG17" s="483">
        <f t="shared" si="19"/>
        <v>1</v>
      </c>
      <c r="AH17" s="502">
        <f t="shared" si="20"/>
        <v>0.49613166950665732</v>
      </c>
      <c r="AI17" s="1463">
        <f t="shared" si="20"/>
        <v>0.50386833049334279</v>
      </c>
      <c r="AK17" s="621">
        <f t="shared" si="0"/>
        <v>1961</v>
      </c>
      <c r="AL17" s="235">
        <f t="shared" si="1"/>
        <v>3541.7545411248002</v>
      </c>
      <c r="AM17" s="485">
        <f t="shared" si="2"/>
        <v>322.58847836012359</v>
      </c>
      <c r="AN17" s="485">
        <f t="shared" si="3"/>
        <v>164.40277104453639</v>
      </c>
      <c r="AO17" s="485">
        <f t="shared" si="4"/>
        <v>398.44738587654001</v>
      </c>
      <c r="AP17" s="485">
        <f t="shared" si="5"/>
        <v>0</v>
      </c>
      <c r="AQ17" s="237">
        <f t="shared" si="10"/>
        <v>4427.1931764060009</v>
      </c>
      <c r="AS17" s="606">
        <f t="shared" si="11"/>
        <v>14134.745938604165</v>
      </c>
      <c r="AT17" s="897">
        <f t="shared" si="12"/>
        <v>1168.3472809000943</v>
      </c>
      <c r="AU17" s="897">
        <f t="shared" si="13"/>
        <v>1186.5664500896528</v>
      </c>
      <c r="AV17" s="485">
        <f t="shared" si="14"/>
        <v>0</v>
      </c>
      <c r="AW17" s="704">
        <f t="shared" si="15"/>
        <v>14.810495117279515</v>
      </c>
      <c r="AX17" s="609">
        <f t="shared" si="16"/>
        <v>16504.470164711191</v>
      </c>
      <c r="AZ17" s="779">
        <f t="shared" si="21"/>
        <v>20.931663341117194</v>
      </c>
      <c r="BA17" s="483">
        <f t="shared" si="22"/>
        <v>0.18415199689108033</v>
      </c>
      <c r="BB17" s="205">
        <f>'Input data'!D61/10^6</f>
        <v>0</v>
      </c>
    </row>
    <row r="18" spans="1:54">
      <c r="A18" s="621">
        <f>'Input data'!A62</f>
        <v>1962</v>
      </c>
      <c r="B18" s="1462">
        <f>'Input data'!I62</f>
        <v>578.73</v>
      </c>
      <c r="C18" s="237">
        <f>B18*'Input data'!B62</f>
        <v>4546.4991761280007</v>
      </c>
      <c r="D18" s="730">
        <f>'Input data'!N62</f>
        <v>0.19892488097366726</v>
      </c>
      <c r="E18" s="483">
        <f>'Input data'!O62</f>
        <v>0.26585903447659598</v>
      </c>
      <c r="F18" s="483">
        <f>'Input data'!P62</f>
        <v>8.9228108703258049E-2</v>
      </c>
      <c r="G18" s="483">
        <f>'Input data'!Q62</f>
        <v>0</v>
      </c>
      <c r="H18" s="483">
        <f>'Input data'!R62</f>
        <v>0</v>
      </c>
      <c r="I18" s="483">
        <f>'Input data'!S62</f>
        <v>0</v>
      </c>
      <c r="J18" s="483">
        <f>'Input data'!T62</f>
        <v>0.4459879758464787</v>
      </c>
      <c r="K18" s="604">
        <f>'Input data'!U62</f>
        <v>1</v>
      </c>
      <c r="L18" s="730">
        <f>'Input data'!V62</f>
        <v>0.29028184578274857</v>
      </c>
      <c r="M18" s="483">
        <f>'Input data'!W62</f>
        <v>0.30317187715157518</v>
      </c>
      <c r="N18" s="483">
        <f>'Input data'!X62</f>
        <v>8.2805443243048754E-2</v>
      </c>
      <c r="O18" s="483">
        <f>'Input data'!Y62</f>
        <v>0</v>
      </c>
      <c r="P18" s="483">
        <f>'Input data'!Z62</f>
        <v>0</v>
      </c>
      <c r="Q18" s="483">
        <f>'Input data'!AA62</f>
        <v>0</v>
      </c>
      <c r="R18" s="483">
        <f>'Input data'!AB62</f>
        <v>0.32374083382262742</v>
      </c>
      <c r="S18" s="604">
        <f t="shared" si="6"/>
        <v>0.99999999999999989</v>
      </c>
      <c r="T18" s="114">
        <f t="shared" si="17"/>
        <v>0.8</v>
      </c>
      <c r="U18" s="114">
        <f t="shared" si="7"/>
        <v>0.11</v>
      </c>
      <c r="V18" s="114">
        <f t="shared" si="7"/>
        <v>0.09</v>
      </c>
      <c r="W18" s="114">
        <f t="shared" si="7"/>
        <v>0</v>
      </c>
      <c r="X18" s="114">
        <f t="shared" si="8"/>
        <v>1</v>
      </c>
      <c r="Y18" s="730">
        <f>'Input data'!$G$35</f>
        <v>0.66241124199764068</v>
      </c>
      <c r="Z18" s="604">
        <f>'Input data'!$H$35</f>
        <v>0.33758875800235938</v>
      </c>
      <c r="AA18" s="602">
        <f>'Input data'!J62</f>
        <v>27.526054267727826</v>
      </c>
      <c r="AB18" s="236">
        <f>'Input data'!L62</f>
        <v>17524.097036936204</v>
      </c>
      <c r="AC18" s="483">
        <f t="shared" si="18"/>
        <v>0.85641924869700936</v>
      </c>
      <c r="AD18" s="483">
        <f t="shared" si="9"/>
        <v>0.14268338865096522</v>
      </c>
      <c r="AE18" s="483">
        <f t="shared" si="9"/>
        <v>0</v>
      </c>
      <c r="AF18" s="483">
        <f t="shared" si="9"/>
        <v>8.973626520254116E-4</v>
      </c>
      <c r="AG18" s="483">
        <f t="shared" si="19"/>
        <v>1</v>
      </c>
      <c r="AH18" s="502">
        <f t="shared" si="20"/>
        <v>0.49613166950665732</v>
      </c>
      <c r="AI18" s="1463">
        <f t="shared" si="20"/>
        <v>0.50386833049334279</v>
      </c>
      <c r="AK18" s="621">
        <f t="shared" si="0"/>
        <v>1962</v>
      </c>
      <c r="AL18" s="235">
        <f t="shared" si="1"/>
        <v>3637.1993409024008</v>
      </c>
      <c r="AM18" s="485">
        <f t="shared" si="2"/>
        <v>331.28173826002188</v>
      </c>
      <c r="AN18" s="485">
        <f t="shared" si="3"/>
        <v>168.83317111405822</v>
      </c>
      <c r="AO18" s="485">
        <f t="shared" si="4"/>
        <v>409.18492585152006</v>
      </c>
      <c r="AP18" s="485">
        <f t="shared" si="5"/>
        <v>0</v>
      </c>
      <c r="AQ18" s="237">
        <f t="shared" si="10"/>
        <v>4546.4991761280016</v>
      </c>
      <c r="AS18" s="606">
        <f t="shared" si="11"/>
        <v>15007.974018466391</v>
      </c>
      <c r="AT18" s="897">
        <f t="shared" si="12"/>
        <v>1240.5264100577135</v>
      </c>
      <c r="AU18" s="897">
        <f t="shared" si="13"/>
        <v>1259.8711382206832</v>
      </c>
      <c r="AV18" s="485">
        <f t="shared" si="14"/>
        <v>0</v>
      </c>
      <c r="AW18" s="704">
        <f t="shared" si="15"/>
        <v>15.725470191415729</v>
      </c>
      <c r="AX18" s="609">
        <f t="shared" si="16"/>
        <v>17524.097036936204</v>
      </c>
      <c r="AZ18" s="779">
        <f t="shared" si="21"/>
        <v>22.07059621306421</v>
      </c>
      <c r="BA18" s="483">
        <f t="shared" si="22"/>
        <v>0.18371633171081322</v>
      </c>
      <c r="BB18" s="205">
        <f>'Input data'!D62/10^6</f>
        <v>0</v>
      </c>
    </row>
    <row r="19" spans="1:54">
      <c r="A19" s="621">
        <f>'Input data'!A63</f>
        <v>1963</v>
      </c>
      <c r="B19" s="1462">
        <f>'Input data'!I63</f>
        <v>578.73</v>
      </c>
      <c r="C19" s="237">
        <f>B19*'Input data'!B63</f>
        <v>4665.8051758500005</v>
      </c>
      <c r="D19" s="730">
        <f>'Input data'!N63</f>
        <v>0.19892488097366726</v>
      </c>
      <c r="E19" s="483">
        <f>'Input data'!O63</f>
        <v>0.26585903447659598</v>
      </c>
      <c r="F19" s="483">
        <f>'Input data'!P63</f>
        <v>8.9228108703258049E-2</v>
      </c>
      <c r="G19" s="483">
        <f>'Input data'!Q63</f>
        <v>0</v>
      </c>
      <c r="H19" s="483">
        <f>'Input data'!R63</f>
        <v>0</v>
      </c>
      <c r="I19" s="483">
        <f>'Input data'!S63</f>
        <v>0</v>
      </c>
      <c r="J19" s="483">
        <f>'Input data'!T63</f>
        <v>0.4459879758464787</v>
      </c>
      <c r="K19" s="604">
        <f>'Input data'!U63</f>
        <v>1</v>
      </c>
      <c r="L19" s="730">
        <f>'Input data'!V63</f>
        <v>0.29028184578274857</v>
      </c>
      <c r="M19" s="483">
        <f>'Input data'!W63</f>
        <v>0.30317187715157518</v>
      </c>
      <c r="N19" s="483">
        <f>'Input data'!X63</f>
        <v>8.2805443243048754E-2</v>
      </c>
      <c r="O19" s="483">
        <f>'Input data'!Y63</f>
        <v>0</v>
      </c>
      <c r="P19" s="483">
        <f>'Input data'!Z63</f>
        <v>0</v>
      </c>
      <c r="Q19" s="483">
        <f>'Input data'!AA63</f>
        <v>0</v>
      </c>
      <c r="R19" s="483">
        <f>'Input data'!AB63</f>
        <v>0.32374083382262742</v>
      </c>
      <c r="S19" s="604">
        <f t="shared" si="6"/>
        <v>0.99999999999999989</v>
      </c>
      <c r="T19" s="114">
        <f t="shared" si="17"/>
        <v>0.8</v>
      </c>
      <c r="U19" s="114">
        <f t="shared" si="7"/>
        <v>0.11</v>
      </c>
      <c r="V19" s="114">
        <f t="shared" si="7"/>
        <v>0.09</v>
      </c>
      <c r="W19" s="114">
        <f t="shared" si="7"/>
        <v>0</v>
      </c>
      <c r="X19" s="114">
        <f t="shared" si="8"/>
        <v>1</v>
      </c>
      <c r="Y19" s="730">
        <f>'Input data'!$G$35</f>
        <v>0.66241124199764068</v>
      </c>
      <c r="Z19" s="604">
        <f>'Input data'!$H$35</f>
        <v>0.33758875800235938</v>
      </c>
      <c r="AA19" s="602">
        <f>'Input data'!J63</f>
        <v>27.526054267727826</v>
      </c>
      <c r="AB19" s="236">
        <f>'Input data'!L63</f>
        <v>18816.256096507535</v>
      </c>
      <c r="AC19" s="483">
        <f t="shared" si="18"/>
        <v>0.85641924869700936</v>
      </c>
      <c r="AD19" s="483">
        <f t="shared" si="9"/>
        <v>0.14268338865096522</v>
      </c>
      <c r="AE19" s="483">
        <f t="shared" si="9"/>
        <v>0</v>
      </c>
      <c r="AF19" s="483">
        <f t="shared" si="9"/>
        <v>8.973626520254116E-4</v>
      </c>
      <c r="AG19" s="483">
        <f t="shared" si="19"/>
        <v>1</v>
      </c>
      <c r="AH19" s="502">
        <f t="shared" si="20"/>
        <v>0.49613166950665732</v>
      </c>
      <c r="AI19" s="1463">
        <f t="shared" si="20"/>
        <v>0.50386833049334279</v>
      </c>
      <c r="AK19" s="621">
        <f t="shared" si="0"/>
        <v>1963</v>
      </c>
      <c r="AL19" s="235">
        <f t="shared" si="1"/>
        <v>3732.6441406800004</v>
      </c>
      <c r="AM19" s="485">
        <f t="shared" si="2"/>
        <v>339.97499815992006</v>
      </c>
      <c r="AN19" s="485">
        <f t="shared" si="3"/>
        <v>173.26357118358001</v>
      </c>
      <c r="AO19" s="485">
        <f t="shared" si="4"/>
        <v>419.92246582650006</v>
      </c>
      <c r="AP19" s="485">
        <f t="shared" si="5"/>
        <v>0</v>
      </c>
      <c r="AQ19" s="237">
        <f t="shared" si="10"/>
        <v>4665.8051758500005</v>
      </c>
      <c r="AS19" s="606">
        <f t="shared" si="11"/>
        <v>16114.603909461506</v>
      </c>
      <c r="AT19" s="897">
        <f t="shared" si="12"/>
        <v>1331.9980240310304</v>
      </c>
      <c r="AU19" s="897">
        <f t="shared" si="13"/>
        <v>1352.7691575430483</v>
      </c>
      <c r="AV19" s="485">
        <f t="shared" si="14"/>
        <v>0</v>
      </c>
      <c r="AW19" s="704">
        <f t="shared" si="15"/>
        <v>16.88500547195132</v>
      </c>
      <c r="AX19" s="609">
        <f t="shared" si="16"/>
        <v>18816.256096507535</v>
      </c>
      <c r="AZ19" s="779">
        <f t="shared" si="21"/>
        <v>23.482061272357534</v>
      </c>
      <c r="BA19" s="483">
        <f t="shared" si="22"/>
        <v>0.18313940618029986</v>
      </c>
      <c r="BB19" s="205">
        <f>'Input data'!D63/10^6</f>
        <v>0</v>
      </c>
    </row>
    <row r="20" spans="1:54">
      <c r="A20" s="621">
        <f>'Input data'!A64</f>
        <v>1964</v>
      </c>
      <c r="B20" s="1462">
        <f>'Input data'!I64</f>
        <v>578.73</v>
      </c>
      <c r="C20" s="237">
        <f>B20*'Input data'!B64</f>
        <v>4785.1111755720003</v>
      </c>
      <c r="D20" s="730">
        <f>'Input data'!N64</f>
        <v>0.19892488097366726</v>
      </c>
      <c r="E20" s="483">
        <f>'Input data'!O64</f>
        <v>0.26585903447659598</v>
      </c>
      <c r="F20" s="483">
        <f>'Input data'!P64</f>
        <v>8.9228108703258049E-2</v>
      </c>
      <c r="G20" s="483">
        <f>'Input data'!Q64</f>
        <v>0</v>
      </c>
      <c r="H20" s="483">
        <f>'Input data'!R64</f>
        <v>0</v>
      </c>
      <c r="I20" s="483">
        <f>'Input data'!S64</f>
        <v>0</v>
      </c>
      <c r="J20" s="483">
        <f>'Input data'!T64</f>
        <v>0.4459879758464787</v>
      </c>
      <c r="K20" s="604">
        <f>'Input data'!U64</f>
        <v>1</v>
      </c>
      <c r="L20" s="730">
        <f>'Input data'!V64</f>
        <v>0.29028184578274857</v>
      </c>
      <c r="M20" s="483">
        <f>'Input data'!W64</f>
        <v>0.30317187715157518</v>
      </c>
      <c r="N20" s="483">
        <f>'Input data'!X64</f>
        <v>8.2805443243048754E-2</v>
      </c>
      <c r="O20" s="483">
        <f>'Input data'!Y64</f>
        <v>0</v>
      </c>
      <c r="P20" s="483">
        <f>'Input data'!Z64</f>
        <v>0</v>
      </c>
      <c r="Q20" s="483">
        <f>'Input data'!AA64</f>
        <v>0</v>
      </c>
      <c r="R20" s="483">
        <f>'Input data'!AB64</f>
        <v>0.32374083382262742</v>
      </c>
      <c r="S20" s="604">
        <f t="shared" si="6"/>
        <v>0.99999999999999989</v>
      </c>
      <c r="T20" s="114">
        <f t="shared" si="17"/>
        <v>0.8</v>
      </c>
      <c r="U20" s="114">
        <f t="shared" si="7"/>
        <v>0.11</v>
      </c>
      <c r="V20" s="114">
        <f t="shared" si="7"/>
        <v>0.09</v>
      </c>
      <c r="W20" s="114">
        <f t="shared" si="7"/>
        <v>0</v>
      </c>
      <c r="X20" s="114">
        <f t="shared" si="8"/>
        <v>1</v>
      </c>
      <c r="Y20" s="730">
        <f>'Input data'!$G$35</f>
        <v>0.66241124199764068</v>
      </c>
      <c r="Z20" s="604">
        <f>'Input data'!$H$35</f>
        <v>0.33758875800235938</v>
      </c>
      <c r="AA20" s="602">
        <f>'Input data'!J64</f>
        <v>27.526054267727826</v>
      </c>
      <c r="AB20" s="236">
        <f>'Input data'!L64</f>
        <v>20310.225748850138</v>
      </c>
      <c r="AC20" s="483">
        <f t="shared" si="18"/>
        <v>0.85641924869700936</v>
      </c>
      <c r="AD20" s="483">
        <f t="shared" si="9"/>
        <v>0.14268338865096522</v>
      </c>
      <c r="AE20" s="483">
        <f t="shared" si="9"/>
        <v>0</v>
      </c>
      <c r="AF20" s="483">
        <f t="shared" si="9"/>
        <v>8.973626520254116E-4</v>
      </c>
      <c r="AG20" s="483">
        <f t="shared" si="19"/>
        <v>1</v>
      </c>
      <c r="AH20" s="502">
        <f t="shared" si="20"/>
        <v>0.49613166950665732</v>
      </c>
      <c r="AI20" s="1463">
        <f t="shared" si="20"/>
        <v>0.50386833049334279</v>
      </c>
      <c r="AK20" s="621">
        <f t="shared" si="0"/>
        <v>1964</v>
      </c>
      <c r="AL20" s="235">
        <f t="shared" si="1"/>
        <v>3828.0889404576005</v>
      </c>
      <c r="AM20" s="485">
        <f t="shared" si="2"/>
        <v>348.6682580598183</v>
      </c>
      <c r="AN20" s="485">
        <f t="shared" si="3"/>
        <v>177.69397125310175</v>
      </c>
      <c r="AO20" s="485">
        <f t="shared" si="4"/>
        <v>430.66000580148</v>
      </c>
      <c r="AP20" s="485">
        <f t="shared" si="5"/>
        <v>0</v>
      </c>
      <c r="AQ20" s="237">
        <f t="shared" si="10"/>
        <v>4785.1111755720012</v>
      </c>
      <c r="AS20" s="606">
        <f t="shared" si="11"/>
        <v>17394.068276696889</v>
      </c>
      <c r="AT20" s="897">
        <f t="shared" si="12"/>
        <v>1437.7557589744888</v>
      </c>
      <c r="AU20" s="897">
        <f t="shared" si="13"/>
        <v>1460.1760751375371</v>
      </c>
      <c r="AV20" s="485">
        <f t="shared" si="14"/>
        <v>0</v>
      </c>
      <c r="AW20" s="704">
        <f t="shared" si="15"/>
        <v>18.225638041222961</v>
      </c>
      <c r="AX20" s="609">
        <f t="shared" si="16"/>
        <v>20310.225748850138</v>
      </c>
      <c r="AZ20" s="779">
        <f t="shared" si="21"/>
        <v>25.095336924422142</v>
      </c>
      <c r="BA20" s="483">
        <f t="shared" si="22"/>
        <v>0.18250640910985455</v>
      </c>
      <c r="BB20" s="205">
        <f>'Input data'!D64/10^6</f>
        <v>0</v>
      </c>
    </row>
    <row r="21" spans="1:54">
      <c r="A21" s="621">
        <f>'Input data'!A65</f>
        <v>1965</v>
      </c>
      <c r="B21" s="1462">
        <f>'Input data'!I65</f>
        <v>578.73</v>
      </c>
      <c r="C21" s="237">
        <f>B21*'Input data'!B65</f>
        <v>4904.4171752940001</v>
      </c>
      <c r="D21" s="730">
        <f>'Input data'!N65</f>
        <v>0.19892488097366726</v>
      </c>
      <c r="E21" s="483">
        <f>'Input data'!O65</f>
        <v>0.26585903447659598</v>
      </c>
      <c r="F21" s="483">
        <f>'Input data'!P65</f>
        <v>8.9228108703258049E-2</v>
      </c>
      <c r="G21" s="483">
        <f>'Input data'!Q65</f>
        <v>0</v>
      </c>
      <c r="H21" s="483">
        <f>'Input data'!R65</f>
        <v>0</v>
      </c>
      <c r="I21" s="483">
        <f>'Input data'!S65</f>
        <v>0</v>
      </c>
      <c r="J21" s="483">
        <f>'Input data'!T65</f>
        <v>0.4459879758464787</v>
      </c>
      <c r="K21" s="604">
        <f>'Input data'!U65</f>
        <v>1</v>
      </c>
      <c r="L21" s="730">
        <f>'Input data'!V65</f>
        <v>0.29028184578274857</v>
      </c>
      <c r="M21" s="483">
        <f>'Input data'!W65</f>
        <v>0.30317187715157518</v>
      </c>
      <c r="N21" s="483">
        <f>'Input data'!X65</f>
        <v>8.2805443243048754E-2</v>
      </c>
      <c r="O21" s="483">
        <f>'Input data'!Y65</f>
        <v>0</v>
      </c>
      <c r="P21" s="483">
        <f>'Input data'!Z65</f>
        <v>0</v>
      </c>
      <c r="Q21" s="483">
        <f>'Input data'!AA65</f>
        <v>0</v>
      </c>
      <c r="R21" s="483">
        <f>'Input data'!AB65</f>
        <v>0.32374083382262742</v>
      </c>
      <c r="S21" s="604">
        <f t="shared" si="6"/>
        <v>0.99999999999999989</v>
      </c>
      <c r="T21" s="114">
        <f t="shared" si="17"/>
        <v>0.8</v>
      </c>
      <c r="U21" s="114">
        <f t="shared" si="7"/>
        <v>0.11</v>
      </c>
      <c r="V21" s="114">
        <f t="shared" si="7"/>
        <v>0.09</v>
      </c>
      <c r="W21" s="114">
        <f t="shared" si="7"/>
        <v>0</v>
      </c>
      <c r="X21" s="114">
        <f t="shared" si="8"/>
        <v>1</v>
      </c>
      <c r="Y21" s="730">
        <f>'Input data'!$G$35</f>
        <v>0.66241124199764068</v>
      </c>
      <c r="Z21" s="604">
        <f>'Input data'!$H$35</f>
        <v>0.33758875800235938</v>
      </c>
      <c r="AA21" s="602">
        <f>'Input data'!J65</f>
        <v>27.526054267727826</v>
      </c>
      <c r="AB21" s="236">
        <f>'Input data'!L65</f>
        <v>21553.772294876002</v>
      </c>
      <c r="AC21" s="483">
        <f t="shared" si="18"/>
        <v>0.85641924869700936</v>
      </c>
      <c r="AD21" s="483">
        <f t="shared" si="9"/>
        <v>0.14268338865096522</v>
      </c>
      <c r="AE21" s="483">
        <f t="shared" si="9"/>
        <v>0</v>
      </c>
      <c r="AF21" s="483">
        <f t="shared" si="9"/>
        <v>8.973626520254116E-4</v>
      </c>
      <c r="AG21" s="483">
        <f t="shared" si="19"/>
        <v>1</v>
      </c>
      <c r="AH21" s="502">
        <f t="shared" si="20"/>
        <v>0.49613166950665732</v>
      </c>
      <c r="AI21" s="1463">
        <f t="shared" si="20"/>
        <v>0.50386833049334279</v>
      </c>
      <c r="AK21" s="621">
        <f t="shared" si="0"/>
        <v>1965</v>
      </c>
      <c r="AL21" s="235">
        <f t="shared" si="1"/>
        <v>3923.5337402352002</v>
      </c>
      <c r="AM21" s="485">
        <f t="shared" si="2"/>
        <v>357.36151795971654</v>
      </c>
      <c r="AN21" s="485">
        <f t="shared" si="3"/>
        <v>182.12437132262355</v>
      </c>
      <c r="AO21" s="485">
        <f t="shared" si="4"/>
        <v>441.39754577645999</v>
      </c>
      <c r="AP21" s="485">
        <f t="shared" si="5"/>
        <v>0</v>
      </c>
      <c r="AQ21" s="237">
        <f t="shared" si="10"/>
        <v>4904.4171752940001</v>
      </c>
      <c r="AS21" s="606">
        <f t="shared" si="11"/>
        <v>18459.065475364121</v>
      </c>
      <c r="AT21" s="897">
        <f t="shared" si="12"/>
        <v>1525.7861053729152</v>
      </c>
      <c r="AU21" s="897">
        <f t="shared" si="13"/>
        <v>1549.5791638712842</v>
      </c>
      <c r="AV21" s="485">
        <f t="shared" si="14"/>
        <v>0</v>
      </c>
      <c r="AW21" s="704">
        <f t="shared" si="15"/>
        <v>19.341550267681772</v>
      </c>
      <c r="AX21" s="609">
        <f t="shared" si="16"/>
        <v>21553.772294876002</v>
      </c>
      <c r="AZ21" s="779">
        <f t="shared" si="21"/>
        <v>26.458189470169998</v>
      </c>
      <c r="BA21" s="483">
        <f t="shared" si="22"/>
        <v>0.18208744280826145</v>
      </c>
      <c r="BB21" s="205">
        <f>'Input data'!D65/10^6</f>
        <v>0</v>
      </c>
    </row>
    <row r="22" spans="1:54">
      <c r="A22" s="621">
        <f>'Input data'!A66</f>
        <v>1966</v>
      </c>
      <c r="B22" s="1462">
        <f>'Input data'!I66</f>
        <v>578.73</v>
      </c>
      <c r="C22" s="237">
        <f>B22*'Input data'!B66</f>
        <v>5058.5238303599999</v>
      </c>
      <c r="D22" s="730">
        <f>'Input data'!N66</f>
        <v>0.19892488097366726</v>
      </c>
      <c r="E22" s="483">
        <f>'Input data'!O66</f>
        <v>0.26585903447659598</v>
      </c>
      <c r="F22" s="483">
        <f>'Input data'!P66</f>
        <v>8.9228108703258049E-2</v>
      </c>
      <c r="G22" s="483">
        <f>'Input data'!Q66</f>
        <v>0</v>
      </c>
      <c r="H22" s="483">
        <f>'Input data'!R66</f>
        <v>0</v>
      </c>
      <c r="I22" s="483">
        <f>'Input data'!S66</f>
        <v>0</v>
      </c>
      <c r="J22" s="483">
        <f>'Input data'!T66</f>
        <v>0.4459879758464787</v>
      </c>
      <c r="K22" s="604">
        <f>'Input data'!U66</f>
        <v>1</v>
      </c>
      <c r="L22" s="730">
        <f>'Input data'!V66</f>
        <v>0.29028184578274857</v>
      </c>
      <c r="M22" s="483">
        <f>'Input data'!W66</f>
        <v>0.30317187715157518</v>
      </c>
      <c r="N22" s="483">
        <f>'Input data'!X66</f>
        <v>8.2805443243048754E-2</v>
      </c>
      <c r="O22" s="483">
        <f>'Input data'!Y66</f>
        <v>0</v>
      </c>
      <c r="P22" s="483">
        <f>'Input data'!Z66</f>
        <v>0</v>
      </c>
      <c r="Q22" s="483">
        <f>'Input data'!AA66</f>
        <v>0</v>
      </c>
      <c r="R22" s="483">
        <f>'Input data'!AB66</f>
        <v>0.32374083382262742</v>
      </c>
      <c r="S22" s="604">
        <f t="shared" si="6"/>
        <v>0.99999999999999989</v>
      </c>
      <c r="T22" s="114">
        <f t="shared" si="17"/>
        <v>0.8</v>
      </c>
      <c r="U22" s="114">
        <f t="shared" si="7"/>
        <v>0.11</v>
      </c>
      <c r="V22" s="114">
        <f t="shared" si="7"/>
        <v>0.09</v>
      </c>
      <c r="W22" s="114">
        <f t="shared" si="7"/>
        <v>0</v>
      </c>
      <c r="X22" s="114">
        <f t="shared" si="8"/>
        <v>1</v>
      </c>
      <c r="Y22" s="730">
        <f>'Input data'!$G$35</f>
        <v>0.66241124199764068</v>
      </c>
      <c r="Z22" s="604">
        <f>'Input data'!$H$35</f>
        <v>0.33758875800235938</v>
      </c>
      <c r="AA22" s="602">
        <f>'Input data'!J66</f>
        <v>27.526054267727826</v>
      </c>
      <c r="AB22" s="236">
        <f>'Input data'!L66</f>
        <v>22510.39515248984</v>
      </c>
      <c r="AC22" s="483">
        <f t="shared" si="18"/>
        <v>0.85641924869700936</v>
      </c>
      <c r="AD22" s="483">
        <f t="shared" si="9"/>
        <v>0.14268338865096522</v>
      </c>
      <c r="AE22" s="483">
        <f t="shared" si="9"/>
        <v>0</v>
      </c>
      <c r="AF22" s="483">
        <f t="shared" si="9"/>
        <v>8.973626520254116E-4</v>
      </c>
      <c r="AG22" s="483">
        <f t="shared" si="19"/>
        <v>1</v>
      </c>
      <c r="AH22" s="502">
        <f t="shared" si="20"/>
        <v>0.49613166950665732</v>
      </c>
      <c r="AI22" s="1463">
        <f t="shared" si="20"/>
        <v>0.50386833049334279</v>
      </c>
      <c r="AK22" s="621">
        <f t="shared" si="0"/>
        <v>1966</v>
      </c>
      <c r="AL22" s="235">
        <f t="shared" si="1"/>
        <v>4046.8190642879999</v>
      </c>
      <c r="AM22" s="485">
        <f t="shared" si="2"/>
        <v>368.59053584577731</v>
      </c>
      <c r="AN22" s="485">
        <f t="shared" si="3"/>
        <v>187.8470854938227</v>
      </c>
      <c r="AO22" s="485">
        <f t="shared" si="4"/>
        <v>455.26714473239997</v>
      </c>
      <c r="AP22" s="485">
        <f t="shared" si="5"/>
        <v>0</v>
      </c>
      <c r="AQ22" s="237">
        <f t="shared" si="10"/>
        <v>5058.5238303599999</v>
      </c>
      <c r="AS22" s="606">
        <f t="shared" si="11"/>
        <v>19278.33570436815</v>
      </c>
      <c r="AT22" s="897">
        <f t="shared" si="12"/>
        <v>1593.5051962244188</v>
      </c>
      <c r="AU22" s="897">
        <f t="shared" si="13"/>
        <v>1618.354264005093</v>
      </c>
      <c r="AV22" s="485">
        <f t="shared" si="14"/>
        <v>0</v>
      </c>
      <c r="AW22" s="704">
        <f t="shared" si="15"/>
        <v>20.199987892178253</v>
      </c>
      <c r="AX22" s="609">
        <f t="shared" si="16"/>
        <v>22510.39515248984</v>
      </c>
      <c r="AZ22" s="779">
        <f t="shared" si="21"/>
        <v>27.568918982849844</v>
      </c>
      <c r="BA22" s="483">
        <f t="shared" si="22"/>
        <v>0.18193938073655883</v>
      </c>
      <c r="BB22" s="205">
        <f>'Input data'!D66/10^6</f>
        <v>0</v>
      </c>
    </row>
    <row r="23" spans="1:54">
      <c r="A23" s="621">
        <f>'Input data'!A67</f>
        <v>1967</v>
      </c>
      <c r="B23" s="1462">
        <f>'Input data'!I67</f>
        <v>578.73</v>
      </c>
      <c r="C23" s="237">
        <f>B23*'Input data'!B67</f>
        <v>5214.2588696016001</v>
      </c>
      <c r="D23" s="730">
        <f>'Input data'!N67</f>
        <v>0.19892488097366726</v>
      </c>
      <c r="E23" s="483">
        <f>'Input data'!O67</f>
        <v>0.26585903447659598</v>
      </c>
      <c r="F23" s="483">
        <f>'Input data'!P67</f>
        <v>8.9228108703258049E-2</v>
      </c>
      <c r="G23" s="483">
        <f>'Input data'!Q67</f>
        <v>0</v>
      </c>
      <c r="H23" s="483">
        <f>'Input data'!R67</f>
        <v>0</v>
      </c>
      <c r="I23" s="483">
        <f>'Input data'!S67</f>
        <v>0</v>
      </c>
      <c r="J23" s="483">
        <f>'Input data'!T67</f>
        <v>0.4459879758464787</v>
      </c>
      <c r="K23" s="604">
        <f>'Input data'!U67</f>
        <v>1</v>
      </c>
      <c r="L23" s="730">
        <f>'Input data'!V67</f>
        <v>0.29028184578274857</v>
      </c>
      <c r="M23" s="483">
        <f>'Input data'!W67</f>
        <v>0.30317187715157518</v>
      </c>
      <c r="N23" s="483">
        <f>'Input data'!X67</f>
        <v>8.2805443243048754E-2</v>
      </c>
      <c r="O23" s="483">
        <f>'Input data'!Y67</f>
        <v>0</v>
      </c>
      <c r="P23" s="483">
        <f>'Input data'!Z67</f>
        <v>0</v>
      </c>
      <c r="Q23" s="483">
        <f>'Input data'!AA67</f>
        <v>0</v>
      </c>
      <c r="R23" s="483">
        <f>'Input data'!AB67</f>
        <v>0.32374083382262742</v>
      </c>
      <c r="S23" s="604">
        <f t="shared" si="6"/>
        <v>0.99999999999999989</v>
      </c>
      <c r="T23" s="114">
        <f t="shared" si="17"/>
        <v>0.8</v>
      </c>
      <c r="U23" s="114">
        <f t="shared" si="17"/>
        <v>0.11</v>
      </c>
      <c r="V23" s="114">
        <f t="shared" si="17"/>
        <v>0.09</v>
      </c>
      <c r="W23" s="114">
        <f t="shared" si="17"/>
        <v>0</v>
      </c>
      <c r="X23" s="114">
        <f t="shared" si="8"/>
        <v>1</v>
      </c>
      <c r="Y23" s="730">
        <f>'Input data'!$G$35</f>
        <v>0.66241124199764068</v>
      </c>
      <c r="Z23" s="604">
        <f>'Input data'!$H$35</f>
        <v>0.33758875800235938</v>
      </c>
      <c r="AA23" s="602">
        <f>'Input data'!J67</f>
        <v>27.526054267727826</v>
      </c>
      <c r="AB23" s="236">
        <f>'Input data'!L67</f>
        <v>24130.372834257956</v>
      </c>
      <c r="AC23" s="483">
        <f t="shared" si="18"/>
        <v>0.85641924869700936</v>
      </c>
      <c r="AD23" s="483">
        <f t="shared" si="18"/>
        <v>0.14268338865096522</v>
      </c>
      <c r="AE23" s="483">
        <f t="shared" si="18"/>
        <v>0</v>
      </c>
      <c r="AF23" s="483">
        <f t="shared" si="18"/>
        <v>8.973626520254116E-4</v>
      </c>
      <c r="AG23" s="483">
        <f t="shared" si="19"/>
        <v>1</v>
      </c>
      <c r="AH23" s="502">
        <f t="shared" si="20"/>
        <v>0.49613166950665732</v>
      </c>
      <c r="AI23" s="1463">
        <f t="shared" si="20"/>
        <v>0.50386833049334279</v>
      </c>
      <c r="AK23" s="621">
        <f t="shared" si="0"/>
        <v>1967</v>
      </c>
      <c r="AL23" s="235">
        <f t="shared" si="1"/>
        <v>4171.4070956812802</v>
      </c>
      <c r="AM23" s="485">
        <f t="shared" si="2"/>
        <v>379.93820633010108</v>
      </c>
      <c r="AN23" s="485">
        <f t="shared" si="3"/>
        <v>193.63026932607497</v>
      </c>
      <c r="AO23" s="485">
        <f t="shared" si="4"/>
        <v>469.28329826414398</v>
      </c>
      <c r="AP23" s="485">
        <f t="shared" si="5"/>
        <v>0</v>
      </c>
      <c r="AQ23" s="237">
        <f t="shared" si="10"/>
        <v>5214.2588696016001</v>
      </c>
      <c r="AS23" s="606">
        <f t="shared" si="11"/>
        <v>20665.715773493925</v>
      </c>
      <c r="AT23" s="897">
        <f t="shared" si="12"/>
        <v>1708.1830077944903</v>
      </c>
      <c r="AU23" s="897">
        <f t="shared" si="13"/>
        <v>1734.8203576086314</v>
      </c>
      <c r="AV23" s="485">
        <f t="shared" si="14"/>
        <v>0</v>
      </c>
      <c r="AW23" s="704">
        <f t="shared" si="15"/>
        <v>21.653695360911666</v>
      </c>
      <c r="AX23" s="609">
        <f t="shared" si="16"/>
        <v>24130.372834257956</v>
      </c>
      <c r="AZ23" s="779">
        <f t="shared" si="21"/>
        <v>29.344631703859555</v>
      </c>
      <c r="BA23" s="483">
        <f t="shared" si="22"/>
        <v>0.18148272883404376</v>
      </c>
      <c r="BB23" s="205">
        <f>'Input data'!D67/10^6</f>
        <v>0</v>
      </c>
    </row>
    <row r="24" spans="1:54">
      <c r="A24" s="621">
        <f>'Input data'!A68</f>
        <v>1968</v>
      </c>
      <c r="B24" s="1462">
        <f>'Input data'!I68</f>
        <v>578.73</v>
      </c>
      <c r="C24" s="237">
        <f>B24*'Input data'!B68</f>
        <v>5371.1272473768013</v>
      </c>
      <c r="D24" s="730">
        <f>'Input data'!N68</f>
        <v>0.19892488097366726</v>
      </c>
      <c r="E24" s="483">
        <f>'Input data'!O68</f>
        <v>0.26585903447659598</v>
      </c>
      <c r="F24" s="483">
        <f>'Input data'!P68</f>
        <v>8.9228108703258049E-2</v>
      </c>
      <c r="G24" s="483">
        <f>'Input data'!Q68</f>
        <v>0</v>
      </c>
      <c r="H24" s="483">
        <f>'Input data'!R68</f>
        <v>0</v>
      </c>
      <c r="I24" s="483">
        <f>'Input data'!S68</f>
        <v>0</v>
      </c>
      <c r="J24" s="483">
        <f>'Input data'!T68</f>
        <v>0.4459879758464787</v>
      </c>
      <c r="K24" s="604">
        <f>'Input data'!U68</f>
        <v>1</v>
      </c>
      <c r="L24" s="730">
        <f>'Input data'!V68</f>
        <v>0.29028184578274857</v>
      </c>
      <c r="M24" s="483">
        <f>'Input data'!W68</f>
        <v>0.30317187715157518</v>
      </c>
      <c r="N24" s="483">
        <f>'Input data'!X68</f>
        <v>8.2805443243048754E-2</v>
      </c>
      <c r="O24" s="483">
        <f>'Input data'!Y68</f>
        <v>0</v>
      </c>
      <c r="P24" s="483">
        <f>'Input data'!Z68</f>
        <v>0</v>
      </c>
      <c r="Q24" s="483">
        <f>'Input data'!AA68</f>
        <v>0</v>
      </c>
      <c r="R24" s="483">
        <f>'Input data'!AB68</f>
        <v>0.32374083382262742</v>
      </c>
      <c r="S24" s="604">
        <f t="shared" si="6"/>
        <v>0.99999999999999989</v>
      </c>
      <c r="T24" s="114">
        <f t="shared" ref="T24:W39" si="23">T23</f>
        <v>0.8</v>
      </c>
      <c r="U24" s="114">
        <f t="shared" si="23"/>
        <v>0.11</v>
      </c>
      <c r="V24" s="114">
        <f t="shared" si="23"/>
        <v>0.09</v>
      </c>
      <c r="W24" s="114">
        <f t="shared" si="23"/>
        <v>0</v>
      </c>
      <c r="X24" s="114">
        <f t="shared" si="8"/>
        <v>1</v>
      </c>
      <c r="Y24" s="730">
        <f>'Input data'!$G$35</f>
        <v>0.66241124199764068</v>
      </c>
      <c r="Z24" s="604">
        <f>'Input data'!$H$35</f>
        <v>0.33758875800235938</v>
      </c>
      <c r="AA24" s="602">
        <f>'Input data'!J68</f>
        <v>27.526054267727826</v>
      </c>
      <c r="AB24" s="236">
        <f>'Input data'!L68</f>
        <v>25132.614553341307</v>
      </c>
      <c r="AC24" s="483">
        <f t="shared" ref="AC24:AF39" si="24">AC23</f>
        <v>0.85641924869700936</v>
      </c>
      <c r="AD24" s="483">
        <f t="shared" si="24"/>
        <v>0.14268338865096522</v>
      </c>
      <c r="AE24" s="483">
        <f t="shared" si="24"/>
        <v>0</v>
      </c>
      <c r="AF24" s="483">
        <f t="shared" si="24"/>
        <v>8.973626520254116E-4</v>
      </c>
      <c r="AG24" s="483">
        <f t="shared" si="19"/>
        <v>1</v>
      </c>
      <c r="AH24" s="502">
        <f t="shared" ref="AH24:AI39" si="25">AH23</f>
        <v>0.49613166950665732</v>
      </c>
      <c r="AI24" s="1463">
        <f t="shared" si="25"/>
        <v>0.50386833049334279</v>
      </c>
      <c r="AK24" s="621">
        <f t="shared" si="0"/>
        <v>1968</v>
      </c>
      <c r="AL24" s="235">
        <f t="shared" si="1"/>
        <v>4296.9017979014416</v>
      </c>
      <c r="AM24" s="485">
        <f t="shared" si="2"/>
        <v>391.36845779484594</v>
      </c>
      <c r="AN24" s="485">
        <f t="shared" si="3"/>
        <v>199.45553941660222</v>
      </c>
      <c r="AO24" s="485">
        <f t="shared" si="4"/>
        <v>483.40145226391212</v>
      </c>
      <c r="AP24" s="485">
        <f t="shared" si="5"/>
        <v>0</v>
      </c>
      <c r="AQ24" s="237">
        <f t="shared" si="10"/>
        <v>5371.1272473768013</v>
      </c>
      <c r="AS24" s="606">
        <f t="shared" si="11"/>
        <v>21524.054873564084</v>
      </c>
      <c r="AT24" s="897">
        <f t="shared" si="12"/>
        <v>1779.1314463453596</v>
      </c>
      <c r="AU24" s="897">
        <f t="shared" si="13"/>
        <v>1806.8751637839432</v>
      </c>
      <c r="AV24" s="485">
        <f t="shared" si="14"/>
        <v>0</v>
      </c>
      <c r="AW24" s="704">
        <f t="shared" si="15"/>
        <v>22.553069647918811</v>
      </c>
      <c r="AX24" s="609">
        <f t="shared" si="16"/>
        <v>25132.614553341307</v>
      </c>
      <c r="AZ24" s="779">
        <f t="shared" si="21"/>
        <v>30.503741800718107</v>
      </c>
      <c r="BA24" s="483">
        <f t="shared" si="22"/>
        <v>0.18135598881305121</v>
      </c>
      <c r="BB24" s="205">
        <f>'Input data'!D68/10^6</f>
        <v>0</v>
      </c>
    </row>
    <row r="25" spans="1:54">
      <c r="A25" s="621">
        <f>'Input data'!A69</f>
        <v>1969</v>
      </c>
      <c r="B25" s="1462">
        <f>'Input data'!I69</f>
        <v>578.73</v>
      </c>
      <c r="C25" s="237">
        <f>B25*'Input data'!B69</f>
        <v>5529.1289636856</v>
      </c>
      <c r="D25" s="730">
        <f>'Input data'!N69</f>
        <v>0.19892488097366726</v>
      </c>
      <c r="E25" s="483">
        <f>'Input data'!O69</f>
        <v>0.26585903447659598</v>
      </c>
      <c r="F25" s="483">
        <f>'Input data'!P69</f>
        <v>8.9228108703258049E-2</v>
      </c>
      <c r="G25" s="483">
        <f>'Input data'!Q69</f>
        <v>0</v>
      </c>
      <c r="H25" s="483">
        <f>'Input data'!R69</f>
        <v>0</v>
      </c>
      <c r="I25" s="483">
        <f>'Input data'!S69</f>
        <v>0</v>
      </c>
      <c r="J25" s="483">
        <f>'Input data'!T69</f>
        <v>0.4459879758464787</v>
      </c>
      <c r="K25" s="604">
        <f>'Input data'!U69</f>
        <v>1</v>
      </c>
      <c r="L25" s="730">
        <f>'Input data'!V69</f>
        <v>0.29028184578274857</v>
      </c>
      <c r="M25" s="483">
        <f>'Input data'!W69</f>
        <v>0.30317187715157518</v>
      </c>
      <c r="N25" s="483">
        <f>'Input data'!X69</f>
        <v>8.2805443243048754E-2</v>
      </c>
      <c r="O25" s="483">
        <f>'Input data'!Y69</f>
        <v>0</v>
      </c>
      <c r="P25" s="483">
        <f>'Input data'!Z69</f>
        <v>0</v>
      </c>
      <c r="Q25" s="483">
        <f>'Input data'!AA69</f>
        <v>0</v>
      </c>
      <c r="R25" s="483">
        <f>'Input data'!AB69</f>
        <v>0.32374083382262742</v>
      </c>
      <c r="S25" s="604">
        <f t="shared" si="6"/>
        <v>0.99999999999999989</v>
      </c>
      <c r="T25" s="114">
        <f t="shared" si="23"/>
        <v>0.8</v>
      </c>
      <c r="U25" s="114">
        <f t="shared" si="23"/>
        <v>0.11</v>
      </c>
      <c r="V25" s="114">
        <f t="shared" si="23"/>
        <v>0.09</v>
      </c>
      <c r="W25" s="114">
        <f t="shared" si="23"/>
        <v>0</v>
      </c>
      <c r="X25" s="114">
        <f t="shared" si="8"/>
        <v>1</v>
      </c>
      <c r="Y25" s="730">
        <f>'Input data'!$G$35</f>
        <v>0.66241124199764068</v>
      </c>
      <c r="Z25" s="604">
        <f>'Input data'!$H$35</f>
        <v>0.33758875800235938</v>
      </c>
      <c r="AA25" s="602">
        <f>'Input data'!J69</f>
        <v>27.526054267727826</v>
      </c>
      <c r="AB25" s="236">
        <f>'Input data'!L69</f>
        <v>26317.826083289765</v>
      </c>
      <c r="AC25" s="483">
        <f t="shared" si="24"/>
        <v>0.85641924869700936</v>
      </c>
      <c r="AD25" s="483">
        <f t="shared" si="24"/>
        <v>0.14268338865096522</v>
      </c>
      <c r="AE25" s="483">
        <f t="shared" si="24"/>
        <v>0</v>
      </c>
      <c r="AF25" s="483">
        <f t="shared" si="24"/>
        <v>8.973626520254116E-4</v>
      </c>
      <c r="AG25" s="483">
        <f t="shared" si="19"/>
        <v>1</v>
      </c>
      <c r="AH25" s="502">
        <f t="shared" si="25"/>
        <v>0.49613166950665732</v>
      </c>
      <c r="AI25" s="1463">
        <f t="shared" si="25"/>
        <v>0.50386833049334279</v>
      </c>
      <c r="AK25" s="621">
        <f t="shared" si="0"/>
        <v>1969</v>
      </c>
      <c r="AL25" s="235">
        <f t="shared" si="1"/>
        <v>4423.3031709484803</v>
      </c>
      <c r="AM25" s="485">
        <f t="shared" si="2"/>
        <v>402.88129024001171</v>
      </c>
      <c r="AN25" s="485">
        <f t="shared" si="3"/>
        <v>205.32289576540435</v>
      </c>
      <c r="AO25" s="485">
        <f t="shared" si="4"/>
        <v>497.62160673170399</v>
      </c>
      <c r="AP25" s="485">
        <f t="shared" si="5"/>
        <v>0</v>
      </c>
      <c r="AQ25" s="237">
        <f t="shared" si="10"/>
        <v>5529.1289636856</v>
      </c>
      <c r="AS25" s="606">
        <f t="shared" si="11"/>
        <v>22539.092841589576</v>
      </c>
      <c r="AT25" s="897">
        <f t="shared" si="12"/>
        <v>1863.0322716664584</v>
      </c>
      <c r="AU25" s="897">
        <f t="shared" si="13"/>
        <v>1892.0843358240852</v>
      </c>
      <c r="AV25" s="485">
        <f t="shared" si="14"/>
        <v>0</v>
      </c>
      <c r="AW25" s="704">
        <f t="shared" si="15"/>
        <v>23.616634209644456</v>
      </c>
      <c r="AX25" s="609">
        <f t="shared" si="16"/>
        <v>26317.826083289765</v>
      </c>
      <c r="AZ25" s="779">
        <f t="shared" si="21"/>
        <v>31.846955046975367</v>
      </c>
      <c r="BA25" s="483">
        <f t="shared" si="22"/>
        <v>0.18116190535017335</v>
      </c>
      <c r="BB25" s="205">
        <f>'Input data'!D69/10^6</f>
        <v>0</v>
      </c>
    </row>
    <row r="26" spans="1:54">
      <c r="A26" s="621">
        <f>'Input data'!A70</f>
        <v>1970</v>
      </c>
      <c r="B26" s="1462">
        <f>'Input data'!I70</f>
        <v>578.73</v>
      </c>
      <c r="C26" s="237">
        <f>B26*'Input data'!B70</f>
        <v>5688.2640185279997</v>
      </c>
      <c r="D26" s="730">
        <f>'Input data'!N70</f>
        <v>0.19892488097366726</v>
      </c>
      <c r="E26" s="483">
        <f>'Input data'!O70</f>
        <v>0.26585903447659598</v>
      </c>
      <c r="F26" s="483">
        <f>'Input data'!P70</f>
        <v>8.9228108703258049E-2</v>
      </c>
      <c r="G26" s="483">
        <f>'Input data'!Q70</f>
        <v>0</v>
      </c>
      <c r="H26" s="483">
        <f>'Input data'!R70</f>
        <v>0</v>
      </c>
      <c r="I26" s="483">
        <f>'Input data'!S70</f>
        <v>0</v>
      </c>
      <c r="J26" s="483">
        <f>'Input data'!T70</f>
        <v>0.4459879758464787</v>
      </c>
      <c r="K26" s="604">
        <f>'Input data'!U70</f>
        <v>1</v>
      </c>
      <c r="L26" s="730">
        <f>'Input data'!V70</f>
        <v>0.29028184578274857</v>
      </c>
      <c r="M26" s="483">
        <f>'Input data'!W70</f>
        <v>0.30317187715157518</v>
      </c>
      <c r="N26" s="483">
        <f>'Input data'!X70</f>
        <v>8.2805443243048754E-2</v>
      </c>
      <c r="O26" s="483">
        <f>'Input data'!Y70</f>
        <v>0</v>
      </c>
      <c r="P26" s="483">
        <f>'Input data'!Z70</f>
        <v>0</v>
      </c>
      <c r="Q26" s="483">
        <f>'Input data'!AA70</f>
        <v>0</v>
      </c>
      <c r="R26" s="483">
        <f>'Input data'!AB70</f>
        <v>0.32374083382262742</v>
      </c>
      <c r="S26" s="604">
        <f t="shared" si="6"/>
        <v>0.99999999999999989</v>
      </c>
      <c r="T26" s="114">
        <f t="shared" si="23"/>
        <v>0.8</v>
      </c>
      <c r="U26" s="114">
        <f t="shared" si="23"/>
        <v>0.11</v>
      </c>
      <c r="V26" s="114">
        <f t="shared" si="23"/>
        <v>0.09</v>
      </c>
      <c r="W26" s="114">
        <f t="shared" si="23"/>
        <v>0</v>
      </c>
      <c r="X26" s="114">
        <f t="shared" si="8"/>
        <v>1</v>
      </c>
      <c r="Y26" s="730">
        <f>'Input data'!$G$35</f>
        <v>0.66241124199764068</v>
      </c>
      <c r="Z26" s="604">
        <f>'Input data'!$H$35</f>
        <v>0.33758875800235938</v>
      </c>
      <c r="AA26" s="602">
        <f>'Input data'!J70</f>
        <v>27.526054267727826</v>
      </c>
      <c r="AB26" s="236">
        <f>'Input data'!L70</f>
        <v>27699.163013817684</v>
      </c>
      <c r="AC26" s="483">
        <f t="shared" si="24"/>
        <v>0.85641924869700936</v>
      </c>
      <c r="AD26" s="483">
        <f t="shared" si="24"/>
        <v>0.14268338865096522</v>
      </c>
      <c r="AE26" s="483">
        <f t="shared" si="24"/>
        <v>0</v>
      </c>
      <c r="AF26" s="483">
        <f t="shared" si="24"/>
        <v>8.973626520254116E-4</v>
      </c>
      <c r="AG26" s="483">
        <f t="shared" si="19"/>
        <v>1</v>
      </c>
      <c r="AH26" s="502">
        <f t="shared" si="25"/>
        <v>0.49613166950665732</v>
      </c>
      <c r="AI26" s="1463">
        <f t="shared" si="25"/>
        <v>0.50386833049334279</v>
      </c>
      <c r="AK26" s="621">
        <f t="shared" si="0"/>
        <v>1970</v>
      </c>
      <c r="AL26" s="235">
        <f t="shared" si="1"/>
        <v>4550.6112148224001</v>
      </c>
      <c r="AM26" s="485">
        <f t="shared" si="2"/>
        <v>414.47670366559851</v>
      </c>
      <c r="AN26" s="485">
        <f t="shared" si="3"/>
        <v>211.23233837248148</v>
      </c>
      <c r="AO26" s="485">
        <f t="shared" si="4"/>
        <v>511.94376166751994</v>
      </c>
      <c r="AP26" s="485">
        <f t="shared" si="5"/>
        <v>0</v>
      </c>
      <c r="AQ26" s="237">
        <f t="shared" si="10"/>
        <v>5688.2640185279997</v>
      </c>
      <c r="AS26" s="606">
        <f t="shared" si="11"/>
        <v>23722.09637782973</v>
      </c>
      <c r="AT26" s="897">
        <f t="shared" si="12"/>
        <v>1960.8167646361192</v>
      </c>
      <c r="AU26" s="897">
        <f t="shared" si="13"/>
        <v>1991.393676970871</v>
      </c>
      <c r="AV26" s="485">
        <f t="shared" si="14"/>
        <v>0</v>
      </c>
      <c r="AW26" s="704">
        <f t="shared" si="15"/>
        <v>24.856194380963629</v>
      </c>
      <c r="AX26" s="609">
        <f t="shared" si="16"/>
        <v>27699.163013817681</v>
      </c>
      <c r="AZ26" s="779">
        <f t="shared" si="21"/>
        <v>33.387427032345677</v>
      </c>
      <c r="BA26" s="483">
        <f t="shared" si="22"/>
        <v>0.1809066012843718</v>
      </c>
      <c r="BB26" s="205">
        <f>'Input data'!D70/10^6</f>
        <v>0</v>
      </c>
    </row>
    <row r="27" spans="1:54">
      <c r="A27" s="621">
        <f>'Input data'!A71</f>
        <v>1971</v>
      </c>
      <c r="B27" s="1462">
        <f>'Input data'!I71</f>
        <v>578.73</v>
      </c>
      <c r="C27" s="237">
        <f>B27*'Input data'!B71</f>
        <v>11903.214468600001</v>
      </c>
      <c r="D27" s="730">
        <f>'Input data'!N71</f>
        <v>0.19892488097366726</v>
      </c>
      <c r="E27" s="483">
        <f>'Input data'!O71</f>
        <v>0.26585903447659598</v>
      </c>
      <c r="F27" s="483">
        <f>'Input data'!P71</f>
        <v>8.9228108703258049E-2</v>
      </c>
      <c r="G27" s="483">
        <f>'Input data'!Q71</f>
        <v>0</v>
      </c>
      <c r="H27" s="483">
        <f>'Input data'!R71</f>
        <v>0</v>
      </c>
      <c r="I27" s="483">
        <f>'Input data'!S71</f>
        <v>0</v>
      </c>
      <c r="J27" s="483">
        <f>'Input data'!T71</f>
        <v>0.4459879758464787</v>
      </c>
      <c r="K27" s="604">
        <f>'Input data'!U71</f>
        <v>1</v>
      </c>
      <c r="L27" s="730">
        <f>'Input data'!V71</f>
        <v>0.29028184578274857</v>
      </c>
      <c r="M27" s="483">
        <f>'Input data'!W71</f>
        <v>0.30317187715157518</v>
      </c>
      <c r="N27" s="483">
        <f>'Input data'!X71</f>
        <v>8.2805443243048754E-2</v>
      </c>
      <c r="O27" s="483">
        <f>'Input data'!Y71</f>
        <v>0</v>
      </c>
      <c r="P27" s="483">
        <f>'Input data'!Z71</f>
        <v>0</v>
      </c>
      <c r="Q27" s="483">
        <f>'Input data'!AA71</f>
        <v>0</v>
      </c>
      <c r="R27" s="483">
        <f>'Input data'!AB71</f>
        <v>0.32374083382262742</v>
      </c>
      <c r="S27" s="604">
        <f t="shared" si="6"/>
        <v>0.99999999999999989</v>
      </c>
      <c r="T27" s="114">
        <f t="shared" si="23"/>
        <v>0.8</v>
      </c>
      <c r="U27" s="114">
        <f t="shared" si="23"/>
        <v>0.11</v>
      </c>
      <c r="V27" s="114">
        <f t="shared" si="23"/>
        <v>0.09</v>
      </c>
      <c r="W27" s="114">
        <f t="shared" si="23"/>
        <v>0</v>
      </c>
      <c r="X27" s="114">
        <f t="shared" si="8"/>
        <v>1</v>
      </c>
      <c r="Y27" s="730">
        <f>'Input data'!$G$35</f>
        <v>0.66241124199764068</v>
      </c>
      <c r="Z27" s="604">
        <f>'Input data'!$H$35</f>
        <v>0.33758875800235938</v>
      </c>
      <c r="AA27" s="602">
        <f>'Input data'!J71</f>
        <v>27.526054267727826</v>
      </c>
      <c r="AB27" s="236">
        <f>'Input data'!L71</f>
        <v>28884.402008259447</v>
      </c>
      <c r="AC27" s="483">
        <f t="shared" si="24"/>
        <v>0.85641924869700936</v>
      </c>
      <c r="AD27" s="483">
        <f t="shared" si="24"/>
        <v>0.14268338865096522</v>
      </c>
      <c r="AE27" s="483">
        <f t="shared" si="24"/>
        <v>0</v>
      </c>
      <c r="AF27" s="483">
        <f t="shared" si="24"/>
        <v>8.973626520254116E-4</v>
      </c>
      <c r="AG27" s="483">
        <f t="shared" si="19"/>
        <v>1</v>
      </c>
      <c r="AH27" s="502">
        <f t="shared" si="25"/>
        <v>0.49613166950665732</v>
      </c>
      <c r="AI27" s="1463">
        <f t="shared" si="25"/>
        <v>0.50386833049334279</v>
      </c>
      <c r="AK27" s="621">
        <f t="shared" si="0"/>
        <v>1971</v>
      </c>
      <c r="AL27" s="235">
        <f t="shared" si="1"/>
        <v>9522.5715748800012</v>
      </c>
      <c r="AM27" s="485">
        <f t="shared" si="2"/>
        <v>867.3305387900574</v>
      </c>
      <c r="AN27" s="485">
        <f t="shared" si="3"/>
        <v>442.02305275594279</v>
      </c>
      <c r="AO27" s="485">
        <f t="shared" si="4"/>
        <v>1071.2893021740001</v>
      </c>
      <c r="AP27" s="485">
        <f t="shared" si="5"/>
        <v>0</v>
      </c>
      <c r="AQ27" s="237">
        <f t="shared" si="10"/>
        <v>11903.214468600003</v>
      </c>
      <c r="AS27" s="606">
        <f t="shared" si="11"/>
        <v>24737.157866975944</v>
      </c>
      <c r="AT27" s="897">
        <f t="shared" si="12"/>
        <v>2044.719534161773</v>
      </c>
      <c r="AU27" s="897">
        <f t="shared" si="13"/>
        <v>2076.6048235334301</v>
      </c>
      <c r="AV27" s="485">
        <f t="shared" si="14"/>
        <v>0</v>
      </c>
      <c r="AW27" s="704">
        <f t="shared" si="15"/>
        <v>25.919783588299822</v>
      </c>
      <c r="AX27" s="609">
        <f t="shared" si="16"/>
        <v>28884.402008259447</v>
      </c>
      <c r="AZ27" s="779">
        <f t="shared" si="21"/>
        <v>40.787616476859441</v>
      </c>
      <c r="BA27" s="483">
        <f t="shared" si="22"/>
        <v>0.19054111463671464</v>
      </c>
      <c r="BB27" s="205">
        <f>'Input data'!D71/10^6</f>
        <v>0</v>
      </c>
    </row>
    <row r="28" spans="1:54">
      <c r="A28" s="621">
        <f>'Input data'!A72</f>
        <v>1972</v>
      </c>
      <c r="B28" s="1462">
        <f>'Input data'!I72</f>
        <v>578.73</v>
      </c>
      <c r="C28" s="237">
        <f>B28*'Input data'!B72</f>
        <v>12179.1760818</v>
      </c>
      <c r="D28" s="730">
        <f>'Input data'!N72</f>
        <v>0.19892488097366726</v>
      </c>
      <c r="E28" s="483">
        <f>'Input data'!O72</f>
        <v>0.26585903447659598</v>
      </c>
      <c r="F28" s="483">
        <f>'Input data'!P72</f>
        <v>8.9228108703258049E-2</v>
      </c>
      <c r="G28" s="483">
        <f>'Input data'!Q72</f>
        <v>0</v>
      </c>
      <c r="H28" s="483">
        <f>'Input data'!R72</f>
        <v>0</v>
      </c>
      <c r="I28" s="483">
        <f>'Input data'!S72</f>
        <v>0</v>
      </c>
      <c r="J28" s="483">
        <f>'Input data'!T72</f>
        <v>0.4459879758464787</v>
      </c>
      <c r="K28" s="604">
        <f>'Input data'!U72</f>
        <v>1</v>
      </c>
      <c r="L28" s="730">
        <f>'Input data'!V72</f>
        <v>0.29028184578274857</v>
      </c>
      <c r="M28" s="483">
        <f>'Input data'!W72</f>
        <v>0.30317187715157518</v>
      </c>
      <c r="N28" s="483">
        <f>'Input data'!X72</f>
        <v>8.2805443243048754E-2</v>
      </c>
      <c r="O28" s="483">
        <f>'Input data'!Y72</f>
        <v>0</v>
      </c>
      <c r="P28" s="483">
        <f>'Input data'!Z72</f>
        <v>0</v>
      </c>
      <c r="Q28" s="483">
        <f>'Input data'!AA72</f>
        <v>0</v>
      </c>
      <c r="R28" s="483">
        <f>'Input data'!AB72</f>
        <v>0.32374083382262742</v>
      </c>
      <c r="S28" s="604">
        <f t="shared" si="6"/>
        <v>0.99999999999999989</v>
      </c>
      <c r="T28" s="114">
        <f t="shared" si="23"/>
        <v>0.8</v>
      </c>
      <c r="U28" s="114">
        <f t="shared" si="23"/>
        <v>0.11</v>
      </c>
      <c r="V28" s="114">
        <f t="shared" si="23"/>
        <v>0.09</v>
      </c>
      <c r="W28" s="114">
        <f t="shared" si="23"/>
        <v>0</v>
      </c>
      <c r="X28" s="114">
        <f t="shared" si="8"/>
        <v>1</v>
      </c>
      <c r="Y28" s="730">
        <f>'Input data'!$G$35</f>
        <v>0.66241124199764068</v>
      </c>
      <c r="Z28" s="604">
        <f>'Input data'!$H$35</f>
        <v>0.33758875800235938</v>
      </c>
      <c r="AA28" s="602">
        <f>'Input data'!J72</f>
        <v>27.526054267727826</v>
      </c>
      <c r="AB28" s="236">
        <f>'Input data'!L72</f>
        <v>29362.370128461964</v>
      </c>
      <c r="AC28" s="483">
        <f t="shared" si="24"/>
        <v>0.85641924869700936</v>
      </c>
      <c r="AD28" s="483">
        <f t="shared" si="24"/>
        <v>0.14268338865096522</v>
      </c>
      <c r="AE28" s="483">
        <f t="shared" si="24"/>
        <v>0</v>
      </c>
      <c r="AF28" s="483">
        <f t="shared" si="24"/>
        <v>8.973626520254116E-4</v>
      </c>
      <c r="AG28" s="483">
        <f t="shared" si="19"/>
        <v>1</v>
      </c>
      <c r="AH28" s="502">
        <f t="shared" si="25"/>
        <v>0.49613166950665732</v>
      </c>
      <c r="AI28" s="1463">
        <f t="shared" si="25"/>
        <v>0.50386833049334279</v>
      </c>
      <c r="AK28" s="621">
        <f t="shared" si="0"/>
        <v>1972</v>
      </c>
      <c r="AL28" s="235">
        <f t="shared" si="1"/>
        <v>9743.3408654400009</v>
      </c>
      <c r="AM28" s="485">
        <f t="shared" si="2"/>
        <v>887.43854703384068</v>
      </c>
      <c r="AN28" s="485">
        <f t="shared" si="3"/>
        <v>452.27082196415938</v>
      </c>
      <c r="AO28" s="485">
        <f t="shared" si="4"/>
        <v>1096.1258473620001</v>
      </c>
      <c r="AP28" s="485">
        <f t="shared" si="5"/>
        <v>0</v>
      </c>
      <c r="AQ28" s="237">
        <f t="shared" si="10"/>
        <v>12179.1760818</v>
      </c>
      <c r="AS28" s="606">
        <f t="shared" si="11"/>
        <v>25146.498965380906</v>
      </c>
      <c r="AT28" s="897">
        <f t="shared" si="12"/>
        <v>2078.5547768579941</v>
      </c>
      <c r="AU28" s="897">
        <f t="shared" si="13"/>
        <v>2110.9676918948362</v>
      </c>
      <c r="AV28" s="485">
        <f t="shared" si="14"/>
        <v>0</v>
      </c>
      <c r="AW28" s="704">
        <f t="shared" si="15"/>
        <v>26.348694328228355</v>
      </c>
      <c r="AX28" s="609">
        <f t="shared" si="16"/>
        <v>29362.370128461964</v>
      </c>
      <c r="AZ28" s="779">
        <f t="shared" si="21"/>
        <v>41.541546210261963</v>
      </c>
      <c r="BA28" s="483">
        <f t="shared" si="22"/>
        <v>0.19064880812565632</v>
      </c>
      <c r="BB28" s="205">
        <f>'Input data'!D72/10^6</f>
        <v>0</v>
      </c>
    </row>
    <row r="29" spans="1:54">
      <c r="A29" s="621">
        <f>'Input data'!A73</f>
        <v>1973</v>
      </c>
      <c r="B29" s="1462">
        <f>'Input data'!I73</f>
        <v>578.73</v>
      </c>
      <c r="C29" s="237">
        <f>B29*'Input data'!B73</f>
        <v>12458.2975608</v>
      </c>
      <c r="D29" s="730">
        <f>'Input data'!N73</f>
        <v>0.19892488097366726</v>
      </c>
      <c r="E29" s="483">
        <f>'Input data'!O73</f>
        <v>0.26585903447659598</v>
      </c>
      <c r="F29" s="483">
        <f>'Input data'!P73</f>
        <v>8.9228108703258049E-2</v>
      </c>
      <c r="G29" s="483">
        <f>'Input data'!Q73</f>
        <v>0</v>
      </c>
      <c r="H29" s="483">
        <f>'Input data'!R73</f>
        <v>0</v>
      </c>
      <c r="I29" s="483">
        <f>'Input data'!S73</f>
        <v>0</v>
      </c>
      <c r="J29" s="483">
        <f>'Input data'!T73</f>
        <v>0.4459879758464787</v>
      </c>
      <c r="K29" s="604">
        <f>'Input data'!U73</f>
        <v>1</v>
      </c>
      <c r="L29" s="730">
        <f>'Input data'!V73</f>
        <v>0.29028184578274857</v>
      </c>
      <c r="M29" s="483">
        <f>'Input data'!W73</f>
        <v>0.30317187715157518</v>
      </c>
      <c r="N29" s="483">
        <f>'Input data'!X73</f>
        <v>8.2805443243048754E-2</v>
      </c>
      <c r="O29" s="483">
        <f>'Input data'!Y73</f>
        <v>0</v>
      </c>
      <c r="P29" s="483">
        <f>'Input data'!Z73</f>
        <v>0</v>
      </c>
      <c r="Q29" s="483">
        <f>'Input data'!AA73</f>
        <v>0</v>
      </c>
      <c r="R29" s="483">
        <f>'Input data'!AB73</f>
        <v>0.32374083382262742</v>
      </c>
      <c r="S29" s="604">
        <f t="shared" si="6"/>
        <v>0.99999999999999989</v>
      </c>
      <c r="T29" s="114">
        <f t="shared" si="23"/>
        <v>0.8</v>
      </c>
      <c r="U29" s="114">
        <f t="shared" si="23"/>
        <v>0.11</v>
      </c>
      <c r="V29" s="114">
        <f t="shared" si="23"/>
        <v>0.09</v>
      </c>
      <c r="W29" s="114">
        <f t="shared" si="23"/>
        <v>0</v>
      </c>
      <c r="X29" s="114">
        <f t="shared" si="8"/>
        <v>1</v>
      </c>
      <c r="Y29" s="730">
        <f>'Input data'!$G$35</f>
        <v>0.66241124199764068</v>
      </c>
      <c r="Z29" s="604">
        <f>'Input data'!$H$35</f>
        <v>0.33758875800235938</v>
      </c>
      <c r="AA29" s="602">
        <f>'Input data'!J73</f>
        <v>27.526054267727826</v>
      </c>
      <c r="AB29" s="236">
        <f>'Input data'!L73</f>
        <v>30704.817047992961</v>
      </c>
      <c r="AC29" s="483">
        <f t="shared" si="24"/>
        <v>0.85641924869700936</v>
      </c>
      <c r="AD29" s="483">
        <f t="shared" si="24"/>
        <v>0.14268338865096522</v>
      </c>
      <c r="AE29" s="483">
        <f t="shared" si="24"/>
        <v>0</v>
      </c>
      <c r="AF29" s="483">
        <f t="shared" si="24"/>
        <v>8.973626520254116E-4</v>
      </c>
      <c r="AG29" s="483">
        <f t="shared" si="19"/>
        <v>1</v>
      </c>
      <c r="AH29" s="502">
        <f t="shared" si="25"/>
        <v>0.49613166950665732</v>
      </c>
      <c r="AI29" s="1463">
        <f t="shared" si="25"/>
        <v>0.50386833049334279</v>
      </c>
      <c r="AK29" s="621">
        <f t="shared" si="0"/>
        <v>1973</v>
      </c>
      <c r="AL29" s="235">
        <f t="shared" si="1"/>
        <v>9966.6380486400012</v>
      </c>
      <c r="AM29" s="485">
        <f t="shared" si="2"/>
        <v>907.7767996468275</v>
      </c>
      <c r="AN29" s="485">
        <f t="shared" si="3"/>
        <v>462.63593204117245</v>
      </c>
      <c r="AO29" s="485">
        <f t="shared" si="4"/>
        <v>1121.246780472</v>
      </c>
      <c r="AP29" s="485">
        <f t="shared" si="5"/>
        <v>0</v>
      </c>
      <c r="AQ29" s="237">
        <f t="shared" si="10"/>
        <v>12458.297560800002</v>
      </c>
      <c r="AS29" s="606">
        <f t="shared" si="11"/>
        <v>26296.196347621255</v>
      </c>
      <c r="AT29" s="897">
        <f t="shared" si="12"/>
        <v>2173.5862557563773</v>
      </c>
      <c r="AU29" s="897">
        <f t="shared" si="13"/>
        <v>2207.4810885591855</v>
      </c>
      <c r="AV29" s="485">
        <f t="shared" si="14"/>
        <v>0</v>
      </c>
      <c r="AW29" s="704">
        <f t="shared" si="15"/>
        <v>27.553356056142032</v>
      </c>
      <c r="AX29" s="609">
        <f t="shared" si="16"/>
        <v>30704.817047992961</v>
      </c>
      <c r="AZ29" s="779">
        <f t="shared" si="21"/>
        <v>43.163114608792966</v>
      </c>
      <c r="BA29" s="483">
        <f t="shared" si="22"/>
        <v>0.19028518667705516</v>
      </c>
      <c r="BB29" s="205">
        <f>'Input data'!D73/10^6</f>
        <v>0</v>
      </c>
    </row>
    <row r="30" spans="1:54">
      <c r="A30" s="621">
        <f>'Input data'!A74</f>
        <v>1974</v>
      </c>
      <c r="B30" s="1462">
        <f>'Input data'!I74</f>
        <v>578.73</v>
      </c>
      <c r="C30" s="237">
        <f>B30*'Input data'!B74</f>
        <v>12739.525617000001</v>
      </c>
      <c r="D30" s="730">
        <f>'Input data'!N74</f>
        <v>0.19892488097366726</v>
      </c>
      <c r="E30" s="483">
        <f>'Input data'!O74</f>
        <v>0.26585903447659598</v>
      </c>
      <c r="F30" s="483">
        <f>'Input data'!P74</f>
        <v>8.9228108703258049E-2</v>
      </c>
      <c r="G30" s="483">
        <f>'Input data'!Q74</f>
        <v>0</v>
      </c>
      <c r="H30" s="483">
        <f>'Input data'!R74</f>
        <v>0</v>
      </c>
      <c r="I30" s="483">
        <f>'Input data'!S74</f>
        <v>0</v>
      </c>
      <c r="J30" s="483">
        <f>'Input data'!T74</f>
        <v>0.4459879758464787</v>
      </c>
      <c r="K30" s="604">
        <f>'Input data'!U74</f>
        <v>1</v>
      </c>
      <c r="L30" s="730">
        <f>'Input data'!V74</f>
        <v>0.29028184578274857</v>
      </c>
      <c r="M30" s="483">
        <f>'Input data'!W74</f>
        <v>0.30317187715157518</v>
      </c>
      <c r="N30" s="483">
        <f>'Input data'!X74</f>
        <v>8.2805443243048754E-2</v>
      </c>
      <c r="O30" s="483">
        <f>'Input data'!Y74</f>
        <v>0</v>
      </c>
      <c r="P30" s="483">
        <f>'Input data'!Z74</f>
        <v>0</v>
      </c>
      <c r="Q30" s="483">
        <f>'Input data'!AA74</f>
        <v>0</v>
      </c>
      <c r="R30" s="483">
        <f>'Input data'!AB74</f>
        <v>0.32374083382262742</v>
      </c>
      <c r="S30" s="604">
        <f t="shared" si="6"/>
        <v>0.99999999999999989</v>
      </c>
      <c r="T30" s="114">
        <f t="shared" si="23"/>
        <v>0.8</v>
      </c>
      <c r="U30" s="114">
        <f t="shared" si="23"/>
        <v>0.11</v>
      </c>
      <c r="V30" s="114">
        <f t="shared" si="23"/>
        <v>0.09</v>
      </c>
      <c r="W30" s="114">
        <f t="shared" si="23"/>
        <v>0</v>
      </c>
      <c r="X30" s="114">
        <f t="shared" si="8"/>
        <v>1</v>
      </c>
      <c r="Y30" s="730">
        <f>'Input data'!$G$35</f>
        <v>0.66241124199764068</v>
      </c>
      <c r="Z30" s="604">
        <f>'Input data'!$H$35</f>
        <v>0.33758875800235938</v>
      </c>
      <c r="AA30" s="602">
        <f>'Input data'!J74</f>
        <v>27.526054267727826</v>
      </c>
      <c r="AB30" s="236">
        <f>'Input data'!L74</f>
        <v>32581.205139946225</v>
      </c>
      <c r="AC30" s="483">
        <f t="shared" si="24"/>
        <v>0.85641924869700936</v>
      </c>
      <c r="AD30" s="483">
        <f t="shared" si="24"/>
        <v>0.14268338865096522</v>
      </c>
      <c r="AE30" s="483">
        <f t="shared" si="24"/>
        <v>0</v>
      </c>
      <c r="AF30" s="483">
        <f t="shared" si="24"/>
        <v>8.973626520254116E-4</v>
      </c>
      <c r="AG30" s="483">
        <f t="shared" si="19"/>
        <v>1</v>
      </c>
      <c r="AH30" s="502">
        <f t="shared" si="25"/>
        <v>0.49613166950665732</v>
      </c>
      <c r="AI30" s="1463">
        <f t="shared" si="25"/>
        <v>0.50386833049334279</v>
      </c>
      <c r="AK30" s="621">
        <f t="shared" si="0"/>
        <v>1974</v>
      </c>
      <c r="AL30" s="235">
        <f t="shared" si="1"/>
        <v>10191.620493600001</v>
      </c>
      <c r="AM30" s="485">
        <f t="shared" si="2"/>
        <v>928.26854850595032</v>
      </c>
      <c r="AN30" s="485">
        <f t="shared" si="3"/>
        <v>473.07926936404988</v>
      </c>
      <c r="AO30" s="485">
        <f t="shared" si="4"/>
        <v>1146.5573055300001</v>
      </c>
      <c r="AP30" s="485">
        <f t="shared" si="5"/>
        <v>0</v>
      </c>
      <c r="AQ30" s="237">
        <f t="shared" si="10"/>
        <v>12739.525617000003</v>
      </c>
      <c r="AS30" s="606">
        <f t="shared" si="11"/>
        <v>27903.171227595885</v>
      </c>
      <c r="AT30" s="897">
        <f t="shared" si="12"/>
        <v>2306.4152956024604</v>
      </c>
      <c r="AU30" s="897">
        <f t="shared" si="13"/>
        <v>2342.3814600973128</v>
      </c>
      <c r="AV30" s="485">
        <f t="shared" si="14"/>
        <v>0</v>
      </c>
      <c r="AW30" s="704">
        <f t="shared" si="15"/>
        <v>29.237156650566117</v>
      </c>
      <c r="AX30" s="609">
        <f t="shared" si="16"/>
        <v>32581.205139946222</v>
      </c>
      <c r="AZ30" s="779">
        <f t="shared" si="21"/>
        <v>45.320730756946226</v>
      </c>
      <c r="BA30" s="483">
        <f t="shared" si="22"/>
        <v>0.18968312226602463</v>
      </c>
      <c r="BB30" s="205">
        <f>'Input data'!D74/10^6</f>
        <v>0</v>
      </c>
    </row>
    <row r="31" spans="1:54">
      <c r="A31" s="621">
        <f>'Input data'!A75</f>
        <v>1975</v>
      </c>
      <c r="B31" s="1462">
        <f>'Input data'!I75</f>
        <v>578.73</v>
      </c>
      <c r="C31" s="237">
        <f>B31*'Input data'!B75</f>
        <v>13022.860250400001</v>
      </c>
      <c r="D31" s="730">
        <f>'Input data'!N75</f>
        <v>0.19892488097366726</v>
      </c>
      <c r="E31" s="483">
        <f>'Input data'!O75</f>
        <v>0.26585903447659598</v>
      </c>
      <c r="F31" s="483">
        <f>'Input data'!P75</f>
        <v>8.9228108703258049E-2</v>
      </c>
      <c r="G31" s="483">
        <f>'Input data'!Q75</f>
        <v>0</v>
      </c>
      <c r="H31" s="483">
        <f>'Input data'!R75</f>
        <v>0</v>
      </c>
      <c r="I31" s="483">
        <f>'Input data'!S75</f>
        <v>0</v>
      </c>
      <c r="J31" s="483">
        <f>'Input data'!T75</f>
        <v>0.4459879758464787</v>
      </c>
      <c r="K31" s="604">
        <f>'Input data'!U75</f>
        <v>1</v>
      </c>
      <c r="L31" s="730">
        <f>'Input data'!V75</f>
        <v>0.29028184578274857</v>
      </c>
      <c r="M31" s="483">
        <f>'Input data'!W75</f>
        <v>0.30317187715157518</v>
      </c>
      <c r="N31" s="483">
        <f>'Input data'!X75</f>
        <v>8.2805443243048754E-2</v>
      </c>
      <c r="O31" s="483">
        <f>'Input data'!Y75</f>
        <v>0</v>
      </c>
      <c r="P31" s="483">
        <f>'Input data'!Z75</f>
        <v>0</v>
      </c>
      <c r="Q31" s="483">
        <f>'Input data'!AA75</f>
        <v>0</v>
      </c>
      <c r="R31" s="483">
        <f>'Input data'!AB75</f>
        <v>0.32374083382262742</v>
      </c>
      <c r="S31" s="604">
        <f t="shared" si="6"/>
        <v>0.99999999999999989</v>
      </c>
      <c r="T31" s="114">
        <f t="shared" si="23"/>
        <v>0.8</v>
      </c>
      <c r="U31" s="114">
        <f t="shared" si="23"/>
        <v>0.11</v>
      </c>
      <c r="V31" s="114">
        <f t="shared" si="23"/>
        <v>0.09</v>
      </c>
      <c r="W31" s="114">
        <f t="shared" si="23"/>
        <v>0</v>
      </c>
      <c r="X31" s="114">
        <f t="shared" si="8"/>
        <v>1</v>
      </c>
      <c r="Y31" s="730">
        <f>'Input data'!$G$35</f>
        <v>0.66241124199764068</v>
      </c>
      <c r="Z31" s="604">
        <f>'Input data'!$H$35</f>
        <v>0.33758875800235938</v>
      </c>
      <c r="AA31" s="602">
        <f>'Input data'!J75</f>
        <v>27.526054267727826</v>
      </c>
      <c r="AB31" s="236">
        <f>'Input data'!L75</f>
        <v>33133.60258853608</v>
      </c>
      <c r="AC31" s="483">
        <f t="shared" si="24"/>
        <v>0.85641924869700936</v>
      </c>
      <c r="AD31" s="483">
        <f t="shared" si="24"/>
        <v>0.14268338865096522</v>
      </c>
      <c r="AE31" s="483">
        <f t="shared" si="24"/>
        <v>0</v>
      </c>
      <c r="AF31" s="483">
        <f t="shared" si="24"/>
        <v>8.973626520254116E-4</v>
      </c>
      <c r="AG31" s="483">
        <f t="shared" si="19"/>
        <v>1</v>
      </c>
      <c r="AH31" s="502">
        <f t="shared" si="25"/>
        <v>0.49613166950665732</v>
      </c>
      <c r="AI31" s="1463">
        <f t="shared" si="25"/>
        <v>0.50386833049334279</v>
      </c>
      <c r="AK31" s="621">
        <f t="shared" si="0"/>
        <v>1975</v>
      </c>
      <c r="AL31" s="235">
        <f t="shared" si="1"/>
        <v>10418.288200320001</v>
      </c>
      <c r="AM31" s="485">
        <f t="shared" si="2"/>
        <v>948.9137936112088</v>
      </c>
      <c r="AN31" s="485">
        <f t="shared" si="3"/>
        <v>483.60083393279143</v>
      </c>
      <c r="AO31" s="485">
        <f t="shared" si="4"/>
        <v>1172.0574225360001</v>
      </c>
      <c r="AP31" s="485">
        <f t="shared" si="5"/>
        <v>0</v>
      </c>
      <c r="AQ31" s="237">
        <f t="shared" si="10"/>
        <v>13022.860250400001</v>
      </c>
      <c r="AS31" s="606">
        <f t="shared" si="11"/>
        <v>28376.255035499355</v>
      </c>
      <c r="AT31" s="897">
        <f t="shared" si="12"/>
        <v>2345.5193716858021</v>
      </c>
      <c r="AU31" s="897">
        <f t="shared" si="13"/>
        <v>2382.0953238609195</v>
      </c>
      <c r="AV31" s="485">
        <f t="shared" si="14"/>
        <v>0</v>
      </c>
      <c r="AW31" s="704">
        <f t="shared" si="15"/>
        <v>29.732857490004779</v>
      </c>
      <c r="AX31" s="609">
        <f t="shared" si="16"/>
        <v>33133.60258853608</v>
      </c>
      <c r="AZ31" s="779">
        <f t="shared" si="21"/>
        <v>46.156462838936086</v>
      </c>
      <c r="BA31" s="483">
        <f t="shared" si="22"/>
        <v>0.18976688443954656</v>
      </c>
      <c r="BB31" s="205">
        <f>'Input data'!D75/10^6</f>
        <v>0</v>
      </c>
    </row>
    <row r="32" spans="1:54">
      <c r="A32" s="621">
        <f>'Input data'!A76</f>
        <v>1976</v>
      </c>
      <c r="B32" s="1462">
        <f>'Input data'!I76</f>
        <v>578.73</v>
      </c>
      <c r="C32" s="237">
        <f>B32*'Input data'!B76</f>
        <v>13307.248172400001</v>
      </c>
      <c r="D32" s="730">
        <f>'Input data'!N76</f>
        <v>0.19892488097366726</v>
      </c>
      <c r="E32" s="483">
        <f>'Input data'!O76</f>
        <v>0.26585903447659598</v>
      </c>
      <c r="F32" s="483">
        <f>'Input data'!P76</f>
        <v>8.9228108703258049E-2</v>
      </c>
      <c r="G32" s="483">
        <f>'Input data'!Q76</f>
        <v>0</v>
      </c>
      <c r="H32" s="483">
        <f>'Input data'!R76</f>
        <v>0</v>
      </c>
      <c r="I32" s="483">
        <f>'Input data'!S76</f>
        <v>0</v>
      </c>
      <c r="J32" s="483">
        <f>'Input data'!T76</f>
        <v>0.4459879758464787</v>
      </c>
      <c r="K32" s="604">
        <f>'Input data'!U76</f>
        <v>1</v>
      </c>
      <c r="L32" s="730">
        <f>'Input data'!V76</f>
        <v>0.29028184578274857</v>
      </c>
      <c r="M32" s="483">
        <f>'Input data'!W76</f>
        <v>0.30317187715157518</v>
      </c>
      <c r="N32" s="483">
        <f>'Input data'!X76</f>
        <v>8.2805443243048754E-2</v>
      </c>
      <c r="O32" s="483">
        <f>'Input data'!Y76</f>
        <v>0</v>
      </c>
      <c r="P32" s="483">
        <f>'Input data'!Z76</f>
        <v>0</v>
      </c>
      <c r="Q32" s="483">
        <f>'Input data'!AA76</f>
        <v>0</v>
      </c>
      <c r="R32" s="483">
        <f>'Input data'!AB76</f>
        <v>0.32374083382262742</v>
      </c>
      <c r="S32" s="604">
        <f t="shared" si="6"/>
        <v>0.99999999999999989</v>
      </c>
      <c r="T32" s="114">
        <f t="shared" si="23"/>
        <v>0.8</v>
      </c>
      <c r="U32" s="114">
        <f t="shared" si="23"/>
        <v>0.11</v>
      </c>
      <c r="V32" s="114">
        <f t="shared" si="23"/>
        <v>0.09</v>
      </c>
      <c r="W32" s="114">
        <f t="shared" si="23"/>
        <v>0</v>
      </c>
      <c r="X32" s="114">
        <f t="shared" si="8"/>
        <v>1</v>
      </c>
      <c r="Y32" s="730">
        <f>'Input data'!$G$35</f>
        <v>0.66241124199764068</v>
      </c>
      <c r="Z32" s="604">
        <f>'Input data'!$H$35</f>
        <v>0.33758875800235938</v>
      </c>
      <c r="AA32" s="602">
        <f>'Input data'!J76</f>
        <v>27.526054267727826</v>
      </c>
      <c r="AB32" s="236">
        <f>'Input data'!L76</f>
        <v>33879.076856411804</v>
      </c>
      <c r="AC32" s="483">
        <f t="shared" si="24"/>
        <v>0.85641924869700936</v>
      </c>
      <c r="AD32" s="483">
        <f t="shared" si="24"/>
        <v>0.14268338865096522</v>
      </c>
      <c r="AE32" s="483">
        <f t="shared" si="24"/>
        <v>0</v>
      </c>
      <c r="AF32" s="483">
        <f t="shared" si="24"/>
        <v>8.973626520254116E-4</v>
      </c>
      <c r="AG32" s="483">
        <f t="shared" si="19"/>
        <v>1</v>
      </c>
      <c r="AH32" s="502">
        <f t="shared" si="25"/>
        <v>0.49613166950665732</v>
      </c>
      <c r="AI32" s="1463">
        <f t="shared" si="25"/>
        <v>0.50386833049334279</v>
      </c>
      <c r="AK32" s="621">
        <f t="shared" si="0"/>
        <v>1976</v>
      </c>
      <c r="AL32" s="235">
        <f t="shared" si="1"/>
        <v>10645.798537920002</v>
      </c>
      <c r="AM32" s="485">
        <f t="shared" si="2"/>
        <v>969.63578683953506</v>
      </c>
      <c r="AN32" s="485">
        <f t="shared" si="3"/>
        <v>494.1615121244651</v>
      </c>
      <c r="AO32" s="485">
        <f t="shared" si="4"/>
        <v>1197.652335516</v>
      </c>
      <c r="AP32" s="485">
        <f t="shared" si="5"/>
        <v>0</v>
      </c>
      <c r="AQ32" s="237">
        <f t="shared" si="10"/>
        <v>13307.248172400003</v>
      </c>
      <c r="AS32" s="606">
        <f t="shared" si="11"/>
        <v>29014.693547916435</v>
      </c>
      <c r="AT32" s="897">
        <f t="shared" si="12"/>
        <v>2398.2913071167163</v>
      </c>
      <c r="AU32" s="897">
        <f t="shared" si="13"/>
        <v>2435.6901831226105</v>
      </c>
      <c r="AV32" s="485">
        <f t="shared" si="14"/>
        <v>0</v>
      </c>
      <c r="AW32" s="704">
        <f t="shared" si="15"/>
        <v>30.401818256042443</v>
      </c>
      <c r="AX32" s="609">
        <f t="shared" si="16"/>
        <v>33879.076856411804</v>
      </c>
      <c r="AZ32" s="779">
        <f t="shared" si="21"/>
        <v>47.186325028811808</v>
      </c>
      <c r="BA32" s="483">
        <f t="shared" si="22"/>
        <v>0.18975641872237378</v>
      </c>
      <c r="BB32" s="205">
        <f>'Input data'!D76/10^6</f>
        <v>0</v>
      </c>
    </row>
    <row r="33" spans="1:54">
      <c r="A33" s="621">
        <f>'Input data'!A77</f>
        <v>1977</v>
      </c>
      <c r="B33" s="1462">
        <f>'Input data'!I77</f>
        <v>578.73</v>
      </c>
      <c r="C33" s="237">
        <f>B33*'Input data'!B77</f>
        <v>13590.582805800001</v>
      </c>
      <c r="D33" s="730">
        <f>'Input data'!N77</f>
        <v>0.19892488097366726</v>
      </c>
      <c r="E33" s="483">
        <f>'Input data'!O77</f>
        <v>0.26585903447659598</v>
      </c>
      <c r="F33" s="483">
        <f>'Input data'!P77</f>
        <v>8.9228108703258049E-2</v>
      </c>
      <c r="G33" s="483">
        <f>'Input data'!Q77</f>
        <v>0</v>
      </c>
      <c r="H33" s="483">
        <f>'Input data'!R77</f>
        <v>0</v>
      </c>
      <c r="I33" s="483">
        <f>'Input data'!S77</f>
        <v>0</v>
      </c>
      <c r="J33" s="483">
        <f>'Input data'!T77</f>
        <v>0.4459879758464787</v>
      </c>
      <c r="K33" s="604">
        <f>'Input data'!U77</f>
        <v>1</v>
      </c>
      <c r="L33" s="730">
        <f>'Input data'!V77</f>
        <v>0.29028184578274857</v>
      </c>
      <c r="M33" s="483">
        <f>'Input data'!W77</f>
        <v>0.30317187715157518</v>
      </c>
      <c r="N33" s="483">
        <f>'Input data'!X77</f>
        <v>8.2805443243048754E-2</v>
      </c>
      <c r="O33" s="483">
        <f>'Input data'!Y77</f>
        <v>0</v>
      </c>
      <c r="P33" s="483">
        <f>'Input data'!Z77</f>
        <v>0</v>
      </c>
      <c r="Q33" s="483">
        <f>'Input data'!AA77</f>
        <v>0</v>
      </c>
      <c r="R33" s="483">
        <f>'Input data'!AB77</f>
        <v>0.32374083382262742</v>
      </c>
      <c r="S33" s="604">
        <f t="shared" si="6"/>
        <v>0.99999999999999989</v>
      </c>
      <c r="T33" s="114">
        <f t="shared" si="23"/>
        <v>0.8</v>
      </c>
      <c r="U33" s="114">
        <f t="shared" si="23"/>
        <v>0.11</v>
      </c>
      <c r="V33" s="114">
        <f t="shared" si="23"/>
        <v>0.09</v>
      </c>
      <c r="W33" s="114">
        <f t="shared" si="23"/>
        <v>0</v>
      </c>
      <c r="X33" s="114">
        <f t="shared" si="8"/>
        <v>1</v>
      </c>
      <c r="Y33" s="730">
        <f>'Input data'!$G$35</f>
        <v>0.66241124199764068</v>
      </c>
      <c r="Z33" s="604">
        <f>'Input data'!$H$35</f>
        <v>0.33758875800235938</v>
      </c>
      <c r="AA33" s="602">
        <f>'Input data'!J77</f>
        <v>27.526054267727826</v>
      </c>
      <c r="AB33" s="236">
        <f>'Input data'!L77</f>
        <v>33847.217807994064</v>
      </c>
      <c r="AC33" s="483">
        <f t="shared" si="24"/>
        <v>0.85641924869700936</v>
      </c>
      <c r="AD33" s="483">
        <f t="shared" si="24"/>
        <v>0.14268338865096522</v>
      </c>
      <c r="AE33" s="483">
        <f t="shared" si="24"/>
        <v>0</v>
      </c>
      <c r="AF33" s="483">
        <f t="shared" si="24"/>
        <v>8.973626520254116E-4</v>
      </c>
      <c r="AG33" s="483">
        <f t="shared" si="19"/>
        <v>1</v>
      </c>
      <c r="AH33" s="502">
        <f t="shared" si="25"/>
        <v>0.49613166950665732</v>
      </c>
      <c r="AI33" s="1463">
        <f t="shared" si="25"/>
        <v>0.50386833049334279</v>
      </c>
      <c r="AK33" s="621">
        <f t="shared" si="0"/>
        <v>1977</v>
      </c>
      <c r="AL33" s="235">
        <f t="shared" si="1"/>
        <v>10872.466244640002</v>
      </c>
      <c r="AM33" s="485">
        <f t="shared" si="2"/>
        <v>990.28103194479343</v>
      </c>
      <c r="AN33" s="485">
        <f t="shared" si="3"/>
        <v>504.68307669320666</v>
      </c>
      <c r="AO33" s="485">
        <f t="shared" si="4"/>
        <v>1223.152452522</v>
      </c>
      <c r="AP33" s="485">
        <f t="shared" si="5"/>
        <v>0</v>
      </c>
      <c r="AQ33" s="237">
        <f t="shared" si="10"/>
        <v>13590.582805800001</v>
      </c>
      <c r="AS33" s="606">
        <f t="shared" si="11"/>
        <v>28987.408845606311</v>
      </c>
      <c r="AT33" s="897">
        <f t="shared" si="12"/>
        <v>2396.0360131133671</v>
      </c>
      <c r="AU33" s="897">
        <f t="shared" si="13"/>
        <v>2433.3997201385218</v>
      </c>
      <c r="AV33" s="485">
        <f t="shared" si="14"/>
        <v>0</v>
      </c>
      <c r="AW33" s="704">
        <f t="shared" si="15"/>
        <v>30.373229135863291</v>
      </c>
      <c r="AX33" s="609">
        <f t="shared" si="16"/>
        <v>33847.217807994064</v>
      </c>
      <c r="AZ33" s="779">
        <f t="shared" si="21"/>
        <v>47.437800613794067</v>
      </c>
      <c r="BA33" s="483">
        <f t="shared" si="22"/>
        <v>0.19011413122571649</v>
      </c>
      <c r="BB33" s="205">
        <f>'Input data'!D77/10^6</f>
        <v>0</v>
      </c>
    </row>
    <row r="34" spans="1:54">
      <c r="A34" s="621">
        <f>'Input data'!A78</f>
        <v>1978</v>
      </c>
      <c r="B34" s="1462">
        <f>'Input data'!I78</f>
        <v>578.73</v>
      </c>
      <c r="C34" s="237">
        <f>B34*'Input data'!B78</f>
        <v>13879.710526499999</v>
      </c>
      <c r="D34" s="730">
        <f>'Input data'!N78</f>
        <v>0.19892488097366726</v>
      </c>
      <c r="E34" s="483">
        <f>'Input data'!O78</f>
        <v>0.26585903447659598</v>
      </c>
      <c r="F34" s="483">
        <f>'Input data'!P78</f>
        <v>8.9228108703258049E-2</v>
      </c>
      <c r="G34" s="483">
        <f>'Input data'!Q78</f>
        <v>0</v>
      </c>
      <c r="H34" s="483">
        <f>'Input data'!R78</f>
        <v>0</v>
      </c>
      <c r="I34" s="483">
        <f>'Input data'!S78</f>
        <v>0</v>
      </c>
      <c r="J34" s="483">
        <f>'Input data'!T78</f>
        <v>0.4459879758464787</v>
      </c>
      <c r="K34" s="604">
        <f>'Input data'!U78</f>
        <v>1</v>
      </c>
      <c r="L34" s="730">
        <f>'Input data'!V78</f>
        <v>0.29028184578274857</v>
      </c>
      <c r="M34" s="483">
        <f>'Input data'!W78</f>
        <v>0.30317187715157518</v>
      </c>
      <c r="N34" s="483">
        <f>'Input data'!X78</f>
        <v>8.2805443243048754E-2</v>
      </c>
      <c r="O34" s="483">
        <f>'Input data'!Y78</f>
        <v>0</v>
      </c>
      <c r="P34" s="483">
        <f>'Input data'!Z78</f>
        <v>0</v>
      </c>
      <c r="Q34" s="483">
        <f>'Input data'!AA78</f>
        <v>0</v>
      </c>
      <c r="R34" s="483">
        <f>'Input data'!AB78</f>
        <v>0.32374083382262742</v>
      </c>
      <c r="S34" s="604">
        <f t="shared" si="6"/>
        <v>0.99999999999999989</v>
      </c>
      <c r="T34" s="114">
        <f t="shared" si="23"/>
        <v>0.8</v>
      </c>
      <c r="U34" s="114">
        <f t="shared" si="23"/>
        <v>0.11</v>
      </c>
      <c r="V34" s="114">
        <f t="shared" si="23"/>
        <v>0.09</v>
      </c>
      <c r="W34" s="114">
        <f t="shared" si="23"/>
        <v>0</v>
      </c>
      <c r="X34" s="114">
        <f t="shared" si="8"/>
        <v>1</v>
      </c>
      <c r="Y34" s="730">
        <f>'Input data'!$G$35</f>
        <v>0.66241124199764068</v>
      </c>
      <c r="Z34" s="604">
        <f>'Input data'!$H$35</f>
        <v>0.33758875800235938</v>
      </c>
      <c r="AA34" s="602">
        <f>'Input data'!J78</f>
        <v>27.526054267727826</v>
      </c>
      <c r="AB34" s="236">
        <f>'Input data'!L78</f>
        <v>34867.558762444714</v>
      </c>
      <c r="AC34" s="483">
        <f t="shared" si="24"/>
        <v>0.85641924869700936</v>
      </c>
      <c r="AD34" s="483">
        <f t="shared" si="24"/>
        <v>0.14268338865096522</v>
      </c>
      <c r="AE34" s="483">
        <f t="shared" si="24"/>
        <v>0</v>
      </c>
      <c r="AF34" s="483">
        <f t="shared" si="24"/>
        <v>8.973626520254116E-4</v>
      </c>
      <c r="AG34" s="483">
        <f t="shared" si="19"/>
        <v>1</v>
      </c>
      <c r="AH34" s="502">
        <f t="shared" si="25"/>
        <v>0.49613166950665732</v>
      </c>
      <c r="AI34" s="1463">
        <f t="shared" si="25"/>
        <v>0.50386833049334279</v>
      </c>
      <c r="AK34" s="621">
        <f t="shared" si="0"/>
        <v>1978</v>
      </c>
      <c r="AL34" s="235">
        <f t="shared" si="1"/>
        <v>11103.7684212</v>
      </c>
      <c r="AM34" s="485">
        <f t="shared" si="2"/>
        <v>1011.3483917269251</v>
      </c>
      <c r="AN34" s="485">
        <f t="shared" si="3"/>
        <v>515.41976618807485</v>
      </c>
      <c r="AO34" s="485">
        <f t="shared" si="4"/>
        <v>1249.1739473849998</v>
      </c>
      <c r="AP34" s="485">
        <f t="shared" si="5"/>
        <v>0</v>
      </c>
      <c r="AQ34" s="237">
        <f t="shared" si="10"/>
        <v>13879.710526500001</v>
      </c>
      <c r="AS34" s="606">
        <f t="shared" si="11"/>
        <v>29861.248479231726</v>
      </c>
      <c r="AT34" s="897">
        <f t="shared" si="12"/>
        <v>2468.2656919716633</v>
      </c>
      <c r="AU34" s="897">
        <f t="shared" si="13"/>
        <v>2506.7557462406044</v>
      </c>
      <c r="AV34" s="485">
        <f t="shared" si="14"/>
        <v>0</v>
      </c>
      <c r="AW34" s="704">
        <f t="shared" si="15"/>
        <v>31.288845000719267</v>
      </c>
      <c r="AX34" s="609">
        <f t="shared" si="16"/>
        <v>34867.558762444714</v>
      </c>
      <c r="AZ34" s="779">
        <f t="shared" si="21"/>
        <v>48.747269288944715</v>
      </c>
      <c r="BA34" s="483">
        <f t="shared" si="22"/>
        <v>0.18997312774039085</v>
      </c>
      <c r="BB34" s="205">
        <f>'Input data'!D78/10^6</f>
        <v>0</v>
      </c>
    </row>
    <row r="35" spans="1:54">
      <c r="A35" s="621">
        <f>'Input data'!A79</f>
        <v>1979</v>
      </c>
      <c r="B35" s="1462">
        <f>'Input data'!I79</f>
        <v>578.73</v>
      </c>
      <c r="C35" s="237">
        <f>B35*'Input data'!B79</f>
        <v>14188.324086299999</v>
      </c>
      <c r="D35" s="730">
        <f>'Input data'!N79</f>
        <v>0.19892488097366726</v>
      </c>
      <c r="E35" s="483">
        <f>'Input data'!O79</f>
        <v>0.26585903447659598</v>
      </c>
      <c r="F35" s="483">
        <f>'Input data'!P79</f>
        <v>8.9228108703258049E-2</v>
      </c>
      <c r="G35" s="483">
        <f>'Input data'!Q79</f>
        <v>0</v>
      </c>
      <c r="H35" s="483">
        <f>'Input data'!R79</f>
        <v>0</v>
      </c>
      <c r="I35" s="483">
        <f>'Input data'!S79</f>
        <v>0</v>
      </c>
      <c r="J35" s="483">
        <f>'Input data'!T79</f>
        <v>0.4459879758464787</v>
      </c>
      <c r="K35" s="604">
        <f>'Input data'!U79</f>
        <v>1</v>
      </c>
      <c r="L35" s="730">
        <f>'Input data'!V79</f>
        <v>0.29028184578274857</v>
      </c>
      <c r="M35" s="483">
        <f>'Input data'!W79</f>
        <v>0.30317187715157518</v>
      </c>
      <c r="N35" s="483">
        <f>'Input data'!X79</f>
        <v>8.2805443243048754E-2</v>
      </c>
      <c r="O35" s="483">
        <f>'Input data'!Y79</f>
        <v>0</v>
      </c>
      <c r="P35" s="483">
        <f>'Input data'!Z79</f>
        <v>0</v>
      </c>
      <c r="Q35" s="483">
        <f>'Input data'!AA79</f>
        <v>0</v>
      </c>
      <c r="R35" s="483">
        <f>'Input data'!AB79</f>
        <v>0.32374083382262742</v>
      </c>
      <c r="S35" s="604">
        <f t="shared" si="6"/>
        <v>0.99999999999999989</v>
      </c>
      <c r="T35" s="114">
        <f t="shared" si="23"/>
        <v>0.8</v>
      </c>
      <c r="U35" s="114">
        <f t="shared" si="23"/>
        <v>0.11</v>
      </c>
      <c r="V35" s="114">
        <f t="shared" si="23"/>
        <v>0.09</v>
      </c>
      <c r="W35" s="114">
        <f t="shared" si="23"/>
        <v>0</v>
      </c>
      <c r="X35" s="114">
        <f t="shared" si="8"/>
        <v>1</v>
      </c>
      <c r="Y35" s="730">
        <f>'Input data'!$G$35</f>
        <v>0.66241124199764068</v>
      </c>
      <c r="Z35" s="604">
        <f>'Input data'!$H$35</f>
        <v>0.33758875800235938</v>
      </c>
      <c r="AA35" s="602">
        <f>'Input data'!J79</f>
        <v>27.526054267727826</v>
      </c>
      <c r="AB35" s="236">
        <f>'Input data'!L79</f>
        <v>36189.214906486523</v>
      </c>
      <c r="AC35" s="483">
        <f t="shared" si="24"/>
        <v>0.85641924869700936</v>
      </c>
      <c r="AD35" s="483">
        <f t="shared" si="24"/>
        <v>0.14268338865096522</v>
      </c>
      <c r="AE35" s="483">
        <f t="shared" si="24"/>
        <v>0</v>
      </c>
      <c r="AF35" s="483">
        <f t="shared" si="24"/>
        <v>8.973626520254116E-4</v>
      </c>
      <c r="AG35" s="483">
        <f t="shared" si="19"/>
        <v>1</v>
      </c>
      <c r="AH35" s="502">
        <f t="shared" si="25"/>
        <v>0.49613166950665732</v>
      </c>
      <c r="AI35" s="1463">
        <f t="shared" si="25"/>
        <v>0.50386833049334279</v>
      </c>
      <c r="AK35" s="621">
        <f t="shared" si="0"/>
        <v>1979</v>
      </c>
      <c r="AL35" s="235">
        <f t="shared" si="1"/>
        <v>11350.659269039999</v>
      </c>
      <c r="AM35" s="485">
        <f t="shared" si="2"/>
        <v>1033.8355917858125</v>
      </c>
      <c r="AN35" s="485">
        <f t="shared" si="3"/>
        <v>526.88005770718758</v>
      </c>
      <c r="AO35" s="485">
        <f t="shared" si="4"/>
        <v>1276.9491677669998</v>
      </c>
      <c r="AP35" s="485">
        <f t="shared" si="5"/>
        <v>0</v>
      </c>
      <c r="AQ35" s="237">
        <f t="shared" si="10"/>
        <v>14188.324086299999</v>
      </c>
      <c r="AS35" s="606">
        <f t="shared" si="11"/>
        <v>30993.140241147801</v>
      </c>
      <c r="AT35" s="897">
        <f t="shared" si="12"/>
        <v>2561.825397116138</v>
      </c>
      <c r="AU35" s="897">
        <f t="shared" si="13"/>
        <v>2601.7744183593836</v>
      </c>
      <c r="AV35" s="485">
        <f t="shared" si="14"/>
        <v>0</v>
      </c>
      <c r="AW35" s="704">
        <f t="shared" si="15"/>
        <v>32.474849863202301</v>
      </c>
      <c r="AX35" s="609">
        <f t="shared" si="16"/>
        <v>36189.214906486523</v>
      </c>
      <c r="AZ35" s="779">
        <f t="shared" si="21"/>
        <v>50.377538992786519</v>
      </c>
      <c r="BA35" s="483">
        <f t="shared" si="22"/>
        <v>0.18972646705135238</v>
      </c>
      <c r="BB35" s="205">
        <f>'Input data'!D79/10^6</f>
        <v>0</v>
      </c>
    </row>
    <row r="36" spans="1:54">
      <c r="A36" s="621">
        <f>'Input data'!A80</f>
        <v>1980</v>
      </c>
      <c r="B36" s="1462">
        <f>'Input data'!I80</f>
        <v>578.73</v>
      </c>
      <c r="C36" s="237">
        <f>B36*'Input data'!B80</f>
        <v>14522.743216800001</v>
      </c>
      <c r="D36" s="730">
        <f>'Input data'!N80</f>
        <v>0.19892488097366726</v>
      </c>
      <c r="E36" s="483">
        <f>'Input data'!O80</f>
        <v>0.26585903447659598</v>
      </c>
      <c r="F36" s="483">
        <f>'Input data'!P80</f>
        <v>8.9228108703258049E-2</v>
      </c>
      <c r="G36" s="483">
        <f>'Input data'!Q80</f>
        <v>0</v>
      </c>
      <c r="H36" s="483">
        <f>'Input data'!R80</f>
        <v>0</v>
      </c>
      <c r="I36" s="483">
        <f>'Input data'!S80</f>
        <v>0</v>
      </c>
      <c r="J36" s="483">
        <f>'Input data'!T80</f>
        <v>0.4459879758464787</v>
      </c>
      <c r="K36" s="604">
        <f>'Input data'!U80</f>
        <v>1</v>
      </c>
      <c r="L36" s="730">
        <f>'Input data'!V80</f>
        <v>0.29028184578274857</v>
      </c>
      <c r="M36" s="483">
        <f>'Input data'!W80</f>
        <v>0.30317187715157518</v>
      </c>
      <c r="N36" s="483">
        <f>'Input data'!X80</f>
        <v>8.2805443243048754E-2</v>
      </c>
      <c r="O36" s="483">
        <f>'Input data'!Y80</f>
        <v>0</v>
      </c>
      <c r="P36" s="483">
        <f>'Input data'!Z80</f>
        <v>0</v>
      </c>
      <c r="Q36" s="483">
        <f>'Input data'!AA80</f>
        <v>0</v>
      </c>
      <c r="R36" s="483">
        <f>'Input data'!AB80</f>
        <v>0.32374083382262742</v>
      </c>
      <c r="S36" s="604">
        <f t="shared" si="6"/>
        <v>0.99999999999999989</v>
      </c>
      <c r="T36" s="114">
        <f t="shared" si="23"/>
        <v>0.8</v>
      </c>
      <c r="U36" s="114">
        <f t="shared" si="23"/>
        <v>0.11</v>
      </c>
      <c r="V36" s="114">
        <f t="shared" si="23"/>
        <v>0.09</v>
      </c>
      <c r="W36" s="114">
        <f t="shared" si="23"/>
        <v>0</v>
      </c>
      <c r="X36" s="114">
        <f t="shared" si="8"/>
        <v>1</v>
      </c>
      <c r="Y36" s="730">
        <f>'Input data'!$G$35</f>
        <v>0.66241124199764068</v>
      </c>
      <c r="Z36" s="604">
        <f>'Input data'!$H$35</f>
        <v>0.33758875800235938</v>
      </c>
      <c r="AA36" s="602">
        <f>'Input data'!J80</f>
        <v>27.526054267727826</v>
      </c>
      <c r="AB36" s="236">
        <f>'Input data'!L80</f>
        <v>38585.152669516399</v>
      </c>
      <c r="AC36" s="483">
        <f t="shared" si="24"/>
        <v>0.85641924869700936</v>
      </c>
      <c r="AD36" s="483">
        <f t="shared" si="24"/>
        <v>0.14268338865096522</v>
      </c>
      <c r="AE36" s="483">
        <f t="shared" si="24"/>
        <v>0</v>
      </c>
      <c r="AF36" s="483">
        <f t="shared" si="24"/>
        <v>8.973626520254116E-4</v>
      </c>
      <c r="AG36" s="483">
        <f t="shared" si="19"/>
        <v>1</v>
      </c>
      <c r="AH36" s="502">
        <f t="shared" si="25"/>
        <v>0.49613166950665732</v>
      </c>
      <c r="AI36" s="1463">
        <f t="shared" si="25"/>
        <v>0.50386833049334279</v>
      </c>
      <c r="AK36" s="621">
        <f t="shared" si="0"/>
        <v>1980</v>
      </c>
      <c r="AL36" s="235">
        <f t="shared" si="1"/>
        <v>11618.194573440001</v>
      </c>
      <c r="AM36" s="485">
        <f t="shared" si="2"/>
        <v>1058.203120859863</v>
      </c>
      <c r="AN36" s="485">
        <f t="shared" si="3"/>
        <v>539.29863298813723</v>
      </c>
      <c r="AO36" s="485">
        <f t="shared" si="4"/>
        <v>1307.046889512</v>
      </c>
      <c r="AP36" s="485">
        <f t="shared" si="5"/>
        <v>0</v>
      </c>
      <c r="AQ36" s="237">
        <f t="shared" si="10"/>
        <v>14522.743216800001</v>
      </c>
      <c r="AS36" s="606">
        <f t="shared" si="11"/>
        <v>33045.06746008664</v>
      </c>
      <c r="AT36" s="897">
        <f t="shared" si="12"/>
        <v>2731.4332271588778</v>
      </c>
      <c r="AU36" s="897">
        <f t="shared" si="13"/>
        <v>2774.0271073425597</v>
      </c>
      <c r="AV36" s="485">
        <f t="shared" si="14"/>
        <v>0</v>
      </c>
      <c r="AW36" s="704">
        <f t="shared" si="15"/>
        <v>34.624874928322626</v>
      </c>
      <c r="AX36" s="609">
        <f t="shared" si="16"/>
        <v>38585.152669516407</v>
      </c>
      <c r="AZ36" s="779">
        <f t="shared" si="21"/>
        <v>53.107895886316413</v>
      </c>
      <c r="BA36" s="483">
        <f t="shared" si="22"/>
        <v>0.18907337861822029</v>
      </c>
      <c r="BB36" s="205">
        <f>'Input data'!D80/10^6</f>
        <v>0</v>
      </c>
    </row>
    <row r="37" spans="1:54">
      <c r="A37" s="621">
        <f>'Input data'!A81</f>
        <v>1981</v>
      </c>
      <c r="B37" s="1462">
        <f>'Input data'!I81</f>
        <v>578.73</v>
      </c>
      <c r="C37" s="237">
        <f>B37*'Input data'!B81</f>
        <v>14880.3346965</v>
      </c>
      <c r="D37" s="730">
        <f>'Input data'!N81</f>
        <v>0.19892488097366726</v>
      </c>
      <c r="E37" s="483">
        <f>'Input data'!O81</f>
        <v>0.26585903447659598</v>
      </c>
      <c r="F37" s="483">
        <f>'Input data'!P81</f>
        <v>8.9228108703258049E-2</v>
      </c>
      <c r="G37" s="483">
        <f>'Input data'!Q81</f>
        <v>0</v>
      </c>
      <c r="H37" s="483">
        <f>'Input data'!R81</f>
        <v>0</v>
      </c>
      <c r="I37" s="483">
        <f>'Input data'!S81</f>
        <v>0</v>
      </c>
      <c r="J37" s="483">
        <f>'Input data'!T81</f>
        <v>0.4459879758464787</v>
      </c>
      <c r="K37" s="604">
        <f>'Input data'!U81</f>
        <v>1</v>
      </c>
      <c r="L37" s="730">
        <f>'Input data'!V81</f>
        <v>0.29028184578274857</v>
      </c>
      <c r="M37" s="483">
        <f>'Input data'!W81</f>
        <v>0.30317187715157518</v>
      </c>
      <c r="N37" s="483">
        <f>'Input data'!X81</f>
        <v>8.2805443243048754E-2</v>
      </c>
      <c r="O37" s="483">
        <f>'Input data'!Y81</f>
        <v>0</v>
      </c>
      <c r="P37" s="483">
        <f>'Input data'!Z81</f>
        <v>0</v>
      </c>
      <c r="Q37" s="483">
        <f>'Input data'!AA81</f>
        <v>0</v>
      </c>
      <c r="R37" s="483">
        <f>'Input data'!AB81</f>
        <v>0.32374083382262742</v>
      </c>
      <c r="S37" s="604">
        <f t="shared" si="6"/>
        <v>0.99999999999999989</v>
      </c>
      <c r="T37" s="114">
        <f t="shared" si="23"/>
        <v>0.8</v>
      </c>
      <c r="U37" s="114">
        <f t="shared" si="23"/>
        <v>0.11</v>
      </c>
      <c r="V37" s="114">
        <f t="shared" si="23"/>
        <v>0.09</v>
      </c>
      <c r="W37" s="114">
        <f t="shared" si="23"/>
        <v>0</v>
      </c>
      <c r="X37" s="114">
        <f t="shared" si="8"/>
        <v>1</v>
      </c>
      <c r="Y37" s="730">
        <f>'Input data'!$G$35</f>
        <v>0.66241124199764068</v>
      </c>
      <c r="Z37" s="604">
        <f>'Input data'!$H$35</f>
        <v>0.33758875800235938</v>
      </c>
      <c r="AA37" s="602">
        <f>'Input data'!J81</f>
        <v>27.526054267727826</v>
      </c>
      <c r="AB37" s="236">
        <f>'Input data'!L81</f>
        <v>40653.601386849448</v>
      </c>
      <c r="AC37" s="483">
        <f t="shared" si="24"/>
        <v>0.85641924869700936</v>
      </c>
      <c r="AD37" s="483">
        <f t="shared" si="24"/>
        <v>0.14268338865096522</v>
      </c>
      <c r="AE37" s="483">
        <f t="shared" si="24"/>
        <v>0</v>
      </c>
      <c r="AF37" s="483">
        <f t="shared" si="24"/>
        <v>8.973626520254116E-4</v>
      </c>
      <c r="AG37" s="483">
        <f t="shared" si="19"/>
        <v>1</v>
      </c>
      <c r="AH37" s="502">
        <f t="shared" si="25"/>
        <v>0.49613166950665732</v>
      </c>
      <c r="AI37" s="1463">
        <f t="shared" si="25"/>
        <v>0.50386833049334279</v>
      </c>
      <c r="AK37" s="621">
        <f t="shared" si="0"/>
        <v>1981</v>
      </c>
      <c r="AL37" s="235">
        <f t="shared" si="1"/>
        <v>11904.267757200001</v>
      </c>
      <c r="AM37" s="485">
        <f t="shared" si="2"/>
        <v>1084.2591086414066</v>
      </c>
      <c r="AN37" s="485">
        <f t="shared" si="3"/>
        <v>552.57770797359353</v>
      </c>
      <c r="AO37" s="485">
        <f t="shared" si="4"/>
        <v>1339.230122685</v>
      </c>
      <c r="AP37" s="485">
        <f t="shared" si="5"/>
        <v>0</v>
      </c>
      <c r="AQ37" s="237">
        <f t="shared" si="10"/>
        <v>14880.334696500002</v>
      </c>
      <c r="AS37" s="606">
        <f t="shared" si="11"/>
        <v>34816.526756553299</v>
      </c>
      <c r="AT37" s="897">
        <f t="shared" si="12"/>
        <v>2877.8581902421834</v>
      </c>
      <c r="AU37" s="897">
        <f t="shared" si="13"/>
        <v>2922.7354164990757</v>
      </c>
      <c r="AV37" s="485">
        <f t="shared" si="14"/>
        <v>0</v>
      </c>
      <c r="AW37" s="704">
        <f t="shared" si="15"/>
        <v>36.481023554887173</v>
      </c>
      <c r="AX37" s="609">
        <f t="shared" si="16"/>
        <v>40653.601386849448</v>
      </c>
      <c r="AZ37" s="779">
        <f t="shared" si="21"/>
        <v>55.533936083349452</v>
      </c>
      <c r="BA37" s="483">
        <f t="shared" si="22"/>
        <v>0.188634240091996</v>
      </c>
      <c r="BB37" s="205">
        <f>'Input data'!D81/10^6</f>
        <v>0</v>
      </c>
    </row>
    <row r="38" spans="1:54">
      <c r="A38" s="621">
        <f>'Input data'!A82</f>
        <v>1982</v>
      </c>
      <c r="B38" s="1462">
        <f>'Input data'!I82</f>
        <v>578.73</v>
      </c>
      <c r="C38" s="237">
        <f>B38*'Input data'!B82</f>
        <v>15257.938659600002</v>
      </c>
      <c r="D38" s="730">
        <f>'Input data'!N82</f>
        <v>0.19892488097366726</v>
      </c>
      <c r="E38" s="483">
        <f>'Input data'!O82</f>
        <v>0.26585903447659598</v>
      </c>
      <c r="F38" s="483">
        <f>'Input data'!P82</f>
        <v>8.9228108703258049E-2</v>
      </c>
      <c r="G38" s="483">
        <f>'Input data'!Q82</f>
        <v>0</v>
      </c>
      <c r="H38" s="483">
        <f>'Input data'!R82</f>
        <v>0</v>
      </c>
      <c r="I38" s="483">
        <f>'Input data'!S82</f>
        <v>0</v>
      </c>
      <c r="J38" s="483">
        <f>'Input data'!T82</f>
        <v>0.4459879758464787</v>
      </c>
      <c r="K38" s="604">
        <f>'Input data'!U82</f>
        <v>1</v>
      </c>
      <c r="L38" s="730">
        <f>'Input data'!V82</f>
        <v>0.29028184578274857</v>
      </c>
      <c r="M38" s="483">
        <f>'Input data'!W82</f>
        <v>0.30317187715157518</v>
      </c>
      <c r="N38" s="483">
        <f>'Input data'!X82</f>
        <v>8.2805443243048754E-2</v>
      </c>
      <c r="O38" s="483">
        <f>'Input data'!Y82</f>
        <v>0</v>
      </c>
      <c r="P38" s="483">
        <f>'Input data'!Z82</f>
        <v>0</v>
      </c>
      <c r="Q38" s="483">
        <f>'Input data'!AA82</f>
        <v>0</v>
      </c>
      <c r="R38" s="483">
        <f>'Input data'!AB82</f>
        <v>0.32374083382262742</v>
      </c>
      <c r="S38" s="604">
        <f t="shared" si="6"/>
        <v>0.99999999999999989</v>
      </c>
      <c r="T38" s="114">
        <f t="shared" si="23"/>
        <v>0.8</v>
      </c>
      <c r="U38" s="114">
        <f t="shared" si="23"/>
        <v>0.11</v>
      </c>
      <c r="V38" s="114">
        <f t="shared" si="23"/>
        <v>0.09</v>
      </c>
      <c r="W38" s="114">
        <f t="shared" si="23"/>
        <v>0</v>
      </c>
      <c r="X38" s="114">
        <f t="shared" si="8"/>
        <v>1</v>
      </c>
      <c r="Y38" s="730">
        <f>'Input data'!$G$35</f>
        <v>0.66241124199764068</v>
      </c>
      <c r="Z38" s="604">
        <f>'Input data'!$H$35</f>
        <v>0.33758875800235938</v>
      </c>
      <c r="AA38" s="602">
        <f>'Input data'!J82</f>
        <v>27.526054267727826</v>
      </c>
      <c r="AB38" s="236">
        <f>'Input data'!L82</f>
        <v>40497.73923186621</v>
      </c>
      <c r="AC38" s="483">
        <f t="shared" si="24"/>
        <v>0.85641924869700936</v>
      </c>
      <c r="AD38" s="483">
        <f t="shared" si="24"/>
        <v>0.14268338865096522</v>
      </c>
      <c r="AE38" s="483">
        <f t="shared" si="24"/>
        <v>0</v>
      </c>
      <c r="AF38" s="483">
        <f t="shared" si="24"/>
        <v>8.973626520254116E-4</v>
      </c>
      <c r="AG38" s="483">
        <f t="shared" si="19"/>
        <v>1</v>
      </c>
      <c r="AH38" s="502">
        <f t="shared" si="25"/>
        <v>0.49613166950665732</v>
      </c>
      <c r="AI38" s="1463">
        <f t="shared" si="25"/>
        <v>0.50386833049334279</v>
      </c>
      <c r="AK38" s="621">
        <f t="shared" si="0"/>
        <v>1982</v>
      </c>
      <c r="AL38" s="235">
        <f t="shared" si="1"/>
        <v>12206.350927680003</v>
      </c>
      <c r="AM38" s="485">
        <f t="shared" si="2"/>
        <v>1111.7733107612401</v>
      </c>
      <c r="AN38" s="485">
        <f t="shared" si="3"/>
        <v>566.59994179476041</v>
      </c>
      <c r="AO38" s="485">
        <f t="shared" si="4"/>
        <v>1373.2144793640002</v>
      </c>
      <c r="AP38" s="485">
        <f t="shared" si="5"/>
        <v>0</v>
      </c>
      <c r="AQ38" s="237">
        <f t="shared" si="10"/>
        <v>15257.938659600004</v>
      </c>
      <c r="AS38" s="606">
        <f t="shared" si="11"/>
        <v>34683.043406882258</v>
      </c>
      <c r="AT38" s="897">
        <f t="shared" si="12"/>
        <v>2866.8247475958842</v>
      </c>
      <c r="AU38" s="897">
        <f t="shared" si="13"/>
        <v>2911.5299187099245</v>
      </c>
      <c r="AV38" s="485">
        <f t="shared" si="14"/>
        <v>0</v>
      </c>
      <c r="AW38" s="704">
        <f t="shared" si="15"/>
        <v>36.341158678141014</v>
      </c>
      <c r="AX38" s="609">
        <f t="shared" si="16"/>
        <v>40497.73923186621</v>
      </c>
      <c r="AZ38" s="779">
        <f t="shared" si="21"/>
        <v>55.755677891466213</v>
      </c>
      <c r="BA38" s="483">
        <f t="shared" si="22"/>
        <v>0.18908931716289196</v>
      </c>
      <c r="BB38" s="205">
        <f>'Input data'!D82/10^6</f>
        <v>0</v>
      </c>
    </row>
    <row r="39" spans="1:54">
      <c r="A39" s="621">
        <f>'Input data'!A83</f>
        <v>1983</v>
      </c>
      <c r="B39" s="1462">
        <f>'Input data'!I83</f>
        <v>578.73</v>
      </c>
      <c r="C39" s="237">
        <f>B39*'Input data'!B83</f>
        <v>15653.9751732</v>
      </c>
      <c r="D39" s="730">
        <f>'Input data'!N83</f>
        <v>0.19892488097366726</v>
      </c>
      <c r="E39" s="483">
        <f>'Input data'!O83</f>
        <v>0.26585903447659598</v>
      </c>
      <c r="F39" s="483">
        <f>'Input data'!P83</f>
        <v>8.9228108703258049E-2</v>
      </c>
      <c r="G39" s="483">
        <f>'Input data'!Q83</f>
        <v>0</v>
      </c>
      <c r="H39" s="483">
        <f>'Input data'!R83</f>
        <v>0</v>
      </c>
      <c r="I39" s="483">
        <f>'Input data'!S83</f>
        <v>0</v>
      </c>
      <c r="J39" s="483">
        <f>'Input data'!T83</f>
        <v>0.4459879758464787</v>
      </c>
      <c r="K39" s="604">
        <f>'Input data'!U83</f>
        <v>1</v>
      </c>
      <c r="L39" s="730">
        <f>'Input data'!V83</f>
        <v>0.29028184578274857</v>
      </c>
      <c r="M39" s="483">
        <f>'Input data'!W83</f>
        <v>0.30317187715157518</v>
      </c>
      <c r="N39" s="483">
        <f>'Input data'!X83</f>
        <v>8.2805443243048754E-2</v>
      </c>
      <c r="O39" s="483">
        <f>'Input data'!Y83</f>
        <v>0</v>
      </c>
      <c r="P39" s="483">
        <f>'Input data'!Z83</f>
        <v>0</v>
      </c>
      <c r="Q39" s="483">
        <f>'Input data'!AA83</f>
        <v>0</v>
      </c>
      <c r="R39" s="483">
        <f>'Input data'!AB83</f>
        <v>0.32374083382262742</v>
      </c>
      <c r="S39" s="604">
        <f t="shared" si="6"/>
        <v>0.99999999999999989</v>
      </c>
      <c r="T39" s="114">
        <f t="shared" si="23"/>
        <v>0.8</v>
      </c>
      <c r="U39" s="114">
        <f t="shared" si="23"/>
        <v>0.11</v>
      </c>
      <c r="V39" s="114">
        <f t="shared" si="23"/>
        <v>0.09</v>
      </c>
      <c r="W39" s="114">
        <f t="shared" si="23"/>
        <v>0</v>
      </c>
      <c r="X39" s="114">
        <f t="shared" si="8"/>
        <v>1</v>
      </c>
      <c r="Y39" s="730">
        <f>'Input data'!$G$35</f>
        <v>0.66241124199764068</v>
      </c>
      <c r="Z39" s="604">
        <f>'Input data'!$H$35</f>
        <v>0.33758875800235938</v>
      </c>
      <c r="AA39" s="602">
        <f>'Input data'!J83</f>
        <v>27.526054267727826</v>
      </c>
      <c r="AB39" s="236">
        <f>'Input data'!L83</f>
        <v>39749.930464770317</v>
      </c>
      <c r="AC39" s="483">
        <f t="shared" si="24"/>
        <v>0.85641924869700936</v>
      </c>
      <c r="AD39" s="483">
        <f t="shared" si="24"/>
        <v>0.14268338865096522</v>
      </c>
      <c r="AE39" s="483">
        <f t="shared" si="24"/>
        <v>0</v>
      </c>
      <c r="AF39" s="483">
        <f t="shared" si="24"/>
        <v>8.973626520254116E-4</v>
      </c>
      <c r="AG39" s="483">
        <f t="shared" si="19"/>
        <v>1</v>
      </c>
      <c r="AH39" s="502">
        <f t="shared" si="25"/>
        <v>0.49613166950665732</v>
      </c>
      <c r="AI39" s="1463">
        <f t="shared" si="25"/>
        <v>0.50386833049334279</v>
      </c>
      <c r="AK39" s="621">
        <f t="shared" si="0"/>
        <v>1983</v>
      </c>
      <c r="AL39" s="235">
        <f t="shared" si="1"/>
        <v>12523.180138560001</v>
      </c>
      <c r="AM39" s="485">
        <f t="shared" si="2"/>
        <v>1140.6306050347609</v>
      </c>
      <c r="AN39" s="485">
        <f t="shared" si="3"/>
        <v>581.30666401723931</v>
      </c>
      <c r="AO39" s="485">
        <f t="shared" si="4"/>
        <v>1408.8577655879999</v>
      </c>
      <c r="AP39" s="485">
        <f t="shared" si="5"/>
        <v>0</v>
      </c>
      <c r="AQ39" s="237">
        <f t="shared" si="10"/>
        <v>15653.975173200002</v>
      </c>
      <c r="AS39" s="606">
        <f t="shared" si="11"/>
        <v>34042.605584396959</v>
      </c>
      <c r="AT39" s="897">
        <f t="shared" si="12"/>
        <v>2813.8875535538832</v>
      </c>
      <c r="AU39" s="897">
        <f t="shared" si="13"/>
        <v>2857.7672237997836</v>
      </c>
      <c r="AV39" s="485">
        <f t="shared" si="14"/>
        <v>0</v>
      </c>
      <c r="AW39" s="704">
        <f t="shared" si="15"/>
        <v>35.670103019691993</v>
      </c>
      <c r="AX39" s="609">
        <f t="shared" si="16"/>
        <v>39749.930464770317</v>
      </c>
      <c r="AZ39" s="779">
        <f t="shared" si="21"/>
        <v>55.403905637970318</v>
      </c>
      <c r="BA39" s="483">
        <f t="shared" si="22"/>
        <v>0.18979857802885003</v>
      </c>
      <c r="BB39" s="205">
        <f>'Input data'!D83/10^6</f>
        <v>0</v>
      </c>
    </row>
    <row r="40" spans="1:54">
      <c r="A40" s="621">
        <f>'Input data'!A84</f>
        <v>1984</v>
      </c>
      <c r="B40" s="1462">
        <f>'Input data'!I84</f>
        <v>578.73</v>
      </c>
      <c r="C40" s="237">
        <f>B40*'Input data'!B84</f>
        <v>16065.284371499998</v>
      </c>
      <c r="D40" s="730">
        <f>'Input data'!N84</f>
        <v>0.19892488097366726</v>
      </c>
      <c r="E40" s="483">
        <f>'Input data'!O84</f>
        <v>0.26585903447659598</v>
      </c>
      <c r="F40" s="483">
        <f>'Input data'!P84</f>
        <v>8.9228108703258049E-2</v>
      </c>
      <c r="G40" s="483">
        <f>'Input data'!Q84</f>
        <v>0</v>
      </c>
      <c r="H40" s="483">
        <f>'Input data'!R84</f>
        <v>0</v>
      </c>
      <c r="I40" s="483">
        <f>'Input data'!S84</f>
        <v>0</v>
      </c>
      <c r="J40" s="483">
        <f>'Input data'!T84</f>
        <v>0.4459879758464787</v>
      </c>
      <c r="K40" s="604">
        <f>'Input data'!U84</f>
        <v>1</v>
      </c>
      <c r="L40" s="730">
        <f>'Input data'!V84</f>
        <v>0.29028184578274857</v>
      </c>
      <c r="M40" s="483">
        <f>'Input data'!W84</f>
        <v>0.30317187715157518</v>
      </c>
      <c r="N40" s="483">
        <f>'Input data'!X84</f>
        <v>8.2805443243048754E-2</v>
      </c>
      <c r="O40" s="483">
        <f>'Input data'!Y84</f>
        <v>0</v>
      </c>
      <c r="P40" s="483">
        <f>'Input data'!Z84</f>
        <v>0</v>
      </c>
      <c r="Q40" s="483">
        <f>'Input data'!AA84</f>
        <v>0</v>
      </c>
      <c r="R40" s="483">
        <f>'Input data'!AB84</f>
        <v>0.32374083382262742</v>
      </c>
      <c r="S40" s="604">
        <f t="shared" si="6"/>
        <v>0.99999999999999989</v>
      </c>
      <c r="T40" s="114">
        <f t="shared" ref="T40:W55" si="26">T39</f>
        <v>0.8</v>
      </c>
      <c r="U40" s="114">
        <f t="shared" si="26"/>
        <v>0.11</v>
      </c>
      <c r="V40" s="114">
        <f t="shared" si="26"/>
        <v>0.09</v>
      </c>
      <c r="W40" s="114">
        <f t="shared" si="26"/>
        <v>0</v>
      </c>
      <c r="X40" s="114">
        <f t="shared" si="8"/>
        <v>1</v>
      </c>
      <c r="Y40" s="730">
        <f>'Input data'!$G$35</f>
        <v>0.66241124199764068</v>
      </c>
      <c r="Z40" s="604">
        <f>'Input data'!$H$35</f>
        <v>0.33758875800235938</v>
      </c>
      <c r="AA40" s="602">
        <f>'Input data'!J84</f>
        <v>27.526054267727826</v>
      </c>
      <c r="AB40" s="236">
        <f>'Input data'!L84</f>
        <v>41776.825095814049</v>
      </c>
      <c r="AC40" s="483">
        <f t="shared" ref="AC40:AF55" si="27">AC39</f>
        <v>0.85641924869700936</v>
      </c>
      <c r="AD40" s="483">
        <f t="shared" si="27"/>
        <v>0.14268338865096522</v>
      </c>
      <c r="AE40" s="483">
        <f t="shared" si="27"/>
        <v>0</v>
      </c>
      <c r="AF40" s="483">
        <f t="shared" si="27"/>
        <v>8.973626520254116E-4</v>
      </c>
      <c r="AG40" s="483">
        <f t="shared" si="19"/>
        <v>1</v>
      </c>
      <c r="AH40" s="502">
        <f t="shared" ref="AH40:AI55" si="28">AH39</f>
        <v>0.49613166950665732</v>
      </c>
      <c r="AI40" s="1463">
        <f t="shared" si="28"/>
        <v>0.50386833049334279</v>
      </c>
      <c r="AK40" s="621">
        <f t="shared" si="0"/>
        <v>1984</v>
      </c>
      <c r="AL40" s="235">
        <f t="shared" si="1"/>
        <v>12852.2274972</v>
      </c>
      <c r="AM40" s="485">
        <f t="shared" si="2"/>
        <v>1170.6007470927659</v>
      </c>
      <c r="AN40" s="485">
        <f t="shared" si="3"/>
        <v>596.58053377223382</v>
      </c>
      <c r="AO40" s="485">
        <f t="shared" si="4"/>
        <v>1445.8755934349997</v>
      </c>
      <c r="AP40" s="485">
        <f t="shared" si="5"/>
        <v>0</v>
      </c>
      <c r="AQ40" s="237">
        <f t="shared" si="10"/>
        <v>16065.284371499998</v>
      </c>
      <c r="AS40" s="606">
        <f t="shared" si="11"/>
        <v>35778.477161503433</v>
      </c>
      <c r="AT40" s="897">
        <f t="shared" si="12"/>
        <v>2957.3709133477832</v>
      </c>
      <c r="AU40" s="897">
        <f t="shared" si="13"/>
        <v>3003.488058401651</v>
      </c>
      <c r="AV40" s="485">
        <f t="shared" si="14"/>
        <v>0</v>
      </c>
      <c r="AW40" s="704">
        <f t="shared" si="15"/>
        <v>37.488962561181467</v>
      </c>
      <c r="AX40" s="609">
        <f t="shared" si="16"/>
        <v>41776.825095814049</v>
      </c>
      <c r="AZ40" s="779">
        <f t="shared" si="21"/>
        <v>57.842109467314053</v>
      </c>
      <c r="BA40" s="483">
        <f t="shared" si="22"/>
        <v>0.18941540891207401</v>
      </c>
      <c r="BB40" s="205">
        <f>'Input data'!D84/10^6</f>
        <v>0</v>
      </c>
    </row>
    <row r="41" spans="1:54">
      <c r="A41" s="621">
        <f>'Input data'!A85</f>
        <v>1985</v>
      </c>
      <c r="B41" s="1462">
        <f>'Input data'!I85</f>
        <v>578.73</v>
      </c>
      <c r="C41" s="237">
        <f>B41*'Input data'!B85</f>
        <v>16488.1797444</v>
      </c>
      <c r="D41" s="730">
        <f>'Input data'!N85</f>
        <v>0.19892488097366726</v>
      </c>
      <c r="E41" s="483">
        <f>'Input data'!O85</f>
        <v>0.26585903447659598</v>
      </c>
      <c r="F41" s="483">
        <f>'Input data'!P85</f>
        <v>8.9228108703258049E-2</v>
      </c>
      <c r="G41" s="483">
        <f>'Input data'!Q85</f>
        <v>0</v>
      </c>
      <c r="H41" s="483">
        <f>'Input data'!R85</f>
        <v>0</v>
      </c>
      <c r="I41" s="483">
        <f>'Input data'!S85</f>
        <v>0</v>
      </c>
      <c r="J41" s="483">
        <f>'Input data'!T85</f>
        <v>0.4459879758464787</v>
      </c>
      <c r="K41" s="604">
        <f>'Input data'!U85</f>
        <v>1</v>
      </c>
      <c r="L41" s="730">
        <f>'Input data'!V85</f>
        <v>0.29028184578274857</v>
      </c>
      <c r="M41" s="483">
        <f>'Input data'!W85</f>
        <v>0.30317187715157518</v>
      </c>
      <c r="N41" s="483">
        <f>'Input data'!X85</f>
        <v>8.2805443243048754E-2</v>
      </c>
      <c r="O41" s="483">
        <f>'Input data'!Y85</f>
        <v>0</v>
      </c>
      <c r="P41" s="483">
        <f>'Input data'!Z85</f>
        <v>0</v>
      </c>
      <c r="Q41" s="483">
        <f>'Input data'!AA85</f>
        <v>0</v>
      </c>
      <c r="R41" s="483">
        <f>'Input data'!AB85</f>
        <v>0.32374083382262742</v>
      </c>
      <c r="S41" s="604">
        <f t="shared" si="6"/>
        <v>0.99999999999999989</v>
      </c>
      <c r="T41" s="114">
        <f t="shared" si="26"/>
        <v>0.8</v>
      </c>
      <c r="U41" s="114">
        <f t="shared" si="26"/>
        <v>0.11</v>
      </c>
      <c r="V41" s="114">
        <f t="shared" si="26"/>
        <v>0.09</v>
      </c>
      <c r="W41" s="114">
        <f t="shared" si="26"/>
        <v>0</v>
      </c>
      <c r="X41" s="114">
        <f t="shared" si="8"/>
        <v>1</v>
      </c>
      <c r="Y41" s="730">
        <f>'Input data'!$G$35</f>
        <v>0.66241124199764068</v>
      </c>
      <c r="Z41" s="604">
        <f>'Input data'!$H$35</f>
        <v>0.33758875800235938</v>
      </c>
      <c r="AA41" s="602">
        <f>'Input data'!J85</f>
        <v>27.526054267727826</v>
      </c>
      <c r="AB41" s="236">
        <f>'Input data'!L85</f>
        <v>41270.705661463151</v>
      </c>
      <c r="AC41" s="483">
        <f t="shared" si="27"/>
        <v>0.85641924869700936</v>
      </c>
      <c r="AD41" s="483">
        <f t="shared" si="27"/>
        <v>0.14268338865096522</v>
      </c>
      <c r="AE41" s="483">
        <f t="shared" si="27"/>
        <v>0</v>
      </c>
      <c r="AF41" s="483">
        <f t="shared" si="27"/>
        <v>8.973626520254116E-4</v>
      </c>
      <c r="AG41" s="483">
        <f t="shared" si="19"/>
        <v>1</v>
      </c>
      <c r="AH41" s="502">
        <f t="shared" si="28"/>
        <v>0.49613166950665732</v>
      </c>
      <c r="AI41" s="1463">
        <f t="shared" si="28"/>
        <v>0.50386833049334279</v>
      </c>
      <c r="AK41" s="621">
        <f t="shared" si="0"/>
        <v>1985</v>
      </c>
      <c r="AL41" s="235">
        <f t="shared" si="1"/>
        <v>13190.543795520001</v>
      </c>
      <c r="AM41" s="485">
        <f t="shared" si="2"/>
        <v>1201.415118504518</v>
      </c>
      <c r="AN41" s="485">
        <f t="shared" si="3"/>
        <v>612.28465337948205</v>
      </c>
      <c r="AO41" s="485">
        <f t="shared" si="4"/>
        <v>1483.9361769960001</v>
      </c>
      <c r="AP41" s="485">
        <f t="shared" si="5"/>
        <v>0</v>
      </c>
      <c r="AQ41" s="237">
        <f t="shared" si="10"/>
        <v>16488.1797444</v>
      </c>
      <c r="AS41" s="606">
        <f t="shared" si="11"/>
        <v>35345.026735785679</v>
      </c>
      <c r="AT41" s="897">
        <f t="shared" si="12"/>
        <v>2921.542846222133</v>
      </c>
      <c r="AU41" s="897">
        <f t="shared" si="13"/>
        <v>2967.1012895720055</v>
      </c>
      <c r="AV41" s="485">
        <f t="shared" si="14"/>
        <v>0</v>
      </c>
      <c r="AW41" s="704">
        <f t="shared" si="15"/>
        <v>37.034789883330745</v>
      </c>
      <c r="AX41" s="609">
        <f t="shared" si="16"/>
        <v>41270.705661463144</v>
      </c>
      <c r="AZ41" s="779">
        <f t="shared" si="21"/>
        <v>57.758885405863147</v>
      </c>
      <c r="BA41" s="483">
        <f t="shared" si="22"/>
        <v>0.19003206871975217</v>
      </c>
      <c r="BB41" s="205">
        <f>'Input data'!D85/10^6</f>
        <v>0</v>
      </c>
    </row>
    <row r="42" spans="1:54">
      <c r="A42" s="621">
        <f>'Input data'!A86</f>
        <v>1986</v>
      </c>
      <c r="B42" s="1462">
        <f>'Input data'!I86</f>
        <v>578.73</v>
      </c>
      <c r="C42" s="237">
        <f>B42*'Input data'!B86</f>
        <v>16916.341560300003</v>
      </c>
      <c r="D42" s="730">
        <f>'Input data'!N86</f>
        <v>0.19892488097366726</v>
      </c>
      <c r="E42" s="483">
        <f>'Input data'!O86</f>
        <v>0.26585903447659598</v>
      </c>
      <c r="F42" s="483">
        <f>'Input data'!P86</f>
        <v>8.9228108703258049E-2</v>
      </c>
      <c r="G42" s="483">
        <f>'Input data'!Q86</f>
        <v>0</v>
      </c>
      <c r="H42" s="483">
        <f>'Input data'!R86</f>
        <v>0</v>
      </c>
      <c r="I42" s="483">
        <f>'Input data'!S86</f>
        <v>0</v>
      </c>
      <c r="J42" s="483">
        <f>'Input data'!T86</f>
        <v>0.4459879758464787</v>
      </c>
      <c r="K42" s="604">
        <f>'Input data'!U86</f>
        <v>1</v>
      </c>
      <c r="L42" s="730">
        <f>'Input data'!V86</f>
        <v>0.29028184578274857</v>
      </c>
      <c r="M42" s="483">
        <f>'Input data'!W86</f>
        <v>0.30317187715157518</v>
      </c>
      <c r="N42" s="483">
        <f>'Input data'!X86</f>
        <v>8.2805443243048754E-2</v>
      </c>
      <c r="O42" s="483">
        <f>'Input data'!Y86</f>
        <v>0</v>
      </c>
      <c r="P42" s="483">
        <f>'Input data'!Z86</f>
        <v>0</v>
      </c>
      <c r="Q42" s="483">
        <f>'Input data'!AA86</f>
        <v>0</v>
      </c>
      <c r="R42" s="483">
        <f>'Input data'!AB86</f>
        <v>0.32374083382262742</v>
      </c>
      <c r="S42" s="604">
        <f t="shared" si="6"/>
        <v>0.99999999999999989</v>
      </c>
      <c r="T42" s="114">
        <f t="shared" si="26"/>
        <v>0.8</v>
      </c>
      <c r="U42" s="114">
        <f t="shared" si="26"/>
        <v>0.11</v>
      </c>
      <c r="V42" s="114">
        <f t="shared" si="26"/>
        <v>0.09</v>
      </c>
      <c r="W42" s="114">
        <f t="shared" si="26"/>
        <v>0</v>
      </c>
      <c r="X42" s="114">
        <f t="shared" si="8"/>
        <v>1</v>
      </c>
      <c r="Y42" s="730">
        <f>'Input data'!$G$35</f>
        <v>0.66241124199764068</v>
      </c>
      <c r="Z42" s="604">
        <f>'Input data'!$H$35</f>
        <v>0.33758875800235938</v>
      </c>
      <c r="AA42" s="602">
        <f>'Input data'!J86</f>
        <v>27.526054267727826</v>
      </c>
      <c r="AB42" s="236">
        <f>'Input data'!L86</f>
        <v>41278.06620019691</v>
      </c>
      <c r="AC42" s="483">
        <f t="shared" si="27"/>
        <v>0.85641924869700936</v>
      </c>
      <c r="AD42" s="483">
        <f t="shared" si="27"/>
        <v>0.14268338865096522</v>
      </c>
      <c r="AE42" s="483">
        <f t="shared" si="27"/>
        <v>0</v>
      </c>
      <c r="AF42" s="483">
        <f t="shared" si="27"/>
        <v>8.973626520254116E-4</v>
      </c>
      <c r="AG42" s="483">
        <f t="shared" si="19"/>
        <v>1</v>
      </c>
      <c r="AH42" s="502">
        <f t="shared" si="28"/>
        <v>0.49613166950665732</v>
      </c>
      <c r="AI42" s="1463">
        <f t="shared" si="28"/>
        <v>0.50386833049334279</v>
      </c>
      <c r="AK42" s="621">
        <f t="shared" si="0"/>
        <v>1986</v>
      </c>
      <c r="AL42" s="235">
        <f t="shared" si="1"/>
        <v>13533.073248240004</v>
      </c>
      <c r="AM42" s="485">
        <f t="shared" si="2"/>
        <v>1232.6132305316094</v>
      </c>
      <c r="AN42" s="485">
        <f t="shared" si="3"/>
        <v>628.18434110139094</v>
      </c>
      <c r="AO42" s="485">
        <f t="shared" si="4"/>
        <v>1522.4707404270002</v>
      </c>
      <c r="AP42" s="485">
        <f t="shared" si="5"/>
        <v>0</v>
      </c>
      <c r="AQ42" s="237">
        <f t="shared" si="10"/>
        <v>16916.341560300003</v>
      </c>
      <c r="AS42" s="606">
        <f t="shared" si="11"/>
        <v>35351.330442838051</v>
      </c>
      <c r="AT42" s="897">
        <f t="shared" si="12"/>
        <v>2922.0638969029319</v>
      </c>
      <c r="AU42" s="897">
        <f t="shared" si="13"/>
        <v>2967.6304655000358</v>
      </c>
      <c r="AV42" s="485">
        <f t="shared" si="14"/>
        <v>0</v>
      </c>
      <c r="AW42" s="704">
        <f t="shared" si="15"/>
        <v>37.041394955889203</v>
      </c>
      <c r="AX42" s="609">
        <f t="shared" si="16"/>
        <v>41278.066200196903</v>
      </c>
      <c r="AZ42" s="779">
        <f t="shared" si="21"/>
        <v>58.194407760496908</v>
      </c>
      <c r="BA42" s="483">
        <f t="shared" si="22"/>
        <v>0.19044937375635884</v>
      </c>
      <c r="BB42" s="205">
        <f>'Input data'!D86/10^6</f>
        <v>0</v>
      </c>
    </row>
    <row r="43" spans="1:54">
      <c r="A43" s="621">
        <f>'Input data'!A87</f>
        <v>1987</v>
      </c>
      <c r="B43" s="1462">
        <f>'Input data'!I87</f>
        <v>578.73</v>
      </c>
      <c r="C43" s="237">
        <f>B43*'Input data'!B87</f>
        <v>17343.976731900002</v>
      </c>
      <c r="D43" s="730">
        <f>'Input data'!N87</f>
        <v>0.19892488097366726</v>
      </c>
      <c r="E43" s="483">
        <f>'Input data'!O87</f>
        <v>0.26585903447659598</v>
      </c>
      <c r="F43" s="483">
        <f>'Input data'!P87</f>
        <v>8.9228108703258049E-2</v>
      </c>
      <c r="G43" s="483">
        <f>'Input data'!Q87</f>
        <v>0</v>
      </c>
      <c r="H43" s="483">
        <f>'Input data'!R87</f>
        <v>0</v>
      </c>
      <c r="I43" s="483">
        <f>'Input data'!S87</f>
        <v>0</v>
      </c>
      <c r="J43" s="483">
        <f>'Input data'!T87</f>
        <v>0.4459879758464787</v>
      </c>
      <c r="K43" s="604">
        <f>'Input data'!U87</f>
        <v>1</v>
      </c>
      <c r="L43" s="730">
        <f>'Input data'!V87</f>
        <v>0.29028184578274857</v>
      </c>
      <c r="M43" s="483">
        <f>'Input data'!W87</f>
        <v>0.30317187715157518</v>
      </c>
      <c r="N43" s="483">
        <f>'Input data'!X87</f>
        <v>8.2805443243048754E-2</v>
      </c>
      <c r="O43" s="483">
        <f>'Input data'!Y87</f>
        <v>0</v>
      </c>
      <c r="P43" s="483">
        <f>'Input data'!Z87</f>
        <v>0</v>
      </c>
      <c r="Q43" s="483">
        <f>'Input data'!AA87</f>
        <v>0</v>
      </c>
      <c r="R43" s="483">
        <f>'Input data'!AB87</f>
        <v>0.32374083382262742</v>
      </c>
      <c r="S43" s="604">
        <f t="shared" si="6"/>
        <v>0.99999999999999989</v>
      </c>
      <c r="T43" s="114">
        <f t="shared" si="26"/>
        <v>0.8</v>
      </c>
      <c r="U43" s="114">
        <f t="shared" si="26"/>
        <v>0.11</v>
      </c>
      <c r="V43" s="114">
        <f t="shared" si="26"/>
        <v>0.09</v>
      </c>
      <c r="W43" s="114">
        <f t="shared" si="26"/>
        <v>0</v>
      </c>
      <c r="X43" s="114">
        <f t="shared" si="8"/>
        <v>1</v>
      </c>
      <c r="Y43" s="730">
        <f>'Input data'!$G$35</f>
        <v>0.66241124199764068</v>
      </c>
      <c r="Z43" s="604">
        <f>'Input data'!$H$35</f>
        <v>0.33758875800235938</v>
      </c>
      <c r="AA43" s="602">
        <f>'Input data'!J87</f>
        <v>27.526054267727826</v>
      </c>
      <c r="AB43" s="236">
        <f>'Input data'!L87</f>
        <v>42145.209075412138</v>
      </c>
      <c r="AC43" s="483">
        <f t="shared" si="27"/>
        <v>0.85641924869700936</v>
      </c>
      <c r="AD43" s="483">
        <f t="shared" si="27"/>
        <v>0.14268338865096522</v>
      </c>
      <c r="AE43" s="483">
        <f t="shared" si="27"/>
        <v>0</v>
      </c>
      <c r="AF43" s="483">
        <f t="shared" si="27"/>
        <v>8.973626520254116E-4</v>
      </c>
      <c r="AG43" s="483">
        <f t="shared" si="19"/>
        <v>1</v>
      </c>
      <c r="AH43" s="502">
        <f t="shared" si="28"/>
        <v>0.49613166950665732</v>
      </c>
      <c r="AI43" s="1463">
        <f t="shared" si="28"/>
        <v>0.50386833049334279</v>
      </c>
      <c r="AK43" s="621">
        <f t="shared" si="0"/>
        <v>1987</v>
      </c>
      <c r="AL43" s="235">
        <f t="shared" si="1"/>
        <v>13875.181385520002</v>
      </c>
      <c r="AM43" s="485">
        <f t="shared" si="2"/>
        <v>1263.7729684971669</v>
      </c>
      <c r="AN43" s="485">
        <f t="shared" si="3"/>
        <v>644.06447201183357</v>
      </c>
      <c r="AO43" s="485">
        <f t="shared" si="4"/>
        <v>1560.9579058710001</v>
      </c>
      <c r="AP43" s="485">
        <f t="shared" si="5"/>
        <v>0</v>
      </c>
      <c r="AQ43" s="237">
        <f t="shared" si="10"/>
        <v>17343.976731900002</v>
      </c>
      <c r="AS43" s="606">
        <f t="shared" si="11"/>
        <v>36093.968292542842</v>
      </c>
      <c r="AT43" s="897">
        <f t="shared" si="12"/>
        <v>2983.4487223652964</v>
      </c>
      <c r="AU43" s="897">
        <f t="shared" si="13"/>
        <v>3029.9725239179211</v>
      </c>
      <c r="AV43" s="485">
        <f t="shared" si="14"/>
        <v>0</v>
      </c>
      <c r="AW43" s="704">
        <f t="shared" si="15"/>
        <v>37.819536586077284</v>
      </c>
      <c r="AX43" s="609">
        <f t="shared" si="16"/>
        <v>42145.209075412138</v>
      </c>
      <c r="AZ43" s="779">
        <f t="shared" si="21"/>
        <v>59.48918580731214</v>
      </c>
      <c r="BA43" s="483">
        <f t="shared" si="22"/>
        <v>0.19051827358648701</v>
      </c>
      <c r="BB43" s="205">
        <f>'Input data'!D87/10^6</f>
        <v>0</v>
      </c>
    </row>
    <row r="44" spans="1:54">
      <c r="A44" s="621">
        <f>'Input data'!A88</f>
        <v>1988</v>
      </c>
      <c r="B44" s="1462">
        <f>'Input data'!I88</f>
        <v>578.73</v>
      </c>
      <c r="C44" s="237">
        <f>B44*'Input data'!B88</f>
        <v>17762.658950400004</v>
      </c>
      <c r="D44" s="730">
        <f>'Input data'!N88</f>
        <v>0.19892488097366726</v>
      </c>
      <c r="E44" s="483">
        <f>'Input data'!O88</f>
        <v>0.26585903447659598</v>
      </c>
      <c r="F44" s="483">
        <f>'Input data'!P88</f>
        <v>8.9228108703258049E-2</v>
      </c>
      <c r="G44" s="483">
        <f>'Input data'!Q88</f>
        <v>0</v>
      </c>
      <c r="H44" s="483">
        <f>'Input data'!R88</f>
        <v>0</v>
      </c>
      <c r="I44" s="483">
        <f>'Input data'!S88</f>
        <v>0</v>
      </c>
      <c r="J44" s="483">
        <f>'Input data'!T88</f>
        <v>0.4459879758464787</v>
      </c>
      <c r="K44" s="604">
        <f>'Input data'!U88</f>
        <v>1</v>
      </c>
      <c r="L44" s="730">
        <f>'Input data'!V88</f>
        <v>0.29028184578274857</v>
      </c>
      <c r="M44" s="483">
        <f>'Input data'!W88</f>
        <v>0.30317187715157518</v>
      </c>
      <c r="N44" s="483">
        <f>'Input data'!X88</f>
        <v>8.2805443243048754E-2</v>
      </c>
      <c r="O44" s="483">
        <f>'Input data'!Y88</f>
        <v>0</v>
      </c>
      <c r="P44" s="483">
        <f>'Input data'!Z88</f>
        <v>0</v>
      </c>
      <c r="Q44" s="483">
        <f>'Input data'!AA88</f>
        <v>0</v>
      </c>
      <c r="R44" s="483">
        <f>'Input data'!AB88</f>
        <v>0.32374083382262742</v>
      </c>
      <c r="S44" s="604">
        <f t="shared" si="6"/>
        <v>0.99999999999999989</v>
      </c>
      <c r="T44" s="114">
        <f t="shared" si="26"/>
        <v>0.8</v>
      </c>
      <c r="U44" s="114">
        <f t="shared" si="26"/>
        <v>0.11</v>
      </c>
      <c r="V44" s="114">
        <f t="shared" si="26"/>
        <v>0.09</v>
      </c>
      <c r="W44" s="114">
        <f t="shared" si="26"/>
        <v>0</v>
      </c>
      <c r="X44" s="114">
        <f t="shared" si="8"/>
        <v>1</v>
      </c>
      <c r="Y44" s="730">
        <f>'Input data'!$G$35</f>
        <v>0.66241124199764068</v>
      </c>
      <c r="Z44" s="604">
        <f>'Input data'!$H$35</f>
        <v>0.33758875800235938</v>
      </c>
      <c r="AA44" s="602">
        <f>'Input data'!J88</f>
        <v>27.526054267727826</v>
      </c>
      <c r="AB44" s="236">
        <f>'Input data'!L88</f>
        <v>43915.363719632624</v>
      </c>
      <c r="AC44" s="483">
        <f t="shared" si="27"/>
        <v>0.85641924869700936</v>
      </c>
      <c r="AD44" s="483">
        <f t="shared" si="27"/>
        <v>0.14268338865096522</v>
      </c>
      <c r="AE44" s="483">
        <f t="shared" si="27"/>
        <v>0</v>
      </c>
      <c r="AF44" s="483">
        <f t="shared" si="27"/>
        <v>8.973626520254116E-4</v>
      </c>
      <c r="AG44" s="483">
        <f t="shared" si="19"/>
        <v>1</v>
      </c>
      <c r="AH44" s="502">
        <f t="shared" si="28"/>
        <v>0.49613166950665732</v>
      </c>
      <c r="AI44" s="1463">
        <f t="shared" si="28"/>
        <v>0.50386833049334279</v>
      </c>
      <c r="AK44" s="621">
        <f t="shared" si="0"/>
        <v>1988</v>
      </c>
      <c r="AL44" s="235">
        <f t="shared" si="1"/>
        <v>14210.127160320004</v>
      </c>
      <c r="AM44" s="485">
        <f t="shared" si="2"/>
        <v>1294.2803474166471</v>
      </c>
      <c r="AN44" s="485">
        <f t="shared" si="3"/>
        <v>659.61213712735321</v>
      </c>
      <c r="AO44" s="485">
        <f t="shared" si="4"/>
        <v>1598.6393055360004</v>
      </c>
      <c r="AP44" s="485">
        <f t="shared" si="5"/>
        <v>0</v>
      </c>
      <c r="AQ44" s="237">
        <f t="shared" si="10"/>
        <v>17762.658950400004</v>
      </c>
      <c r="AS44" s="606">
        <f t="shared" si="11"/>
        <v>37609.962803023671</v>
      </c>
      <c r="AT44" s="897">
        <f t="shared" si="12"/>
        <v>3108.7575232360855</v>
      </c>
      <c r="AU44" s="897">
        <f t="shared" si="13"/>
        <v>3157.2353861207544</v>
      </c>
      <c r="AV44" s="485">
        <f t="shared" si="14"/>
        <v>0</v>
      </c>
      <c r="AW44" s="704">
        <f t="shared" si="15"/>
        <v>39.408007252110075</v>
      </c>
      <c r="AX44" s="609">
        <f t="shared" si="16"/>
        <v>43915.363719632616</v>
      </c>
      <c r="AZ44" s="779">
        <f t="shared" si="21"/>
        <v>61.678022670032611</v>
      </c>
      <c r="BA44" s="483">
        <f t="shared" si="22"/>
        <v>0.19023380147858124</v>
      </c>
      <c r="BB44" s="205">
        <f>'Input data'!D88/10^6</f>
        <v>0</v>
      </c>
    </row>
    <row r="45" spans="1:54">
      <c r="A45" s="621">
        <f>'Input data'!A89</f>
        <v>1989</v>
      </c>
      <c r="B45" s="1462">
        <f>'Input data'!I89</f>
        <v>578.73</v>
      </c>
      <c r="C45" s="237">
        <f>B45*'Input data'!B89</f>
        <v>18164.488551300001</v>
      </c>
      <c r="D45" s="730">
        <f>'Input data'!N89</f>
        <v>0.19892488097366726</v>
      </c>
      <c r="E45" s="483">
        <f>'Input data'!O89</f>
        <v>0.26585903447659598</v>
      </c>
      <c r="F45" s="483">
        <f>'Input data'!P89</f>
        <v>8.9228108703258049E-2</v>
      </c>
      <c r="G45" s="483">
        <f>'Input data'!Q89</f>
        <v>0</v>
      </c>
      <c r="H45" s="483">
        <f>'Input data'!R89</f>
        <v>0</v>
      </c>
      <c r="I45" s="483">
        <f>'Input data'!S89</f>
        <v>0</v>
      </c>
      <c r="J45" s="483">
        <f>'Input data'!T89</f>
        <v>0.4459879758464787</v>
      </c>
      <c r="K45" s="604">
        <f>'Input data'!U89</f>
        <v>1</v>
      </c>
      <c r="L45" s="730">
        <f>'Input data'!V89</f>
        <v>0.29028184578274857</v>
      </c>
      <c r="M45" s="483">
        <f>'Input data'!W89</f>
        <v>0.30317187715157518</v>
      </c>
      <c r="N45" s="483">
        <f>'Input data'!X89</f>
        <v>8.2805443243048754E-2</v>
      </c>
      <c r="O45" s="483">
        <f>'Input data'!Y89</f>
        <v>0</v>
      </c>
      <c r="P45" s="483">
        <f>'Input data'!Z89</f>
        <v>0</v>
      </c>
      <c r="Q45" s="483">
        <f>'Input data'!AA89</f>
        <v>0</v>
      </c>
      <c r="R45" s="483">
        <f>'Input data'!AB89</f>
        <v>0.32374083382262742</v>
      </c>
      <c r="S45" s="604">
        <f t="shared" si="6"/>
        <v>0.99999999999999989</v>
      </c>
      <c r="T45" s="114">
        <f t="shared" si="26"/>
        <v>0.8</v>
      </c>
      <c r="U45" s="114">
        <f t="shared" si="26"/>
        <v>0.11</v>
      </c>
      <c r="V45" s="114">
        <f t="shared" si="26"/>
        <v>0.09</v>
      </c>
      <c r="W45" s="114">
        <f t="shared" si="26"/>
        <v>0</v>
      </c>
      <c r="X45" s="114">
        <f t="shared" si="8"/>
        <v>1</v>
      </c>
      <c r="Y45" s="730">
        <f>'Input data'!$G$35</f>
        <v>0.66241124199764068</v>
      </c>
      <c r="Z45" s="604">
        <f>'Input data'!$H$35</f>
        <v>0.33758875800235938</v>
      </c>
      <c r="AA45" s="602">
        <f>'Input data'!J89</f>
        <v>27.526054267727826</v>
      </c>
      <c r="AB45" s="236">
        <f>'Input data'!L89</f>
        <v>44967.041893357622</v>
      </c>
      <c r="AC45" s="483">
        <f t="shared" si="27"/>
        <v>0.85641924869700936</v>
      </c>
      <c r="AD45" s="483">
        <f t="shared" si="27"/>
        <v>0.14268338865096522</v>
      </c>
      <c r="AE45" s="483">
        <f t="shared" si="27"/>
        <v>0</v>
      </c>
      <c r="AF45" s="483">
        <f t="shared" si="27"/>
        <v>8.973626520254116E-4</v>
      </c>
      <c r="AG45" s="483">
        <f t="shared" si="19"/>
        <v>1</v>
      </c>
      <c r="AH45" s="502">
        <f t="shared" si="28"/>
        <v>0.49613166950665732</v>
      </c>
      <c r="AI45" s="1463">
        <f t="shared" si="28"/>
        <v>0.50386833049334279</v>
      </c>
      <c r="AK45" s="621">
        <f t="shared" si="0"/>
        <v>1989</v>
      </c>
      <c r="AL45" s="235">
        <f t="shared" si="1"/>
        <v>14531.590841040001</v>
      </c>
      <c r="AM45" s="485">
        <f t="shared" si="2"/>
        <v>1323.5597563670415</v>
      </c>
      <c r="AN45" s="485">
        <f t="shared" si="3"/>
        <v>674.5339842759588</v>
      </c>
      <c r="AO45" s="485">
        <f t="shared" si="4"/>
        <v>1634.8039696170001</v>
      </c>
      <c r="AP45" s="485">
        <f t="shared" si="5"/>
        <v>0</v>
      </c>
      <c r="AQ45" s="237">
        <f t="shared" si="10"/>
        <v>18164.488551300004</v>
      </c>
      <c r="AS45" s="606">
        <f t="shared" si="11"/>
        <v>38510.64023443628</v>
      </c>
      <c r="AT45" s="897">
        <f t="shared" si="12"/>
        <v>3183.2055559442642</v>
      </c>
      <c r="AU45" s="897">
        <f t="shared" si="13"/>
        <v>3232.8443590099168</v>
      </c>
      <c r="AV45" s="485">
        <f t="shared" si="14"/>
        <v>0</v>
      </c>
      <c r="AW45" s="704">
        <f t="shared" si="15"/>
        <v>40.351743967161184</v>
      </c>
      <c r="AX45" s="609">
        <f t="shared" si="16"/>
        <v>44967.041893357629</v>
      </c>
      <c r="AZ45" s="779">
        <f t="shared" si="21"/>
        <v>63.131530444657628</v>
      </c>
      <c r="BA45" s="483">
        <f t="shared" si="22"/>
        <v>0.19021257523698082</v>
      </c>
      <c r="BB45" s="205">
        <f>'Input data'!D89/10^6</f>
        <v>0</v>
      </c>
    </row>
    <row r="46" spans="1:54">
      <c r="A46" s="621">
        <f>'Input data'!A90</f>
        <v>1990</v>
      </c>
      <c r="B46" s="1462">
        <f>'Input data'!I90</f>
        <v>578.73</v>
      </c>
      <c r="C46" s="237">
        <f>B46*'Input data'!B90</f>
        <v>18537.879360000003</v>
      </c>
      <c r="D46" s="730">
        <f>'Input data'!N90</f>
        <v>0.19892488097366726</v>
      </c>
      <c r="E46" s="483">
        <f>'Input data'!O90</f>
        <v>0.26585903447659598</v>
      </c>
      <c r="F46" s="483">
        <f>'Input data'!P90</f>
        <v>8.9228108703258049E-2</v>
      </c>
      <c r="G46" s="483">
        <f>'Input data'!Q90</f>
        <v>0</v>
      </c>
      <c r="H46" s="483">
        <f>'Input data'!R90</f>
        <v>0</v>
      </c>
      <c r="I46" s="483">
        <f>'Input data'!S90</f>
        <v>0</v>
      </c>
      <c r="J46" s="483">
        <f>'Input data'!T90</f>
        <v>0.4459879758464787</v>
      </c>
      <c r="K46" s="604">
        <f>'Input data'!U90</f>
        <v>1</v>
      </c>
      <c r="L46" s="730">
        <f>'Input data'!V90</f>
        <v>0.29028184578274857</v>
      </c>
      <c r="M46" s="483">
        <f>'Input data'!W90</f>
        <v>0.30317187715157518</v>
      </c>
      <c r="N46" s="483">
        <f>'Input data'!X90</f>
        <v>8.2805443243048754E-2</v>
      </c>
      <c r="O46" s="483">
        <f>'Input data'!Y90</f>
        <v>0</v>
      </c>
      <c r="P46" s="483">
        <f>'Input data'!Z90</f>
        <v>0</v>
      </c>
      <c r="Q46" s="483">
        <f>'Input data'!AA90</f>
        <v>0</v>
      </c>
      <c r="R46" s="483">
        <f>'Input data'!AB90</f>
        <v>0.32374083382262742</v>
      </c>
      <c r="S46" s="604">
        <f t="shared" si="6"/>
        <v>0.99999999999999989</v>
      </c>
      <c r="T46" s="114">
        <f t="shared" si="26"/>
        <v>0.8</v>
      </c>
      <c r="U46" s="114">
        <f t="shared" si="26"/>
        <v>0.11</v>
      </c>
      <c r="V46" s="114">
        <f t="shared" si="26"/>
        <v>0.09</v>
      </c>
      <c r="W46" s="114">
        <f t="shared" si="26"/>
        <v>0</v>
      </c>
      <c r="X46" s="114">
        <f t="shared" si="8"/>
        <v>1</v>
      </c>
      <c r="Y46" s="730">
        <f>'Input data'!$G$35</f>
        <v>0.66241124199764068</v>
      </c>
      <c r="Z46" s="604">
        <f>'Input data'!$H$35</f>
        <v>0.33758875800235938</v>
      </c>
      <c r="AA46" s="602">
        <f>'Input data'!J90</f>
        <v>27.526054267727826</v>
      </c>
      <c r="AB46" s="236">
        <f>'Input data'!L90</f>
        <v>44824.143075299617</v>
      </c>
      <c r="AC46" s="483">
        <f t="shared" si="27"/>
        <v>0.85641924869700936</v>
      </c>
      <c r="AD46" s="483">
        <f t="shared" si="27"/>
        <v>0.14268338865096522</v>
      </c>
      <c r="AE46" s="483">
        <f t="shared" si="27"/>
        <v>0</v>
      </c>
      <c r="AF46" s="483">
        <f t="shared" si="27"/>
        <v>8.973626520254116E-4</v>
      </c>
      <c r="AG46" s="483">
        <f t="shared" si="19"/>
        <v>1</v>
      </c>
      <c r="AH46" s="502">
        <f t="shared" si="28"/>
        <v>0.49613166950665732</v>
      </c>
      <c r="AI46" s="1463">
        <f t="shared" si="28"/>
        <v>0.50386833049334279</v>
      </c>
      <c r="AK46" s="621">
        <f t="shared" si="0"/>
        <v>1990</v>
      </c>
      <c r="AL46" s="235">
        <f t="shared" si="1"/>
        <v>14830.303488000003</v>
      </c>
      <c r="AM46" s="485">
        <f t="shared" si="2"/>
        <v>1350.7669659946034</v>
      </c>
      <c r="AN46" s="485">
        <f t="shared" si="3"/>
        <v>688.39976360539708</v>
      </c>
      <c r="AO46" s="485">
        <f t="shared" si="4"/>
        <v>1668.4091424000001</v>
      </c>
      <c r="AP46" s="485">
        <f t="shared" si="5"/>
        <v>0</v>
      </c>
      <c r="AQ46" s="237">
        <f t="shared" si="10"/>
        <v>18537.879360000003</v>
      </c>
      <c r="AS46" s="606">
        <f t="shared" si="11"/>
        <v>38388.258936035352</v>
      </c>
      <c r="AT46" s="897">
        <f t="shared" si="12"/>
        <v>3173.0897846498374</v>
      </c>
      <c r="AU46" s="897">
        <f t="shared" si="13"/>
        <v>3222.5708427096097</v>
      </c>
      <c r="AV46" s="485">
        <f t="shared" si="14"/>
        <v>0</v>
      </c>
      <c r="AW46" s="704">
        <f t="shared" si="15"/>
        <v>40.22351190481735</v>
      </c>
      <c r="AX46" s="609">
        <f t="shared" si="16"/>
        <v>44824.143075299617</v>
      </c>
      <c r="AZ46" s="779">
        <f t="shared" si="21"/>
        <v>63.362022435299615</v>
      </c>
      <c r="BA46" s="483">
        <f t="shared" si="22"/>
        <v>0.19060003782971635</v>
      </c>
      <c r="BB46" s="205">
        <f>'Input data'!D90/10^6</f>
        <v>0</v>
      </c>
    </row>
    <row r="47" spans="1:54">
      <c r="A47" s="621">
        <f>'Input data'!A91</f>
        <v>1991</v>
      </c>
      <c r="B47" s="1462">
        <f>'Input data'!I91</f>
        <v>578.73</v>
      </c>
      <c r="C47" s="237">
        <f>B47*'Input data'!B91</f>
        <v>18923.909631900002</v>
      </c>
      <c r="D47" s="730">
        <f>'Input data'!N91</f>
        <v>0.19892488097366726</v>
      </c>
      <c r="E47" s="483">
        <f>'Input data'!O91</f>
        <v>0.26585903447659598</v>
      </c>
      <c r="F47" s="483">
        <f>'Input data'!P91</f>
        <v>8.9228108703258049E-2</v>
      </c>
      <c r="G47" s="483">
        <f>'Input data'!Q91</f>
        <v>0</v>
      </c>
      <c r="H47" s="483">
        <f>'Input data'!R91</f>
        <v>0</v>
      </c>
      <c r="I47" s="483">
        <f>'Input data'!S91</f>
        <v>0</v>
      </c>
      <c r="J47" s="483">
        <f>'Input data'!T91</f>
        <v>0.4459879758464787</v>
      </c>
      <c r="K47" s="604">
        <f>'Input data'!U91</f>
        <v>1</v>
      </c>
      <c r="L47" s="730">
        <f>'Input data'!V91</f>
        <v>0.29028184578274857</v>
      </c>
      <c r="M47" s="483">
        <f>'Input data'!W91</f>
        <v>0.30317187715157518</v>
      </c>
      <c r="N47" s="483">
        <f>'Input data'!X91</f>
        <v>8.2805443243048754E-2</v>
      </c>
      <c r="O47" s="483">
        <f>'Input data'!Y91</f>
        <v>0</v>
      </c>
      <c r="P47" s="483">
        <f>'Input data'!Z91</f>
        <v>0</v>
      </c>
      <c r="Q47" s="483">
        <f>'Input data'!AA91</f>
        <v>0</v>
      </c>
      <c r="R47" s="483">
        <f>'Input data'!AB91</f>
        <v>0.32374083382262742</v>
      </c>
      <c r="S47" s="604">
        <f t="shared" si="6"/>
        <v>0.99999999999999989</v>
      </c>
      <c r="T47" s="114">
        <f t="shared" si="26"/>
        <v>0.8</v>
      </c>
      <c r="U47" s="114">
        <f t="shared" si="26"/>
        <v>0.11</v>
      </c>
      <c r="V47" s="114">
        <f t="shared" si="26"/>
        <v>0.09</v>
      </c>
      <c r="W47" s="114">
        <f t="shared" si="26"/>
        <v>0</v>
      </c>
      <c r="X47" s="114">
        <f t="shared" si="8"/>
        <v>1</v>
      </c>
      <c r="Y47" s="730">
        <f>'Input data'!$G$35</f>
        <v>0.66241124199764068</v>
      </c>
      <c r="Z47" s="604">
        <f>'Input data'!$H$35</f>
        <v>0.33758875800235938</v>
      </c>
      <c r="AA47" s="602">
        <f>'Input data'!J91</f>
        <v>27.526054267727826</v>
      </c>
      <c r="AB47" s="236">
        <f>'Input data'!L91</f>
        <v>44367.73474260496</v>
      </c>
      <c r="AC47" s="483">
        <f t="shared" si="27"/>
        <v>0.85641924869700936</v>
      </c>
      <c r="AD47" s="483">
        <f t="shared" si="27"/>
        <v>0.14268338865096522</v>
      </c>
      <c r="AE47" s="483">
        <f t="shared" si="27"/>
        <v>0</v>
      </c>
      <c r="AF47" s="483">
        <f t="shared" si="27"/>
        <v>8.973626520254116E-4</v>
      </c>
      <c r="AG47" s="483">
        <f t="shared" si="19"/>
        <v>1</v>
      </c>
      <c r="AH47" s="502">
        <f t="shared" si="28"/>
        <v>0.49613166950665732</v>
      </c>
      <c r="AI47" s="1463">
        <f t="shared" si="28"/>
        <v>0.50386833049334279</v>
      </c>
      <c r="AK47" s="621">
        <f t="shared" si="0"/>
        <v>1991</v>
      </c>
      <c r="AL47" s="235">
        <f t="shared" si="1"/>
        <v>15139.127705520003</v>
      </c>
      <c r="AM47" s="485">
        <f t="shared" si="2"/>
        <v>1378.8951530989796</v>
      </c>
      <c r="AN47" s="485">
        <f t="shared" si="3"/>
        <v>702.73490641002081</v>
      </c>
      <c r="AO47" s="485">
        <f t="shared" si="4"/>
        <v>1703.151866871</v>
      </c>
      <c r="AP47" s="485">
        <f t="shared" si="5"/>
        <v>0</v>
      </c>
      <c r="AQ47" s="237">
        <f t="shared" si="10"/>
        <v>18923.909631900002</v>
      </c>
      <c r="AS47" s="606">
        <f t="shared" si="11"/>
        <v>37997.382054649941</v>
      </c>
      <c r="AT47" s="897">
        <f t="shared" si="12"/>
        <v>3140.7807538744</v>
      </c>
      <c r="AU47" s="897">
        <f t="shared" si="13"/>
        <v>3189.7579859676366</v>
      </c>
      <c r="AV47" s="485">
        <f t="shared" si="14"/>
        <v>0</v>
      </c>
      <c r="AW47" s="704">
        <f t="shared" si="15"/>
        <v>39.813948112983979</v>
      </c>
      <c r="AX47" s="609">
        <f t="shared" si="16"/>
        <v>44367.73474260496</v>
      </c>
      <c r="AZ47" s="779">
        <f t="shared" si="21"/>
        <v>63.291644374504962</v>
      </c>
      <c r="BA47" s="483">
        <f t="shared" si="22"/>
        <v>0.19111406940670203</v>
      </c>
      <c r="BB47" s="205">
        <f>'Input data'!D91/10^6</f>
        <v>0</v>
      </c>
    </row>
    <row r="48" spans="1:54">
      <c r="A48" s="621">
        <f>'Input data'!A92</f>
        <v>1992</v>
      </c>
      <c r="B48" s="1462">
        <f>'Input data'!I92</f>
        <v>578.73</v>
      </c>
      <c r="C48" s="237">
        <f>B48*'Input data'!B92</f>
        <v>19323.106011299998</v>
      </c>
      <c r="D48" s="730">
        <f>'Input data'!N92</f>
        <v>0.19892488097366726</v>
      </c>
      <c r="E48" s="483">
        <f>'Input data'!O92</f>
        <v>0.26585903447659598</v>
      </c>
      <c r="F48" s="483">
        <f>'Input data'!P92</f>
        <v>8.9228108703258049E-2</v>
      </c>
      <c r="G48" s="483">
        <f>'Input data'!Q92</f>
        <v>0</v>
      </c>
      <c r="H48" s="483">
        <f>'Input data'!R92</f>
        <v>0</v>
      </c>
      <c r="I48" s="483">
        <f>'Input data'!S92</f>
        <v>0</v>
      </c>
      <c r="J48" s="483">
        <f>'Input data'!T92</f>
        <v>0.4459879758464787</v>
      </c>
      <c r="K48" s="604">
        <f>'Input data'!U92</f>
        <v>1</v>
      </c>
      <c r="L48" s="730">
        <f>'Input data'!V92</f>
        <v>0.29028184578274857</v>
      </c>
      <c r="M48" s="483">
        <f>'Input data'!W92</f>
        <v>0.30317187715157518</v>
      </c>
      <c r="N48" s="483">
        <f>'Input data'!X92</f>
        <v>8.2805443243048754E-2</v>
      </c>
      <c r="O48" s="483">
        <f>'Input data'!Y92</f>
        <v>0</v>
      </c>
      <c r="P48" s="483">
        <f>'Input data'!Z92</f>
        <v>0</v>
      </c>
      <c r="Q48" s="483">
        <f>'Input data'!AA92</f>
        <v>0</v>
      </c>
      <c r="R48" s="483">
        <f>'Input data'!AB92</f>
        <v>0.32374083382262742</v>
      </c>
      <c r="S48" s="604">
        <f t="shared" si="6"/>
        <v>0.99999999999999989</v>
      </c>
      <c r="T48" s="114">
        <f t="shared" si="26"/>
        <v>0.8</v>
      </c>
      <c r="U48" s="114">
        <f t="shared" si="26"/>
        <v>0.11</v>
      </c>
      <c r="V48" s="114">
        <f t="shared" si="26"/>
        <v>0.09</v>
      </c>
      <c r="W48" s="114">
        <f t="shared" si="26"/>
        <v>0</v>
      </c>
      <c r="X48" s="114">
        <f t="shared" si="8"/>
        <v>1</v>
      </c>
      <c r="Y48" s="730">
        <f>'Input data'!$G$35</f>
        <v>0.66241124199764068</v>
      </c>
      <c r="Z48" s="604">
        <f>'Input data'!$H$35</f>
        <v>0.33758875800235938</v>
      </c>
      <c r="AA48" s="602">
        <f>'Input data'!J92</f>
        <v>27.526054267727826</v>
      </c>
      <c r="AB48" s="236">
        <f>'Input data'!L92</f>
        <v>43419.571010794869</v>
      </c>
      <c r="AC48" s="483">
        <f t="shared" si="27"/>
        <v>0.85641924869700936</v>
      </c>
      <c r="AD48" s="483">
        <f t="shared" si="27"/>
        <v>0.14268338865096522</v>
      </c>
      <c r="AE48" s="483">
        <f t="shared" si="27"/>
        <v>0</v>
      </c>
      <c r="AF48" s="483">
        <f t="shared" si="27"/>
        <v>8.973626520254116E-4</v>
      </c>
      <c r="AG48" s="483">
        <f t="shared" si="19"/>
        <v>1</v>
      </c>
      <c r="AH48" s="502">
        <f t="shared" si="28"/>
        <v>0.49613166950665732</v>
      </c>
      <c r="AI48" s="1463">
        <f t="shared" si="28"/>
        <v>0.50386833049334279</v>
      </c>
      <c r="AK48" s="621">
        <f t="shared" si="0"/>
        <v>1992</v>
      </c>
      <c r="AL48" s="235">
        <f t="shared" si="1"/>
        <v>15458.484809039999</v>
      </c>
      <c r="AM48" s="485">
        <f t="shared" si="2"/>
        <v>1407.982691741704</v>
      </c>
      <c r="AN48" s="485">
        <f t="shared" si="3"/>
        <v>717.55896950129602</v>
      </c>
      <c r="AO48" s="485">
        <f t="shared" si="4"/>
        <v>1739.0795410169999</v>
      </c>
      <c r="AP48" s="485">
        <f t="shared" si="5"/>
        <v>0</v>
      </c>
      <c r="AQ48" s="237">
        <f t="shared" si="10"/>
        <v>19323.106011299998</v>
      </c>
      <c r="AS48" s="606">
        <f t="shared" si="11"/>
        <v>37185.356383811391</v>
      </c>
      <c r="AT48" s="897">
        <f t="shared" si="12"/>
        <v>3073.6604824053402</v>
      </c>
      <c r="AU48" s="897">
        <f t="shared" si="13"/>
        <v>3121.5910431860875</v>
      </c>
      <c r="AV48" s="485">
        <f t="shared" si="14"/>
        <v>0</v>
      </c>
      <c r="AW48" s="704">
        <f t="shared" si="15"/>
        <v>38.963101392052565</v>
      </c>
      <c r="AX48" s="609">
        <f t="shared" si="16"/>
        <v>43419.571010794876</v>
      </c>
      <c r="AZ48" s="779">
        <f t="shared" si="21"/>
        <v>62.742677022094874</v>
      </c>
      <c r="BA48" s="483">
        <f t="shared" si="22"/>
        <v>0.19183318694865345</v>
      </c>
      <c r="BB48" s="205">
        <f>'Input data'!D92/10^6</f>
        <v>0</v>
      </c>
    </row>
    <row r="49" spans="1:54">
      <c r="A49" s="621">
        <f>'Input data'!A93</f>
        <v>1993</v>
      </c>
      <c r="B49" s="1462">
        <f>'Input data'!I93</f>
        <v>578.73</v>
      </c>
      <c r="C49" s="237">
        <f>B49*'Input data'!B93</f>
        <v>19735.468498199996</v>
      </c>
      <c r="D49" s="730">
        <f>'Input data'!N93</f>
        <v>0.19892488097366726</v>
      </c>
      <c r="E49" s="483">
        <f>'Input data'!O93</f>
        <v>0.26585903447659598</v>
      </c>
      <c r="F49" s="483">
        <f>'Input data'!P93</f>
        <v>8.9228108703258049E-2</v>
      </c>
      <c r="G49" s="483">
        <f>'Input data'!Q93</f>
        <v>0</v>
      </c>
      <c r="H49" s="483">
        <f>'Input data'!R93</f>
        <v>0</v>
      </c>
      <c r="I49" s="483">
        <f>'Input data'!S93</f>
        <v>0</v>
      </c>
      <c r="J49" s="483">
        <f>'Input data'!T93</f>
        <v>0.4459879758464787</v>
      </c>
      <c r="K49" s="604">
        <f>'Input data'!U93</f>
        <v>1</v>
      </c>
      <c r="L49" s="730">
        <f>'Input data'!V93</f>
        <v>0.29028184578274857</v>
      </c>
      <c r="M49" s="483">
        <f>'Input data'!W93</f>
        <v>0.30317187715157518</v>
      </c>
      <c r="N49" s="483">
        <f>'Input data'!X93</f>
        <v>8.2805443243048754E-2</v>
      </c>
      <c r="O49" s="483">
        <f>'Input data'!Y93</f>
        <v>0</v>
      </c>
      <c r="P49" s="483">
        <f>'Input data'!Z93</f>
        <v>0</v>
      </c>
      <c r="Q49" s="483">
        <f>'Input data'!AA93</f>
        <v>0</v>
      </c>
      <c r="R49" s="483">
        <f>'Input data'!AB93</f>
        <v>0.32374083382262742</v>
      </c>
      <c r="S49" s="604">
        <f t="shared" si="6"/>
        <v>0.99999999999999989</v>
      </c>
      <c r="T49" s="114">
        <f t="shared" si="26"/>
        <v>0.8</v>
      </c>
      <c r="U49" s="114">
        <f t="shared" si="26"/>
        <v>0.11</v>
      </c>
      <c r="V49" s="114">
        <f t="shared" si="26"/>
        <v>0.09</v>
      </c>
      <c r="W49" s="114">
        <f t="shared" si="26"/>
        <v>0</v>
      </c>
      <c r="X49" s="114">
        <f t="shared" si="8"/>
        <v>1</v>
      </c>
      <c r="Y49" s="730">
        <f>'Input data'!$G$35</f>
        <v>0.66241124199764068</v>
      </c>
      <c r="Z49" s="604">
        <f>'Input data'!$H$35</f>
        <v>0.33758875800235938</v>
      </c>
      <c r="AA49" s="602">
        <f>'Input data'!J93</f>
        <v>27.526054267727826</v>
      </c>
      <c r="AB49" s="236">
        <f>'Input data'!L93</f>
        <v>43955.160065352204</v>
      </c>
      <c r="AC49" s="483">
        <f t="shared" si="27"/>
        <v>0.85641924869700936</v>
      </c>
      <c r="AD49" s="483">
        <f t="shared" si="27"/>
        <v>0.14268338865096522</v>
      </c>
      <c r="AE49" s="483">
        <f t="shared" si="27"/>
        <v>0</v>
      </c>
      <c r="AF49" s="483">
        <f t="shared" si="27"/>
        <v>8.973626520254116E-4</v>
      </c>
      <c r="AG49" s="483">
        <f t="shared" si="19"/>
        <v>1</v>
      </c>
      <c r="AH49" s="502">
        <f t="shared" si="28"/>
        <v>0.49613166950665732</v>
      </c>
      <c r="AI49" s="1463">
        <f t="shared" si="28"/>
        <v>0.50386833049334279</v>
      </c>
      <c r="AK49" s="621">
        <f t="shared" si="0"/>
        <v>1993</v>
      </c>
      <c r="AL49" s="235">
        <f t="shared" si="1"/>
        <v>15788.374798559998</v>
      </c>
      <c r="AM49" s="485">
        <f t="shared" si="2"/>
        <v>1438.029581922777</v>
      </c>
      <c r="AN49" s="485">
        <f t="shared" si="3"/>
        <v>732.87195287922282</v>
      </c>
      <c r="AO49" s="485">
        <f t="shared" si="4"/>
        <v>1776.1921648379996</v>
      </c>
      <c r="AP49" s="485">
        <f t="shared" si="5"/>
        <v>0</v>
      </c>
      <c r="AQ49" s="237">
        <f t="shared" si="10"/>
        <v>19735.4684982</v>
      </c>
      <c r="AS49" s="606">
        <f t="shared" si="11"/>
        <v>37644.045159525725</v>
      </c>
      <c r="AT49" s="897">
        <f t="shared" si="12"/>
        <v>3111.5746965138228</v>
      </c>
      <c r="AU49" s="897">
        <f t="shared" si="13"/>
        <v>3160.0964903062127</v>
      </c>
      <c r="AV49" s="485">
        <f t="shared" si="14"/>
        <v>0</v>
      </c>
      <c r="AW49" s="704">
        <f t="shared" si="15"/>
        <v>39.443719006445917</v>
      </c>
      <c r="AX49" s="609">
        <f t="shared" si="16"/>
        <v>43955.160065352211</v>
      </c>
      <c r="AZ49" s="779">
        <f t="shared" si="21"/>
        <v>63.69062856355221</v>
      </c>
      <c r="BA49" s="483">
        <f t="shared" si="22"/>
        <v>0.19198472787707133</v>
      </c>
      <c r="BB49" s="205">
        <f>'Input data'!D93/10^6</f>
        <v>0</v>
      </c>
    </row>
    <row r="50" spans="1:54">
      <c r="A50" s="621">
        <f>'Input data'!A94</f>
        <v>1994</v>
      </c>
      <c r="B50" s="1462">
        <f>'Input data'!I94</f>
        <v>578.73</v>
      </c>
      <c r="C50" s="237">
        <f>B50*'Input data'!B94</f>
        <v>20161.523736900002</v>
      </c>
      <c r="D50" s="730">
        <f>'Input data'!N94</f>
        <v>0.19892488097366726</v>
      </c>
      <c r="E50" s="483">
        <f>'Input data'!O94</f>
        <v>0.26585903447659598</v>
      </c>
      <c r="F50" s="483">
        <f>'Input data'!P94</f>
        <v>8.9228108703258049E-2</v>
      </c>
      <c r="G50" s="483">
        <f>'Input data'!Q94</f>
        <v>0</v>
      </c>
      <c r="H50" s="483">
        <f>'Input data'!R94</f>
        <v>0</v>
      </c>
      <c r="I50" s="483">
        <f>'Input data'!S94</f>
        <v>0</v>
      </c>
      <c r="J50" s="483">
        <f>'Input data'!T94</f>
        <v>0.4459879758464787</v>
      </c>
      <c r="K50" s="604">
        <f>'Input data'!U94</f>
        <v>1</v>
      </c>
      <c r="L50" s="730">
        <f>'Input data'!V94</f>
        <v>0.29028184578274857</v>
      </c>
      <c r="M50" s="483">
        <f>'Input data'!W94</f>
        <v>0.30317187715157518</v>
      </c>
      <c r="N50" s="483">
        <f>'Input data'!X94</f>
        <v>8.2805443243048754E-2</v>
      </c>
      <c r="O50" s="483">
        <f>'Input data'!Y94</f>
        <v>0</v>
      </c>
      <c r="P50" s="483">
        <f>'Input data'!Z94</f>
        <v>0</v>
      </c>
      <c r="Q50" s="483">
        <f>'Input data'!AA94</f>
        <v>0</v>
      </c>
      <c r="R50" s="483">
        <f>'Input data'!AB94</f>
        <v>0.32374083382262742</v>
      </c>
      <c r="S50" s="604">
        <f t="shared" si="6"/>
        <v>0.99999999999999989</v>
      </c>
      <c r="T50" s="114">
        <f t="shared" si="26"/>
        <v>0.8</v>
      </c>
      <c r="U50" s="114">
        <f t="shared" si="26"/>
        <v>0.11</v>
      </c>
      <c r="V50" s="114">
        <f t="shared" si="26"/>
        <v>0.09</v>
      </c>
      <c r="W50" s="114">
        <f t="shared" si="26"/>
        <v>0</v>
      </c>
      <c r="X50" s="114">
        <f t="shared" si="8"/>
        <v>1</v>
      </c>
      <c r="Y50" s="730">
        <f>'Input data'!$G$35</f>
        <v>0.66241124199764068</v>
      </c>
      <c r="Z50" s="604">
        <f>'Input data'!$H$35</f>
        <v>0.33758875800235938</v>
      </c>
      <c r="AA50" s="602">
        <f>'Input data'!J94</f>
        <v>27.526054267727826</v>
      </c>
      <c r="AB50" s="236">
        <f>'Input data'!L94</f>
        <v>45361.725648533102</v>
      </c>
      <c r="AC50" s="483">
        <f t="shared" si="27"/>
        <v>0.85641924869700936</v>
      </c>
      <c r="AD50" s="483">
        <f t="shared" si="27"/>
        <v>0.14268338865096522</v>
      </c>
      <c r="AE50" s="483">
        <f t="shared" si="27"/>
        <v>0</v>
      </c>
      <c r="AF50" s="483">
        <f t="shared" si="27"/>
        <v>8.973626520254116E-4</v>
      </c>
      <c r="AG50" s="483">
        <f t="shared" si="19"/>
        <v>1</v>
      </c>
      <c r="AH50" s="502">
        <f t="shared" si="28"/>
        <v>0.49613166950665732</v>
      </c>
      <c r="AI50" s="1463">
        <f t="shared" si="28"/>
        <v>0.50386833049334279</v>
      </c>
      <c r="AK50" s="621">
        <f t="shared" si="0"/>
        <v>1994</v>
      </c>
      <c r="AL50" s="235">
        <f t="shared" si="1"/>
        <v>16129.218989520003</v>
      </c>
      <c r="AM50" s="485">
        <f t="shared" si="2"/>
        <v>1469.0741977037328</v>
      </c>
      <c r="AN50" s="485">
        <f t="shared" si="3"/>
        <v>748.69341335526758</v>
      </c>
      <c r="AO50" s="485">
        <f t="shared" si="4"/>
        <v>1814.5371363210002</v>
      </c>
      <c r="AP50" s="485">
        <f t="shared" si="5"/>
        <v>0</v>
      </c>
      <c r="AQ50" s="237">
        <f t="shared" si="10"/>
        <v>20161.523736900002</v>
      </c>
      <c r="AS50" s="606">
        <f t="shared" si="11"/>
        <v>38848.654999516577</v>
      </c>
      <c r="AT50" s="897">
        <f t="shared" si="12"/>
        <v>3211.1451194426832</v>
      </c>
      <c r="AU50" s="897">
        <f t="shared" si="13"/>
        <v>3261.2196111454236</v>
      </c>
      <c r="AV50" s="485">
        <f t="shared" si="14"/>
        <v>0</v>
      </c>
      <c r="AW50" s="704">
        <f t="shared" si="15"/>
        <v>40.705918428416801</v>
      </c>
      <c r="AX50" s="609">
        <f t="shared" si="16"/>
        <v>45361.725648533102</v>
      </c>
      <c r="AZ50" s="779">
        <f t="shared" si="21"/>
        <v>65.523249385433104</v>
      </c>
      <c r="BA50" s="483">
        <f t="shared" si="22"/>
        <v>0.19181126208153176</v>
      </c>
      <c r="BB50" s="205">
        <f>'Input data'!D94/10^6</f>
        <v>0</v>
      </c>
    </row>
    <row r="51" spans="1:54">
      <c r="A51" s="621">
        <f>'Input data'!A95</f>
        <v>1995</v>
      </c>
      <c r="B51" s="1462">
        <f>'Input data'!I95</f>
        <v>578.73</v>
      </c>
      <c r="C51" s="237">
        <f>B51*'Input data'!B95</f>
        <v>20602.325015999999</v>
      </c>
      <c r="D51" s="730">
        <f>'Input data'!N95</f>
        <v>0.19892488097366726</v>
      </c>
      <c r="E51" s="483">
        <f>'Input data'!O95</f>
        <v>0.26585903447659598</v>
      </c>
      <c r="F51" s="483">
        <f>'Input data'!P95</f>
        <v>8.9228108703258049E-2</v>
      </c>
      <c r="G51" s="483">
        <f>'Input data'!Q95</f>
        <v>0</v>
      </c>
      <c r="H51" s="483">
        <f>'Input data'!R95</f>
        <v>0</v>
      </c>
      <c r="I51" s="483">
        <f>'Input data'!S95</f>
        <v>0</v>
      </c>
      <c r="J51" s="483">
        <f>'Input data'!T95</f>
        <v>0.4459879758464787</v>
      </c>
      <c r="K51" s="604">
        <f>'Input data'!U95</f>
        <v>1</v>
      </c>
      <c r="L51" s="730">
        <f>'Input data'!V95</f>
        <v>0.29028184578274857</v>
      </c>
      <c r="M51" s="483">
        <f>'Input data'!W95</f>
        <v>0.30317187715157518</v>
      </c>
      <c r="N51" s="483">
        <f>'Input data'!X95</f>
        <v>8.2805443243048754E-2</v>
      </c>
      <c r="O51" s="483">
        <f>'Input data'!Y95</f>
        <v>0</v>
      </c>
      <c r="P51" s="483">
        <f>'Input data'!Z95</f>
        <v>0</v>
      </c>
      <c r="Q51" s="483">
        <f>'Input data'!AA95</f>
        <v>0</v>
      </c>
      <c r="R51" s="483">
        <f>'Input data'!AB95</f>
        <v>0.32374083382262742</v>
      </c>
      <c r="S51" s="604">
        <f t="shared" si="6"/>
        <v>0.99999999999999989</v>
      </c>
      <c r="T51" s="114">
        <f t="shared" si="26"/>
        <v>0.8</v>
      </c>
      <c r="U51" s="114">
        <f t="shared" si="26"/>
        <v>0.11</v>
      </c>
      <c r="V51" s="114">
        <f t="shared" si="26"/>
        <v>0.09</v>
      </c>
      <c r="W51" s="114">
        <f t="shared" si="26"/>
        <v>0</v>
      </c>
      <c r="X51" s="114">
        <f t="shared" si="8"/>
        <v>1</v>
      </c>
      <c r="Y51" s="730">
        <f>'Input data'!$G$35</f>
        <v>0.66241124199764068</v>
      </c>
      <c r="Z51" s="604">
        <f>'Input data'!$H$35</f>
        <v>0.33758875800235938</v>
      </c>
      <c r="AA51" s="602">
        <f>'Input data'!J95</f>
        <v>27.526054267727826</v>
      </c>
      <c r="AB51" s="236">
        <f>'Input data'!L95</f>
        <v>46767.937065163351</v>
      </c>
      <c r="AC51" s="483">
        <f t="shared" si="27"/>
        <v>0.85641924869700936</v>
      </c>
      <c r="AD51" s="483">
        <f t="shared" si="27"/>
        <v>0.14268338865096522</v>
      </c>
      <c r="AE51" s="483">
        <f t="shared" si="27"/>
        <v>0</v>
      </c>
      <c r="AF51" s="483">
        <f t="shared" si="27"/>
        <v>8.973626520254116E-4</v>
      </c>
      <c r="AG51" s="483">
        <f t="shared" si="19"/>
        <v>1</v>
      </c>
      <c r="AH51" s="502">
        <f t="shared" si="28"/>
        <v>0.49613166950665732</v>
      </c>
      <c r="AI51" s="1463">
        <f t="shared" si="28"/>
        <v>0.50386833049334279</v>
      </c>
      <c r="AK51" s="621">
        <f t="shared" si="0"/>
        <v>1995</v>
      </c>
      <c r="AL51" s="235">
        <f t="shared" si="1"/>
        <v>16481.8600128</v>
      </c>
      <c r="AM51" s="485">
        <f t="shared" si="2"/>
        <v>1501.1932872076384</v>
      </c>
      <c r="AN51" s="485">
        <f t="shared" si="3"/>
        <v>765.06246455236158</v>
      </c>
      <c r="AO51" s="485">
        <f t="shared" si="4"/>
        <v>1854.2092514399999</v>
      </c>
      <c r="AP51" s="485">
        <f t="shared" si="5"/>
        <v>0</v>
      </c>
      <c r="AQ51" s="237">
        <f t="shared" si="10"/>
        <v>20602.325015999999</v>
      </c>
      <c r="AS51" s="606">
        <f t="shared" si="11"/>
        <v>40052.961524456216</v>
      </c>
      <c r="AT51" s="897">
        <f t="shared" si="12"/>
        <v>3310.6904710107365</v>
      </c>
      <c r="AU51" s="897">
        <f t="shared" si="13"/>
        <v>3362.3172696618485</v>
      </c>
      <c r="AV51" s="485">
        <f t="shared" si="14"/>
        <v>0</v>
      </c>
      <c r="AW51" s="704">
        <f t="shared" si="15"/>
        <v>41.967800034552532</v>
      </c>
      <c r="AX51" s="609">
        <f t="shared" si="16"/>
        <v>46767.937065163351</v>
      </c>
      <c r="AZ51" s="779">
        <f t="shared" si="21"/>
        <v>67.370262081163347</v>
      </c>
      <c r="BA51" s="483">
        <f t="shared" si="22"/>
        <v>0.19165958694619081</v>
      </c>
      <c r="BB51" s="205">
        <f>'Input data'!D95/10^6</f>
        <v>0</v>
      </c>
    </row>
    <row r="52" spans="1:54">
      <c r="A52" s="621">
        <f>'Input data'!A96</f>
        <v>1996</v>
      </c>
      <c r="B52" s="1462">
        <f>'Input data'!I96</f>
        <v>578.73</v>
      </c>
      <c r="C52" s="237">
        <f>B52*'Input data'!B96</f>
        <v>21065.772000000001</v>
      </c>
      <c r="D52" s="730">
        <f>'Input data'!N96</f>
        <v>0.19892488097366726</v>
      </c>
      <c r="E52" s="483">
        <f>'Input data'!O96</f>
        <v>0.26585903447659598</v>
      </c>
      <c r="F52" s="483">
        <f>'Input data'!P96</f>
        <v>8.9228108703258049E-2</v>
      </c>
      <c r="G52" s="483">
        <f>'Input data'!Q96</f>
        <v>0</v>
      </c>
      <c r="H52" s="483">
        <f>'Input data'!R96</f>
        <v>0</v>
      </c>
      <c r="I52" s="483">
        <f>'Input data'!S96</f>
        <v>0</v>
      </c>
      <c r="J52" s="483">
        <f>'Input data'!T96</f>
        <v>0.4459879758464787</v>
      </c>
      <c r="K52" s="604">
        <f>'Input data'!U96</f>
        <v>1</v>
      </c>
      <c r="L52" s="730">
        <f>'Input data'!V96</f>
        <v>0.29028184578274857</v>
      </c>
      <c r="M52" s="483">
        <f>'Input data'!W96</f>
        <v>0.30317187715157518</v>
      </c>
      <c r="N52" s="483">
        <f>'Input data'!X96</f>
        <v>8.2805443243048754E-2</v>
      </c>
      <c r="O52" s="483">
        <f>'Input data'!Y96</f>
        <v>0</v>
      </c>
      <c r="P52" s="483">
        <f>'Input data'!Z96</f>
        <v>0</v>
      </c>
      <c r="Q52" s="483">
        <f>'Input data'!AA96</f>
        <v>0</v>
      </c>
      <c r="R52" s="483">
        <f>'Input data'!AB96</f>
        <v>0.32374083382262742</v>
      </c>
      <c r="S52" s="604">
        <f t="shared" si="6"/>
        <v>0.99999999999999989</v>
      </c>
      <c r="T52" s="114">
        <f t="shared" si="26"/>
        <v>0.8</v>
      </c>
      <c r="U52" s="114">
        <f t="shared" si="26"/>
        <v>0.11</v>
      </c>
      <c r="V52" s="114">
        <f t="shared" si="26"/>
        <v>0.09</v>
      </c>
      <c r="W52" s="114">
        <f t="shared" si="26"/>
        <v>0</v>
      </c>
      <c r="X52" s="114">
        <f t="shared" si="8"/>
        <v>1</v>
      </c>
      <c r="Y52" s="730">
        <f>'Input data'!$G$35</f>
        <v>0.66241124199764068</v>
      </c>
      <c r="Z52" s="604">
        <f>'Input data'!$H$35</f>
        <v>0.33758875800235938</v>
      </c>
      <c r="AA52" s="602">
        <f>'Input data'!J96</f>
        <v>27.526054267727826</v>
      </c>
      <c r="AB52" s="236">
        <f>'Input data'!L96</f>
        <v>48778.957873046515</v>
      </c>
      <c r="AC52" s="483">
        <f t="shared" si="27"/>
        <v>0.85641924869700936</v>
      </c>
      <c r="AD52" s="483">
        <f t="shared" si="27"/>
        <v>0.14268338865096522</v>
      </c>
      <c r="AE52" s="483">
        <f t="shared" si="27"/>
        <v>0</v>
      </c>
      <c r="AF52" s="483">
        <f t="shared" si="27"/>
        <v>8.973626520254116E-4</v>
      </c>
      <c r="AG52" s="483">
        <f t="shared" si="19"/>
        <v>1</v>
      </c>
      <c r="AH52" s="502">
        <f t="shared" si="28"/>
        <v>0.49613166950665732</v>
      </c>
      <c r="AI52" s="1463">
        <f t="shared" si="28"/>
        <v>0.50386833049334279</v>
      </c>
      <c r="AK52" s="621">
        <f t="shared" si="0"/>
        <v>1996</v>
      </c>
      <c r="AL52" s="235">
        <f t="shared" si="1"/>
        <v>16852.617600000001</v>
      </c>
      <c r="AM52" s="485">
        <f t="shared" si="2"/>
        <v>1534.9624613575036</v>
      </c>
      <c r="AN52" s="485">
        <f t="shared" si="3"/>
        <v>782.27245864249676</v>
      </c>
      <c r="AO52" s="485">
        <f t="shared" si="4"/>
        <v>1895.91948</v>
      </c>
      <c r="AP52" s="485">
        <f t="shared" si="5"/>
        <v>0</v>
      </c>
      <c r="AQ52" s="237">
        <f t="shared" si="10"/>
        <v>21065.772000000001</v>
      </c>
      <c r="AS52" s="606">
        <f t="shared" si="11"/>
        <v>41775.238453857564</v>
      </c>
      <c r="AT52" s="897">
        <f t="shared" si="12"/>
        <v>3453.0501268661246</v>
      </c>
      <c r="AU52" s="897">
        <f t="shared" si="13"/>
        <v>3506.8968773228316</v>
      </c>
      <c r="AV52" s="485">
        <f t="shared" si="14"/>
        <v>0</v>
      </c>
      <c r="AW52" s="704">
        <f t="shared" si="15"/>
        <v>43.772414999992854</v>
      </c>
      <c r="AX52" s="609">
        <f t="shared" si="16"/>
        <v>48778.957873046515</v>
      </c>
      <c r="AZ52" s="779">
        <f t="shared" si="21"/>
        <v>69.844729873046518</v>
      </c>
      <c r="BA52" s="483">
        <f t="shared" si="22"/>
        <v>0.19132328169880097</v>
      </c>
      <c r="BB52" s="205">
        <f>'Input data'!D96/10^6</f>
        <v>0</v>
      </c>
    </row>
    <row r="53" spans="1:54">
      <c r="A53" s="621">
        <f>'Input data'!A97</f>
        <v>1997</v>
      </c>
      <c r="B53" s="1462">
        <f>'Input data'!I97</f>
        <v>578.73</v>
      </c>
      <c r="C53" s="237">
        <f>B53*'Input data'!B97</f>
        <v>21553.444621800001</v>
      </c>
      <c r="D53" s="730">
        <f>'Input data'!N97</f>
        <v>0.19892488097366726</v>
      </c>
      <c r="E53" s="483">
        <f>'Input data'!O97</f>
        <v>0.26585903447659598</v>
      </c>
      <c r="F53" s="483">
        <f>'Input data'!P97</f>
        <v>8.9228108703258049E-2</v>
      </c>
      <c r="G53" s="483">
        <f>'Input data'!Q97</f>
        <v>0</v>
      </c>
      <c r="H53" s="483">
        <f>'Input data'!R97</f>
        <v>0</v>
      </c>
      <c r="I53" s="483">
        <f>'Input data'!S97</f>
        <v>0</v>
      </c>
      <c r="J53" s="483">
        <f>'Input data'!T97</f>
        <v>0.4459879758464787</v>
      </c>
      <c r="K53" s="604">
        <f>'Input data'!U97</f>
        <v>1</v>
      </c>
      <c r="L53" s="730">
        <f>'Input data'!V97</f>
        <v>0.29028184578274857</v>
      </c>
      <c r="M53" s="483">
        <f>'Input data'!W97</f>
        <v>0.30317187715157518</v>
      </c>
      <c r="N53" s="483">
        <f>'Input data'!X97</f>
        <v>8.2805443243048754E-2</v>
      </c>
      <c r="O53" s="483">
        <f>'Input data'!Y97</f>
        <v>0</v>
      </c>
      <c r="P53" s="483">
        <f>'Input data'!Z97</f>
        <v>0</v>
      </c>
      <c r="Q53" s="483">
        <f>'Input data'!AA97</f>
        <v>0</v>
      </c>
      <c r="R53" s="483">
        <f>'Input data'!AB97</f>
        <v>0.32374083382262742</v>
      </c>
      <c r="S53" s="604">
        <f t="shared" si="6"/>
        <v>0.99999999999999989</v>
      </c>
      <c r="T53" s="114">
        <f t="shared" si="26"/>
        <v>0.8</v>
      </c>
      <c r="U53" s="114">
        <f t="shared" si="26"/>
        <v>0.11</v>
      </c>
      <c r="V53" s="114">
        <f t="shared" si="26"/>
        <v>0.09</v>
      </c>
      <c r="W53" s="114">
        <f t="shared" si="26"/>
        <v>0</v>
      </c>
      <c r="X53" s="114">
        <f t="shared" si="8"/>
        <v>1</v>
      </c>
      <c r="Y53" s="730">
        <f>'Input data'!$G$35</f>
        <v>0.66241124199764068</v>
      </c>
      <c r="Z53" s="604">
        <f>'Input data'!$H$35</f>
        <v>0.33758875800235938</v>
      </c>
      <c r="AA53" s="602">
        <f>'Input data'!J97</f>
        <v>27.526054267727826</v>
      </c>
      <c r="AB53" s="236">
        <f>'Input data'!L97</f>
        <v>50047.211809908469</v>
      </c>
      <c r="AC53" s="483">
        <f t="shared" si="27"/>
        <v>0.85641924869700936</v>
      </c>
      <c r="AD53" s="483">
        <f t="shared" si="27"/>
        <v>0.14268338865096522</v>
      </c>
      <c r="AE53" s="483">
        <f t="shared" si="27"/>
        <v>0</v>
      </c>
      <c r="AF53" s="483">
        <f t="shared" si="27"/>
        <v>8.973626520254116E-4</v>
      </c>
      <c r="AG53" s="483">
        <f t="shared" si="19"/>
        <v>1</v>
      </c>
      <c r="AH53" s="502">
        <f t="shared" si="28"/>
        <v>0.49613166950665732</v>
      </c>
      <c r="AI53" s="1463">
        <f t="shared" si="28"/>
        <v>0.50386833049334279</v>
      </c>
      <c r="AK53" s="621">
        <f t="shared" si="0"/>
        <v>1997</v>
      </c>
      <c r="AL53" s="235">
        <f t="shared" si="1"/>
        <v>17242.755697440003</v>
      </c>
      <c r="AM53" s="485">
        <f t="shared" si="2"/>
        <v>1570.4968423379298</v>
      </c>
      <c r="AN53" s="485">
        <f t="shared" si="3"/>
        <v>800.38206606007043</v>
      </c>
      <c r="AO53" s="485">
        <f t="shared" si="4"/>
        <v>1939.8100159620001</v>
      </c>
      <c r="AP53" s="485">
        <f t="shared" si="5"/>
        <v>0</v>
      </c>
      <c r="AQ53" s="237">
        <f t="shared" si="10"/>
        <v>21553.444621800001</v>
      </c>
      <c r="AS53" s="606">
        <f t="shared" si="11"/>
        <v>42861.395537621902</v>
      </c>
      <c r="AT53" s="897">
        <f t="shared" si="12"/>
        <v>3542.8295032311844</v>
      </c>
      <c r="AU53" s="897">
        <f t="shared" si="13"/>
        <v>3598.0762703391633</v>
      </c>
      <c r="AV53" s="485">
        <f t="shared" si="14"/>
        <v>0</v>
      </c>
      <c r="AW53" s="704">
        <f t="shared" si="15"/>
        <v>44.910498716216964</v>
      </c>
      <c r="AX53" s="609">
        <f t="shared" si="16"/>
        <v>50047.211809908469</v>
      </c>
      <c r="AZ53" s="779">
        <f t="shared" si="21"/>
        <v>71.600656431708472</v>
      </c>
      <c r="BA53" s="483">
        <f t="shared" si="22"/>
        <v>0.19127639206957225</v>
      </c>
      <c r="BB53" s="205">
        <f>'Input data'!D97/10^6</f>
        <v>0</v>
      </c>
    </row>
    <row r="54" spans="1:54">
      <c r="A54" s="621">
        <f>'Input data'!A98</f>
        <v>1998</v>
      </c>
      <c r="B54" s="1462">
        <f>'Input data'!I98</f>
        <v>578.73</v>
      </c>
      <c r="C54" s="237">
        <f>B54*'Input data'!B98</f>
        <v>22066.39617</v>
      </c>
      <c r="D54" s="730">
        <f>'Input data'!N98</f>
        <v>0.19892488097366726</v>
      </c>
      <c r="E54" s="483">
        <f>'Input data'!O98</f>
        <v>0.26585903447659598</v>
      </c>
      <c r="F54" s="483">
        <f>'Input data'!P98</f>
        <v>8.9228108703258049E-2</v>
      </c>
      <c r="G54" s="483">
        <f>'Input data'!Q98</f>
        <v>0</v>
      </c>
      <c r="H54" s="483">
        <f>'Input data'!R98</f>
        <v>0</v>
      </c>
      <c r="I54" s="483">
        <f>'Input data'!S98</f>
        <v>0</v>
      </c>
      <c r="J54" s="483">
        <f>'Input data'!T98</f>
        <v>0.4459879758464787</v>
      </c>
      <c r="K54" s="604">
        <f>'Input data'!U98</f>
        <v>1</v>
      </c>
      <c r="L54" s="730">
        <f>'Input data'!V98</f>
        <v>0.29028184578274857</v>
      </c>
      <c r="M54" s="483">
        <f>'Input data'!W98</f>
        <v>0.30317187715157518</v>
      </c>
      <c r="N54" s="483">
        <f>'Input data'!X98</f>
        <v>8.2805443243048754E-2</v>
      </c>
      <c r="O54" s="483">
        <f>'Input data'!Y98</f>
        <v>0</v>
      </c>
      <c r="P54" s="483">
        <f>'Input data'!Z98</f>
        <v>0</v>
      </c>
      <c r="Q54" s="483">
        <f>'Input data'!AA98</f>
        <v>0</v>
      </c>
      <c r="R54" s="483">
        <f>'Input data'!AB98</f>
        <v>0.32374083382262742</v>
      </c>
      <c r="S54" s="604">
        <f t="shared" si="6"/>
        <v>0.99999999999999989</v>
      </c>
      <c r="T54" s="114">
        <f t="shared" si="26"/>
        <v>0.8</v>
      </c>
      <c r="U54" s="114">
        <f t="shared" si="26"/>
        <v>0.11</v>
      </c>
      <c r="V54" s="114">
        <f t="shared" si="26"/>
        <v>0.09</v>
      </c>
      <c r="W54" s="114">
        <f t="shared" si="26"/>
        <v>0</v>
      </c>
      <c r="X54" s="114">
        <f t="shared" si="8"/>
        <v>1</v>
      </c>
      <c r="Y54" s="730">
        <f>'Input data'!$G$35</f>
        <v>0.66241124199764068</v>
      </c>
      <c r="Z54" s="604">
        <f>'Input data'!$H$35</f>
        <v>0.33758875800235938</v>
      </c>
      <c r="AA54" s="602">
        <f>'Input data'!J98</f>
        <v>27.526054267727826</v>
      </c>
      <c r="AB54" s="236">
        <f>'Input data'!L98</f>
        <v>50297.448321885269</v>
      </c>
      <c r="AC54" s="483">
        <f t="shared" si="27"/>
        <v>0.85641924869700936</v>
      </c>
      <c r="AD54" s="483">
        <f t="shared" si="27"/>
        <v>0.14268338865096522</v>
      </c>
      <c r="AE54" s="483">
        <f t="shared" si="27"/>
        <v>0</v>
      </c>
      <c r="AF54" s="483">
        <f t="shared" si="27"/>
        <v>8.973626520254116E-4</v>
      </c>
      <c r="AG54" s="483">
        <f t="shared" si="19"/>
        <v>1</v>
      </c>
      <c r="AH54" s="502">
        <f t="shared" si="28"/>
        <v>0.49613166950665732</v>
      </c>
      <c r="AI54" s="1463">
        <f t="shared" si="28"/>
        <v>0.50386833049334279</v>
      </c>
      <c r="AK54" s="621">
        <f t="shared" si="0"/>
        <v>1998</v>
      </c>
      <c r="AL54" s="235">
        <f t="shared" si="1"/>
        <v>17653.116936000002</v>
      </c>
      <c r="AM54" s="485">
        <f t="shared" si="2"/>
        <v>1607.8731782719849</v>
      </c>
      <c r="AN54" s="485">
        <f t="shared" si="3"/>
        <v>819.4304004280151</v>
      </c>
      <c r="AO54" s="485">
        <f t="shared" si="4"/>
        <v>1985.9756553</v>
      </c>
      <c r="AP54" s="485">
        <f t="shared" si="5"/>
        <v>0</v>
      </c>
      <c r="AQ54" s="237">
        <f t="shared" si="10"/>
        <v>22066.396170000004</v>
      </c>
      <c r="AS54" s="606">
        <f t="shared" si="11"/>
        <v>43075.702903205638</v>
      </c>
      <c r="AT54" s="897">
        <f t="shared" si="12"/>
        <v>3560.5436828099469</v>
      </c>
      <c r="AU54" s="897">
        <f t="shared" si="13"/>
        <v>3616.0666842534488</v>
      </c>
      <c r="AV54" s="485">
        <f t="shared" si="14"/>
        <v>0</v>
      </c>
      <c r="AW54" s="704">
        <f t="shared" si="15"/>
        <v>45.135051616238052</v>
      </c>
      <c r="AX54" s="609">
        <f t="shared" si="16"/>
        <v>50297.448321885269</v>
      </c>
      <c r="AZ54" s="779">
        <f t="shared" si="21"/>
        <v>72.363844491885274</v>
      </c>
      <c r="BA54" s="483">
        <f t="shared" si="22"/>
        <v>0.19158983631636844</v>
      </c>
      <c r="BB54" s="205">
        <f>'Input data'!D98/10^6</f>
        <v>0</v>
      </c>
    </row>
    <row r="55" spans="1:54">
      <c r="A55" s="621">
        <f>'Input data'!A99</f>
        <v>1999</v>
      </c>
      <c r="B55" s="1462">
        <f>'Input data'!I99</f>
        <v>578.73</v>
      </c>
      <c r="C55" s="237">
        <f>B55*'Input data'!B99</f>
        <v>22605.153288900001</v>
      </c>
      <c r="D55" s="730">
        <f>'Input data'!N99</f>
        <v>0.19892488097366726</v>
      </c>
      <c r="E55" s="483">
        <f>'Input data'!O99</f>
        <v>0.26585903447659598</v>
      </c>
      <c r="F55" s="483">
        <f>'Input data'!P99</f>
        <v>8.9228108703258049E-2</v>
      </c>
      <c r="G55" s="483">
        <f>'Input data'!Q99</f>
        <v>0</v>
      </c>
      <c r="H55" s="483">
        <f>'Input data'!R99</f>
        <v>0</v>
      </c>
      <c r="I55" s="483">
        <f>'Input data'!S99</f>
        <v>0</v>
      </c>
      <c r="J55" s="483">
        <f>'Input data'!T99</f>
        <v>0.4459879758464787</v>
      </c>
      <c r="K55" s="604">
        <f>'Input data'!U99</f>
        <v>1</v>
      </c>
      <c r="L55" s="730">
        <f>'Input data'!V99</f>
        <v>0.29028184578274857</v>
      </c>
      <c r="M55" s="483">
        <f>'Input data'!W99</f>
        <v>0.30317187715157518</v>
      </c>
      <c r="N55" s="483">
        <f>'Input data'!X99</f>
        <v>8.2805443243048754E-2</v>
      </c>
      <c r="O55" s="483">
        <f>'Input data'!Y99</f>
        <v>0</v>
      </c>
      <c r="P55" s="483">
        <f>'Input data'!Z99</f>
        <v>0</v>
      </c>
      <c r="Q55" s="483">
        <f>'Input data'!AA99</f>
        <v>0</v>
      </c>
      <c r="R55" s="483">
        <f>'Input data'!AB99</f>
        <v>0.32374083382262742</v>
      </c>
      <c r="S55" s="604">
        <f t="shared" si="6"/>
        <v>0.99999999999999989</v>
      </c>
      <c r="T55" s="114">
        <f t="shared" si="26"/>
        <v>0.8</v>
      </c>
      <c r="U55" s="114">
        <f t="shared" si="26"/>
        <v>0.11</v>
      </c>
      <c r="V55" s="114">
        <f t="shared" si="26"/>
        <v>0.09</v>
      </c>
      <c r="W55" s="114">
        <f t="shared" si="26"/>
        <v>0</v>
      </c>
      <c r="X55" s="114">
        <f t="shared" si="8"/>
        <v>1</v>
      </c>
      <c r="Y55" s="730">
        <f>'Input data'!$G$35</f>
        <v>0.66241124199764068</v>
      </c>
      <c r="Z55" s="604">
        <f>'Input data'!$H$35</f>
        <v>0.33758875800235938</v>
      </c>
      <c r="AA55" s="602">
        <f>'Input data'!J99</f>
        <v>27.526054267727826</v>
      </c>
      <c r="AB55" s="236">
        <f>'Input data'!L99</f>
        <v>51504.585192941347</v>
      </c>
      <c r="AC55" s="483">
        <f t="shared" si="27"/>
        <v>0.85641924869700936</v>
      </c>
      <c r="AD55" s="483">
        <f t="shared" si="27"/>
        <v>0.14268338865096522</v>
      </c>
      <c r="AE55" s="483">
        <f t="shared" si="27"/>
        <v>0</v>
      </c>
      <c r="AF55" s="483">
        <f t="shared" si="27"/>
        <v>8.973626520254116E-4</v>
      </c>
      <c r="AG55" s="483">
        <f t="shared" si="19"/>
        <v>1</v>
      </c>
      <c r="AH55" s="502">
        <f t="shared" si="28"/>
        <v>0.49613166950665732</v>
      </c>
      <c r="AI55" s="1463">
        <f t="shared" si="28"/>
        <v>0.50386833049334279</v>
      </c>
      <c r="AK55" s="621">
        <f t="shared" si="0"/>
        <v>1999</v>
      </c>
      <c r="AL55" s="235">
        <f t="shared" si="1"/>
        <v>18084.122631120001</v>
      </c>
      <c r="AM55" s="485">
        <f t="shared" si="2"/>
        <v>1647.1298432212031</v>
      </c>
      <c r="AN55" s="485">
        <f t="shared" si="3"/>
        <v>839.43701855779705</v>
      </c>
      <c r="AO55" s="485">
        <f t="shared" si="4"/>
        <v>2034.463796001</v>
      </c>
      <c r="AP55" s="485">
        <f t="shared" si="5"/>
        <v>0</v>
      </c>
      <c r="AQ55" s="237">
        <f t="shared" si="10"/>
        <v>22605.153288900001</v>
      </c>
      <c r="AS55" s="606">
        <f t="shared" si="11"/>
        <v>44109.518155389938</v>
      </c>
      <c r="AT55" s="897">
        <f t="shared" si="12"/>
        <v>3645.9965974989714</v>
      </c>
      <c r="AU55" s="897">
        <f t="shared" si="13"/>
        <v>3702.8521488922283</v>
      </c>
      <c r="AV55" s="485">
        <f t="shared" si="14"/>
        <v>0</v>
      </c>
      <c r="AW55" s="704">
        <f t="shared" si="15"/>
        <v>46.21829116020659</v>
      </c>
      <c r="AX55" s="609">
        <f t="shared" si="16"/>
        <v>51504.58519294134</v>
      </c>
      <c r="AZ55" s="779">
        <f t="shared" si="21"/>
        <v>74.109738481841347</v>
      </c>
      <c r="BA55" s="483">
        <f t="shared" si="22"/>
        <v>0.19159672186157098</v>
      </c>
      <c r="BB55" s="205">
        <f>'Input data'!D99/10^6</f>
        <v>0</v>
      </c>
    </row>
    <row r="56" spans="1:54">
      <c r="A56" s="621">
        <f>'Input data'!A100</f>
        <v>2000</v>
      </c>
      <c r="B56" s="1462">
        <f>'Input data'!I100</f>
        <v>578.73</v>
      </c>
      <c r="C56" s="237">
        <f>B56*'Input data'!B100</f>
        <v>25464.120000000003</v>
      </c>
      <c r="D56" s="1464">
        <f>'Input data'!N100</f>
        <v>0.19892488097366726</v>
      </c>
      <c r="E56" s="481">
        <f>'Input data'!O100</f>
        <v>0.26585903447659598</v>
      </c>
      <c r="F56" s="481">
        <f>'Input data'!P100</f>
        <v>8.9228108703258049E-2</v>
      </c>
      <c r="G56" s="481">
        <f>'Input data'!Q100</f>
        <v>0</v>
      </c>
      <c r="H56" s="481">
        <f>'Input data'!R100</f>
        <v>0</v>
      </c>
      <c r="I56" s="481">
        <f>'Input data'!S100</f>
        <v>0</v>
      </c>
      <c r="J56" s="481">
        <f>'Input data'!T100</f>
        <v>0.4459879758464787</v>
      </c>
      <c r="K56" s="1465">
        <f>'Input data'!U100</f>
        <v>1</v>
      </c>
      <c r="L56" s="1464">
        <f>'Input data'!V100</f>
        <v>0.29028184578274857</v>
      </c>
      <c r="M56" s="481">
        <f>'Input data'!W100</f>
        <v>0.30317187715157518</v>
      </c>
      <c r="N56" s="481">
        <f>'Input data'!X100</f>
        <v>8.2805443243048754E-2</v>
      </c>
      <c r="O56" s="481">
        <f>'Input data'!Y100</f>
        <v>0</v>
      </c>
      <c r="P56" s="481">
        <f>'Input data'!Z100</f>
        <v>0</v>
      </c>
      <c r="Q56" s="481">
        <f>'Input data'!AA100</f>
        <v>0</v>
      </c>
      <c r="R56" s="481">
        <f>'Input data'!AB100</f>
        <v>0.32374083382262742</v>
      </c>
      <c r="S56" s="604">
        <f t="shared" si="6"/>
        <v>0.99999999999999989</v>
      </c>
      <c r="T56" s="480">
        <f t="shared" ref="T56:W71" si="29">T55</f>
        <v>0.8</v>
      </c>
      <c r="U56" s="480">
        <f t="shared" si="29"/>
        <v>0.11</v>
      </c>
      <c r="V56" s="480">
        <f t="shared" si="29"/>
        <v>0.09</v>
      </c>
      <c r="W56" s="480">
        <f t="shared" si="29"/>
        <v>0</v>
      </c>
      <c r="X56" s="480">
        <f t="shared" si="8"/>
        <v>1</v>
      </c>
      <c r="Y56" s="1464">
        <f>'Input data'!$G$35</f>
        <v>0.66241124199764068</v>
      </c>
      <c r="Z56" s="1465">
        <f>'Input data'!$H$35</f>
        <v>0.33758875800235938</v>
      </c>
      <c r="AA56" s="1603">
        <f>'Input data'!J100</f>
        <v>27.526054267727826</v>
      </c>
      <c r="AB56" s="538">
        <f>'Input data'!L100</f>
        <v>53667.779561344265</v>
      </c>
      <c r="AC56" s="481">
        <f t="shared" ref="AC56:AF71" si="30">AC55</f>
        <v>0.85641924869700936</v>
      </c>
      <c r="AD56" s="481">
        <f t="shared" si="30"/>
        <v>0.14268338865096522</v>
      </c>
      <c r="AE56" s="481">
        <f t="shared" si="30"/>
        <v>0</v>
      </c>
      <c r="AF56" s="481">
        <f t="shared" si="30"/>
        <v>8.973626520254116E-4</v>
      </c>
      <c r="AG56" s="481">
        <f t="shared" si="19"/>
        <v>1</v>
      </c>
      <c r="AH56" s="1601">
        <f t="shared" ref="AH56:AI71" si="31">AH55</f>
        <v>0.49613166950665732</v>
      </c>
      <c r="AI56" s="1466">
        <f t="shared" si="31"/>
        <v>0.50386833049334279</v>
      </c>
      <c r="AJ56" s="479"/>
      <c r="AK56" s="1114">
        <f t="shared" si="0"/>
        <v>2000</v>
      </c>
      <c r="AL56" s="610">
        <f t="shared" si="1"/>
        <v>20371.296000000002</v>
      </c>
      <c r="AM56" s="538">
        <f t="shared" si="2"/>
        <v>1855.4491291134659</v>
      </c>
      <c r="AN56" s="538">
        <f t="shared" si="3"/>
        <v>945.60407088653449</v>
      </c>
      <c r="AO56" s="538">
        <f t="shared" si="4"/>
        <v>2291.7708000000002</v>
      </c>
      <c r="AP56" s="538">
        <f t="shared" si="5"/>
        <v>0</v>
      </c>
      <c r="AQ56" s="611">
        <f t="shared" si="10"/>
        <v>25464.120000000003</v>
      </c>
      <c r="AR56" s="479"/>
      <c r="AS56" s="612">
        <f t="shared" si="11"/>
        <v>45962.119451163169</v>
      </c>
      <c r="AT56" s="596">
        <f t="shared" si="12"/>
        <v>3799.1285813287695</v>
      </c>
      <c r="AU56" s="596">
        <f t="shared" si="13"/>
        <v>3858.3720678568429</v>
      </c>
      <c r="AV56" s="538">
        <f t="shared" si="14"/>
        <v>0</v>
      </c>
      <c r="AW56" s="595">
        <f t="shared" si="15"/>
        <v>48.159460995483073</v>
      </c>
      <c r="AX56" s="613">
        <f t="shared" si="16"/>
        <v>53667.779561344265</v>
      </c>
      <c r="AY56" s="1"/>
      <c r="AZ56" s="1606">
        <f t="shared" si="21"/>
        <v>79.13189956134427</v>
      </c>
      <c r="BA56" s="1609">
        <f t="shared" si="22"/>
        <v>0.19294173265665418</v>
      </c>
      <c r="BB56" s="1610">
        <f>'Input data'!D100/10^6</f>
        <v>31.23682808253357</v>
      </c>
    </row>
    <row r="57" spans="1:54">
      <c r="A57" s="621">
        <f>'Input data'!A101</f>
        <v>2001</v>
      </c>
      <c r="B57" s="1462">
        <f>'Input data'!I101</f>
        <v>578.73</v>
      </c>
      <c r="C57" s="237">
        <f>B57*'Input data'!B101</f>
        <v>25990.764299999999</v>
      </c>
      <c r="D57" s="729">
        <f>'Input data'!N101</f>
        <v>0.19892488097366726</v>
      </c>
      <c r="E57" s="477">
        <f>'Input data'!O101</f>
        <v>0.26585903447659598</v>
      </c>
      <c r="F57" s="477">
        <f>'Input data'!P101</f>
        <v>8.9228108703258049E-2</v>
      </c>
      <c r="G57" s="477">
        <f>'Input data'!Q101</f>
        <v>0</v>
      </c>
      <c r="H57" s="477">
        <f>'Input data'!R101</f>
        <v>0</v>
      </c>
      <c r="I57" s="477">
        <f>'Input data'!S101</f>
        <v>0</v>
      </c>
      <c r="J57" s="477">
        <f>'Input data'!T101</f>
        <v>0.4459879758464787</v>
      </c>
      <c r="K57" s="1344">
        <f>'Input data'!U101</f>
        <v>1</v>
      </c>
      <c r="L57" s="729">
        <f>'Input data'!V101</f>
        <v>0.29028184578274857</v>
      </c>
      <c r="M57" s="477">
        <f>'Input data'!W101</f>
        <v>0.30317187715157518</v>
      </c>
      <c r="N57" s="477">
        <f>'Input data'!X101</f>
        <v>8.2805443243048754E-2</v>
      </c>
      <c r="O57" s="477">
        <f>'Input data'!Y101</f>
        <v>0</v>
      </c>
      <c r="P57" s="477">
        <f>'Input data'!Z101</f>
        <v>0</v>
      </c>
      <c r="Q57" s="477">
        <f>'Input data'!AA101</f>
        <v>0</v>
      </c>
      <c r="R57" s="477">
        <f>'Input data'!AB101</f>
        <v>0.32374083382262742</v>
      </c>
      <c r="S57" s="604">
        <f t="shared" si="6"/>
        <v>0.99999999999999989</v>
      </c>
      <c r="T57" s="1467">
        <f t="shared" si="29"/>
        <v>0.8</v>
      </c>
      <c r="U57" s="1467">
        <f t="shared" si="29"/>
        <v>0.11</v>
      </c>
      <c r="V57" s="1467">
        <f t="shared" si="29"/>
        <v>0.09</v>
      </c>
      <c r="W57" s="1467">
        <f t="shared" si="29"/>
        <v>0</v>
      </c>
      <c r="X57" s="1467">
        <f t="shared" si="8"/>
        <v>1</v>
      </c>
      <c r="Y57" s="729">
        <f>'Input data'!$G$35</f>
        <v>0.66241124199764068</v>
      </c>
      <c r="Z57" s="1344">
        <f>'Input data'!$H$35</f>
        <v>0.33758875800235938</v>
      </c>
      <c r="AA57" s="1604">
        <f>'Input data'!J101</f>
        <v>27.526054267727826</v>
      </c>
      <c r="AB57" s="1468">
        <f>'Input data'!L101</f>
        <v>55116.806693730105</v>
      </c>
      <c r="AC57" s="477">
        <f t="shared" si="30"/>
        <v>0.85641924869700936</v>
      </c>
      <c r="AD57" s="477">
        <f t="shared" si="30"/>
        <v>0.14268338865096522</v>
      </c>
      <c r="AE57" s="477">
        <f t="shared" si="30"/>
        <v>0</v>
      </c>
      <c r="AF57" s="477">
        <f t="shared" si="30"/>
        <v>8.973626520254116E-4</v>
      </c>
      <c r="AG57" s="477">
        <f t="shared" si="19"/>
        <v>1</v>
      </c>
      <c r="AH57" s="1602">
        <f t="shared" si="31"/>
        <v>0.49613166950665732</v>
      </c>
      <c r="AI57" s="1470">
        <f t="shared" si="31"/>
        <v>0.50386833049334279</v>
      </c>
      <c r="AJ57" s="1"/>
      <c r="AK57" s="1114">
        <f t="shared" si="0"/>
        <v>2001</v>
      </c>
      <c r="AL57" s="888">
        <f t="shared" si="1"/>
        <v>20792.611440000001</v>
      </c>
      <c r="AM57" s="1468">
        <f t="shared" si="2"/>
        <v>1893.8231906474034</v>
      </c>
      <c r="AN57" s="1468">
        <f t="shared" si="3"/>
        <v>965.16088235259679</v>
      </c>
      <c r="AO57" s="1468">
        <f t="shared" si="4"/>
        <v>2339.1687869999996</v>
      </c>
      <c r="AP57" s="1468">
        <f t="shared" si="5"/>
        <v>0</v>
      </c>
      <c r="AQ57" s="750">
        <f t="shared" si="10"/>
        <v>25990.764299999999</v>
      </c>
      <c r="AR57" s="1"/>
      <c r="AS57" s="1471">
        <f t="shared" si="11"/>
        <v>47203.094179222629</v>
      </c>
      <c r="AT57" s="1472">
        <f t="shared" si="12"/>
        <v>3901.7048466179913</v>
      </c>
      <c r="AU57" s="1472">
        <f t="shared" si="13"/>
        <v>3962.5479040636237</v>
      </c>
      <c r="AV57" s="1468">
        <f t="shared" si="14"/>
        <v>0</v>
      </c>
      <c r="AW57" s="1473">
        <f t="shared" si="15"/>
        <v>49.459763825857607</v>
      </c>
      <c r="AX57" s="863">
        <f t="shared" si="16"/>
        <v>55116.806693730105</v>
      </c>
      <c r="AY57" s="1"/>
      <c r="AZ57" s="1342">
        <f t="shared" si="21"/>
        <v>81.107570993730093</v>
      </c>
      <c r="BA57" s="477">
        <f t="shared" si="22"/>
        <v>0.19283372758765369</v>
      </c>
      <c r="BB57" s="1611">
        <f>'Input data'!D101/10^6</f>
        <v>32.080220743665109</v>
      </c>
    </row>
    <row r="58" spans="1:54">
      <c r="A58" s="621">
        <f>'Input data'!A102</f>
        <v>2002</v>
      </c>
      <c r="B58" s="1462">
        <f>'Input data'!I102</f>
        <v>578.73</v>
      </c>
      <c r="C58" s="237">
        <f>B58*'Input data'!B102</f>
        <v>26351.313090000003</v>
      </c>
      <c r="D58" s="729">
        <f>'Input data'!N102</f>
        <v>0.19892488097366726</v>
      </c>
      <c r="E58" s="477">
        <f>'Input data'!O102</f>
        <v>0.26585903447659598</v>
      </c>
      <c r="F58" s="477">
        <f>'Input data'!P102</f>
        <v>8.9228108703258049E-2</v>
      </c>
      <c r="G58" s="477">
        <f>'Input data'!Q102</f>
        <v>0</v>
      </c>
      <c r="H58" s="477">
        <f>'Input data'!R102</f>
        <v>0</v>
      </c>
      <c r="I58" s="477">
        <f>'Input data'!S102</f>
        <v>0</v>
      </c>
      <c r="J58" s="477">
        <f>'Input data'!T102</f>
        <v>0.4459879758464787</v>
      </c>
      <c r="K58" s="1344">
        <f>'Input data'!U102</f>
        <v>1</v>
      </c>
      <c r="L58" s="729">
        <f>'Input data'!V102</f>
        <v>0.29028184578274857</v>
      </c>
      <c r="M58" s="477">
        <f>'Input data'!W102</f>
        <v>0.30317187715157518</v>
      </c>
      <c r="N58" s="477">
        <f>'Input data'!X102</f>
        <v>8.2805443243048754E-2</v>
      </c>
      <c r="O58" s="477">
        <f>'Input data'!Y102</f>
        <v>0</v>
      </c>
      <c r="P58" s="477">
        <f>'Input data'!Z102</f>
        <v>0</v>
      </c>
      <c r="Q58" s="477">
        <f>'Input data'!AA102</f>
        <v>0</v>
      </c>
      <c r="R58" s="477">
        <f>'Input data'!AB102</f>
        <v>0.32374083382262742</v>
      </c>
      <c r="S58" s="604">
        <f t="shared" si="6"/>
        <v>0.99999999999999989</v>
      </c>
      <c r="T58" s="1467">
        <f t="shared" si="29"/>
        <v>0.8</v>
      </c>
      <c r="U58" s="1467">
        <f t="shared" si="29"/>
        <v>0.11</v>
      </c>
      <c r="V58" s="1467">
        <f t="shared" si="29"/>
        <v>0.09</v>
      </c>
      <c r="W58" s="1467">
        <f t="shared" si="29"/>
        <v>0</v>
      </c>
      <c r="X58" s="1467">
        <f t="shared" si="8"/>
        <v>1</v>
      </c>
      <c r="Y58" s="729">
        <f>'Input data'!$G$35</f>
        <v>0.66241124199764068</v>
      </c>
      <c r="Z58" s="1344">
        <f>'Input data'!$H$35</f>
        <v>0.33758875800235938</v>
      </c>
      <c r="AA58" s="1604">
        <f>'Input data'!J102</f>
        <v>27.526054267727826</v>
      </c>
      <c r="AB58" s="1468">
        <f>'Input data'!L102</f>
        <v>57156.339281610846</v>
      </c>
      <c r="AC58" s="477">
        <f t="shared" si="30"/>
        <v>0.85641924869700936</v>
      </c>
      <c r="AD58" s="477">
        <f t="shared" si="30"/>
        <v>0.14268338865096522</v>
      </c>
      <c r="AE58" s="477">
        <f t="shared" si="30"/>
        <v>0</v>
      </c>
      <c r="AF58" s="477">
        <f t="shared" si="30"/>
        <v>8.973626520254116E-4</v>
      </c>
      <c r="AG58" s="477">
        <f t="shared" si="19"/>
        <v>1</v>
      </c>
      <c r="AH58" s="1602">
        <f t="shared" si="31"/>
        <v>0.49613166950665732</v>
      </c>
      <c r="AI58" s="1470">
        <f t="shared" si="31"/>
        <v>0.50386833049334279</v>
      </c>
      <c r="AJ58" s="1"/>
      <c r="AK58" s="1114">
        <f t="shared" si="0"/>
        <v>2002</v>
      </c>
      <c r="AL58" s="888">
        <f t="shared" si="1"/>
        <v>21081.050472000003</v>
      </c>
      <c r="AM58" s="1468">
        <f t="shared" si="2"/>
        <v>1920.0946635437149</v>
      </c>
      <c r="AN58" s="1468">
        <f t="shared" si="3"/>
        <v>978.54977635628575</v>
      </c>
      <c r="AO58" s="1468">
        <f t="shared" si="4"/>
        <v>2371.6181781</v>
      </c>
      <c r="AP58" s="1468">
        <f t="shared" si="5"/>
        <v>0</v>
      </c>
      <c r="AQ58" s="750">
        <f t="shared" si="10"/>
        <v>26351.313090000003</v>
      </c>
      <c r="AR58" s="1"/>
      <c r="AS58" s="1471">
        <f t="shared" si="11"/>
        <v>48949.789145828523</v>
      </c>
      <c r="AT58" s="1472">
        <f t="shared" si="12"/>
        <v>4046.0828441893718</v>
      </c>
      <c r="AU58" s="1472">
        <f t="shared" si="13"/>
        <v>4109.1773273951394</v>
      </c>
      <c r="AV58" s="1468">
        <f t="shared" si="14"/>
        <v>0</v>
      </c>
      <c r="AW58" s="1473">
        <f t="shared" si="15"/>
        <v>51.289964197810519</v>
      </c>
      <c r="AX58" s="863">
        <f t="shared" si="16"/>
        <v>57156.339281610846</v>
      </c>
      <c r="AY58" s="1"/>
      <c r="AZ58" s="1342">
        <f t="shared" si="21"/>
        <v>83.507652371610845</v>
      </c>
      <c r="BA58" s="477">
        <f t="shared" si="22"/>
        <v>0.19244111347697429</v>
      </c>
      <c r="BB58" s="1611">
        <f>'Input data'!D102/10^6</f>
        <v>33.26731157054634</v>
      </c>
    </row>
    <row r="59" spans="1:54">
      <c r="A59" s="621">
        <f>'Input data'!A103</f>
        <v>2003</v>
      </c>
      <c r="B59" s="1462">
        <f>'Input data'!I103</f>
        <v>578.73</v>
      </c>
      <c r="C59" s="237">
        <f>B59*'Input data'!B103</f>
        <v>26688.712680000001</v>
      </c>
      <c r="D59" s="729">
        <f>'Input data'!N103</f>
        <v>0.19892488097366726</v>
      </c>
      <c r="E59" s="477">
        <f>'Input data'!O103</f>
        <v>0.26585903447659598</v>
      </c>
      <c r="F59" s="477">
        <f>'Input data'!P103</f>
        <v>8.9228108703258049E-2</v>
      </c>
      <c r="G59" s="477">
        <f>'Input data'!Q103</f>
        <v>0</v>
      </c>
      <c r="H59" s="477">
        <f>'Input data'!R103</f>
        <v>0</v>
      </c>
      <c r="I59" s="477">
        <f>'Input data'!S103</f>
        <v>0</v>
      </c>
      <c r="J59" s="477">
        <f>'Input data'!T103</f>
        <v>0.4459879758464787</v>
      </c>
      <c r="K59" s="1344">
        <f>'Input data'!U103</f>
        <v>1</v>
      </c>
      <c r="L59" s="729">
        <f>'Input data'!V103</f>
        <v>0.29028184578274857</v>
      </c>
      <c r="M59" s="477">
        <f>'Input data'!W103</f>
        <v>0.30317187715157518</v>
      </c>
      <c r="N59" s="477">
        <f>'Input data'!X103</f>
        <v>8.2805443243048754E-2</v>
      </c>
      <c r="O59" s="477">
        <f>'Input data'!Y103</f>
        <v>0</v>
      </c>
      <c r="P59" s="477">
        <f>'Input data'!Z103</f>
        <v>0</v>
      </c>
      <c r="Q59" s="477">
        <f>'Input data'!AA103</f>
        <v>0</v>
      </c>
      <c r="R59" s="477">
        <f>'Input data'!AB103</f>
        <v>0.32374083382262742</v>
      </c>
      <c r="S59" s="604">
        <f t="shared" si="6"/>
        <v>0.99999999999999989</v>
      </c>
      <c r="T59" s="1467">
        <f t="shared" si="29"/>
        <v>0.8</v>
      </c>
      <c r="U59" s="1467">
        <f t="shared" si="29"/>
        <v>0.11</v>
      </c>
      <c r="V59" s="1467">
        <f t="shared" si="29"/>
        <v>0.09</v>
      </c>
      <c r="W59" s="1467">
        <f t="shared" si="29"/>
        <v>0</v>
      </c>
      <c r="X59" s="1467">
        <f t="shared" si="8"/>
        <v>1</v>
      </c>
      <c r="Y59" s="729">
        <f>'Input data'!$G$35</f>
        <v>0.66241124199764068</v>
      </c>
      <c r="Z59" s="1344">
        <f>'Input data'!$H$35</f>
        <v>0.33758875800235938</v>
      </c>
      <c r="AA59" s="1604">
        <f>'Input data'!J103</f>
        <v>27.526054267727826</v>
      </c>
      <c r="AB59" s="1468">
        <f>'Input data'!L103</f>
        <v>58841.924958837779</v>
      </c>
      <c r="AC59" s="477">
        <f t="shared" si="30"/>
        <v>0.85641924869700936</v>
      </c>
      <c r="AD59" s="477">
        <f t="shared" si="30"/>
        <v>0.14268338865096522</v>
      </c>
      <c r="AE59" s="477">
        <f t="shared" si="30"/>
        <v>0</v>
      </c>
      <c r="AF59" s="477">
        <f t="shared" si="30"/>
        <v>8.973626520254116E-4</v>
      </c>
      <c r="AG59" s="477">
        <f t="shared" si="19"/>
        <v>1</v>
      </c>
      <c r="AH59" s="1602">
        <f t="shared" si="31"/>
        <v>0.49613166950665732</v>
      </c>
      <c r="AI59" s="1470">
        <f t="shared" si="31"/>
        <v>0.50386833049334279</v>
      </c>
      <c r="AJ59" s="1"/>
      <c r="AK59" s="1114">
        <f t="shared" si="0"/>
        <v>2003</v>
      </c>
      <c r="AL59" s="888">
        <f t="shared" si="1"/>
        <v>21350.970144000003</v>
      </c>
      <c r="AM59" s="1468">
        <f t="shared" si="2"/>
        <v>1944.6793645044681</v>
      </c>
      <c r="AN59" s="1468">
        <f t="shared" si="3"/>
        <v>991.07903029553222</v>
      </c>
      <c r="AO59" s="1468">
        <f t="shared" si="4"/>
        <v>2401.9841412000001</v>
      </c>
      <c r="AP59" s="1468">
        <f t="shared" si="5"/>
        <v>0</v>
      </c>
      <c r="AQ59" s="750">
        <f t="shared" si="10"/>
        <v>26688.712680000001</v>
      </c>
      <c r="AR59" s="1"/>
      <c r="AS59" s="1471">
        <f t="shared" si="11"/>
        <v>50393.357165133653</v>
      </c>
      <c r="AT59" s="1472">
        <f t="shared" si="12"/>
        <v>4165.4050292130978</v>
      </c>
      <c r="AU59" s="1472">
        <f t="shared" si="13"/>
        <v>4230.3602186596845</v>
      </c>
      <c r="AV59" s="1468">
        <f t="shared" si="14"/>
        <v>0</v>
      </c>
      <c r="AW59" s="1473">
        <f t="shared" si="15"/>
        <v>52.802545831342925</v>
      </c>
      <c r="AX59" s="863">
        <f t="shared" si="16"/>
        <v>58841.924958837779</v>
      </c>
      <c r="AY59" s="1"/>
      <c r="AZ59" s="1342">
        <f t="shared" si="21"/>
        <v>85.530637638837788</v>
      </c>
      <c r="BA59" s="477">
        <f t="shared" si="22"/>
        <v>0.1921588904207206</v>
      </c>
      <c r="BB59" s="1611">
        <f>'Input data'!D103/10^6</f>
        <v>34.248390915514115</v>
      </c>
    </row>
    <row r="60" spans="1:54">
      <c r="A60" s="621">
        <f>'Input data'!A104</f>
        <v>2004</v>
      </c>
      <c r="B60" s="1462">
        <f>'Input data'!I104</f>
        <v>578.73</v>
      </c>
      <c r="C60" s="237">
        <f>B60*'Input data'!B104</f>
        <v>27006.435450000001</v>
      </c>
      <c r="D60" s="729">
        <f>'Input data'!N104</f>
        <v>0.19892488097366726</v>
      </c>
      <c r="E60" s="477">
        <f>'Input data'!O104</f>
        <v>0.26585903447659598</v>
      </c>
      <c r="F60" s="477">
        <f>'Input data'!P104</f>
        <v>8.9228108703258049E-2</v>
      </c>
      <c r="G60" s="477">
        <f>'Input data'!Q104</f>
        <v>0</v>
      </c>
      <c r="H60" s="477">
        <f>'Input data'!R104</f>
        <v>0</v>
      </c>
      <c r="I60" s="477">
        <f>'Input data'!S104</f>
        <v>0</v>
      </c>
      <c r="J60" s="477">
        <f>'Input data'!T104</f>
        <v>0.4459879758464787</v>
      </c>
      <c r="K60" s="1344">
        <f>'Input data'!U104</f>
        <v>1</v>
      </c>
      <c r="L60" s="729">
        <f>'Input data'!V104</f>
        <v>0.29028184578274857</v>
      </c>
      <c r="M60" s="477">
        <f>'Input data'!W104</f>
        <v>0.30317187715157518</v>
      </c>
      <c r="N60" s="477">
        <f>'Input data'!X104</f>
        <v>8.2805443243048754E-2</v>
      </c>
      <c r="O60" s="477">
        <f>'Input data'!Y104</f>
        <v>0</v>
      </c>
      <c r="P60" s="477">
        <f>'Input data'!Z104</f>
        <v>0</v>
      </c>
      <c r="Q60" s="477">
        <f>'Input data'!AA104</f>
        <v>0</v>
      </c>
      <c r="R60" s="477">
        <f>'Input data'!AB104</f>
        <v>0.32374083382262742</v>
      </c>
      <c r="S60" s="604">
        <f t="shared" si="6"/>
        <v>0.99999999999999989</v>
      </c>
      <c r="T60" s="1467">
        <f t="shared" si="29"/>
        <v>0.8</v>
      </c>
      <c r="U60" s="1467">
        <f t="shared" si="29"/>
        <v>0.11</v>
      </c>
      <c r="V60" s="1467">
        <f t="shared" si="29"/>
        <v>0.09</v>
      </c>
      <c r="W60" s="1467">
        <f t="shared" si="29"/>
        <v>0</v>
      </c>
      <c r="X60" s="1467">
        <f t="shared" si="8"/>
        <v>1</v>
      </c>
      <c r="Y60" s="729">
        <f>'Input data'!$G$35</f>
        <v>0.66241124199764068</v>
      </c>
      <c r="Z60" s="1344">
        <f>'Input data'!$H$35</f>
        <v>0.33758875800235938</v>
      </c>
      <c r="AA60" s="1604">
        <f>'Input data'!J104</f>
        <v>27.526054267727826</v>
      </c>
      <c r="AB60" s="1468">
        <f>'Input data'!L104</f>
        <v>61521.911467261365</v>
      </c>
      <c r="AC60" s="477">
        <f t="shared" si="30"/>
        <v>0.85641924869700936</v>
      </c>
      <c r="AD60" s="477">
        <f t="shared" si="30"/>
        <v>0.14268338865096522</v>
      </c>
      <c r="AE60" s="477">
        <f t="shared" si="30"/>
        <v>0</v>
      </c>
      <c r="AF60" s="477">
        <f t="shared" si="30"/>
        <v>8.973626520254116E-4</v>
      </c>
      <c r="AG60" s="477">
        <f t="shared" si="19"/>
        <v>1</v>
      </c>
      <c r="AH60" s="1602">
        <f t="shared" si="31"/>
        <v>0.49613166950665732</v>
      </c>
      <c r="AI60" s="1470">
        <f t="shared" si="31"/>
        <v>0.50386833049334279</v>
      </c>
      <c r="AJ60" s="1"/>
      <c r="AK60" s="1114">
        <f t="shared" si="0"/>
        <v>2004</v>
      </c>
      <c r="AL60" s="888">
        <f t="shared" si="1"/>
        <v>21605.148360000003</v>
      </c>
      <c r="AM60" s="1468">
        <f t="shared" si="2"/>
        <v>1967.8303093199975</v>
      </c>
      <c r="AN60" s="1468">
        <f t="shared" si="3"/>
        <v>1002.8775901800029</v>
      </c>
      <c r="AO60" s="1468">
        <f t="shared" si="4"/>
        <v>2430.5791905000001</v>
      </c>
      <c r="AP60" s="1468">
        <f t="shared" si="5"/>
        <v>0</v>
      </c>
      <c r="AQ60" s="750">
        <f t="shared" si="10"/>
        <v>27006.435450000004</v>
      </c>
      <c r="AR60" s="1"/>
      <c r="AS60" s="1471">
        <f t="shared" si="11"/>
        <v>52688.549197195905</v>
      </c>
      <c r="AT60" s="1472">
        <f t="shared" si="12"/>
        <v>4355.1205983114905</v>
      </c>
      <c r="AU60" s="1472">
        <f t="shared" si="13"/>
        <v>4423.0342061220372</v>
      </c>
      <c r="AV60" s="1468">
        <f t="shared" si="14"/>
        <v>0</v>
      </c>
      <c r="AW60" s="1473">
        <f t="shared" si="15"/>
        <v>55.207465631934241</v>
      </c>
      <c r="AX60" s="863">
        <f t="shared" si="16"/>
        <v>61521.911467261365</v>
      </c>
      <c r="AY60" s="1"/>
      <c r="AZ60" s="1342">
        <f t="shared" si="21"/>
        <v>88.528346917261359</v>
      </c>
      <c r="BA60" s="477">
        <f t="shared" si="22"/>
        <v>0.19159968918099338</v>
      </c>
      <c r="BB60" s="1611">
        <f>'Input data'!D104/10^6</f>
        <v>35.808251944074989</v>
      </c>
    </row>
    <row r="61" spans="1:54">
      <c r="A61" s="621">
        <f>'Input data'!A105</f>
        <v>2005</v>
      </c>
      <c r="B61" s="1462">
        <f>'Input data'!I105</f>
        <v>578.73</v>
      </c>
      <c r="C61" s="237">
        <f>B61*'Input data'!B105</f>
        <v>27314.898540000002</v>
      </c>
      <c r="D61" s="729">
        <f>'Input data'!N105</f>
        <v>0.19892488097366726</v>
      </c>
      <c r="E61" s="477">
        <f>'Input data'!O105</f>
        <v>0.26585903447659598</v>
      </c>
      <c r="F61" s="477">
        <f>'Input data'!P105</f>
        <v>8.9228108703258049E-2</v>
      </c>
      <c r="G61" s="477">
        <f>'Input data'!Q105</f>
        <v>0</v>
      </c>
      <c r="H61" s="477">
        <f>'Input data'!R105</f>
        <v>0</v>
      </c>
      <c r="I61" s="477">
        <f>'Input data'!S105</f>
        <v>0</v>
      </c>
      <c r="J61" s="477">
        <f>'Input data'!T105</f>
        <v>0.4459879758464787</v>
      </c>
      <c r="K61" s="1344">
        <f>'Input data'!U105</f>
        <v>1</v>
      </c>
      <c r="L61" s="729">
        <f>'Input data'!V105</f>
        <v>0.29028184578274857</v>
      </c>
      <c r="M61" s="477">
        <f>'Input data'!W105</f>
        <v>0.30317187715157518</v>
      </c>
      <c r="N61" s="477">
        <f>'Input data'!X105</f>
        <v>8.2805443243048754E-2</v>
      </c>
      <c r="O61" s="477">
        <f>'Input data'!Y105</f>
        <v>0</v>
      </c>
      <c r="P61" s="477">
        <f>'Input data'!Z105</f>
        <v>0</v>
      </c>
      <c r="Q61" s="477">
        <f>'Input data'!AA105</f>
        <v>0</v>
      </c>
      <c r="R61" s="477">
        <f>'Input data'!AB105</f>
        <v>0.32374083382262742</v>
      </c>
      <c r="S61" s="604">
        <f t="shared" si="6"/>
        <v>0.99999999999999989</v>
      </c>
      <c r="T61" s="1467">
        <f t="shared" si="29"/>
        <v>0.8</v>
      </c>
      <c r="U61" s="1467">
        <f t="shared" si="29"/>
        <v>0.11</v>
      </c>
      <c r="V61" s="1467">
        <f t="shared" si="29"/>
        <v>0.09</v>
      </c>
      <c r="W61" s="1467">
        <f t="shared" si="29"/>
        <v>0</v>
      </c>
      <c r="X61" s="1467">
        <f t="shared" si="8"/>
        <v>1</v>
      </c>
      <c r="Y61" s="729">
        <f>'Input data'!$G$35</f>
        <v>0.66241124199764068</v>
      </c>
      <c r="Z61" s="1344">
        <f>'Input data'!$H$35</f>
        <v>0.33758875800235938</v>
      </c>
      <c r="AA61" s="1604">
        <f>'Input data'!J105</f>
        <v>27.526054267727826</v>
      </c>
      <c r="AB61" s="1468">
        <f>'Input data'!L105</f>
        <v>64768.457379607527</v>
      </c>
      <c r="AC61" s="477">
        <f t="shared" si="30"/>
        <v>0.85641924869700936</v>
      </c>
      <c r="AD61" s="477">
        <f t="shared" si="30"/>
        <v>0.14268338865096522</v>
      </c>
      <c r="AE61" s="477">
        <f t="shared" si="30"/>
        <v>0</v>
      </c>
      <c r="AF61" s="477">
        <f t="shared" si="30"/>
        <v>8.973626520254116E-4</v>
      </c>
      <c r="AG61" s="477">
        <f t="shared" si="19"/>
        <v>1</v>
      </c>
      <c r="AH61" s="1602">
        <f t="shared" si="31"/>
        <v>0.49613166950665732</v>
      </c>
      <c r="AI61" s="1470">
        <f t="shared" si="31"/>
        <v>0.50386833049334279</v>
      </c>
      <c r="AJ61" s="1"/>
      <c r="AK61" s="1114">
        <f t="shared" si="0"/>
        <v>2005</v>
      </c>
      <c r="AL61" s="888">
        <f t="shared" si="1"/>
        <v>21851.918832000003</v>
      </c>
      <c r="AM61" s="1468">
        <f t="shared" si="2"/>
        <v>1990.3065453613035</v>
      </c>
      <c r="AN61" s="1468">
        <f t="shared" si="3"/>
        <v>1014.3322940386965</v>
      </c>
      <c r="AO61" s="1468">
        <f t="shared" si="4"/>
        <v>2458.3408686000002</v>
      </c>
      <c r="AP61" s="1468">
        <f t="shared" si="5"/>
        <v>0</v>
      </c>
      <c r="AQ61" s="750">
        <f t="shared" si="10"/>
        <v>27314.898540000002</v>
      </c>
      <c r="AR61" s="1"/>
      <c r="AS61" s="1471">
        <f t="shared" si="11"/>
        <v>55468.953608307747</v>
      </c>
      <c r="AT61" s="1472">
        <f t="shared" si="12"/>
        <v>4584.9427647398988</v>
      </c>
      <c r="AU61" s="1472">
        <f t="shared" si="13"/>
        <v>4656.440211878119</v>
      </c>
      <c r="AV61" s="1468">
        <f t="shared" si="14"/>
        <v>0</v>
      </c>
      <c r="AW61" s="1473">
        <f t="shared" si="15"/>
        <v>58.120794681759449</v>
      </c>
      <c r="AX61" s="863">
        <f t="shared" si="16"/>
        <v>64768.457379607527</v>
      </c>
      <c r="AY61" s="1"/>
      <c r="AZ61" s="1342">
        <f t="shared" si="21"/>
        <v>92.083355919607541</v>
      </c>
      <c r="BA61" s="477">
        <f t="shared" si="22"/>
        <v>0.19092494708587937</v>
      </c>
      <c r="BB61" s="1611">
        <f>'Input data'!D105/10^6</f>
        <v>37.697873563506654</v>
      </c>
    </row>
    <row r="62" spans="1:54">
      <c r="A62" s="621">
        <f>'Input data'!A106</f>
        <v>2006</v>
      </c>
      <c r="B62" s="1462">
        <f>'Input data'!I106</f>
        <v>578.73</v>
      </c>
      <c r="C62" s="237">
        <f>B62*'Input data'!B106</f>
        <v>27623.361630000003</v>
      </c>
      <c r="D62" s="729">
        <f>'Input data'!N106</f>
        <v>0.19892488097366726</v>
      </c>
      <c r="E62" s="477">
        <f>'Input data'!O106</f>
        <v>0.26585903447659598</v>
      </c>
      <c r="F62" s="477">
        <f>'Input data'!P106</f>
        <v>8.9228108703258049E-2</v>
      </c>
      <c r="G62" s="477">
        <f>'Input data'!Q106</f>
        <v>0</v>
      </c>
      <c r="H62" s="477">
        <f>'Input data'!R106</f>
        <v>0</v>
      </c>
      <c r="I62" s="477">
        <f>'Input data'!S106</f>
        <v>0</v>
      </c>
      <c r="J62" s="477">
        <f>'Input data'!T106</f>
        <v>0.4459879758464787</v>
      </c>
      <c r="K62" s="1344">
        <f>'Input data'!U106</f>
        <v>1</v>
      </c>
      <c r="L62" s="729">
        <f>'Input data'!V106</f>
        <v>0.29028184578274857</v>
      </c>
      <c r="M62" s="477">
        <f>'Input data'!W106</f>
        <v>0.30317187715157518</v>
      </c>
      <c r="N62" s="477">
        <f>'Input data'!X106</f>
        <v>8.2805443243048754E-2</v>
      </c>
      <c r="O62" s="477">
        <f>'Input data'!Y106</f>
        <v>0</v>
      </c>
      <c r="P62" s="477">
        <f>'Input data'!Z106</f>
        <v>0</v>
      </c>
      <c r="Q62" s="477">
        <f>'Input data'!AA106</f>
        <v>0</v>
      </c>
      <c r="R62" s="477">
        <f>'Input data'!AB106</f>
        <v>0.32374083382262742</v>
      </c>
      <c r="S62" s="604">
        <f t="shared" si="6"/>
        <v>0.99999999999999989</v>
      </c>
      <c r="T62" s="1467">
        <f t="shared" si="29"/>
        <v>0.8</v>
      </c>
      <c r="U62" s="1467">
        <f t="shared" si="29"/>
        <v>0.11</v>
      </c>
      <c r="V62" s="1467">
        <f t="shared" si="29"/>
        <v>0.09</v>
      </c>
      <c r="W62" s="1467">
        <f t="shared" si="29"/>
        <v>0</v>
      </c>
      <c r="X62" s="1467">
        <f t="shared" si="8"/>
        <v>1</v>
      </c>
      <c r="Y62" s="729">
        <f>'Input data'!$G$35</f>
        <v>0.66241124199764068</v>
      </c>
      <c r="Z62" s="1344">
        <f>'Input data'!$H$35</f>
        <v>0.33758875800235938</v>
      </c>
      <c r="AA62" s="1604">
        <f>'Input data'!J106</f>
        <v>27.526054267727826</v>
      </c>
      <c r="AB62" s="1468">
        <f>'Input data'!L106</f>
        <v>68397.950676721026</v>
      </c>
      <c r="AC62" s="477">
        <f t="shared" si="30"/>
        <v>0.85641924869700936</v>
      </c>
      <c r="AD62" s="477">
        <f t="shared" si="30"/>
        <v>0.14268338865096522</v>
      </c>
      <c r="AE62" s="477">
        <f t="shared" si="30"/>
        <v>0</v>
      </c>
      <c r="AF62" s="477">
        <f t="shared" si="30"/>
        <v>8.973626520254116E-4</v>
      </c>
      <c r="AG62" s="477">
        <f t="shared" si="19"/>
        <v>1</v>
      </c>
      <c r="AH62" s="1602">
        <f t="shared" si="31"/>
        <v>0.49613166950665732</v>
      </c>
      <c r="AI62" s="1470">
        <f t="shared" si="31"/>
        <v>0.50386833049334279</v>
      </c>
      <c r="AJ62" s="1"/>
      <c r="AK62" s="1114">
        <f t="shared" si="0"/>
        <v>2006</v>
      </c>
      <c r="AL62" s="888">
        <f t="shared" si="1"/>
        <v>22098.689304000003</v>
      </c>
      <c r="AM62" s="1468">
        <f t="shared" si="2"/>
        <v>2012.7827814026102</v>
      </c>
      <c r="AN62" s="1468">
        <f t="shared" si="3"/>
        <v>1025.7869978973904</v>
      </c>
      <c r="AO62" s="1468">
        <f t="shared" si="4"/>
        <v>2486.1025467000004</v>
      </c>
      <c r="AP62" s="1468">
        <f t="shared" si="5"/>
        <v>0</v>
      </c>
      <c r="AQ62" s="750">
        <f t="shared" si="10"/>
        <v>27623.361630000003</v>
      </c>
      <c r="AR62" s="1"/>
      <c r="AS62" s="1471">
        <f t="shared" si="11"/>
        <v>58577.321530972527</v>
      </c>
      <c r="AT62" s="1472">
        <f t="shared" si="12"/>
        <v>4841.8736799651851</v>
      </c>
      <c r="AU62" s="1472">
        <f t="shared" si="13"/>
        <v>4917.3776993709516</v>
      </c>
      <c r="AV62" s="1468">
        <f t="shared" si="14"/>
        <v>0</v>
      </c>
      <c r="AW62" s="1473">
        <f t="shared" si="15"/>
        <v>61.377766412365673</v>
      </c>
      <c r="AX62" s="863">
        <f t="shared" si="16"/>
        <v>68397.950676721026</v>
      </c>
      <c r="AY62" s="1"/>
      <c r="AZ62" s="1342">
        <f t="shared" si="21"/>
        <v>96.021312306721029</v>
      </c>
      <c r="BA62" s="477">
        <f t="shared" si="22"/>
        <v>0.19020897678168794</v>
      </c>
      <c r="BB62" s="1611">
        <f>'Input data'!D106/10^6</f>
        <v>39.810386118997272</v>
      </c>
    </row>
    <row r="63" spans="1:54">
      <c r="A63" s="621">
        <f>'Input data'!A107</f>
        <v>2007</v>
      </c>
      <c r="B63" s="1462">
        <f>'Input data'!I107</f>
        <v>578.73</v>
      </c>
      <c r="C63" s="237">
        <f>B63*'Input data'!B107</f>
        <v>27927.77361</v>
      </c>
      <c r="D63" s="729">
        <f>'Input data'!N107</f>
        <v>0.19892488097366726</v>
      </c>
      <c r="E63" s="477">
        <f>'Input data'!O107</f>
        <v>0.26585903447659598</v>
      </c>
      <c r="F63" s="477">
        <f>'Input data'!P107</f>
        <v>8.9228108703258049E-2</v>
      </c>
      <c r="G63" s="477">
        <f>'Input data'!Q107</f>
        <v>0</v>
      </c>
      <c r="H63" s="477">
        <f>'Input data'!R107</f>
        <v>0</v>
      </c>
      <c r="I63" s="477">
        <f>'Input data'!S107</f>
        <v>0</v>
      </c>
      <c r="J63" s="477">
        <f>'Input data'!T107</f>
        <v>0.4459879758464787</v>
      </c>
      <c r="K63" s="1344">
        <f>'Input data'!U107</f>
        <v>1</v>
      </c>
      <c r="L63" s="729">
        <f>'Input data'!V107</f>
        <v>0.29028184578274857</v>
      </c>
      <c r="M63" s="477">
        <f>'Input data'!W107</f>
        <v>0.30317187715157518</v>
      </c>
      <c r="N63" s="477">
        <f>'Input data'!X107</f>
        <v>8.2805443243048754E-2</v>
      </c>
      <c r="O63" s="477">
        <f>'Input data'!Y107</f>
        <v>0</v>
      </c>
      <c r="P63" s="477">
        <f>'Input data'!Z107</f>
        <v>0</v>
      </c>
      <c r="Q63" s="477">
        <f>'Input data'!AA107</f>
        <v>0</v>
      </c>
      <c r="R63" s="477">
        <f>'Input data'!AB107</f>
        <v>0.32374083382262742</v>
      </c>
      <c r="S63" s="604">
        <f t="shared" si="6"/>
        <v>0.99999999999999989</v>
      </c>
      <c r="T63" s="1467">
        <f t="shared" si="29"/>
        <v>0.8</v>
      </c>
      <c r="U63" s="1467">
        <f t="shared" si="29"/>
        <v>0.11</v>
      </c>
      <c r="V63" s="1467">
        <f t="shared" si="29"/>
        <v>0.09</v>
      </c>
      <c r="W63" s="1467">
        <f t="shared" si="29"/>
        <v>0</v>
      </c>
      <c r="X63" s="1467">
        <f t="shared" si="8"/>
        <v>1</v>
      </c>
      <c r="Y63" s="729">
        <f>'Input data'!$G$35</f>
        <v>0.66241124199764068</v>
      </c>
      <c r="Z63" s="1344">
        <f>'Input data'!$H$35</f>
        <v>0.33758875800235938</v>
      </c>
      <c r="AA63" s="1604">
        <f>'Input data'!J107</f>
        <v>27.526054267727826</v>
      </c>
      <c r="AB63" s="1468">
        <f>'Input data'!L107</f>
        <v>72064.406332684724</v>
      </c>
      <c r="AC63" s="477">
        <f t="shared" si="30"/>
        <v>0.85641924869700936</v>
      </c>
      <c r="AD63" s="477">
        <f t="shared" si="30"/>
        <v>0.14268338865096522</v>
      </c>
      <c r="AE63" s="477">
        <f t="shared" si="30"/>
        <v>0</v>
      </c>
      <c r="AF63" s="477">
        <f t="shared" si="30"/>
        <v>8.973626520254116E-4</v>
      </c>
      <c r="AG63" s="477">
        <f t="shared" si="19"/>
        <v>1</v>
      </c>
      <c r="AH63" s="1602">
        <f t="shared" si="31"/>
        <v>0.49613166950665732</v>
      </c>
      <c r="AI63" s="1470">
        <f t="shared" si="31"/>
        <v>0.50386833049334279</v>
      </c>
      <c r="AJ63" s="1"/>
      <c r="AK63" s="1114">
        <f t="shared" si="0"/>
        <v>2007</v>
      </c>
      <c r="AL63" s="888">
        <f t="shared" si="1"/>
        <v>22342.218888000003</v>
      </c>
      <c r="AM63" s="1468">
        <f t="shared" si="2"/>
        <v>2034.9638323551937</v>
      </c>
      <c r="AN63" s="1468">
        <f t="shared" si="3"/>
        <v>1037.0912647448067</v>
      </c>
      <c r="AO63" s="1468">
        <f t="shared" si="4"/>
        <v>2513.4996249000001</v>
      </c>
      <c r="AP63" s="1468">
        <f t="shared" si="5"/>
        <v>0</v>
      </c>
      <c r="AQ63" s="750">
        <f t="shared" si="10"/>
        <v>27927.773610000004</v>
      </c>
      <c r="AR63" s="1"/>
      <c r="AS63" s="1471">
        <f t="shared" si="11"/>
        <v>61717.344729233853</v>
      </c>
      <c r="AT63" s="1472">
        <f t="shared" si="12"/>
        <v>5101.4211512523934</v>
      </c>
      <c r="AU63" s="1472">
        <f t="shared" si="13"/>
        <v>5180.9725454151421</v>
      </c>
      <c r="AV63" s="1468">
        <f t="shared" si="14"/>
        <v>0</v>
      </c>
      <c r="AW63" s="1473">
        <f t="shared" si="15"/>
        <v>64.667906783334828</v>
      </c>
      <c r="AX63" s="863">
        <f t="shared" si="16"/>
        <v>72064.406332684724</v>
      </c>
      <c r="AY63" s="1"/>
      <c r="AZ63" s="1342">
        <f t="shared" si="21"/>
        <v>99.992179942684729</v>
      </c>
      <c r="BA63" s="477">
        <f t="shared" si="22"/>
        <v>0.18953960310810339</v>
      </c>
      <c r="BB63" s="1611">
        <f>'Input data'!D107/10^6</f>
        <v>41.94441226902012</v>
      </c>
    </row>
    <row r="64" spans="1:54">
      <c r="A64" s="621">
        <f>'Input data'!A108</f>
        <v>2008</v>
      </c>
      <c r="B64" s="1462">
        <f>'Input data'!I108</f>
        <v>578.73</v>
      </c>
      <c r="C64" s="237">
        <f>B64*'Input data'!B108</f>
        <v>28237.972890000001</v>
      </c>
      <c r="D64" s="729">
        <f>'Input data'!N108</f>
        <v>0.19892488097366726</v>
      </c>
      <c r="E64" s="477">
        <f>'Input data'!O108</f>
        <v>0.26585903447659598</v>
      </c>
      <c r="F64" s="477">
        <f>'Input data'!P108</f>
        <v>8.9228108703258049E-2</v>
      </c>
      <c r="G64" s="477">
        <f>'Input data'!Q108</f>
        <v>0</v>
      </c>
      <c r="H64" s="477">
        <f>'Input data'!R108</f>
        <v>0</v>
      </c>
      <c r="I64" s="477">
        <f>'Input data'!S108</f>
        <v>0</v>
      </c>
      <c r="J64" s="477">
        <f>'Input data'!T108</f>
        <v>0.4459879758464787</v>
      </c>
      <c r="K64" s="1344">
        <f>'Input data'!U108</f>
        <v>1</v>
      </c>
      <c r="L64" s="729">
        <f>'Input data'!V108</f>
        <v>0.29028184578274857</v>
      </c>
      <c r="M64" s="477">
        <f>'Input data'!W108</f>
        <v>0.30317187715157518</v>
      </c>
      <c r="N64" s="477">
        <f>'Input data'!X108</f>
        <v>8.2805443243048754E-2</v>
      </c>
      <c r="O64" s="477">
        <f>'Input data'!Y108</f>
        <v>0</v>
      </c>
      <c r="P64" s="477">
        <f>'Input data'!Z108</f>
        <v>0</v>
      </c>
      <c r="Q64" s="477">
        <f>'Input data'!AA108</f>
        <v>0</v>
      </c>
      <c r="R64" s="477">
        <f>'Input data'!AB108</f>
        <v>0.32374083382262742</v>
      </c>
      <c r="S64" s="604">
        <f t="shared" si="6"/>
        <v>0.99999999999999989</v>
      </c>
      <c r="T64" s="1467">
        <f t="shared" si="29"/>
        <v>0.8</v>
      </c>
      <c r="U64" s="1467">
        <f t="shared" si="29"/>
        <v>0.11</v>
      </c>
      <c r="V64" s="1467">
        <f t="shared" si="29"/>
        <v>0.09</v>
      </c>
      <c r="W64" s="1467">
        <f t="shared" si="29"/>
        <v>0</v>
      </c>
      <c r="X64" s="1467">
        <f t="shared" si="8"/>
        <v>1</v>
      </c>
      <c r="Y64" s="729">
        <f>'Input data'!$G$35</f>
        <v>0.66241124199764068</v>
      </c>
      <c r="Z64" s="1344">
        <f>'Input data'!$H$35</f>
        <v>0.33758875800235938</v>
      </c>
      <c r="AA64" s="1604">
        <f>'Input data'!J108</f>
        <v>27.526054267727826</v>
      </c>
      <c r="AB64" s="1468">
        <f>'Input data'!L108</f>
        <v>74364.015222384842</v>
      </c>
      <c r="AC64" s="477">
        <f t="shared" si="30"/>
        <v>0.85641924869700936</v>
      </c>
      <c r="AD64" s="477">
        <f t="shared" si="30"/>
        <v>0.14268338865096522</v>
      </c>
      <c r="AE64" s="477">
        <f t="shared" si="30"/>
        <v>0</v>
      </c>
      <c r="AF64" s="477">
        <f t="shared" si="30"/>
        <v>8.973626520254116E-4</v>
      </c>
      <c r="AG64" s="477">
        <f t="shared" si="19"/>
        <v>1</v>
      </c>
      <c r="AH64" s="1602">
        <f t="shared" si="31"/>
        <v>0.49613166950665732</v>
      </c>
      <c r="AI64" s="1470">
        <f t="shared" si="31"/>
        <v>0.50386833049334279</v>
      </c>
      <c r="AJ64" s="1"/>
      <c r="AK64" s="1114">
        <f t="shared" si="0"/>
        <v>2008</v>
      </c>
      <c r="AL64" s="888">
        <f t="shared" si="1"/>
        <v>22590.378312000001</v>
      </c>
      <c r="AM64" s="1468">
        <f t="shared" si="2"/>
        <v>2057.5665762916669</v>
      </c>
      <c r="AN64" s="1468">
        <f t="shared" si="3"/>
        <v>1048.6104416083335</v>
      </c>
      <c r="AO64" s="1468">
        <f t="shared" si="4"/>
        <v>2541.4175601000002</v>
      </c>
      <c r="AP64" s="1468">
        <f t="shared" si="5"/>
        <v>0</v>
      </c>
      <c r="AQ64" s="750">
        <f t="shared" si="10"/>
        <v>28237.972890000001</v>
      </c>
      <c r="AR64" s="1"/>
      <c r="AS64" s="1471">
        <f t="shared" si="11"/>
        <v>63686.774046847793</v>
      </c>
      <c r="AT64" s="1472">
        <f t="shared" si="12"/>
        <v>5264.2098846441158</v>
      </c>
      <c r="AU64" s="1472">
        <f t="shared" si="13"/>
        <v>5346.2998009777148</v>
      </c>
      <c r="AV64" s="1468">
        <f t="shared" si="14"/>
        <v>0</v>
      </c>
      <c r="AW64" s="1473">
        <f t="shared" si="15"/>
        <v>66.731489915217338</v>
      </c>
      <c r="AX64" s="863">
        <f t="shared" si="16"/>
        <v>74364.015222384842</v>
      </c>
      <c r="AY64" s="1"/>
      <c r="AZ64" s="1342">
        <f t="shared" si="21"/>
        <v>102.60198811238484</v>
      </c>
      <c r="BA64" s="477">
        <f t="shared" si="22"/>
        <v>0.18921389159482299</v>
      </c>
      <c r="BB64" s="1611">
        <f>'Input data'!D108/10^6</f>
        <v>43.282878069762283</v>
      </c>
    </row>
    <row r="65" spans="1:54">
      <c r="A65" s="621">
        <f>'Input data'!A109</f>
        <v>2009</v>
      </c>
      <c r="B65" s="1462">
        <f>'Input data'!I109</f>
        <v>578.73</v>
      </c>
      <c r="C65" s="237">
        <f>B65*'Input data'!B109</f>
        <v>28542.963600000003</v>
      </c>
      <c r="D65" s="729">
        <f>'Input data'!N109</f>
        <v>0.19892488097366726</v>
      </c>
      <c r="E65" s="477">
        <f>'Input data'!O109</f>
        <v>0.26585903447659598</v>
      </c>
      <c r="F65" s="477">
        <f>'Input data'!P109</f>
        <v>8.9228108703258049E-2</v>
      </c>
      <c r="G65" s="477">
        <f>'Input data'!Q109</f>
        <v>0</v>
      </c>
      <c r="H65" s="477">
        <f>'Input data'!R109</f>
        <v>0</v>
      </c>
      <c r="I65" s="477">
        <f>'Input data'!S109</f>
        <v>0</v>
      </c>
      <c r="J65" s="477">
        <f>'Input data'!T109</f>
        <v>0.4459879758464787</v>
      </c>
      <c r="K65" s="1344">
        <f>'Input data'!U109</f>
        <v>1</v>
      </c>
      <c r="L65" s="729">
        <f>'Input data'!V109</f>
        <v>0.29028184578274857</v>
      </c>
      <c r="M65" s="477">
        <f>'Input data'!W109</f>
        <v>0.30317187715157518</v>
      </c>
      <c r="N65" s="477">
        <f>'Input data'!X109</f>
        <v>8.2805443243048754E-2</v>
      </c>
      <c r="O65" s="477">
        <f>'Input data'!Y109</f>
        <v>0</v>
      </c>
      <c r="P65" s="477">
        <f>'Input data'!Z109</f>
        <v>0</v>
      </c>
      <c r="Q65" s="477">
        <f>'Input data'!AA109</f>
        <v>0</v>
      </c>
      <c r="R65" s="477">
        <f>'Input data'!AB109</f>
        <v>0.32374083382262742</v>
      </c>
      <c r="S65" s="604">
        <f t="shared" si="6"/>
        <v>0.99999999999999989</v>
      </c>
      <c r="T65" s="1467">
        <f t="shared" si="29"/>
        <v>0.8</v>
      </c>
      <c r="U65" s="1467">
        <f t="shared" si="29"/>
        <v>0.11</v>
      </c>
      <c r="V65" s="1467">
        <f t="shared" si="29"/>
        <v>0.09</v>
      </c>
      <c r="W65" s="1467">
        <f t="shared" si="29"/>
        <v>0</v>
      </c>
      <c r="X65" s="1467">
        <f t="shared" si="8"/>
        <v>1</v>
      </c>
      <c r="Y65" s="729">
        <f>'Input data'!$G$35</f>
        <v>0.66241124199764068</v>
      </c>
      <c r="Z65" s="1344">
        <f>'Input data'!$H$35</f>
        <v>0.33758875800235938</v>
      </c>
      <c r="AA65" s="1604">
        <f>'Input data'!J109</f>
        <v>27.526054267727826</v>
      </c>
      <c r="AB65" s="1468">
        <f>'Input data'!L109</f>
        <v>73220.230235915209</v>
      </c>
      <c r="AC65" s="477">
        <f t="shared" si="30"/>
        <v>0.85641924869700936</v>
      </c>
      <c r="AD65" s="477">
        <f t="shared" si="30"/>
        <v>0.14268338865096522</v>
      </c>
      <c r="AE65" s="477">
        <f t="shared" si="30"/>
        <v>0</v>
      </c>
      <c r="AF65" s="477">
        <f t="shared" si="30"/>
        <v>8.973626520254116E-4</v>
      </c>
      <c r="AG65" s="477">
        <f t="shared" si="19"/>
        <v>1</v>
      </c>
      <c r="AH65" s="1602">
        <f t="shared" si="31"/>
        <v>0.49613166950665732</v>
      </c>
      <c r="AI65" s="1470">
        <f t="shared" si="31"/>
        <v>0.50386833049334279</v>
      </c>
      <c r="AJ65" s="1"/>
      <c r="AK65" s="1114">
        <f t="shared" si="0"/>
        <v>2009</v>
      </c>
      <c r="AL65" s="888">
        <f t="shared" si="1"/>
        <v>22834.370880000002</v>
      </c>
      <c r="AM65" s="1468">
        <f t="shared" si="2"/>
        <v>2079.7897965426396</v>
      </c>
      <c r="AN65" s="1468">
        <f t="shared" si="3"/>
        <v>1059.9361994573608</v>
      </c>
      <c r="AO65" s="1468">
        <f t="shared" si="4"/>
        <v>2568.866724</v>
      </c>
      <c r="AP65" s="1468">
        <f t="shared" si="5"/>
        <v>0</v>
      </c>
      <c r="AQ65" s="750">
        <f t="shared" si="10"/>
        <v>28542.963599999999</v>
      </c>
      <c r="AR65" s="1"/>
      <c r="AS65" s="1471">
        <f t="shared" si="11"/>
        <v>62707.214568064555</v>
      </c>
      <c r="AT65" s="1472">
        <f t="shared" si="12"/>
        <v>5183.2416338890316</v>
      </c>
      <c r="AU65" s="1472">
        <f t="shared" si="13"/>
        <v>5264.0689339752143</v>
      </c>
      <c r="AV65" s="1468">
        <f t="shared" si="14"/>
        <v>0</v>
      </c>
      <c r="AW65" s="1473">
        <f t="shared" si="15"/>
        <v>65.705099986412094</v>
      </c>
      <c r="AX65" s="863">
        <f t="shared" si="16"/>
        <v>73220.230235915209</v>
      </c>
      <c r="AY65" s="1"/>
      <c r="AZ65" s="1342">
        <f t="shared" si="21"/>
        <v>101.7631938359152</v>
      </c>
      <c r="BA65" s="477">
        <f t="shared" si="22"/>
        <v>0.18963417971367144</v>
      </c>
      <c r="BB65" s="1611">
        <f>'Input data'!D109/10^6</f>
        <v>42.617148738723039</v>
      </c>
    </row>
    <row r="66" spans="1:54" s="1476" customFormat="1">
      <c r="A66" s="621">
        <f>'Input data'!A110</f>
        <v>2010</v>
      </c>
      <c r="B66" s="1462">
        <f>'Input data'!I110</f>
        <v>559.42164173673609</v>
      </c>
      <c r="C66" s="237">
        <f>B66*'Input data'!B110</f>
        <v>27898.357273411028</v>
      </c>
      <c r="D66" s="1464">
        <f>'Input data'!N110</f>
        <v>0.19892488097366726</v>
      </c>
      <c r="E66" s="481">
        <f>'Input data'!O110</f>
        <v>0.26585903447659598</v>
      </c>
      <c r="F66" s="481">
        <f>'Input data'!P110</f>
        <v>8.9228108703258049E-2</v>
      </c>
      <c r="G66" s="481">
        <f>'Input data'!Q110</f>
        <v>0</v>
      </c>
      <c r="H66" s="481">
        <f>'Input data'!R110</f>
        <v>0</v>
      </c>
      <c r="I66" s="481">
        <f>'Input data'!S110</f>
        <v>0</v>
      </c>
      <c r="J66" s="481">
        <f>'Input data'!T110</f>
        <v>0.4459879758464787</v>
      </c>
      <c r="K66" s="1465">
        <f>'Input data'!U110</f>
        <v>1</v>
      </c>
      <c r="L66" s="1464">
        <f>'Input data'!V110</f>
        <v>0.29028184578274857</v>
      </c>
      <c r="M66" s="481">
        <f>'Input data'!W110</f>
        <v>0.30317187715157518</v>
      </c>
      <c r="N66" s="481">
        <f>'Input data'!X110</f>
        <v>8.2805443243048754E-2</v>
      </c>
      <c r="O66" s="481">
        <f>'Input data'!Y110</f>
        <v>0</v>
      </c>
      <c r="P66" s="481">
        <f>'Input data'!Z110</f>
        <v>0</v>
      </c>
      <c r="Q66" s="481">
        <f>'Input data'!AA110</f>
        <v>0</v>
      </c>
      <c r="R66" s="481">
        <f>'Input data'!AB110</f>
        <v>0.32374083382262742</v>
      </c>
      <c r="S66" s="604">
        <f t="shared" si="6"/>
        <v>0.99999999999999989</v>
      </c>
      <c r="T66" s="480">
        <f t="shared" ref="T66:T72" si="32">($T$73-$T$65)/($A$73-$A$65)+T65</f>
        <v>0.75808980601378384</v>
      </c>
      <c r="U66" s="480">
        <f t="shared" ref="U66:U72" si="33">($U$73-$U$65)/($A$73-$A$65)+U65</f>
        <v>0.14797665887920658</v>
      </c>
      <c r="V66" s="480">
        <f t="shared" ref="V66:V72" si="34">($V$73-$V$65)/($A$73-$A$65)+V65</f>
        <v>9.3933535107009608E-2</v>
      </c>
      <c r="W66" s="480">
        <f t="shared" si="29"/>
        <v>0</v>
      </c>
      <c r="X66" s="480">
        <f t="shared" si="8"/>
        <v>1</v>
      </c>
      <c r="Y66" s="1464">
        <f>'Input data'!$G$35</f>
        <v>0.66241124199764068</v>
      </c>
      <c r="Z66" s="1465">
        <f>'Input data'!$H$35</f>
        <v>0.33758875800235938</v>
      </c>
      <c r="AA66" s="1603">
        <f>'Input data'!J110</f>
        <v>27.526054267727826</v>
      </c>
      <c r="AB66" s="538">
        <f>'Input data'!L110</f>
        <v>75445.928136478062</v>
      </c>
      <c r="AC66" s="481">
        <f t="shared" si="30"/>
        <v>0.85641924869700936</v>
      </c>
      <c r="AD66" s="481">
        <f t="shared" si="30"/>
        <v>0.14268338865096522</v>
      </c>
      <c r="AE66" s="481">
        <f t="shared" si="30"/>
        <v>0</v>
      </c>
      <c r="AF66" s="481">
        <f t="shared" si="30"/>
        <v>8.973626520254116E-4</v>
      </c>
      <c r="AG66" s="481">
        <f t="shared" si="19"/>
        <v>1</v>
      </c>
      <c r="AH66" s="1601">
        <f t="shared" si="31"/>
        <v>0.49613166950665732</v>
      </c>
      <c r="AI66" s="1466">
        <f t="shared" si="31"/>
        <v>0.50386833049334279</v>
      </c>
      <c r="AJ66" s="479"/>
      <c r="AK66" s="1474">
        <f t="shared" si="0"/>
        <v>2010</v>
      </c>
      <c r="AL66" s="610">
        <f t="shared" si="1"/>
        <v>21149.460253503403</v>
      </c>
      <c r="AM66" s="538">
        <f t="shared" si="2"/>
        <v>2734.636104451934</v>
      </c>
      <c r="AN66" s="538">
        <f t="shared" si="3"/>
        <v>1393.6695930858416</v>
      </c>
      <c r="AO66" s="538">
        <f t="shared" si="4"/>
        <v>2620.5913223698517</v>
      </c>
      <c r="AP66" s="538">
        <f t="shared" si="5"/>
        <v>0</v>
      </c>
      <c r="AQ66" s="611">
        <f t="shared" si="10"/>
        <v>27898.357273411028</v>
      </c>
      <c r="AR66" s="479"/>
      <c r="AS66" s="612">
        <f t="shared" si="11"/>
        <v>64613.345091891104</v>
      </c>
      <c r="AT66" s="596">
        <f t="shared" si="12"/>
        <v>5340.7982269984332</v>
      </c>
      <c r="AU66" s="596">
        <f t="shared" si="13"/>
        <v>5424.0824594314599</v>
      </c>
      <c r="AV66" s="538">
        <f t="shared" si="14"/>
        <v>0</v>
      </c>
      <c r="AW66" s="595">
        <f t="shared" si="15"/>
        <v>67.702358157068574</v>
      </c>
      <c r="AX66" s="613">
        <f t="shared" si="16"/>
        <v>75445.928136478062</v>
      </c>
      <c r="AY66" s="479"/>
      <c r="AZ66" s="1475">
        <f t="shared" si="21"/>
        <v>103.3442854098891</v>
      </c>
      <c r="BA66" s="481">
        <f t="shared" si="22"/>
        <v>0.20500122394187426</v>
      </c>
      <c r="BB66" s="1612">
        <f>'Input data'!D110/10^6</f>
        <v>43.912595340982222</v>
      </c>
    </row>
    <row r="67" spans="1:54">
      <c r="A67" s="621">
        <f>'Input data'!A111</f>
        <v>2011</v>
      </c>
      <c r="B67" s="1462">
        <f>'Input data'!I111</f>
        <v>540.11328347347217</v>
      </c>
      <c r="C67" s="237">
        <f>B67*'Input data'!B111</f>
        <v>27962.204798705126</v>
      </c>
      <c r="D67" s="729">
        <f>'Input data'!N111</f>
        <v>0.19892488097366726</v>
      </c>
      <c r="E67" s="477">
        <f>'Input data'!O111</f>
        <v>0.26585903447659598</v>
      </c>
      <c r="F67" s="477">
        <f>'Input data'!P111</f>
        <v>8.9228108703258049E-2</v>
      </c>
      <c r="G67" s="477">
        <f>'Input data'!Q111</f>
        <v>0</v>
      </c>
      <c r="H67" s="477">
        <f>'Input data'!R111</f>
        <v>0</v>
      </c>
      <c r="I67" s="477">
        <f>'Input data'!S111</f>
        <v>0</v>
      </c>
      <c r="J67" s="477">
        <f>'Input data'!T111</f>
        <v>0.4459879758464787</v>
      </c>
      <c r="K67" s="1344">
        <f>'Input data'!U111</f>
        <v>1</v>
      </c>
      <c r="L67" s="729">
        <f>'Input data'!V111</f>
        <v>0.29028184578274857</v>
      </c>
      <c r="M67" s="477">
        <f>'Input data'!W111</f>
        <v>0.30317187715157518</v>
      </c>
      <c r="N67" s="477">
        <f>'Input data'!X111</f>
        <v>8.2805443243048754E-2</v>
      </c>
      <c r="O67" s="477">
        <f>'Input data'!Y111</f>
        <v>0</v>
      </c>
      <c r="P67" s="477">
        <f>'Input data'!Z111</f>
        <v>0</v>
      </c>
      <c r="Q67" s="477">
        <f>'Input data'!AA111</f>
        <v>0</v>
      </c>
      <c r="R67" s="477">
        <f>'Input data'!AB111</f>
        <v>0.32374083382262742</v>
      </c>
      <c r="S67" s="604">
        <f t="shared" si="6"/>
        <v>0.99999999999999989</v>
      </c>
      <c r="T67" s="1467">
        <f t="shared" si="32"/>
        <v>0.71617961202756764</v>
      </c>
      <c r="U67" s="1467">
        <f t="shared" si="33"/>
        <v>0.18595331775841314</v>
      </c>
      <c r="V67" s="1467">
        <f t="shared" si="34"/>
        <v>9.7867070214019219E-2</v>
      </c>
      <c r="W67" s="1467">
        <f t="shared" si="29"/>
        <v>0</v>
      </c>
      <c r="X67" s="1467">
        <f t="shared" si="8"/>
        <v>1</v>
      </c>
      <c r="Y67" s="729">
        <f>'Input data'!$G$35</f>
        <v>0.66241124199764068</v>
      </c>
      <c r="Z67" s="1344">
        <f>'Input data'!$H$35</f>
        <v>0.33758875800235938</v>
      </c>
      <c r="AA67" s="1604">
        <f>'Input data'!J111</f>
        <v>27.526054267727826</v>
      </c>
      <c r="AB67" s="1468">
        <f>'Input data'!L111</f>
        <v>77923.699272772501</v>
      </c>
      <c r="AC67" s="477">
        <f t="shared" si="30"/>
        <v>0.85641924869700936</v>
      </c>
      <c r="AD67" s="477">
        <f t="shared" si="30"/>
        <v>0.14268338865096522</v>
      </c>
      <c r="AE67" s="477">
        <f t="shared" si="30"/>
        <v>0</v>
      </c>
      <c r="AF67" s="477">
        <f t="shared" si="30"/>
        <v>8.973626520254116E-4</v>
      </c>
      <c r="AG67" s="477">
        <f t="shared" si="19"/>
        <v>1</v>
      </c>
      <c r="AH67" s="1602">
        <f t="shared" si="31"/>
        <v>0.49613166950665732</v>
      </c>
      <c r="AI67" s="1470">
        <f t="shared" si="31"/>
        <v>0.50386833049334279</v>
      </c>
      <c r="AJ67" s="1"/>
      <c r="AK67" s="1114">
        <f t="shared" si="0"/>
        <v>2011</v>
      </c>
      <c r="AL67" s="888">
        <f t="shared" si="1"/>
        <v>20025.960984172027</v>
      </c>
      <c r="AM67" s="1468">
        <f t="shared" si="2"/>
        <v>3444.3163877741108</v>
      </c>
      <c r="AN67" s="1468">
        <f t="shared" si="3"/>
        <v>1755.3483663853285</v>
      </c>
      <c r="AO67" s="1468">
        <f t="shared" si="4"/>
        <v>2736.5790603736596</v>
      </c>
      <c r="AP67" s="1468">
        <f t="shared" si="5"/>
        <v>0</v>
      </c>
      <c r="AQ67" s="750">
        <f t="shared" si="10"/>
        <v>27962.204798705126</v>
      </c>
      <c r="AR67" s="1"/>
      <c r="AS67" s="1471">
        <f t="shared" si="11"/>
        <v>66735.355986879513</v>
      </c>
      <c r="AT67" s="1472">
        <f t="shared" si="12"/>
        <v>5516.1990208980169</v>
      </c>
      <c r="AU67" s="1472">
        <f t="shared" si="13"/>
        <v>5602.2184475599188</v>
      </c>
      <c r="AV67" s="1468">
        <f t="shared" si="14"/>
        <v>0</v>
      </c>
      <c r="AW67" s="1473">
        <f t="shared" si="15"/>
        <v>69.925817435045772</v>
      </c>
      <c r="AX67" s="863">
        <f t="shared" si="16"/>
        <v>77923.699272772486</v>
      </c>
      <c r="AY67" s="1"/>
      <c r="AZ67" s="1342">
        <f t="shared" si="21"/>
        <v>105.88590407147763</v>
      </c>
      <c r="BA67" s="477">
        <f t="shared" si="22"/>
        <v>0.22042757957220868</v>
      </c>
      <c r="BB67" s="1611">
        <f>'Input data'!D111/10^6</f>
        <v>45.35475880749614</v>
      </c>
    </row>
    <row r="68" spans="1:54">
      <c r="A68" s="621">
        <f>'Input data'!A112</f>
        <v>2012</v>
      </c>
      <c r="B68" s="1462">
        <f>'Input data'!I112</f>
        <v>520.80492521020824</v>
      </c>
      <c r="C68" s="237">
        <f>B68*'Input data'!B112</f>
        <v>27251.117711624149</v>
      </c>
      <c r="D68" s="729">
        <f>'Input data'!N112</f>
        <v>0.19892488097366726</v>
      </c>
      <c r="E68" s="477">
        <f>'Input data'!O112</f>
        <v>0.26585903447659598</v>
      </c>
      <c r="F68" s="477">
        <f>'Input data'!P112</f>
        <v>8.9228108703258049E-2</v>
      </c>
      <c r="G68" s="477">
        <f>'Input data'!Q112</f>
        <v>0</v>
      </c>
      <c r="H68" s="477">
        <f>'Input data'!R112</f>
        <v>0</v>
      </c>
      <c r="I68" s="477">
        <f>'Input data'!S112</f>
        <v>0</v>
      </c>
      <c r="J68" s="477">
        <f>'Input data'!T112</f>
        <v>0.4459879758464787</v>
      </c>
      <c r="K68" s="1344">
        <f>'Input data'!U112</f>
        <v>1</v>
      </c>
      <c r="L68" s="729">
        <f>'Input data'!V112</f>
        <v>0.29028184578274857</v>
      </c>
      <c r="M68" s="477">
        <f>'Input data'!W112</f>
        <v>0.30317187715157518</v>
      </c>
      <c r="N68" s="477">
        <f>'Input data'!X112</f>
        <v>8.2805443243048754E-2</v>
      </c>
      <c r="O68" s="477">
        <f>'Input data'!Y112</f>
        <v>0</v>
      </c>
      <c r="P68" s="477">
        <f>'Input data'!Z112</f>
        <v>0</v>
      </c>
      <c r="Q68" s="477">
        <f>'Input data'!AA112</f>
        <v>0</v>
      </c>
      <c r="R68" s="477">
        <f>'Input data'!AB112</f>
        <v>0.32374083382262742</v>
      </c>
      <c r="S68" s="604">
        <f t="shared" si="6"/>
        <v>0.99999999999999989</v>
      </c>
      <c r="T68" s="1467">
        <f t="shared" si="32"/>
        <v>0.67426941804135143</v>
      </c>
      <c r="U68" s="1467">
        <f t="shared" si="33"/>
        <v>0.22392997663761971</v>
      </c>
      <c r="V68" s="1467">
        <f t="shared" si="34"/>
        <v>0.10180060532102883</v>
      </c>
      <c r="W68" s="1467">
        <f t="shared" si="29"/>
        <v>0</v>
      </c>
      <c r="X68" s="1467">
        <f t="shared" si="8"/>
        <v>1</v>
      </c>
      <c r="Y68" s="729">
        <f>'Input data'!$G$35</f>
        <v>0.66241124199764068</v>
      </c>
      <c r="Z68" s="1344">
        <f>'Input data'!$H$35</f>
        <v>0.33758875800235938</v>
      </c>
      <c r="AA68" s="1604">
        <f>'Input data'!J112</f>
        <v>27.526054267727826</v>
      </c>
      <c r="AB68" s="1468">
        <f>'Input data'!L112</f>
        <v>79648.840108011893</v>
      </c>
      <c r="AC68" s="477">
        <f t="shared" si="30"/>
        <v>0.85641924869700936</v>
      </c>
      <c r="AD68" s="477">
        <f t="shared" si="30"/>
        <v>0.14268338865096522</v>
      </c>
      <c r="AE68" s="477">
        <f t="shared" si="30"/>
        <v>0</v>
      </c>
      <c r="AF68" s="477">
        <f t="shared" si="30"/>
        <v>8.973626520254116E-4</v>
      </c>
      <c r="AG68" s="477">
        <f t="shared" si="19"/>
        <v>1</v>
      </c>
      <c r="AH68" s="1602">
        <f t="shared" si="31"/>
        <v>0.49613166950665732</v>
      </c>
      <c r="AI68" s="1470">
        <f t="shared" si="31"/>
        <v>0.50386833049334279</v>
      </c>
      <c r="AJ68" s="1"/>
      <c r="AK68" s="1114">
        <f t="shared" si="0"/>
        <v>2012</v>
      </c>
      <c r="AL68" s="888">
        <f t="shared" si="1"/>
        <v>18374.59528039318</v>
      </c>
      <c r="AM68" s="1468">
        <f t="shared" si="2"/>
        <v>4042.2600443407064</v>
      </c>
      <c r="AN68" s="1468">
        <f t="shared" si="3"/>
        <v>2060.0821081723147</v>
      </c>
      <c r="AO68" s="1468">
        <f t="shared" si="4"/>
        <v>2774.1802787179481</v>
      </c>
      <c r="AP68" s="1468">
        <f t="shared" si="5"/>
        <v>0</v>
      </c>
      <c r="AQ68" s="750">
        <f t="shared" si="10"/>
        <v>27251.117711624149</v>
      </c>
      <c r="AR68" s="1"/>
      <c r="AS68" s="1471">
        <f t="shared" si="11"/>
        <v>68212.799804891765</v>
      </c>
      <c r="AT68" s="1472">
        <f t="shared" si="12"/>
        <v>5638.3213055825163</v>
      </c>
      <c r="AU68" s="1472">
        <f t="shared" si="13"/>
        <v>5726.2451031475339</v>
      </c>
      <c r="AV68" s="1468">
        <f t="shared" si="14"/>
        <v>0</v>
      </c>
      <c r="AW68" s="1473">
        <f t="shared" si="15"/>
        <v>71.473894390073525</v>
      </c>
      <c r="AX68" s="863">
        <f t="shared" si="16"/>
        <v>79648.840108011893</v>
      </c>
      <c r="AY68" s="1"/>
      <c r="AZ68" s="1342">
        <f t="shared" si="21"/>
        <v>106.89995781963603</v>
      </c>
      <c r="BA68" s="477">
        <f t="shared" si="22"/>
        <v>0.23459029705587137</v>
      </c>
      <c r="BB68" s="1611">
        <f>'Input data'!D112/10^6</f>
        <v>46.358860861447063</v>
      </c>
    </row>
    <row r="69" spans="1:54">
      <c r="A69" s="621">
        <f>'Input data'!A113</f>
        <v>2013</v>
      </c>
      <c r="B69" s="1462">
        <f>'Input data'!I113</f>
        <v>501.49656694694431</v>
      </c>
      <c r="C69" s="237">
        <f>B69*'Input data'!B113</f>
        <v>26631.473691150532</v>
      </c>
      <c r="D69" s="729">
        <f>'Input data'!N113</f>
        <v>0.19892488097366726</v>
      </c>
      <c r="E69" s="477">
        <f>'Input data'!O113</f>
        <v>0.26585903447659598</v>
      </c>
      <c r="F69" s="477">
        <f>'Input data'!P113</f>
        <v>8.9228108703258049E-2</v>
      </c>
      <c r="G69" s="477">
        <f>'Input data'!Q113</f>
        <v>0</v>
      </c>
      <c r="H69" s="477">
        <f>'Input data'!R113</f>
        <v>0</v>
      </c>
      <c r="I69" s="477">
        <f>'Input data'!S113</f>
        <v>0</v>
      </c>
      <c r="J69" s="477">
        <f>'Input data'!T113</f>
        <v>0.4459879758464787</v>
      </c>
      <c r="K69" s="1344">
        <f>'Input data'!U113</f>
        <v>1</v>
      </c>
      <c r="L69" s="729">
        <f>'Input data'!V113</f>
        <v>0.29028184578274857</v>
      </c>
      <c r="M69" s="477">
        <f>'Input data'!W113</f>
        <v>0.30317187715157518</v>
      </c>
      <c r="N69" s="477">
        <f>'Input data'!X113</f>
        <v>8.2805443243048754E-2</v>
      </c>
      <c r="O69" s="477">
        <f>'Input data'!Y113</f>
        <v>0</v>
      </c>
      <c r="P69" s="477">
        <f>'Input data'!Z113</f>
        <v>0</v>
      </c>
      <c r="Q69" s="477">
        <f>'Input data'!AA113</f>
        <v>0</v>
      </c>
      <c r="R69" s="477">
        <f>'Input data'!AB113</f>
        <v>0.32374083382262742</v>
      </c>
      <c r="S69" s="604">
        <f t="shared" si="6"/>
        <v>0.99999999999999989</v>
      </c>
      <c r="T69" s="1467">
        <f t="shared" si="32"/>
        <v>0.63235922405513523</v>
      </c>
      <c r="U69" s="1467">
        <f t="shared" si="33"/>
        <v>0.26190663551682625</v>
      </c>
      <c r="V69" s="1467">
        <f t="shared" si="34"/>
        <v>0.10573414042803844</v>
      </c>
      <c r="W69" s="1467">
        <f t="shared" si="29"/>
        <v>0</v>
      </c>
      <c r="X69" s="1467">
        <f t="shared" si="8"/>
        <v>0.99999999999999989</v>
      </c>
      <c r="Y69" s="729">
        <f>'Input data'!$G$35</f>
        <v>0.66241124199764068</v>
      </c>
      <c r="Z69" s="1344">
        <f>'Input data'!$H$35</f>
        <v>0.33758875800235938</v>
      </c>
      <c r="AA69" s="1604">
        <f>'Input data'!J113</f>
        <v>27.526054267727826</v>
      </c>
      <c r="AB69" s="1468">
        <f>'Input data'!L113</f>
        <v>81622.182938465281</v>
      </c>
      <c r="AC69" s="477">
        <f t="shared" si="30"/>
        <v>0.85641924869700936</v>
      </c>
      <c r="AD69" s="477">
        <f t="shared" si="30"/>
        <v>0.14268338865096522</v>
      </c>
      <c r="AE69" s="477">
        <f t="shared" si="30"/>
        <v>0</v>
      </c>
      <c r="AF69" s="477">
        <f t="shared" si="30"/>
        <v>8.973626520254116E-4</v>
      </c>
      <c r="AG69" s="477">
        <f t="shared" si="19"/>
        <v>1</v>
      </c>
      <c r="AH69" s="1602">
        <f t="shared" si="31"/>
        <v>0.49613166950665732</v>
      </c>
      <c r="AI69" s="1470">
        <f t="shared" si="31"/>
        <v>0.50386833049334279</v>
      </c>
      <c r="AJ69" s="1"/>
      <c r="AK69" s="1114">
        <f t="shared" si="0"/>
        <v>2013</v>
      </c>
      <c r="AL69" s="888">
        <f t="shared" si="1"/>
        <v>16840.658038780697</v>
      </c>
      <c r="AM69" s="1468">
        <f t="shared" si="2"/>
        <v>4620.291700076833</v>
      </c>
      <c r="AN69" s="1468">
        <f t="shared" si="3"/>
        <v>2354.6679732272769</v>
      </c>
      <c r="AO69" s="1468">
        <f t="shared" si="4"/>
        <v>2815.8559790657214</v>
      </c>
      <c r="AP69" s="1468">
        <f t="shared" si="5"/>
        <v>0</v>
      </c>
      <c r="AQ69" s="750">
        <f t="shared" si="10"/>
        <v>26631.473691150528</v>
      </c>
      <c r="AR69" s="1"/>
      <c r="AS69" s="1471">
        <f t="shared" si="11"/>
        <v>69902.808589170294</v>
      </c>
      <c r="AT69" s="1472">
        <f t="shared" si="12"/>
        <v>5778.0137469171968</v>
      </c>
      <c r="AU69" s="1472">
        <f t="shared" si="13"/>
        <v>5868.1159038320293</v>
      </c>
      <c r="AV69" s="1468">
        <f t="shared" si="14"/>
        <v>0</v>
      </c>
      <c r="AW69" s="1473">
        <f t="shared" si="15"/>
        <v>73.244698545764507</v>
      </c>
      <c r="AX69" s="863">
        <f t="shared" si="16"/>
        <v>81622.182938465296</v>
      </c>
      <c r="AY69" s="1"/>
      <c r="AZ69" s="1342">
        <f t="shared" si="21"/>
        <v>108.25365662961583</v>
      </c>
      <c r="BA69" s="477">
        <f t="shared" si="22"/>
        <v>0.2479747563458998</v>
      </c>
      <c r="BB69" s="1611">
        <f>'Input data'!D113/10^6</f>
        <v>47.507426560393391</v>
      </c>
    </row>
    <row r="70" spans="1:54">
      <c r="A70" s="621">
        <f>'Input data'!A114</f>
        <v>2014</v>
      </c>
      <c r="B70" s="1462">
        <f>'Input data'!I114</f>
        <v>482.18820868368039</v>
      </c>
      <c r="C70" s="237">
        <f>B70*'Input data'!B114</f>
        <v>25995.730706554576</v>
      </c>
      <c r="D70" s="729">
        <f>'Input data'!N114</f>
        <v>0.19892488097366726</v>
      </c>
      <c r="E70" s="477">
        <f>'Input data'!O114</f>
        <v>0.26585903447659598</v>
      </c>
      <c r="F70" s="477">
        <f>'Input data'!P114</f>
        <v>8.9228108703258049E-2</v>
      </c>
      <c r="G70" s="477">
        <f>'Input data'!Q114</f>
        <v>0</v>
      </c>
      <c r="H70" s="477">
        <f>'Input data'!R114</f>
        <v>0</v>
      </c>
      <c r="I70" s="477">
        <f>'Input data'!S114</f>
        <v>0</v>
      </c>
      <c r="J70" s="477">
        <f>'Input data'!T114</f>
        <v>0.4459879758464787</v>
      </c>
      <c r="K70" s="1344">
        <f>'Input data'!U114</f>
        <v>1</v>
      </c>
      <c r="L70" s="729">
        <f>'Input data'!V114</f>
        <v>0.29028184578274857</v>
      </c>
      <c r="M70" s="477">
        <f>'Input data'!W114</f>
        <v>0.30317187715157518</v>
      </c>
      <c r="N70" s="477">
        <f>'Input data'!X114</f>
        <v>8.2805443243048754E-2</v>
      </c>
      <c r="O70" s="477">
        <f>'Input data'!Y114</f>
        <v>0</v>
      </c>
      <c r="P70" s="477">
        <f>'Input data'!Z114</f>
        <v>0</v>
      </c>
      <c r="Q70" s="477">
        <f>'Input data'!AA114</f>
        <v>0</v>
      </c>
      <c r="R70" s="477">
        <f>'Input data'!AB114</f>
        <v>0.32374083382262742</v>
      </c>
      <c r="S70" s="604">
        <f t="shared" si="6"/>
        <v>0.99999999999999989</v>
      </c>
      <c r="T70" s="1467">
        <f t="shared" si="32"/>
        <v>0.59044903006891902</v>
      </c>
      <c r="U70" s="1467">
        <f t="shared" si="33"/>
        <v>0.29988329439603278</v>
      </c>
      <c r="V70" s="1467">
        <f t="shared" si="34"/>
        <v>0.10966767553504805</v>
      </c>
      <c r="W70" s="1467">
        <f t="shared" si="29"/>
        <v>0</v>
      </c>
      <c r="X70" s="1467">
        <f t="shared" si="8"/>
        <v>0.99999999999999989</v>
      </c>
      <c r="Y70" s="729">
        <f>'Input data'!$G$35</f>
        <v>0.66241124199764068</v>
      </c>
      <c r="Z70" s="1344">
        <f>'Input data'!$H$35</f>
        <v>0.33758875800235938</v>
      </c>
      <c r="AA70" s="1604">
        <f>'Input data'!J114</f>
        <v>27.526054267727826</v>
      </c>
      <c r="AB70" s="1468">
        <f>'Input data'!L114</f>
        <v>83155.108900635038</v>
      </c>
      <c r="AC70" s="477">
        <f t="shared" si="30"/>
        <v>0.85641924869700936</v>
      </c>
      <c r="AD70" s="477">
        <f t="shared" si="30"/>
        <v>0.14268338865096522</v>
      </c>
      <c r="AE70" s="477">
        <f t="shared" si="30"/>
        <v>0</v>
      </c>
      <c r="AF70" s="477">
        <f t="shared" si="30"/>
        <v>8.973626520254116E-4</v>
      </c>
      <c r="AG70" s="477">
        <f t="shared" si="19"/>
        <v>1</v>
      </c>
      <c r="AH70" s="1602">
        <f t="shared" si="31"/>
        <v>0.49613166950665732</v>
      </c>
      <c r="AI70" s="1470">
        <f t="shared" si="31"/>
        <v>0.50386833049334279</v>
      </c>
      <c r="AJ70" s="1"/>
      <c r="AK70" s="1114">
        <f t="shared" ref="AK70:AK73" si="35">A70</f>
        <v>2014</v>
      </c>
      <c r="AL70" s="888">
        <f t="shared" ref="AL70:AL73" si="36">C70*T70</f>
        <v>15349.153981617965</v>
      </c>
      <c r="AM70" s="1468">
        <f t="shared" ref="AM70:AM73" si="37">C70*Y70*U70</f>
        <v>5163.9496245303471</v>
      </c>
      <c r="AN70" s="1468">
        <f t="shared" ref="AN70:AN73" si="38">C70*U70*Z70</f>
        <v>2631.7357399833486</v>
      </c>
      <c r="AO70" s="1468">
        <f t="shared" ref="AO70:AO73" si="39">C70*V70</f>
        <v>2850.8913604229128</v>
      </c>
      <c r="AP70" s="1468">
        <f t="shared" ref="AP70:AP73" si="40">C70*W70</f>
        <v>0</v>
      </c>
      <c r="AQ70" s="750">
        <f t="shared" si="10"/>
        <v>25995.730706554572</v>
      </c>
      <c r="AR70" s="1"/>
      <c r="AS70" s="1471">
        <f t="shared" si="11"/>
        <v>71215.63588999986</v>
      </c>
      <c r="AT70" s="1472">
        <f t="shared" si="12"/>
        <v>5886.5291892094056</v>
      </c>
      <c r="AU70" s="1472">
        <f t="shared" si="13"/>
        <v>5978.3235323732424</v>
      </c>
      <c r="AV70" s="1468">
        <f t="shared" si="14"/>
        <v>0</v>
      </c>
      <c r="AW70" s="1473">
        <f t="shared" si="15"/>
        <v>74.620289052535767</v>
      </c>
      <c r="AX70" s="863">
        <f t="shared" si="16"/>
        <v>83155.108900635038</v>
      </c>
      <c r="AY70" s="1"/>
      <c r="AZ70" s="1342">
        <f t="shared" si="21"/>
        <v>109.15083960718961</v>
      </c>
      <c r="BA70" s="477">
        <f t="shared" si="22"/>
        <v>0.26091497211589859</v>
      </c>
      <c r="BB70" s="1611">
        <f>'Input data'!D114/10^6</f>
        <v>48.399651749043436</v>
      </c>
    </row>
    <row r="71" spans="1:54">
      <c r="A71" s="621">
        <f>'Input data'!A115</f>
        <v>2015</v>
      </c>
      <c r="B71" s="1462">
        <f>'Input data'!I115</f>
        <v>462.87985042041646</v>
      </c>
      <c r="C71" s="237">
        <f>B71*'Input data'!B115</f>
        <v>25342.671810517801</v>
      </c>
      <c r="D71" s="729">
        <f>'Input data'!N115</f>
        <v>0.19892488097366726</v>
      </c>
      <c r="E71" s="477">
        <f>'Input data'!O115</f>
        <v>0.26585903447659598</v>
      </c>
      <c r="F71" s="477">
        <f>'Input data'!P115</f>
        <v>8.9228108703258049E-2</v>
      </c>
      <c r="G71" s="477">
        <f>'Input data'!Q115</f>
        <v>0</v>
      </c>
      <c r="H71" s="477">
        <f>'Input data'!R115</f>
        <v>0</v>
      </c>
      <c r="I71" s="477">
        <f>'Input data'!S115</f>
        <v>0</v>
      </c>
      <c r="J71" s="477">
        <f>'Input data'!T115</f>
        <v>0.4459879758464787</v>
      </c>
      <c r="K71" s="1344">
        <f>'Input data'!U115</f>
        <v>1</v>
      </c>
      <c r="L71" s="729">
        <f>'Input data'!V115</f>
        <v>0.29028184578274857</v>
      </c>
      <c r="M71" s="477">
        <f>'Input data'!W115</f>
        <v>0.30317187715157518</v>
      </c>
      <c r="N71" s="477">
        <f>'Input data'!X115</f>
        <v>8.2805443243048754E-2</v>
      </c>
      <c r="O71" s="477">
        <f>'Input data'!Y115</f>
        <v>0</v>
      </c>
      <c r="P71" s="477">
        <f>'Input data'!Z115</f>
        <v>0</v>
      </c>
      <c r="Q71" s="477">
        <f>'Input data'!AA115</f>
        <v>0</v>
      </c>
      <c r="R71" s="477">
        <f>'Input data'!AB115</f>
        <v>0.32374083382262742</v>
      </c>
      <c r="S71" s="604">
        <f t="shared" ref="S71:S73" si="41">SUM(L71:R71)</f>
        <v>0.99999999999999989</v>
      </c>
      <c r="T71" s="1467">
        <f t="shared" si="32"/>
        <v>0.54853883608270282</v>
      </c>
      <c r="U71" s="1467">
        <f t="shared" si="33"/>
        <v>0.33785995327523932</v>
      </c>
      <c r="V71" s="1467">
        <f t="shared" si="34"/>
        <v>0.11360121064205767</v>
      </c>
      <c r="W71" s="1467">
        <f t="shared" si="29"/>
        <v>0</v>
      </c>
      <c r="X71" s="1467">
        <f t="shared" ref="X71:X72" si="42">SUM(T71:W71)</f>
        <v>0.99999999999999978</v>
      </c>
      <c r="Y71" s="729">
        <f>'Input data'!$G$35</f>
        <v>0.66241124199764068</v>
      </c>
      <c r="Z71" s="1344">
        <f>'Input data'!$H$35</f>
        <v>0.33758875800235938</v>
      </c>
      <c r="AA71" s="1604">
        <f>'Input data'!J115</f>
        <v>27.526054267727826</v>
      </c>
      <c r="AB71" s="1468">
        <f>'Input data'!L115</f>
        <v>84214.586729399889</v>
      </c>
      <c r="AC71" s="477">
        <f t="shared" si="30"/>
        <v>0.85641924869700936</v>
      </c>
      <c r="AD71" s="477">
        <f t="shared" si="30"/>
        <v>0.14268338865096522</v>
      </c>
      <c r="AE71" s="477">
        <f t="shared" si="30"/>
        <v>0</v>
      </c>
      <c r="AF71" s="477">
        <f t="shared" si="30"/>
        <v>8.973626520254116E-4</v>
      </c>
      <c r="AG71" s="477">
        <f t="shared" si="19"/>
        <v>1</v>
      </c>
      <c r="AH71" s="1602">
        <f t="shared" si="31"/>
        <v>0.49613166950665732</v>
      </c>
      <c r="AI71" s="1470">
        <f t="shared" si="31"/>
        <v>0.50386833049334279</v>
      </c>
      <c r="AJ71" s="1"/>
      <c r="AK71" s="1114">
        <f t="shared" si="35"/>
        <v>2015</v>
      </c>
      <c r="AL71" s="888">
        <f t="shared" si="36"/>
        <v>13901.439698167358</v>
      </c>
      <c r="AM71" s="1468">
        <f t="shared" si="37"/>
        <v>5671.7464975452258</v>
      </c>
      <c r="AN71" s="1468">
        <f t="shared" si="38"/>
        <v>2890.5274162260434</v>
      </c>
      <c r="AO71" s="1468">
        <f t="shared" si="39"/>
        <v>2878.9581985791697</v>
      </c>
      <c r="AP71" s="1468">
        <f t="shared" si="40"/>
        <v>0</v>
      </c>
      <c r="AQ71" s="750">
        <f t="shared" ref="AQ71:AQ73" si="43">SUM(AL71:AP71)</f>
        <v>25342.671810517797</v>
      </c>
      <c r="AR71" s="1"/>
      <c r="AS71" s="1471">
        <f t="shared" ref="AS71:AS73" si="44">AC71*AB71</f>
        <v>72122.993096121791</v>
      </c>
      <c r="AT71" s="1472">
        <f t="shared" ref="AT71:AT73" si="45">AB71*AD71*AH71</f>
        <v>5961.5293575309561</v>
      </c>
      <c r="AU71" s="1472">
        <f t="shared" ref="AU71:AU73" si="46">AI71*AD71*AB71</f>
        <v>6054.4932508604279</v>
      </c>
      <c r="AV71" s="1468">
        <f t="shared" ref="AV71:AV73" si="47">AE71*AB71</f>
        <v>0</v>
      </c>
      <c r="AW71" s="1473">
        <f t="shared" ref="AW71:AW73" si="48">AF71*AB71</f>
        <v>75.57102488671832</v>
      </c>
      <c r="AX71" s="863">
        <f t="shared" ref="AX71:AX73" si="49">SUM(AS71:AW71)</f>
        <v>84214.586729399904</v>
      </c>
      <c r="AY71" s="1"/>
      <c r="AZ71" s="1342">
        <f t="shared" si="21"/>
        <v>109.55725853991771</v>
      </c>
      <c r="BA71" s="477">
        <f t="shared" si="22"/>
        <v>0.27355978971582146</v>
      </c>
      <c r="BB71" s="1611">
        <f>'Input data'!D115/10^6</f>
        <v>49.016310889124959</v>
      </c>
    </row>
    <row r="72" spans="1:54">
      <c r="A72" s="621">
        <f>'Input data'!A116</f>
        <v>2016</v>
      </c>
      <c r="B72" s="1462">
        <f>'Input data'!I116</f>
        <v>443.57149215715253</v>
      </c>
      <c r="C72" s="237">
        <f>B72*'Input data'!B116</f>
        <v>24671.446393780821</v>
      </c>
      <c r="D72" s="729">
        <f>'Input data'!N116</f>
        <v>0.19892488097366726</v>
      </c>
      <c r="E72" s="477">
        <f>'Input data'!O116</f>
        <v>0.26585903447659598</v>
      </c>
      <c r="F72" s="477">
        <f>'Input data'!P116</f>
        <v>8.9228108703258049E-2</v>
      </c>
      <c r="G72" s="477">
        <f>'Input data'!Q116</f>
        <v>0</v>
      </c>
      <c r="H72" s="477">
        <f>'Input data'!R116</f>
        <v>0</v>
      </c>
      <c r="I72" s="477">
        <f>'Input data'!S116</f>
        <v>0</v>
      </c>
      <c r="J72" s="477">
        <f>'Input data'!T116</f>
        <v>0.4459879758464787</v>
      </c>
      <c r="K72" s="1344">
        <f>'Input data'!U116</f>
        <v>1</v>
      </c>
      <c r="L72" s="729">
        <f>'Input data'!V116</f>
        <v>0.29028184578274857</v>
      </c>
      <c r="M72" s="477">
        <f>'Input data'!W116</f>
        <v>0.30317187715157518</v>
      </c>
      <c r="N72" s="477">
        <f>'Input data'!X116</f>
        <v>8.2805443243048754E-2</v>
      </c>
      <c r="O72" s="477">
        <f>'Input data'!Y116</f>
        <v>0</v>
      </c>
      <c r="P72" s="477">
        <f>'Input data'!Z116</f>
        <v>0</v>
      </c>
      <c r="Q72" s="477">
        <f>'Input data'!AA116</f>
        <v>0</v>
      </c>
      <c r="R72" s="477">
        <f>'Input data'!AB116</f>
        <v>0.32374083382262742</v>
      </c>
      <c r="S72" s="604">
        <f t="shared" si="41"/>
        <v>0.99999999999999989</v>
      </c>
      <c r="T72" s="1467">
        <f t="shared" si="32"/>
        <v>0.50662864209648661</v>
      </c>
      <c r="U72" s="1467">
        <f t="shared" si="33"/>
        <v>0.37583661215444586</v>
      </c>
      <c r="V72" s="1467">
        <f t="shared" si="34"/>
        <v>0.11753474574906728</v>
      </c>
      <c r="W72" s="1467">
        <f t="shared" ref="W72" si="50">W71</f>
        <v>0</v>
      </c>
      <c r="X72" s="1467">
        <f t="shared" si="42"/>
        <v>0.99999999999999978</v>
      </c>
      <c r="Y72" s="729">
        <f>'Input data'!$G$35</f>
        <v>0.66241124199764068</v>
      </c>
      <c r="Z72" s="1344">
        <f>'Input data'!$H$35</f>
        <v>0.33758875800235938</v>
      </c>
      <c r="AA72" s="1604">
        <f>'Input data'!J116</f>
        <v>27.526054267727826</v>
      </c>
      <c r="AB72" s="1468">
        <f>'Input data'!L116</f>
        <v>84888.149277331191</v>
      </c>
      <c r="AC72" s="477">
        <f t="shared" ref="AC72:AF73" si="51">AC71</f>
        <v>0.85641924869700936</v>
      </c>
      <c r="AD72" s="477">
        <f t="shared" si="51"/>
        <v>0.14268338865096522</v>
      </c>
      <c r="AE72" s="477">
        <f t="shared" si="51"/>
        <v>0</v>
      </c>
      <c r="AF72" s="477">
        <f t="shared" si="51"/>
        <v>8.973626520254116E-4</v>
      </c>
      <c r="AG72" s="477">
        <f t="shared" ref="AG72:AG73" si="52">SUM(AC72:AF72)</f>
        <v>1</v>
      </c>
      <c r="AH72" s="1602">
        <f t="shared" ref="AH72:AI73" si="53">AH71</f>
        <v>0.49613166950665732</v>
      </c>
      <c r="AI72" s="1470">
        <f t="shared" si="53"/>
        <v>0.50386833049334279</v>
      </c>
      <c r="AJ72" s="1"/>
      <c r="AK72" s="1114">
        <f t="shared" si="35"/>
        <v>2016</v>
      </c>
      <c r="AL72" s="888">
        <f t="shared" si="36"/>
        <v>12499.261385037438</v>
      </c>
      <c r="AM72" s="1468">
        <f t="shared" si="37"/>
        <v>6142.163746987485</v>
      </c>
      <c r="AN72" s="1468">
        <f t="shared" si="38"/>
        <v>3130.2690826011199</v>
      </c>
      <c r="AO72" s="1468">
        <f t="shared" si="39"/>
        <v>2899.7521791547715</v>
      </c>
      <c r="AP72" s="1468">
        <f t="shared" si="40"/>
        <v>0</v>
      </c>
      <c r="AQ72" s="750">
        <f t="shared" si="43"/>
        <v>24671.446393780818</v>
      </c>
      <c r="AR72" s="1"/>
      <c r="AS72" s="1471">
        <f t="shared" si="44"/>
        <v>72699.845027371557</v>
      </c>
      <c r="AT72" s="1472">
        <f t="shared" si="45"/>
        <v>6009.2106804415389</v>
      </c>
      <c r="AU72" s="1472">
        <f t="shared" si="46"/>
        <v>6102.9181147570616</v>
      </c>
      <c r="AV72" s="1468">
        <f t="shared" si="47"/>
        <v>0</v>
      </c>
      <c r="AW72" s="1473">
        <f t="shared" si="48"/>
        <v>76.175454761034942</v>
      </c>
      <c r="AX72" s="863">
        <f t="shared" si="49"/>
        <v>84888.149277331191</v>
      </c>
      <c r="AY72" s="1"/>
      <c r="AZ72" s="1342">
        <f t="shared" ref="AZ72:AZ73" si="54">(AX72+AQ72)*1000/10^6</f>
        <v>109.55959567111202</v>
      </c>
      <c r="BA72" s="477">
        <f t="shared" ref="BA72" si="55">(AX72+AQ72-AS72-AL72)/(AL72+AS72)</f>
        <v>0.2859242342376842</v>
      </c>
      <c r="BB72" s="1611">
        <f>'Input data'!D116/10^6</f>
        <v>49.408351657059349</v>
      </c>
    </row>
    <row r="73" spans="1:54" s="1" customFormat="1" ht="16.2" thickBot="1">
      <c r="A73" s="621">
        <f>'Input data'!A117</f>
        <v>2017</v>
      </c>
      <c r="B73" s="1600">
        <f>'Input data'!I117</f>
        <v>424.26313389388866</v>
      </c>
      <c r="C73" s="240">
        <f>B73*'Input data'!B117</f>
        <v>23980.200853950373</v>
      </c>
      <c r="D73" s="1477">
        <f>'Input data'!N117</f>
        <v>0.19892488097366726</v>
      </c>
      <c r="E73" s="615">
        <f>'Input data'!O117</f>
        <v>0.26585903447659598</v>
      </c>
      <c r="F73" s="615">
        <f>'Input data'!P117</f>
        <v>8.9228108703258049E-2</v>
      </c>
      <c r="G73" s="615">
        <f>'Input data'!Q117</f>
        <v>0</v>
      </c>
      <c r="H73" s="615">
        <f>'Input data'!R117</f>
        <v>0</v>
      </c>
      <c r="I73" s="615">
        <f>'Input data'!S117</f>
        <v>0</v>
      </c>
      <c r="J73" s="615">
        <f>'Input data'!T117</f>
        <v>0.4459879758464787</v>
      </c>
      <c r="K73" s="1478">
        <f>'Input data'!U117</f>
        <v>1</v>
      </c>
      <c r="L73" s="1477">
        <f>'Input data'!V117</f>
        <v>0.29028184578274857</v>
      </c>
      <c r="M73" s="615">
        <f>'Input data'!W117</f>
        <v>0.30317187715157518</v>
      </c>
      <c r="N73" s="615">
        <f>'Input data'!X117</f>
        <v>8.2805443243048754E-2</v>
      </c>
      <c r="O73" s="615">
        <f>'Input data'!Y117</f>
        <v>0</v>
      </c>
      <c r="P73" s="615">
        <f>'Input data'!Z117</f>
        <v>0</v>
      </c>
      <c r="Q73" s="615">
        <f>'Input data'!AA117</f>
        <v>0</v>
      </c>
      <c r="R73" s="615">
        <f>'Input data'!AB117</f>
        <v>0.32374083382262742</v>
      </c>
      <c r="S73" s="604">
        <f t="shared" si="41"/>
        <v>0.99999999999999989</v>
      </c>
      <c r="T73" s="615">
        <f>'Input data'!B35</f>
        <v>0.46471844811027063</v>
      </c>
      <c r="U73" s="615">
        <f>'Input data'!C35</f>
        <v>0.41381327103365251</v>
      </c>
      <c r="V73" s="615">
        <f>'Input data'!D35</f>
        <v>0.12146828085607692</v>
      </c>
      <c r="W73" s="615">
        <f>'Input data'!E35</f>
        <v>0</v>
      </c>
      <c r="X73" s="615">
        <f>SUM(T73:W73)</f>
        <v>1</v>
      </c>
      <c r="Y73" s="1477">
        <f>'Input data'!$G$35</f>
        <v>0.66241124199764068</v>
      </c>
      <c r="Z73" s="1478">
        <f>'Input data'!$H$35</f>
        <v>0.33758875800235938</v>
      </c>
      <c r="AA73" s="1605">
        <f>'Input data'!J117</f>
        <v>11.504772374209397</v>
      </c>
      <c r="AB73" s="614">
        <f>'Input data'!L117</f>
        <v>85896.153384615391</v>
      </c>
      <c r="AC73" s="615">
        <f t="shared" si="51"/>
        <v>0.85641924869700936</v>
      </c>
      <c r="AD73" s="615">
        <f t="shared" si="51"/>
        <v>0.14268338865096522</v>
      </c>
      <c r="AE73" s="615">
        <f t="shared" si="51"/>
        <v>0</v>
      </c>
      <c r="AF73" s="615">
        <f t="shared" si="51"/>
        <v>8.973626520254116E-4</v>
      </c>
      <c r="AG73" s="615">
        <f t="shared" si="52"/>
        <v>1</v>
      </c>
      <c r="AH73" s="1479">
        <f t="shared" si="53"/>
        <v>0.49613166950665732</v>
      </c>
      <c r="AI73" s="1480">
        <f t="shared" si="53"/>
        <v>0.50386833049334279</v>
      </c>
      <c r="AJ73" s="479"/>
      <c r="AK73" s="1115">
        <f t="shared" si="35"/>
        <v>2017</v>
      </c>
      <c r="AL73" s="616">
        <f t="shared" si="36"/>
        <v>11144.041726220405</v>
      </c>
      <c r="AM73" s="614">
        <f t="shared" si="37"/>
        <v>6573.32227342858</v>
      </c>
      <c r="AN73" s="614">
        <f t="shared" si="38"/>
        <v>3350.003081988611</v>
      </c>
      <c r="AO73" s="614">
        <f t="shared" si="39"/>
        <v>2912.8337723127793</v>
      </c>
      <c r="AP73" s="614">
        <f t="shared" si="40"/>
        <v>0</v>
      </c>
      <c r="AQ73" s="617">
        <f t="shared" si="43"/>
        <v>23980.200853950377</v>
      </c>
      <c r="AR73" s="479"/>
      <c r="AS73" s="618">
        <f t="shared" si="44"/>
        <v>73563.119147615391</v>
      </c>
      <c r="AT73" s="619">
        <f t="shared" si="45"/>
        <v>6080.5670370000007</v>
      </c>
      <c r="AU73" s="619">
        <f t="shared" si="46"/>
        <v>6175.387200000001</v>
      </c>
      <c r="AV73" s="614">
        <f t="shared" si="47"/>
        <v>0</v>
      </c>
      <c r="AW73" s="624">
        <f t="shared" si="48"/>
        <v>77.08</v>
      </c>
      <c r="AX73" s="620">
        <f t="shared" si="49"/>
        <v>85896.153384615391</v>
      </c>
      <c r="AZ73" s="1607">
        <f t="shared" si="54"/>
        <v>109.87635423856575</v>
      </c>
      <c r="BA73" s="1608">
        <f>(AX73+AQ73-AS73-AL73)/(AL73+AS73)</f>
        <v>0.29713182575222147</v>
      </c>
      <c r="BB73" s="1613">
        <f>'Input data'!D117/10^6</f>
        <v>49.995050999999997</v>
      </c>
    </row>
    <row r="74" spans="1:54">
      <c r="B74" s="1481"/>
      <c r="F74" s="1482"/>
      <c r="G74" s="1482"/>
      <c r="H74" s="1482"/>
      <c r="I74" s="1482"/>
      <c r="J74" s="485"/>
      <c r="K74" s="485"/>
      <c r="L74" s="704"/>
      <c r="N74" s="1482"/>
      <c r="O74" s="1482"/>
      <c r="P74" s="1482"/>
      <c r="Q74" s="1482"/>
      <c r="R74" s="485"/>
      <c r="S74" s="485"/>
      <c r="T74" s="485"/>
      <c r="U74" s="485"/>
      <c r="V74" s="485"/>
      <c r="W74" s="485"/>
      <c r="X74" s="485"/>
    </row>
    <row r="75" spans="1:54">
      <c r="B75" s="1481"/>
      <c r="F75" s="1482"/>
      <c r="G75" s="1482"/>
      <c r="H75" s="1482"/>
      <c r="I75" s="1482"/>
      <c r="J75" s="485"/>
      <c r="K75" s="485"/>
      <c r="N75" s="1482"/>
      <c r="O75" s="1482"/>
      <c r="P75" s="1482"/>
      <c r="Q75" s="1482"/>
      <c r="R75" s="485"/>
      <c r="S75" s="485"/>
      <c r="T75" s="485"/>
      <c r="U75" s="485"/>
      <c r="V75" s="485"/>
      <c r="W75" s="485"/>
      <c r="X75" s="485"/>
    </row>
    <row r="76" spans="1:54">
      <c r="B76" s="1481"/>
      <c r="F76" s="1482"/>
      <c r="G76" s="1482"/>
      <c r="H76" s="1482"/>
      <c r="I76" s="1482"/>
      <c r="J76" s="485"/>
      <c r="K76" s="485"/>
      <c r="N76" s="1482"/>
      <c r="O76" s="1482"/>
      <c r="P76" s="1482"/>
      <c r="Q76" s="1482"/>
      <c r="R76" s="485"/>
      <c r="S76" s="485"/>
      <c r="T76" s="485"/>
      <c r="U76" s="485"/>
      <c r="V76" s="485"/>
      <c r="W76" s="485"/>
      <c r="X76" s="485"/>
    </row>
    <row r="77" spans="1:54">
      <c r="B77" s="1481"/>
      <c r="F77" s="1482"/>
      <c r="G77" s="1482"/>
      <c r="H77" s="1482"/>
      <c r="I77" s="1482"/>
      <c r="J77" s="485"/>
      <c r="K77" s="485"/>
      <c r="N77" s="1482"/>
      <c r="O77" s="1482"/>
      <c r="P77" s="1482"/>
      <c r="Q77" s="1482"/>
      <c r="R77" s="485"/>
      <c r="S77" s="485"/>
      <c r="T77" s="485"/>
      <c r="U77" s="485"/>
      <c r="V77" s="485"/>
      <c r="W77" s="485"/>
      <c r="X77" s="485"/>
    </row>
    <row r="78" spans="1:54">
      <c r="B78" s="1481"/>
      <c r="F78" s="1482"/>
      <c r="G78" s="1482"/>
      <c r="H78" s="1482"/>
      <c r="I78" s="1482"/>
      <c r="J78" s="485"/>
      <c r="K78" s="485"/>
      <c r="N78" s="1482"/>
      <c r="O78" s="1482"/>
      <c r="P78" s="1482"/>
      <c r="Q78" s="1482"/>
      <c r="R78" s="485"/>
      <c r="S78" s="485"/>
      <c r="T78" s="485"/>
      <c r="U78" s="485"/>
      <c r="V78" s="485"/>
      <c r="W78" s="485"/>
      <c r="X78" s="485"/>
    </row>
    <row r="79" spans="1:54">
      <c r="B79" s="1481"/>
      <c r="F79" s="1482"/>
      <c r="G79" s="1482"/>
      <c r="H79" s="1482"/>
      <c r="I79" s="1482"/>
      <c r="J79" s="485"/>
      <c r="K79" s="485"/>
      <c r="N79" s="1482"/>
      <c r="O79" s="1482"/>
      <c r="P79" s="1482"/>
      <c r="Q79" s="1482"/>
      <c r="R79" s="485"/>
      <c r="S79" s="485"/>
      <c r="T79" s="485"/>
      <c r="U79" s="485"/>
      <c r="V79" s="485"/>
      <c r="W79" s="485"/>
      <c r="X79" s="485"/>
    </row>
    <row r="80" spans="1:54">
      <c r="B80" s="1481"/>
      <c r="F80" s="1482"/>
      <c r="G80" s="1482"/>
      <c r="H80" s="1482"/>
      <c r="I80" s="1482"/>
      <c r="J80" s="485"/>
      <c r="K80" s="485"/>
      <c r="N80" s="1482"/>
      <c r="O80" s="1482"/>
      <c r="P80" s="1482"/>
      <c r="Q80" s="1482"/>
      <c r="R80" s="485"/>
      <c r="S80" s="485"/>
      <c r="T80" s="485"/>
      <c r="U80" s="485"/>
      <c r="V80" s="485"/>
      <c r="W80" s="485"/>
      <c r="X80" s="485"/>
    </row>
    <row r="81" spans="2:35" s="1" customFormat="1">
      <c r="B81" s="1481"/>
      <c r="F81" s="1482"/>
      <c r="G81" s="1482"/>
      <c r="H81" s="1482"/>
      <c r="I81" s="1482"/>
      <c r="J81" s="485"/>
      <c r="K81" s="485"/>
      <c r="N81" s="1482"/>
      <c r="O81" s="1482"/>
      <c r="P81" s="1482"/>
      <c r="Q81" s="1482"/>
      <c r="R81" s="485"/>
      <c r="S81" s="485"/>
      <c r="T81" s="485"/>
      <c r="U81" s="485"/>
      <c r="V81" s="485"/>
      <c r="W81" s="485"/>
      <c r="X81" s="485"/>
      <c r="AH81" s="1469"/>
      <c r="AI81" s="1469"/>
    </row>
    <row r="82" spans="2:35">
      <c r="B82" s="1481"/>
      <c r="F82" s="1482"/>
      <c r="G82" s="1482"/>
      <c r="H82" s="1482"/>
      <c r="I82" s="1482"/>
      <c r="J82" s="485"/>
      <c r="K82" s="485"/>
      <c r="N82" s="1482"/>
      <c r="O82" s="1482"/>
      <c r="P82" s="1482"/>
      <c r="Q82" s="1482"/>
      <c r="R82" s="485"/>
      <c r="S82" s="485"/>
      <c r="T82" s="485"/>
      <c r="U82" s="485"/>
      <c r="V82" s="485"/>
      <c r="W82" s="485"/>
      <c r="X82" s="485"/>
    </row>
    <row r="83" spans="2:35">
      <c r="B83" s="1481"/>
      <c r="F83" s="1482"/>
      <c r="G83" s="1482"/>
      <c r="H83" s="1482"/>
      <c r="I83" s="1482"/>
      <c r="J83" s="485"/>
      <c r="K83" s="485"/>
      <c r="N83" s="1482"/>
      <c r="O83" s="1482"/>
      <c r="P83" s="1482"/>
      <c r="Q83" s="1482"/>
      <c r="R83" s="485"/>
      <c r="S83" s="485"/>
      <c r="T83" s="485"/>
      <c r="U83" s="485"/>
      <c r="V83" s="485"/>
      <c r="W83" s="485"/>
      <c r="X83" s="485"/>
    </row>
    <row r="84" spans="2:35">
      <c r="B84" s="1481"/>
      <c r="F84" s="1482"/>
      <c r="G84" s="1482"/>
      <c r="H84" s="1482"/>
      <c r="I84" s="1482"/>
      <c r="J84" s="485"/>
      <c r="K84" s="485"/>
      <c r="N84" s="1482"/>
      <c r="O84" s="1482"/>
      <c r="P84" s="1482"/>
      <c r="Q84" s="1482"/>
      <c r="R84" s="485"/>
      <c r="S84" s="485"/>
      <c r="T84" s="485"/>
      <c r="U84" s="485"/>
      <c r="V84" s="485"/>
      <c r="W84" s="485"/>
      <c r="X84" s="485"/>
    </row>
    <row r="85" spans="2:35">
      <c r="B85" s="1481"/>
      <c r="F85" s="1482"/>
      <c r="G85" s="1482"/>
      <c r="H85" s="1482"/>
      <c r="I85" s="1482"/>
      <c r="J85" s="485"/>
      <c r="K85" s="485"/>
      <c r="N85" s="1482"/>
      <c r="O85" s="1482"/>
      <c r="P85" s="1482"/>
      <c r="Q85" s="1482"/>
      <c r="R85" s="485"/>
      <c r="S85" s="485"/>
      <c r="T85" s="485"/>
      <c r="U85" s="485"/>
      <c r="V85" s="485"/>
      <c r="W85" s="485"/>
      <c r="X85" s="485"/>
    </row>
    <row r="86" spans="2:35">
      <c r="B86" s="1481"/>
      <c r="F86" s="1482"/>
      <c r="G86" s="1482"/>
      <c r="H86" s="1482"/>
      <c r="I86" s="1482"/>
      <c r="J86" s="485"/>
      <c r="K86" s="485"/>
      <c r="N86" s="1482"/>
      <c r="O86" s="1482"/>
      <c r="P86" s="1482"/>
      <c r="Q86" s="1482"/>
      <c r="R86" s="485"/>
      <c r="S86" s="485"/>
      <c r="T86" s="485"/>
      <c r="U86" s="485"/>
      <c r="V86" s="485"/>
      <c r="W86" s="485"/>
      <c r="X86" s="485"/>
    </row>
    <row r="87" spans="2:35">
      <c r="B87" s="1481"/>
      <c r="F87" s="1482"/>
      <c r="G87" s="1482"/>
      <c r="H87" s="1482"/>
      <c r="I87" s="1482"/>
      <c r="J87" s="485"/>
      <c r="K87" s="485"/>
      <c r="N87" s="1482"/>
      <c r="O87" s="1482"/>
      <c r="P87" s="1482"/>
      <c r="Q87" s="1482"/>
      <c r="R87" s="485"/>
      <c r="S87" s="485"/>
      <c r="T87" s="485"/>
      <c r="U87" s="485"/>
      <c r="V87" s="485"/>
      <c r="W87" s="485"/>
      <c r="X87" s="485"/>
    </row>
    <row r="88" spans="2:35">
      <c r="B88" s="1481"/>
      <c r="F88" s="1482"/>
      <c r="G88" s="1482"/>
      <c r="H88" s="1482"/>
      <c r="I88" s="1482"/>
      <c r="J88" s="485"/>
      <c r="K88" s="485"/>
      <c r="N88" s="1482"/>
      <c r="O88" s="1482"/>
      <c r="P88" s="1482"/>
      <c r="Q88" s="1482"/>
      <c r="R88" s="485"/>
      <c r="S88" s="485"/>
      <c r="T88" s="485"/>
      <c r="U88" s="485"/>
      <c r="V88" s="485"/>
      <c r="W88" s="485"/>
      <c r="X88" s="485"/>
    </row>
    <row r="89" spans="2:35">
      <c r="B89" s="1481"/>
      <c r="F89" s="1482"/>
      <c r="G89" s="1482"/>
      <c r="H89" s="1482"/>
      <c r="I89" s="1482"/>
      <c r="J89" s="485"/>
      <c r="K89" s="485"/>
      <c r="N89" s="1482"/>
      <c r="O89" s="1482"/>
      <c r="P89" s="1482"/>
      <c r="Q89" s="1482"/>
      <c r="R89" s="485"/>
      <c r="S89" s="485"/>
      <c r="T89" s="485"/>
      <c r="U89" s="485"/>
      <c r="V89" s="485"/>
      <c r="W89" s="485"/>
      <c r="X89" s="485"/>
    </row>
    <row r="90" spans="2:35">
      <c r="B90" s="1481"/>
      <c r="F90" s="1482"/>
      <c r="G90" s="1482"/>
      <c r="H90" s="1482"/>
      <c r="I90" s="1482"/>
      <c r="J90" s="485"/>
      <c r="K90" s="485"/>
      <c r="N90" s="1482"/>
      <c r="O90" s="1482"/>
      <c r="P90" s="1482"/>
      <c r="Q90" s="1482"/>
      <c r="R90" s="485"/>
      <c r="S90" s="485"/>
      <c r="T90" s="485"/>
      <c r="U90" s="485"/>
      <c r="V90" s="485"/>
      <c r="W90" s="485"/>
      <c r="X90" s="485"/>
    </row>
    <row r="91" spans="2:35">
      <c r="B91" s="1481"/>
      <c r="F91" s="1482"/>
      <c r="G91" s="1482"/>
      <c r="H91" s="1482"/>
      <c r="I91" s="1482"/>
      <c r="J91" s="485"/>
      <c r="K91" s="485"/>
      <c r="N91" s="1482"/>
      <c r="O91" s="1482"/>
      <c r="P91" s="1482"/>
      <c r="Q91" s="1482"/>
      <c r="R91" s="485"/>
      <c r="S91" s="485"/>
      <c r="T91" s="485"/>
      <c r="U91" s="485"/>
      <c r="V91" s="485"/>
      <c r="W91" s="485"/>
      <c r="X91" s="485"/>
    </row>
    <row r="92" spans="2:35">
      <c r="B92" s="1481"/>
      <c r="F92" s="1482"/>
      <c r="G92" s="1482"/>
      <c r="H92" s="1482"/>
      <c r="I92" s="1482"/>
      <c r="J92" s="485"/>
      <c r="K92" s="485"/>
      <c r="N92" s="1482"/>
      <c r="O92" s="1482"/>
      <c r="P92" s="1482"/>
      <c r="Q92" s="1482"/>
      <c r="R92" s="485"/>
      <c r="S92" s="485"/>
      <c r="T92" s="485"/>
      <c r="U92" s="485"/>
      <c r="V92" s="485"/>
      <c r="W92" s="485"/>
      <c r="X92" s="485"/>
    </row>
    <row r="93" spans="2:35">
      <c r="B93" s="1481"/>
      <c r="F93" s="1482"/>
      <c r="G93" s="1482"/>
      <c r="H93" s="1482"/>
      <c r="I93" s="1482"/>
      <c r="J93" s="485"/>
      <c r="K93" s="485"/>
      <c r="N93" s="1482"/>
      <c r="O93" s="1482"/>
      <c r="P93" s="1482"/>
      <c r="Q93" s="1482"/>
      <c r="R93" s="485"/>
      <c r="S93" s="485"/>
      <c r="T93" s="485"/>
      <c r="U93" s="485"/>
      <c r="V93" s="485"/>
      <c r="W93" s="485"/>
      <c r="X93" s="485"/>
    </row>
    <row r="94" spans="2:35">
      <c r="B94" s="1481"/>
      <c r="F94" s="1482"/>
      <c r="G94" s="1482"/>
      <c r="H94" s="1482"/>
      <c r="I94" s="1482"/>
      <c r="J94" s="485"/>
      <c r="K94" s="485"/>
      <c r="N94" s="1482"/>
      <c r="O94" s="1482"/>
      <c r="P94" s="1482"/>
      <c r="Q94" s="1482"/>
      <c r="R94" s="485"/>
      <c r="S94" s="485"/>
      <c r="T94" s="485"/>
      <c r="U94" s="485"/>
      <c r="V94" s="485"/>
      <c r="W94" s="485"/>
      <c r="X94" s="485"/>
    </row>
    <row r="95" spans="2:35">
      <c r="B95" s="1481"/>
      <c r="F95" s="1482"/>
      <c r="G95" s="1482"/>
      <c r="H95" s="1482"/>
      <c r="I95" s="1482"/>
      <c r="J95" s="485"/>
      <c r="K95" s="485"/>
      <c r="N95" s="1482"/>
      <c r="O95" s="1482"/>
      <c r="P95" s="1482"/>
      <c r="Q95" s="1482"/>
      <c r="R95" s="485"/>
      <c r="S95" s="485"/>
      <c r="T95" s="485"/>
      <c r="U95" s="485"/>
      <c r="V95" s="485"/>
      <c r="W95" s="485"/>
      <c r="X95" s="485"/>
    </row>
    <row r="96" spans="2:35">
      <c r="B96" s="1481"/>
      <c r="F96" s="1482"/>
      <c r="G96" s="1482"/>
      <c r="H96" s="1482"/>
      <c r="I96" s="1482"/>
      <c r="J96" s="485"/>
      <c r="K96" s="485"/>
      <c r="N96" s="1482"/>
      <c r="O96" s="1482"/>
      <c r="P96" s="1482"/>
      <c r="Q96" s="1482"/>
      <c r="R96" s="485"/>
      <c r="S96" s="485"/>
      <c r="T96" s="485"/>
      <c r="U96" s="485"/>
      <c r="V96" s="485"/>
      <c r="W96" s="485"/>
      <c r="X96" s="485"/>
    </row>
    <row r="97" spans="2:24">
      <c r="B97" s="1481"/>
      <c r="F97" s="1482"/>
      <c r="G97" s="1482"/>
      <c r="H97" s="1482"/>
      <c r="I97" s="1482"/>
      <c r="J97" s="485"/>
      <c r="K97" s="485"/>
      <c r="N97" s="1482"/>
      <c r="O97" s="1482"/>
      <c r="P97" s="1482"/>
      <c r="Q97" s="1482"/>
      <c r="R97" s="485"/>
      <c r="S97" s="485"/>
      <c r="T97" s="485"/>
      <c r="U97" s="485"/>
      <c r="V97" s="485"/>
      <c r="W97" s="485"/>
      <c r="X97" s="485"/>
    </row>
    <row r="98" spans="2:24">
      <c r="B98" s="1481"/>
      <c r="F98" s="1482"/>
      <c r="G98" s="1482"/>
      <c r="H98" s="1482"/>
      <c r="I98" s="1482"/>
      <c r="J98" s="485"/>
      <c r="K98" s="485"/>
      <c r="N98" s="1482"/>
      <c r="O98" s="1482"/>
      <c r="P98" s="1482"/>
      <c r="Q98" s="1482"/>
      <c r="R98" s="485"/>
      <c r="S98" s="485"/>
      <c r="T98" s="485"/>
      <c r="U98" s="485"/>
      <c r="V98" s="485"/>
      <c r="W98" s="485"/>
      <c r="X98" s="485"/>
    </row>
    <row r="99" spans="2:24">
      <c r="B99" s="1481"/>
      <c r="F99" s="1482"/>
      <c r="G99" s="1482"/>
      <c r="H99" s="1482"/>
      <c r="I99" s="1482"/>
      <c r="J99" s="485"/>
      <c r="K99" s="485"/>
      <c r="N99" s="1482"/>
      <c r="O99" s="1482"/>
      <c r="P99" s="1482"/>
      <c r="Q99" s="1482"/>
      <c r="R99" s="485"/>
      <c r="S99" s="485"/>
      <c r="T99" s="485"/>
      <c r="U99" s="485"/>
      <c r="V99" s="485"/>
      <c r="W99" s="485"/>
      <c r="X99" s="485"/>
    </row>
    <row r="100" spans="2:24">
      <c r="B100" s="1481"/>
      <c r="F100" s="1482"/>
      <c r="G100" s="1482"/>
      <c r="H100" s="1482"/>
      <c r="I100" s="1482"/>
      <c r="J100" s="485"/>
      <c r="K100" s="485"/>
      <c r="N100" s="1482"/>
      <c r="O100" s="1482"/>
      <c r="P100" s="1482"/>
      <c r="Q100" s="1482"/>
      <c r="R100" s="485"/>
      <c r="S100" s="485"/>
      <c r="T100" s="485"/>
      <c r="U100" s="485"/>
      <c r="V100" s="485"/>
      <c r="W100" s="485"/>
      <c r="X100" s="485"/>
    </row>
    <row r="101" spans="2:24">
      <c r="B101" s="1481"/>
      <c r="F101" s="1482"/>
      <c r="G101" s="1482"/>
      <c r="H101" s="1482"/>
      <c r="I101" s="1482"/>
      <c r="J101" s="485"/>
      <c r="K101" s="485"/>
      <c r="N101" s="1482"/>
      <c r="O101" s="1482"/>
      <c r="P101" s="1482"/>
      <c r="Q101" s="1482"/>
      <c r="R101" s="485"/>
      <c r="S101" s="485"/>
      <c r="T101" s="485"/>
      <c r="U101" s="485"/>
      <c r="V101" s="485"/>
      <c r="W101" s="485"/>
      <c r="X101" s="485"/>
    </row>
    <row r="102" spans="2:24">
      <c r="B102" s="1481"/>
      <c r="F102" s="1482"/>
      <c r="G102" s="1482"/>
      <c r="H102" s="1482"/>
      <c r="I102" s="1482"/>
      <c r="J102" s="485"/>
      <c r="K102" s="485"/>
      <c r="N102" s="1482"/>
      <c r="O102" s="1482"/>
      <c r="P102" s="1482"/>
      <c r="Q102" s="1482"/>
      <c r="R102" s="485"/>
      <c r="S102" s="485"/>
      <c r="T102" s="485"/>
      <c r="U102" s="485"/>
      <c r="V102" s="485"/>
      <c r="W102" s="485"/>
      <c r="X102" s="485"/>
    </row>
    <row r="103" spans="2:24">
      <c r="B103" s="1481"/>
      <c r="F103" s="1482"/>
      <c r="G103" s="1482"/>
      <c r="H103" s="1482"/>
      <c r="I103" s="1482"/>
      <c r="J103" s="485"/>
      <c r="K103" s="485"/>
      <c r="N103" s="1482"/>
      <c r="O103" s="1482"/>
      <c r="P103" s="1482"/>
      <c r="Q103" s="1482"/>
      <c r="R103" s="485"/>
      <c r="S103" s="485"/>
      <c r="T103" s="485"/>
      <c r="U103" s="485"/>
      <c r="V103" s="485"/>
      <c r="W103" s="485"/>
      <c r="X103" s="485"/>
    </row>
    <row r="104" spans="2:24">
      <c r="B104" s="1481"/>
      <c r="F104" s="1482"/>
      <c r="G104" s="1482"/>
      <c r="H104" s="1482"/>
      <c r="I104" s="1482"/>
      <c r="J104" s="485"/>
      <c r="K104" s="485"/>
      <c r="N104" s="1482"/>
      <c r="O104" s="1482"/>
      <c r="P104" s="1482"/>
      <c r="Q104" s="1482"/>
      <c r="R104" s="485"/>
      <c r="S104" s="485"/>
      <c r="T104" s="485"/>
      <c r="U104" s="485"/>
      <c r="V104" s="485"/>
      <c r="W104" s="485"/>
      <c r="X104" s="485"/>
    </row>
    <row r="105" spans="2:24">
      <c r="B105" s="1481"/>
      <c r="F105" s="1482"/>
      <c r="G105" s="1482"/>
      <c r="H105" s="1482"/>
      <c r="I105" s="1482"/>
      <c r="J105" s="485"/>
      <c r="K105" s="485"/>
      <c r="N105" s="1482"/>
      <c r="O105" s="1482"/>
      <c r="P105" s="1482"/>
      <c r="Q105" s="1482"/>
      <c r="R105" s="485"/>
      <c r="S105" s="485"/>
      <c r="T105" s="485"/>
      <c r="U105" s="485"/>
      <c r="V105" s="485"/>
      <c r="W105" s="485"/>
      <c r="X105" s="485"/>
    </row>
    <row r="106" spans="2:24">
      <c r="B106" s="1481"/>
      <c r="F106" s="1482"/>
      <c r="G106" s="1482"/>
      <c r="H106" s="1482"/>
      <c r="I106" s="1482"/>
      <c r="J106" s="485"/>
      <c r="K106" s="485"/>
      <c r="N106" s="1482"/>
      <c r="O106" s="1482"/>
      <c r="P106" s="1482"/>
      <c r="Q106" s="1482"/>
      <c r="R106" s="485"/>
      <c r="S106" s="485"/>
      <c r="T106" s="485"/>
      <c r="U106" s="485"/>
      <c r="V106" s="485"/>
      <c r="W106" s="485"/>
      <c r="X106" s="485"/>
    </row>
    <row r="107" spans="2:24">
      <c r="E107" s="1457"/>
      <c r="J107" s="485"/>
      <c r="K107" s="485"/>
      <c r="M107" s="1457"/>
      <c r="R107" s="485"/>
      <c r="S107" s="485"/>
      <c r="T107" s="485"/>
      <c r="U107" s="485"/>
      <c r="V107" s="485"/>
      <c r="W107" s="485"/>
      <c r="X107" s="485"/>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4.4"/>
  <sheetData>
    <row r="1" spans="1:50">
      <c r="A1" t="s">
        <v>597</v>
      </c>
    </row>
    <row r="2" spans="1:50">
      <c r="A2" s="601" t="s">
        <v>598</v>
      </c>
    </row>
    <row r="5" spans="1:50" ht="21">
      <c r="AX5" s="1272" t="s">
        <v>720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E115" zoomScale="70" zoomScaleNormal="70" workbookViewId="0">
      <selection activeCell="H132" sqref="H132"/>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s>
  <sheetData>
    <row r="1" spans="1:11">
      <c r="A1" s="2" t="s">
        <v>620</v>
      </c>
      <c r="J1" s="99"/>
      <c r="K1" s="99"/>
    </row>
    <row r="2" spans="1:11" ht="15" thickBot="1">
      <c r="A2" s="2" t="s">
        <v>621</v>
      </c>
      <c r="B2" s="479" t="s">
        <v>633</v>
      </c>
      <c r="J2" s="99"/>
      <c r="K2" s="99"/>
    </row>
    <row r="3" spans="1:11" ht="15" thickBot="1">
      <c r="A3" s="2"/>
      <c r="C3" s="661" t="s">
        <v>629</v>
      </c>
      <c r="D3" s="662" t="s">
        <v>636</v>
      </c>
      <c r="E3" s="661" t="s">
        <v>630</v>
      </c>
      <c r="F3" s="662" t="s">
        <v>636</v>
      </c>
      <c r="G3" s="661" t="s">
        <v>631</v>
      </c>
      <c r="H3" s="662" t="s">
        <v>636</v>
      </c>
      <c r="J3" s="99"/>
      <c r="K3" s="99"/>
    </row>
    <row r="4" spans="1:11">
      <c r="A4" s="1830" t="s">
        <v>634</v>
      </c>
      <c r="B4" s="1827" t="s">
        <v>635</v>
      </c>
      <c r="C4" s="660">
        <v>0.5</v>
      </c>
      <c r="D4" s="116">
        <v>2030</v>
      </c>
      <c r="E4" s="660">
        <f>C4</f>
        <v>0.5</v>
      </c>
      <c r="F4" s="116">
        <f>2017+5</f>
        <v>2022</v>
      </c>
      <c r="G4" s="660">
        <f>E4</f>
        <v>0.5</v>
      </c>
      <c r="H4" s="116">
        <f>F4</f>
        <v>2022</v>
      </c>
      <c r="J4" s="99"/>
      <c r="K4" s="99"/>
    </row>
    <row r="5" spans="1:11">
      <c r="A5" s="1807"/>
      <c r="B5" s="1828"/>
      <c r="C5" s="656">
        <v>0.65</v>
      </c>
      <c r="D5" s="130">
        <v>2040</v>
      </c>
      <c r="E5" s="656">
        <f t="shared" ref="E5:E6" si="0">C5</f>
        <v>0.65</v>
      </c>
      <c r="F5" s="130">
        <f>2017+10</f>
        <v>2027</v>
      </c>
      <c r="G5" s="656">
        <f t="shared" ref="G5:G6" si="1">E5</f>
        <v>0.65</v>
      </c>
      <c r="H5" s="130">
        <f t="shared" ref="H5:H6" si="2">F5</f>
        <v>2027</v>
      </c>
      <c r="J5" s="99"/>
      <c r="K5" s="99"/>
    </row>
    <row r="6" spans="1:11" ht="15" thickBot="1">
      <c r="A6" s="1808"/>
      <c r="B6" s="1829"/>
      <c r="C6" s="658">
        <v>0.8</v>
      </c>
      <c r="D6" s="140">
        <v>2050</v>
      </c>
      <c r="E6" s="658">
        <f t="shared" si="0"/>
        <v>0.8</v>
      </c>
      <c r="F6" s="140">
        <f>15+2017</f>
        <v>2032</v>
      </c>
      <c r="G6" s="658">
        <f t="shared" si="1"/>
        <v>0.8</v>
      </c>
      <c r="H6" s="140">
        <f t="shared" si="2"/>
        <v>2032</v>
      </c>
      <c r="J6" s="99"/>
      <c r="K6" s="99"/>
    </row>
    <row r="7" spans="1:11" ht="15" thickBot="1">
      <c r="A7" s="672"/>
      <c r="B7" s="672"/>
      <c r="C7" s="657"/>
      <c r="D7" s="104"/>
      <c r="E7" s="657"/>
      <c r="F7" s="104"/>
      <c r="G7" s="657"/>
      <c r="H7" s="104"/>
      <c r="J7" s="99"/>
      <c r="K7" s="99"/>
    </row>
    <row r="8" spans="1:11" ht="15.6" customHeight="1">
      <c r="A8" s="1841" t="s">
        <v>652</v>
      </c>
      <c r="B8" s="1657" t="s">
        <v>561</v>
      </c>
      <c r="C8" s="1658"/>
      <c r="D8" s="1658"/>
      <c r="E8" s="1658"/>
      <c r="F8" s="1659"/>
      <c r="G8" s="1657" t="s">
        <v>610</v>
      </c>
      <c r="H8" s="1658"/>
      <c r="I8" s="1659"/>
      <c r="J8" s="346"/>
      <c r="K8" s="99"/>
    </row>
    <row r="9" spans="1:11" ht="31.8" thickBot="1">
      <c r="A9" s="1842"/>
      <c r="B9" s="518" t="s">
        <v>549</v>
      </c>
      <c r="C9" s="304" t="s">
        <v>566</v>
      </c>
      <c r="D9" s="304" t="s">
        <v>429</v>
      </c>
      <c r="E9" s="304" t="s">
        <v>553</v>
      </c>
      <c r="F9" s="519" t="s">
        <v>303</v>
      </c>
      <c r="G9" s="518" t="s">
        <v>569</v>
      </c>
      <c r="H9" s="304" t="s">
        <v>570</v>
      </c>
      <c r="I9" s="519" t="s">
        <v>303</v>
      </c>
      <c r="J9" s="346"/>
      <c r="K9" s="99"/>
    </row>
    <row r="10" spans="1:11" ht="15.6">
      <c r="A10" s="503" t="s">
        <v>651</v>
      </c>
      <c r="B10" s="507">
        <f>'Input data'!B35</f>
        <v>0.46471844811027063</v>
      </c>
      <c r="C10" s="507">
        <f>'Input data'!C35</f>
        <v>0.41381327103365251</v>
      </c>
      <c r="D10" s="507">
        <f>'Input data'!D35</f>
        <v>0.12146828085607692</v>
      </c>
      <c r="E10" s="507">
        <f>'Input data'!E35</f>
        <v>0</v>
      </c>
      <c r="F10" s="507">
        <f>'Input data'!F35</f>
        <v>1</v>
      </c>
      <c r="G10" s="506">
        <f>'Input data'!G35</f>
        <v>0.66241124199764068</v>
      </c>
      <c r="H10" s="506">
        <f>'Input data'!H35</f>
        <v>0.33758875800235938</v>
      </c>
      <c r="I10" s="706">
        <f>'Input data'!I35</f>
        <v>1</v>
      </c>
      <c r="J10" s="158"/>
      <c r="K10" s="99"/>
    </row>
    <row r="11" spans="1:11" ht="15.6">
      <c r="A11" s="504" t="s">
        <v>656</v>
      </c>
      <c r="B11" s="507">
        <f>'Input data'!B36</f>
        <v>0.85641924869700936</v>
      </c>
      <c r="C11" s="507">
        <f>'Input data'!C36</f>
        <v>0.14268338865096522</v>
      </c>
      <c r="D11" s="507">
        <f>'Input data'!D36</f>
        <v>0</v>
      </c>
      <c r="E11" s="507">
        <f>'Input data'!E36</f>
        <v>8.973626520254116E-4</v>
      </c>
      <c r="F11" s="507">
        <f>'Input data'!F36</f>
        <v>1</v>
      </c>
      <c r="G11" s="507">
        <f>'Input data'!G36</f>
        <v>0.49613166950665732</v>
      </c>
      <c r="H11" s="507">
        <f>'Input data'!H36</f>
        <v>0.50386833049334279</v>
      </c>
      <c r="I11" s="507">
        <f>'Input data'!I36</f>
        <v>1</v>
      </c>
      <c r="J11" s="764"/>
      <c r="K11" s="99"/>
    </row>
    <row r="12" spans="1:11" ht="15.6">
      <c r="A12" s="741" t="s">
        <v>657</v>
      </c>
      <c r="B12" s="507">
        <f>'Input data'!B37</f>
        <v>0.74218195843015589</v>
      </c>
      <c r="C12" s="507">
        <f>'Input data'!C37</f>
        <v>0.25567103228934263</v>
      </c>
      <c r="D12" s="507">
        <f>'Input data'!D37</f>
        <v>0</v>
      </c>
      <c r="E12" s="507">
        <f>'Input data'!E37</f>
        <v>2.1470092805013948E-3</v>
      </c>
      <c r="F12" s="507">
        <f>'Input data'!F37</f>
        <v>0.99999999999999989</v>
      </c>
      <c r="G12" s="507">
        <f>'Input data'!G37</f>
        <v>0.32721719372829228</v>
      </c>
      <c r="H12" s="507">
        <f>'Input data'!H37</f>
        <v>0.67278280627170772</v>
      </c>
      <c r="I12" s="507">
        <f>'Input data'!I37</f>
        <v>1</v>
      </c>
      <c r="J12" s="99"/>
      <c r="K12" s="99"/>
    </row>
    <row r="13" spans="1:11" ht="16.2" thickBot="1">
      <c r="A13" s="505" t="s">
        <v>575</v>
      </c>
      <c r="B13" s="707">
        <f>'Input data'!B38</f>
        <v>0.8</v>
      </c>
      <c r="C13" s="707">
        <f>'Input data'!C38</f>
        <v>0.11</v>
      </c>
      <c r="D13" s="707">
        <f>'Input data'!D38</f>
        <v>0.09</v>
      </c>
      <c r="E13" s="707">
        <f>'Input data'!E38</f>
        <v>0</v>
      </c>
      <c r="F13" s="707">
        <f>'Input data'!F38</f>
        <v>1</v>
      </c>
      <c r="G13" s="708">
        <f>'Input data'!G38</f>
        <v>1</v>
      </c>
      <c r="H13" s="708">
        <f>'Input data'!H38</f>
        <v>0</v>
      </c>
      <c r="I13" s="709">
        <f>'Input data'!I38</f>
        <v>1</v>
      </c>
      <c r="J13" s="99"/>
      <c r="K13" s="99">
        <v>0.57999999999999996</v>
      </c>
    </row>
    <row r="14" spans="1:11" ht="15.6">
      <c r="A14" s="536"/>
      <c r="C14" s="705"/>
      <c r="E14" s="705"/>
      <c r="F14" s="705"/>
      <c r="G14" s="502"/>
      <c r="J14" s="99"/>
      <c r="K14" s="99">
        <v>0.21707953063885269</v>
      </c>
    </row>
    <row r="15" spans="1:11" ht="15.6" customHeight="1" thickBot="1">
      <c r="B15" s="479" t="s">
        <v>632</v>
      </c>
      <c r="J15" s="99"/>
      <c r="K15" s="99">
        <v>0.71200000000000008</v>
      </c>
    </row>
    <row r="16" spans="1:11" ht="15" thickBot="1">
      <c r="A16" s="713"/>
      <c r="B16" s="712" t="s">
        <v>636</v>
      </c>
      <c r="C16" s="670" t="s">
        <v>87</v>
      </c>
      <c r="D16" s="670" t="s">
        <v>364</v>
      </c>
      <c r="E16" s="670" t="s">
        <v>365</v>
      </c>
      <c r="F16" s="670" t="s">
        <v>366</v>
      </c>
      <c r="G16" s="752" t="s">
        <v>660</v>
      </c>
      <c r="H16" s="753" t="s">
        <v>367</v>
      </c>
      <c r="K16">
        <v>0.8</v>
      </c>
    </row>
    <row r="17" spans="1:11">
      <c r="A17" s="714" t="s">
        <v>653</v>
      </c>
      <c r="B17" s="713">
        <v>2017</v>
      </c>
      <c r="C17" s="114">
        <f>E63/E65</f>
        <v>0.57999999999999996</v>
      </c>
      <c r="D17" s="114">
        <f>J63/J65</f>
        <v>0.437</v>
      </c>
      <c r="E17" s="114">
        <f t="shared" ref="E17:G17" si="3">K63/K65</f>
        <v>0.71200000000000008</v>
      </c>
      <c r="F17" s="114">
        <f t="shared" si="3"/>
        <v>0.8</v>
      </c>
      <c r="G17" s="114">
        <f t="shared" si="3"/>
        <v>0.23600000000000002</v>
      </c>
      <c r="H17" s="666">
        <f>H80</f>
        <v>6.154773859516615E-2</v>
      </c>
      <c r="K17">
        <v>0.23600000000000002</v>
      </c>
    </row>
    <row r="18" spans="1:11">
      <c r="A18" s="715" t="s">
        <v>629</v>
      </c>
      <c r="B18" s="621">
        <v>2030</v>
      </c>
      <c r="C18" s="483">
        <f>C17</f>
        <v>0.57999999999999996</v>
      </c>
      <c r="D18" s="483">
        <f t="shared" ref="D18:F18" si="4">D17</f>
        <v>0.437</v>
      </c>
      <c r="E18" s="483">
        <f t="shared" si="4"/>
        <v>0.71200000000000008</v>
      </c>
      <c r="F18" s="483">
        <f t="shared" si="4"/>
        <v>0.8</v>
      </c>
      <c r="G18" s="483">
        <f>G17</f>
        <v>0.23600000000000002</v>
      </c>
      <c r="H18" s="604">
        <v>0.2</v>
      </c>
    </row>
    <row r="19" spans="1:11">
      <c r="A19" s="714" t="s">
        <v>630</v>
      </c>
      <c r="B19" s="621">
        <v>2030</v>
      </c>
      <c r="C19" s="657">
        <v>0.7</v>
      </c>
      <c r="D19" s="657">
        <v>0.6</v>
      </c>
      <c r="E19" s="657">
        <v>0.9</v>
      </c>
      <c r="F19" s="657">
        <v>0.9</v>
      </c>
      <c r="G19" s="483">
        <f>G18</f>
        <v>0.23600000000000002</v>
      </c>
      <c r="H19" s="667">
        <v>0.4</v>
      </c>
    </row>
    <row r="20" spans="1:11" ht="15" thickBot="1">
      <c r="A20" s="716" t="s">
        <v>631</v>
      </c>
      <c r="B20" s="622">
        <v>2030</v>
      </c>
      <c r="C20" s="659">
        <f>C19</f>
        <v>0.7</v>
      </c>
      <c r="D20" s="659">
        <f>D19</f>
        <v>0.6</v>
      </c>
      <c r="E20" s="659">
        <f>E19</f>
        <v>0.9</v>
      </c>
      <c r="F20" s="659">
        <f>F19</f>
        <v>0.9</v>
      </c>
      <c r="G20" s="732">
        <f>G19</f>
        <v>0.23600000000000002</v>
      </c>
      <c r="H20" s="668">
        <f>H19</f>
        <v>0.4</v>
      </c>
    </row>
    <row r="21" spans="1:11">
      <c r="A21" s="663"/>
      <c r="B21" s="104"/>
      <c r="C21" s="657"/>
      <c r="D21" s="657"/>
      <c r="E21" s="657"/>
      <c r="F21" s="104"/>
      <c r="G21" s="104"/>
      <c r="J21" s="483"/>
    </row>
    <row r="22" spans="1:11">
      <c r="A22" s="663"/>
      <c r="B22" s="104"/>
      <c r="C22" s="657"/>
      <c r="D22" s="657"/>
      <c r="E22" s="657"/>
      <c r="F22" s="104"/>
      <c r="G22" s="104"/>
    </row>
    <row r="23" spans="1:11">
      <c r="A23" s="664"/>
      <c r="B23" s="58"/>
      <c r="C23" s="58"/>
      <c r="D23" s="58"/>
      <c r="E23" s="657"/>
    </row>
    <row r="24" spans="1:11" ht="15" thickBot="1">
      <c r="A24" s="664"/>
      <c r="B24" s="479" t="s">
        <v>637</v>
      </c>
      <c r="C24" s="58"/>
      <c r="D24" s="58"/>
      <c r="E24" s="657"/>
    </row>
    <row r="25" spans="1:11" ht="15" thickBot="1">
      <c r="A25" s="665"/>
      <c r="B25" s="669"/>
      <c r="C25" s="673" t="s">
        <v>629</v>
      </c>
      <c r="D25" s="674" t="s">
        <v>636</v>
      </c>
      <c r="E25" s="671" t="s">
        <v>630</v>
      </c>
      <c r="F25" s="662" t="s">
        <v>636</v>
      </c>
      <c r="G25" s="676" t="s">
        <v>631</v>
      </c>
      <c r="H25" s="662" t="s">
        <v>636</v>
      </c>
    </row>
    <row r="26" spans="1:11">
      <c r="A26" s="1807" t="s">
        <v>638</v>
      </c>
      <c r="B26" s="1828" t="s">
        <v>635</v>
      </c>
      <c r="C26" s="656">
        <v>0.25</v>
      </c>
      <c r="D26" s="104">
        <f>2017+5</f>
        <v>2022</v>
      </c>
      <c r="E26" s="1835">
        <v>0.5</v>
      </c>
      <c r="F26" s="1837">
        <f>2017+5</f>
        <v>2022</v>
      </c>
      <c r="G26" s="1839">
        <f>E26</f>
        <v>0.5</v>
      </c>
      <c r="H26" s="1837">
        <f>F26</f>
        <v>2022</v>
      </c>
    </row>
    <row r="27" spans="1:11" ht="15" thickBot="1">
      <c r="A27" s="1808"/>
      <c r="B27" s="1829"/>
      <c r="C27" s="658">
        <v>0.5</v>
      </c>
      <c r="D27" s="163">
        <f>2017+10</f>
        <v>2027</v>
      </c>
      <c r="E27" s="1836"/>
      <c r="F27" s="1838"/>
      <c r="G27" s="1840"/>
      <c r="H27" s="1838"/>
    </row>
    <row r="28" spans="1:11" ht="15" thickBot="1">
      <c r="A28" s="672"/>
      <c r="B28" s="672"/>
      <c r="C28" s="657"/>
      <c r="D28" s="104"/>
      <c r="E28" s="657"/>
      <c r="F28" s="104"/>
      <c r="G28" s="657"/>
      <c r="H28" s="104"/>
    </row>
    <row r="29" spans="1:11">
      <c r="A29" s="675"/>
      <c r="B29" s="681"/>
      <c r="C29" s="1832" t="s">
        <v>629</v>
      </c>
      <c r="D29" s="1833"/>
      <c r="E29" s="1832" t="s">
        <v>630</v>
      </c>
      <c r="F29" s="1833"/>
      <c r="G29" s="1834" t="s">
        <v>631</v>
      </c>
      <c r="H29" s="1833"/>
    </row>
    <row r="30" spans="1:11" ht="15" thickBot="1">
      <c r="A30" s="677"/>
      <c r="B30" s="682"/>
      <c r="C30" s="678" t="s">
        <v>640</v>
      </c>
      <c r="D30" s="679" t="s">
        <v>176</v>
      </c>
      <c r="E30" s="678" t="s">
        <v>640</v>
      </c>
      <c r="F30" s="679" t="s">
        <v>176</v>
      </c>
      <c r="G30" s="680" t="s">
        <v>640</v>
      </c>
      <c r="H30" s="679" t="s">
        <v>176</v>
      </c>
    </row>
    <row r="31" spans="1:11" ht="15" thickBot="1">
      <c r="A31" s="683" t="s">
        <v>639</v>
      </c>
      <c r="B31" s="684" t="s">
        <v>635</v>
      </c>
      <c r="C31" s="658">
        <v>0.1</v>
      </c>
      <c r="D31" s="668">
        <v>0.9</v>
      </c>
      <c r="E31" s="658">
        <v>0.1</v>
      </c>
      <c r="F31" s="668">
        <v>0.9</v>
      </c>
      <c r="G31" s="659">
        <v>0.5</v>
      </c>
      <c r="H31" s="668">
        <v>0.5</v>
      </c>
    </row>
    <row r="32" spans="1:11">
      <c r="A32" s="664"/>
      <c r="B32" s="58"/>
      <c r="C32" s="58"/>
      <c r="D32" s="58"/>
      <c r="E32" s="657"/>
    </row>
    <row r="33" spans="1:24" ht="15" thickBot="1">
      <c r="A33" s="664"/>
      <c r="B33" s="479" t="s">
        <v>641</v>
      </c>
      <c r="C33" s="58"/>
      <c r="D33" s="58"/>
      <c r="E33" s="657"/>
    </row>
    <row r="34" spans="1:24" ht="28.95" customHeight="1" thickBot="1">
      <c r="A34" s="692"/>
      <c r="B34" s="1078" t="s">
        <v>636</v>
      </c>
      <c r="C34" s="846" t="s">
        <v>269</v>
      </c>
      <c r="D34" s="847" t="s">
        <v>270</v>
      </c>
      <c r="E34" s="847" t="s">
        <v>271</v>
      </c>
      <c r="F34" s="847" t="s">
        <v>272</v>
      </c>
      <c r="G34" s="848" t="s">
        <v>705</v>
      </c>
    </row>
    <row r="35" spans="1:24">
      <c r="A35" s="693" t="s">
        <v>642</v>
      </c>
      <c r="B35" s="1113">
        <v>2017</v>
      </c>
      <c r="C35" s="849">
        <f>Parameters!C188</f>
        <v>0</v>
      </c>
      <c r="D35" s="850">
        <f>Parameters!D188</f>
        <v>0</v>
      </c>
      <c r="E35" s="850">
        <f>Parameters!E188</f>
        <v>0.4</v>
      </c>
      <c r="F35" s="850">
        <f>Parameters!F188</f>
        <v>0.3</v>
      </c>
      <c r="G35" s="851">
        <f>Parameters!G188</f>
        <v>0.3</v>
      </c>
    </row>
    <row r="36" spans="1:24">
      <c r="A36" s="1812" t="s">
        <v>629</v>
      </c>
      <c r="B36" s="1114">
        <v>2030</v>
      </c>
      <c r="C36" s="689">
        <f>C35</f>
        <v>0</v>
      </c>
      <c r="D36" s="685">
        <f>D35</f>
        <v>0</v>
      </c>
      <c r="E36" s="685">
        <f>1-F36-G36</f>
        <v>0.7</v>
      </c>
      <c r="F36" s="685">
        <f>F35/2</f>
        <v>0.15</v>
      </c>
      <c r="G36" s="686">
        <f>G35/2</f>
        <v>0.15</v>
      </c>
      <c r="H36" t="s">
        <v>643</v>
      </c>
    </row>
    <row r="37" spans="1:24">
      <c r="A37" s="1812"/>
      <c r="B37" s="1114">
        <v>2050</v>
      </c>
      <c r="C37" s="689">
        <f>C38</f>
        <v>0</v>
      </c>
      <c r="D37" s="685">
        <f t="shared" ref="D37:G37" si="5">D38</f>
        <v>0</v>
      </c>
      <c r="E37" s="685">
        <f t="shared" si="5"/>
        <v>1</v>
      </c>
      <c r="F37" s="685">
        <f t="shared" si="5"/>
        <v>0</v>
      </c>
      <c r="G37" s="686">
        <f t="shared" si="5"/>
        <v>0</v>
      </c>
    </row>
    <row r="38" spans="1:24">
      <c r="A38" s="1134" t="s">
        <v>630</v>
      </c>
      <c r="B38" s="1114">
        <v>2030</v>
      </c>
      <c r="C38" s="689">
        <f>C36</f>
        <v>0</v>
      </c>
      <c r="D38" s="685">
        <f>D36</f>
        <v>0</v>
      </c>
      <c r="E38" s="685">
        <v>1</v>
      </c>
      <c r="F38" s="685">
        <v>0</v>
      </c>
      <c r="G38" s="686">
        <v>0</v>
      </c>
      <c r="H38" t="s">
        <v>644</v>
      </c>
    </row>
    <row r="39" spans="1:24" ht="15" thickBot="1">
      <c r="A39" s="1135" t="s">
        <v>631</v>
      </c>
      <c r="B39" s="1115">
        <v>2030</v>
      </c>
      <c r="C39" s="690">
        <f>C37</f>
        <v>0</v>
      </c>
      <c r="D39" s="687">
        <f>D37</f>
        <v>0</v>
      </c>
      <c r="E39" s="687">
        <v>1</v>
      </c>
      <c r="F39" s="687">
        <v>0</v>
      </c>
      <c r="G39" s="688">
        <v>0</v>
      </c>
    </row>
    <row r="40" spans="1:24">
      <c r="A40" s="2"/>
    </row>
    <row r="41" spans="1:24" ht="15" thickBot="1">
      <c r="A41" s="2"/>
      <c r="B41" s="479" t="s">
        <v>645</v>
      </c>
    </row>
    <row r="42" spans="1:24" ht="15" thickBot="1">
      <c r="A42" s="2"/>
      <c r="C42" s="1831" t="s">
        <v>6</v>
      </c>
      <c r="D42" s="1825"/>
      <c r="E42" s="1825"/>
      <c r="F42" s="1825"/>
      <c r="G42" s="1825"/>
      <c r="H42" s="1825"/>
      <c r="I42" s="1826"/>
      <c r="J42" s="1824" t="s">
        <v>298</v>
      </c>
      <c r="K42" s="1825"/>
      <c r="L42" s="1825"/>
      <c r="M42" s="1825"/>
      <c r="N42" s="1825"/>
      <c r="O42" s="1825"/>
      <c r="P42" s="1826"/>
      <c r="Q42" s="1809" t="s">
        <v>299</v>
      </c>
      <c r="R42" s="1809"/>
      <c r="S42" s="1809"/>
      <c r="T42" s="1809"/>
      <c r="U42" s="1809"/>
      <c r="V42" s="1809"/>
      <c r="W42" s="1810"/>
      <c r="X42" s="886"/>
    </row>
    <row r="43" spans="1:24" ht="29.4" thickBot="1">
      <c r="A43" s="692"/>
      <c r="B43" s="1221" t="s">
        <v>636</v>
      </c>
      <c r="C43" s="698" t="s">
        <v>17</v>
      </c>
      <c r="D43" s="699" t="s">
        <v>23</v>
      </c>
      <c r="E43" s="699" t="s">
        <v>19</v>
      </c>
      <c r="F43" s="699" t="s">
        <v>304</v>
      </c>
      <c r="G43" s="699" t="s">
        <v>9</v>
      </c>
      <c r="H43" s="699" t="s">
        <v>10</v>
      </c>
      <c r="I43" s="700" t="s">
        <v>225</v>
      </c>
      <c r="J43" s="702" t="s">
        <v>17</v>
      </c>
      <c r="K43" s="699" t="s">
        <v>23</v>
      </c>
      <c r="L43" s="699" t="s">
        <v>19</v>
      </c>
      <c r="M43" s="699" t="s">
        <v>304</v>
      </c>
      <c r="N43" s="699" t="s">
        <v>9</v>
      </c>
      <c r="O43" s="699" t="s">
        <v>10</v>
      </c>
      <c r="P43" s="700" t="s">
        <v>225</v>
      </c>
      <c r="Q43" s="1090" t="s">
        <v>17</v>
      </c>
      <c r="R43" s="1091" t="s">
        <v>23</v>
      </c>
      <c r="S43" s="1091" t="s">
        <v>19</v>
      </c>
      <c r="T43" s="1091" t="s">
        <v>304</v>
      </c>
      <c r="U43" s="1091" t="s">
        <v>9</v>
      </c>
      <c r="V43" s="1091" t="s">
        <v>10</v>
      </c>
      <c r="W43" s="1092" t="s">
        <v>225</v>
      </c>
    </row>
    <row r="44" spans="1:24">
      <c r="A44" s="1087" t="s">
        <v>646</v>
      </c>
      <c r="B44" s="111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9">
        <f>'4D Wastewater treatment and dis'!T107</f>
        <v>0.34</v>
      </c>
      <c r="R44" s="759">
        <f>'4D Wastewater treatment and dis'!U107</f>
        <v>0</v>
      </c>
      <c r="S44" s="759">
        <f>'4D Wastewater treatment and dis'!V107</f>
        <v>0.17</v>
      </c>
      <c r="T44" s="759">
        <f>'4D Wastewater treatment and dis'!W107</f>
        <v>0.24</v>
      </c>
      <c r="U44" s="759">
        <f>'4D Wastewater treatment and dis'!X107</f>
        <v>0.05</v>
      </c>
      <c r="V44" s="759">
        <f>'4D Wastewater treatment and dis'!Y107</f>
        <v>0.2</v>
      </c>
      <c r="W44" s="929">
        <f>SUM(Q44:V44)</f>
        <v>1</v>
      </c>
    </row>
    <row r="45" spans="1:24">
      <c r="A45" s="1088" t="s">
        <v>629</v>
      </c>
      <c r="B45" s="1114">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8" t="s">
        <v>714</v>
      </c>
      <c r="B46" s="1114">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 thickBot="1">
      <c r="A47" s="1089" t="s">
        <v>631</v>
      </c>
      <c r="B47" s="1115">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 thickBot="1">
      <c r="A48" s="360"/>
      <c r="B48" s="36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18"/>
      <c r="B49" s="691" t="s">
        <v>636</v>
      </c>
      <c r="C49" s="726" t="s">
        <v>582</v>
      </c>
      <c r="D49" s="722" t="s">
        <v>581</v>
      </c>
      <c r="J49" s="118"/>
      <c r="K49" s="118"/>
      <c r="L49" s="118"/>
      <c r="M49" s="118"/>
      <c r="N49" s="118"/>
      <c r="O49" s="118"/>
      <c r="P49" s="118"/>
      <c r="Q49" s="118"/>
      <c r="R49" s="118"/>
      <c r="S49" s="118"/>
      <c r="T49" s="118"/>
      <c r="U49" s="118"/>
      <c r="V49" s="118"/>
      <c r="W49" s="104"/>
      <c r="X49" s="118"/>
    </row>
    <row r="50" spans="1:45" ht="15.6">
      <c r="A50" s="715" t="s">
        <v>650</v>
      </c>
      <c r="B50" s="719">
        <v>2017</v>
      </c>
      <c r="C50" s="723">
        <f>'Input data'!C42</f>
        <v>0.71479999999999999</v>
      </c>
      <c r="D50" s="723">
        <f>'Input data'!C41</f>
        <v>0.28959999999999997</v>
      </c>
      <c r="J50" s="118"/>
      <c r="K50" s="118"/>
      <c r="L50" s="118"/>
      <c r="M50" s="118"/>
      <c r="N50" s="118"/>
      <c r="O50" s="118"/>
      <c r="P50" s="118"/>
      <c r="Q50" s="118"/>
      <c r="R50" s="118"/>
      <c r="S50" s="118"/>
      <c r="T50" s="118"/>
      <c r="U50" s="118"/>
      <c r="V50" s="118"/>
      <c r="W50" s="104"/>
      <c r="X50" s="118"/>
    </row>
    <row r="51" spans="1:45">
      <c r="A51" s="714" t="s">
        <v>629</v>
      </c>
      <c r="B51" s="720">
        <v>2050</v>
      </c>
      <c r="C51" s="724">
        <v>1</v>
      </c>
      <c r="D51" s="724">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 thickBot="1">
      <c r="A52" s="716" t="s">
        <v>630</v>
      </c>
      <c r="B52" s="721">
        <v>2030</v>
      </c>
      <c r="C52" s="725">
        <v>1</v>
      </c>
      <c r="D52" s="725">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17"/>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6">
      <c r="A56" s="356" t="s">
        <v>628</v>
      </c>
      <c r="B56" s="457"/>
      <c r="C56" s="457"/>
      <c r="D56" s="457"/>
      <c r="E56" s="457"/>
      <c r="F56" s="457"/>
      <c r="G56" s="457"/>
      <c r="H56" s="457"/>
      <c r="I56" s="1550"/>
      <c r="J56" s="3"/>
      <c r="K56" s="3"/>
      <c r="L56" s="3"/>
      <c r="M56" s="3"/>
      <c r="N56" s="3"/>
      <c r="O56" s="353"/>
      <c r="P56" s="353"/>
      <c r="Q56" s="303"/>
      <c r="R56" s="303"/>
      <c r="S56" s="303"/>
      <c r="T56" s="104"/>
      <c r="U56" s="104"/>
      <c r="V56" s="104"/>
      <c r="W56" s="701"/>
      <c r="X56" s="104"/>
      <c r="Y56" s="332"/>
      <c r="Z56" s="332"/>
      <c r="AA56" s="332"/>
    </row>
    <row r="57" spans="1:45" ht="15" thickBot="1">
      <c r="A57" s="356"/>
      <c r="B57" s="457" t="s">
        <v>673</v>
      </c>
      <c r="C57" s="457">
        <v>56521948</v>
      </c>
      <c r="D57" s="1551"/>
      <c r="E57" s="1551"/>
      <c r="F57" s="1551"/>
      <c r="G57" s="1551"/>
      <c r="H57" s="1551"/>
      <c r="I57" s="1551"/>
      <c r="J57" s="3"/>
      <c r="K57" s="3"/>
      <c r="L57" s="3"/>
      <c r="M57" s="3"/>
      <c r="N57" s="3"/>
    </row>
    <row r="58" spans="1:45" ht="16.2" thickBot="1">
      <c r="A58" s="1552" t="s">
        <v>870</v>
      </c>
      <c r="B58" s="1552" t="s">
        <v>372</v>
      </c>
      <c r="C58" s="1553" t="s">
        <v>221</v>
      </c>
      <c r="D58" s="1554" t="s">
        <v>85</v>
      </c>
      <c r="E58" s="1554" t="s">
        <v>424</v>
      </c>
      <c r="F58" s="1554" t="s">
        <v>222</v>
      </c>
      <c r="G58" s="1554" t="s">
        <v>115</v>
      </c>
      <c r="H58" s="1554" t="s">
        <v>223</v>
      </c>
      <c r="I58" s="1554" t="s">
        <v>373</v>
      </c>
      <c r="J58" s="1554" t="s">
        <v>374</v>
      </c>
      <c r="K58" s="1554" t="s">
        <v>375</v>
      </c>
      <c r="L58" s="1554" t="s">
        <v>376</v>
      </c>
      <c r="M58" s="1554" t="s">
        <v>377</v>
      </c>
      <c r="N58" s="1575" t="s">
        <v>225</v>
      </c>
    </row>
    <row r="59" spans="1:45" ht="15.6">
      <c r="A59" s="1555"/>
      <c r="B59" s="1555" t="s">
        <v>378</v>
      </c>
      <c r="C59" s="1556">
        <f>'Input data'!C13</f>
        <v>1233791.4119790548</v>
      </c>
      <c r="D59" s="1557">
        <f>'Input data'!D13</f>
        <v>1138884.3802883581</v>
      </c>
      <c r="E59" s="1557">
        <f>'Input data'!E13</f>
        <v>378326.54427023319</v>
      </c>
      <c r="F59" s="1557">
        <f>'Input data'!F13</f>
        <v>0</v>
      </c>
      <c r="G59" s="1557">
        <f>'Input data'!G13</f>
        <v>0</v>
      </c>
      <c r="H59" s="1557">
        <f>'Input data'!H13</f>
        <v>0</v>
      </c>
      <c r="I59" s="1557">
        <f>'Input data'!I13</f>
        <v>0</v>
      </c>
      <c r="J59" s="1557">
        <f>'Input data'!J13</f>
        <v>381000</v>
      </c>
      <c r="K59" s="1557">
        <f>'Input data'!K13</f>
        <v>338388.97868490184</v>
      </c>
      <c r="L59" s="1557">
        <f>'Input data'!L13</f>
        <v>297470.77450579114</v>
      </c>
      <c r="M59" s="1557">
        <f>'Input data'!M13</f>
        <v>0</v>
      </c>
      <c r="N59" s="1576">
        <f>'Input data'!N13</f>
        <v>3767862.0897283391</v>
      </c>
      <c r="AE59" s="1580"/>
      <c r="AF59" s="1580"/>
      <c r="AG59" s="198"/>
      <c r="AH59" s="198"/>
      <c r="AI59" s="198"/>
      <c r="AJ59" s="99"/>
      <c r="AK59" s="99"/>
      <c r="AL59" s="99"/>
      <c r="AM59" s="1581"/>
      <c r="AN59" s="99"/>
      <c r="AO59" s="1582"/>
      <c r="AP59" s="1582"/>
      <c r="AQ59" s="1582"/>
      <c r="AR59" s="99"/>
      <c r="AS59" s="99"/>
    </row>
    <row r="60" spans="1:45">
      <c r="A60" s="1558" t="s">
        <v>379</v>
      </c>
      <c r="B60" s="1555" t="s">
        <v>380</v>
      </c>
      <c r="C60" s="1559">
        <f>'Input data'!C14</f>
        <v>964286</v>
      </c>
      <c r="D60" s="457">
        <f>'Input data'!D14</f>
        <v>964286</v>
      </c>
      <c r="E60" s="457">
        <f>'Input data'!E14</f>
        <v>0</v>
      </c>
      <c r="F60" s="457">
        <f>'Input data'!F14</f>
        <v>0</v>
      </c>
      <c r="G60" s="457">
        <f>'Input data'!G14</f>
        <v>0</v>
      </c>
      <c r="H60" s="457">
        <f>'Input data'!H14</f>
        <v>0</v>
      </c>
      <c r="I60" s="457">
        <f>'Input data'!I14</f>
        <v>2892858</v>
      </c>
      <c r="J60" s="457">
        <f>'Input data'!J14</f>
        <v>0</v>
      </c>
      <c r="K60" s="457">
        <f>'Input data'!K14</f>
        <v>0</v>
      </c>
      <c r="L60" s="457">
        <f>'Input data'!L14</f>
        <v>0</v>
      </c>
      <c r="M60" s="457">
        <f>'Input data'!M14</f>
        <v>0</v>
      </c>
      <c r="N60" s="1571">
        <f>'Input data'!N14</f>
        <v>4821430</v>
      </c>
      <c r="AE60" s="1583"/>
      <c r="AF60" s="1584"/>
      <c r="AG60" s="1584"/>
      <c r="AH60" s="1584"/>
      <c r="AI60" s="1584"/>
      <c r="AJ60" s="1584"/>
      <c r="AK60" s="1584"/>
      <c r="AL60" s="1584"/>
      <c r="AM60" s="1585"/>
      <c r="AN60" s="158"/>
      <c r="AO60" s="158"/>
      <c r="AP60" s="158"/>
      <c r="AQ60" s="158"/>
      <c r="AR60" s="158"/>
      <c r="AS60" s="99"/>
    </row>
    <row r="61" spans="1:45">
      <c r="A61" s="1558" t="s">
        <v>381</v>
      </c>
      <c r="B61" s="1555" t="s">
        <v>382</v>
      </c>
      <c r="C61" s="1559">
        <f>'Input data'!C15</f>
        <v>72176.800000000003</v>
      </c>
      <c r="D61" s="457">
        <f>'Input data'!D15</f>
        <v>72176.800000000003</v>
      </c>
      <c r="E61" s="457">
        <f>'Input data'!E15</f>
        <v>0</v>
      </c>
      <c r="F61" s="457">
        <f>'Input data'!F15</f>
        <v>0</v>
      </c>
      <c r="G61" s="457">
        <f>'Input data'!G15</f>
        <v>0</v>
      </c>
      <c r="H61" s="457">
        <f>'Input data'!H15</f>
        <v>0</v>
      </c>
      <c r="I61" s="457">
        <f>'Input data'!I15</f>
        <v>216530.4</v>
      </c>
      <c r="J61" s="457">
        <f>'Input data'!J15</f>
        <v>0</v>
      </c>
      <c r="K61" s="457">
        <f>'Input data'!K15</f>
        <v>0</v>
      </c>
      <c r="L61" s="457">
        <f>'Input data'!L15</f>
        <v>0</v>
      </c>
      <c r="M61" s="457">
        <f>'Input data'!M15</f>
        <v>0</v>
      </c>
      <c r="N61" s="1571">
        <f>'Input data'!N15</f>
        <v>360884</v>
      </c>
      <c r="AE61" s="1583"/>
      <c r="AF61" s="1584"/>
      <c r="AG61" s="1584"/>
      <c r="AH61" s="1586"/>
      <c r="AI61" s="1586"/>
      <c r="AJ61" s="1586"/>
      <c r="AK61" s="1586"/>
      <c r="AL61" s="1586"/>
      <c r="AM61" s="1586"/>
      <c r="AN61" s="158"/>
      <c r="AO61" s="158"/>
      <c r="AP61" s="158"/>
      <c r="AQ61" s="158"/>
      <c r="AR61" s="158"/>
      <c r="AS61" s="99"/>
    </row>
    <row r="62" spans="1:45" ht="15.6">
      <c r="A62" s="1558" t="s">
        <v>383</v>
      </c>
      <c r="B62" s="1555" t="s">
        <v>384</v>
      </c>
      <c r="C62" s="1559">
        <f>'Input data'!C16</f>
        <v>0</v>
      </c>
      <c r="D62" s="457">
        <f>'Input data'!D16</f>
        <v>0</v>
      </c>
      <c r="E62" s="457">
        <f>'Input data'!E16</f>
        <v>520349.97572976683</v>
      </c>
      <c r="F62" s="457">
        <f>'Input data'!F16</f>
        <v>0</v>
      </c>
      <c r="G62" s="457">
        <f>'Input data'!G16</f>
        <v>0</v>
      </c>
      <c r="H62" s="457">
        <f>'Input data'!H16</f>
        <v>0</v>
      </c>
      <c r="I62" s="457">
        <f>'Input data'!I16</f>
        <v>0</v>
      </c>
      <c r="J62" s="457">
        <f>'Input data'!J16</f>
        <v>237880.00199999998</v>
      </c>
      <c r="K62" s="457">
        <f>'Input data'!K16</f>
        <v>465419.88531509798</v>
      </c>
      <c r="L62" s="457">
        <f>'Input data'!L16</f>
        <v>409141.02549420868</v>
      </c>
      <c r="M62" s="457">
        <f>'Input data'!M16</f>
        <v>123895.58799999999</v>
      </c>
      <c r="N62" s="1571">
        <f>'Input data'!N16</f>
        <v>1756686.4765390735</v>
      </c>
      <c r="AE62" s="1587"/>
      <c r="AF62" s="1587"/>
      <c r="AG62" s="1588"/>
      <c r="AH62" s="1588"/>
      <c r="AI62" s="1588"/>
      <c r="AJ62" s="1588"/>
      <c r="AK62" s="1588"/>
      <c r="AL62" s="1588"/>
      <c r="AM62" s="1588"/>
      <c r="AN62" s="1588"/>
      <c r="AO62" s="1588"/>
      <c r="AP62" s="1588"/>
      <c r="AQ62" s="1588"/>
      <c r="AR62" s="1588"/>
      <c r="AS62" s="99"/>
    </row>
    <row r="63" spans="1:45">
      <c r="A63" s="1558" t="s">
        <v>383</v>
      </c>
      <c r="B63" s="1555" t="s">
        <v>385</v>
      </c>
      <c r="C63" s="1559">
        <f>'Input data'!C17</f>
        <v>0</v>
      </c>
      <c r="D63" s="457">
        <f>'Input data'!D17</f>
        <v>0</v>
      </c>
      <c r="E63" s="457">
        <f>'Input data'!E17</f>
        <v>1241029.48</v>
      </c>
      <c r="F63" s="457">
        <f>'Input data'!F17</f>
        <v>0</v>
      </c>
      <c r="G63" s="457">
        <f>'Input data'!G17</f>
        <v>0</v>
      </c>
      <c r="H63" s="457">
        <f>'Input data'!H17</f>
        <v>0</v>
      </c>
      <c r="I63" s="457">
        <f>'Input data'!I17</f>
        <v>0</v>
      </c>
      <c r="J63" s="457">
        <f>'Input data'!J17</f>
        <v>480373.99800000002</v>
      </c>
      <c r="K63" s="457">
        <f>'Input data'!K17</f>
        <v>1987194.1360000002</v>
      </c>
      <c r="L63" s="457">
        <f>'Input data'!L17</f>
        <v>2826447.2</v>
      </c>
      <c r="M63" s="457">
        <f>'Input data'!M17</f>
        <v>38271.412000000004</v>
      </c>
      <c r="N63" s="1571">
        <f>'Input data'!N17</f>
        <v>6573316.2259999998</v>
      </c>
      <c r="AE63" s="360"/>
      <c r="AF63" s="360"/>
      <c r="AG63" s="1584"/>
      <c r="AH63" s="1584"/>
      <c r="AI63" s="1584"/>
      <c r="AJ63" s="1584"/>
      <c r="AK63" s="1584"/>
      <c r="AL63" s="1584"/>
      <c r="AM63" s="1584"/>
      <c r="AN63" s="1584"/>
      <c r="AO63" s="1584"/>
      <c r="AP63" s="1584"/>
      <c r="AQ63" s="1584"/>
      <c r="AR63" s="1584"/>
      <c r="AS63" s="99"/>
    </row>
    <row r="64" spans="1:45">
      <c r="A64" s="1558" t="s">
        <v>386</v>
      </c>
      <c r="B64" s="1555" t="s">
        <v>387</v>
      </c>
      <c r="C64" s="1559">
        <f>'Input data'!C18</f>
        <v>2500000</v>
      </c>
      <c r="D64" s="457">
        <f>'Input data'!D18</f>
        <v>4200000</v>
      </c>
      <c r="E64" s="457">
        <f>'Input data'!E18</f>
        <v>0</v>
      </c>
      <c r="F64" s="457">
        <f>'Input data'!F18</f>
        <v>0</v>
      </c>
      <c r="G64" s="457">
        <f>'Input data'!G18</f>
        <v>0</v>
      </c>
      <c r="H64" s="457">
        <f>'Input data'!H18</f>
        <v>0</v>
      </c>
      <c r="I64" s="457">
        <f>'Input data'!I18</f>
        <v>0</v>
      </c>
      <c r="J64" s="457">
        <f>'Input data'!J18</f>
        <v>0</v>
      </c>
      <c r="K64" s="457">
        <f>'Input data'!K18</f>
        <v>0</v>
      </c>
      <c r="L64" s="457">
        <f>'Input data'!L18</f>
        <v>0</v>
      </c>
      <c r="M64" s="457">
        <f>'Input data'!M18</f>
        <v>0</v>
      </c>
      <c r="N64" s="1571">
        <f>'Input data'!N18</f>
        <v>6700000</v>
      </c>
      <c r="AE64" s="309"/>
      <c r="AF64" s="360"/>
      <c r="AG64" s="1584"/>
      <c r="AH64" s="1584"/>
      <c r="AI64" s="1584"/>
      <c r="AJ64" s="1584"/>
      <c r="AK64" s="1584"/>
      <c r="AL64" s="1584"/>
      <c r="AM64" s="1584"/>
      <c r="AN64" s="1584"/>
      <c r="AO64" s="1584"/>
      <c r="AP64" s="1584"/>
      <c r="AQ64" s="1584"/>
      <c r="AR64" s="1584"/>
      <c r="AS64" s="99"/>
    </row>
    <row r="65" spans="1:71">
      <c r="A65" s="1560"/>
      <c r="B65" s="1561" t="s">
        <v>388</v>
      </c>
      <c r="C65" s="1559">
        <f>'Input data'!C19</f>
        <v>4770254.2119790548</v>
      </c>
      <c r="D65" s="457">
        <f>'Input data'!D19</f>
        <v>6375347.1802883577</v>
      </c>
      <c r="E65" s="457">
        <f>'Input data'!E19</f>
        <v>2139706</v>
      </c>
      <c r="F65" s="457">
        <f>'Input data'!F19</f>
        <v>0</v>
      </c>
      <c r="G65" s="457">
        <f>'Input data'!G19</f>
        <v>0</v>
      </c>
      <c r="H65" s="457">
        <f>'Input data'!H19</f>
        <v>0</v>
      </c>
      <c r="I65" s="457">
        <f>'Input data'!I19</f>
        <v>3109388.4</v>
      </c>
      <c r="J65" s="457">
        <f>'Input data'!J19</f>
        <v>1099254</v>
      </c>
      <c r="K65" s="457">
        <f>'Input data'!K19</f>
        <v>2791003</v>
      </c>
      <c r="L65" s="457">
        <f>'Input data'!L19</f>
        <v>3533059</v>
      </c>
      <c r="M65" s="457">
        <f>'Input data'!M19</f>
        <v>162167</v>
      </c>
      <c r="N65" s="1571">
        <f>'Input data'!N19</f>
        <v>23980178.792267412</v>
      </c>
      <c r="AE65" s="309"/>
      <c r="AF65" s="360"/>
      <c r="AG65" s="1584"/>
      <c r="AH65" s="1584"/>
      <c r="AI65" s="1584"/>
      <c r="AJ65" s="1584"/>
      <c r="AK65" s="1584"/>
      <c r="AL65" s="1584"/>
      <c r="AM65" s="1584"/>
      <c r="AN65" s="1584"/>
      <c r="AO65" s="1584"/>
      <c r="AP65" s="1584"/>
      <c r="AQ65" s="1584"/>
      <c r="AR65" s="1584"/>
      <c r="AS65" s="99"/>
    </row>
    <row r="66" spans="1:71" ht="15.6">
      <c r="A66" s="1560"/>
      <c r="B66" s="1562" t="s">
        <v>572</v>
      </c>
      <c r="C66" s="1559">
        <f>'Input data'!C20</f>
        <v>2674712.2259895275</v>
      </c>
      <c r="D66" s="457">
        <f>'Input data'!D20</f>
        <v>3392258.7101441789</v>
      </c>
      <c r="E66" s="457">
        <f>'Input data'!E20</f>
        <v>657478.25029190676</v>
      </c>
      <c r="F66" s="457">
        <f>'Input data'!F20</f>
        <v>0</v>
      </c>
      <c r="G66" s="457">
        <f>'Input data'!G20</f>
        <v>0</v>
      </c>
      <c r="H66" s="457">
        <f>'Input data'!H20</f>
        <v>0</v>
      </c>
      <c r="I66" s="457">
        <f>'Input data'!I20</f>
        <v>2798449.56</v>
      </c>
      <c r="J66" s="457">
        <f>'Input data'!J20</f>
        <v>404592.00179999997</v>
      </c>
      <c r="K66" s="457">
        <f>'Input data'!K20</f>
        <v>588072.38612603908</v>
      </c>
      <c r="L66" s="457">
        <f>'Input data'!L20</f>
        <v>516962.3101976834</v>
      </c>
      <c r="M66" s="457">
        <f>'Input data'!M20</f>
        <v>111506.02919999999</v>
      </c>
      <c r="N66" s="1571">
        <f>'Input data'!N20</f>
        <v>11144031.473749338</v>
      </c>
      <c r="AE66" s="309"/>
      <c r="AF66" s="360"/>
      <c r="AG66" s="1584"/>
      <c r="AH66" s="1584"/>
      <c r="AI66" s="1584"/>
      <c r="AJ66" s="1584"/>
      <c r="AK66" s="1584"/>
      <c r="AL66" s="1584"/>
      <c r="AM66" s="1584"/>
      <c r="AN66" s="1584"/>
      <c r="AO66" s="1584"/>
      <c r="AP66" s="1584"/>
      <c r="AQ66" s="1584"/>
      <c r="AR66" s="1584"/>
      <c r="AS66" s="99"/>
    </row>
    <row r="67" spans="1:71" ht="16.2" thickBot="1">
      <c r="A67" s="1560"/>
      <c r="B67" s="1562" t="s">
        <v>865</v>
      </c>
      <c r="C67" s="1559">
        <f>'Input data'!C21</f>
        <v>845541.98598952731</v>
      </c>
      <c r="D67" s="457">
        <f>'Input data'!D21</f>
        <v>883088.47014417872</v>
      </c>
      <c r="E67" s="457">
        <f>'Input data'!E21</f>
        <v>241198.26970809326</v>
      </c>
      <c r="F67" s="457">
        <f>'Input data'!F21</f>
        <v>0</v>
      </c>
      <c r="G67" s="457">
        <f>'Input data'!G21</f>
        <v>0</v>
      </c>
      <c r="H67" s="457">
        <f>'Input data'!H21</f>
        <v>0</v>
      </c>
      <c r="I67" s="457">
        <f>'Input data'!I21</f>
        <v>310938.83999999985</v>
      </c>
      <c r="J67" s="457">
        <f>'Input data'!J21</f>
        <v>214288.00020000001</v>
      </c>
      <c r="K67" s="457">
        <f>'Input data'!K21</f>
        <v>215736.47787396074</v>
      </c>
      <c r="L67" s="457">
        <f>'Input data'!L21</f>
        <v>189649.4898023163</v>
      </c>
      <c r="M67" s="457">
        <f>'Input data'!M21</f>
        <v>12389.558800000006</v>
      </c>
      <c r="N67" s="1571">
        <f>'Input data'!N21</f>
        <v>2912831.0925180763</v>
      </c>
      <c r="AE67" s="309"/>
      <c r="AF67" s="360"/>
      <c r="AG67" s="1584"/>
      <c r="AH67" s="1584"/>
      <c r="AI67" s="1584"/>
      <c r="AJ67" s="1584"/>
      <c r="AK67" s="1584"/>
      <c r="AL67" s="1584"/>
      <c r="AM67" s="1584"/>
      <c r="AN67" s="1584"/>
      <c r="AO67" s="1584"/>
      <c r="AP67" s="1584"/>
      <c r="AQ67" s="1584"/>
      <c r="AR67" s="1584"/>
      <c r="AS67" s="99"/>
    </row>
    <row r="68" spans="1:71" ht="15.6">
      <c r="A68" s="1560"/>
      <c r="B68" s="1552" t="s">
        <v>389</v>
      </c>
      <c r="C68" s="1563">
        <f>'Input data'!C22</f>
        <v>0</v>
      </c>
      <c r="D68" s="1395">
        <f>'Input data'!D22</f>
        <v>0</v>
      </c>
      <c r="E68" s="1395">
        <f>'Input data'!E22</f>
        <v>0</v>
      </c>
      <c r="F68" s="1395">
        <f>'Input data'!F22</f>
        <v>0</v>
      </c>
      <c r="G68" s="1395">
        <f>'Input data'!G22</f>
        <v>0</v>
      </c>
      <c r="H68" s="1395">
        <f>'Input data'!H22</f>
        <v>0</v>
      </c>
      <c r="I68" s="1395">
        <f>'Input data'!I22</f>
        <v>0</v>
      </c>
      <c r="J68" s="1395">
        <f>'Input data'!J22</f>
        <v>0</v>
      </c>
      <c r="K68" s="1395">
        <f>'Input data'!K22</f>
        <v>0</v>
      </c>
      <c r="L68" s="1395">
        <f>'Input data'!L22</f>
        <v>0</v>
      </c>
      <c r="M68" s="1395">
        <f>'Input data'!M22</f>
        <v>0</v>
      </c>
      <c r="N68" s="1577">
        <f>'Input data'!N22</f>
        <v>0</v>
      </c>
      <c r="AE68" s="309"/>
      <c r="AF68" s="360"/>
      <c r="AG68" s="1584"/>
      <c r="AH68" s="1584"/>
      <c r="AI68" s="1584"/>
      <c r="AJ68" s="1584"/>
      <c r="AK68" s="1584"/>
      <c r="AL68" s="1584"/>
      <c r="AM68" s="1584"/>
      <c r="AN68" s="1584"/>
      <c r="AO68" s="1584"/>
      <c r="AP68" s="1584"/>
      <c r="AQ68" s="1584"/>
      <c r="AR68" s="1584"/>
      <c r="AS68" s="99"/>
    </row>
    <row r="69" spans="1:71" ht="15.6">
      <c r="A69" s="1560"/>
      <c r="B69" s="1564" t="s">
        <v>390</v>
      </c>
      <c r="C69" s="730">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604">
        <f>'Input data'!N23</f>
        <v>1</v>
      </c>
      <c r="AE69" s="99"/>
      <c r="AF69" s="1589"/>
      <c r="AG69" s="1584"/>
      <c r="AH69" s="1584"/>
      <c r="AI69" s="1584"/>
      <c r="AJ69" s="1584"/>
      <c r="AK69" s="1584"/>
      <c r="AL69" s="1584"/>
      <c r="AM69" s="1584"/>
      <c r="AN69" s="1584"/>
      <c r="AO69" s="1584"/>
      <c r="AP69" s="1584"/>
      <c r="AQ69" s="1584"/>
      <c r="AR69" s="1584"/>
      <c r="AS69" s="99"/>
    </row>
    <row r="70" spans="1:71" ht="15.6">
      <c r="A70" s="1558" t="s">
        <v>379</v>
      </c>
      <c r="B70" s="1564" t="s">
        <v>391</v>
      </c>
      <c r="C70" s="730">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604">
        <f>'Input data'!N24</f>
        <v>1</v>
      </c>
      <c r="AE70" s="99"/>
      <c r="AF70" s="1590"/>
      <c r="AG70" s="1584"/>
      <c r="AH70" s="1584"/>
      <c r="AI70" s="1584"/>
      <c r="AJ70" s="1584"/>
      <c r="AK70" s="1584"/>
      <c r="AL70" s="1584"/>
      <c r="AM70" s="1584"/>
      <c r="AN70" s="1584"/>
      <c r="AO70" s="1584"/>
      <c r="AP70" s="1584"/>
      <c r="AQ70" s="1584"/>
      <c r="AR70" s="1584"/>
      <c r="AS70" s="99"/>
    </row>
    <row r="71" spans="1:71" ht="15.6">
      <c r="A71" s="1558" t="s">
        <v>381</v>
      </c>
      <c r="B71" s="1564" t="s">
        <v>392</v>
      </c>
      <c r="C71" s="730">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604">
        <f>'Input data'!N25</f>
        <v>1</v>
      </c>
      <c r="AE71" s="99"/>
      <c r="AF71" s="1590"/>
      <c r="AG71" s="1584"/>
      <c r="AH71" s="1584"/>
      <c r="AI71" s="1584"/>
      <c r="AJ71" s="1584"/>
      <c r="AK71" s="1584"/>
      <c r="AL71" s="1584"/>
      <c r="AM71" s="1584"/>
      <c r="AN71" s="1584"/>
      <c r="AO71" s="1584"/>
      <c r="AP71" s="1584"/>
      <c r="AQ71" s="1584"/>
      <c r="AR71" s="1584"/>
      <c r="AS71" s="99"/>
    </row>
    <row r="72" spans="1:71" ht="15.6">
      <c r="A72" s="1558" t="s">
        <v>383</v>
      </c>
      <c r="B72" s="1564" t="s">
        <v>384</v>
      </c>
      <c r="C72" s="730">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604">
        <f>'Input data'!N26</f>
        <v>0.99999999999999989</v>
      </c>
      <c r="AE72" s="99"/>
      <c r="AF72" s="1587"/>
      <c r="AG72" s="1591"/>
      <c r="AH72" s="1591"/>
      <c r="AI72" s="1591"/>
      <c r="AJ72" s="1591"/>
      <c r="AK72" s="1591"/>
      <c r="AL72" s="1591"/>
      <c r="AM72" s="1591"/>
      <c r="AN72" s="1591"/>
      <c r="AO72" s="1591"/>
      <c r="AP72" s="1591"/>
      <c r="AQ72" s="1591"/>
      <c r="AR72" s="1592"/>
      <c r="AS72" s="99"/>
    </row>
    <row r="73" spans="1:71" ht="15.6">
      <c r="A73" s="1558" t="s">
        <v>383</v>
      </c>
      <c r="B73" s="1564" t="s">
        <v>385</v>
      </c>
      <c r="C73" s="730">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604">
        <f>'Input data'!N27</f>
        <v>1.0000000000000002</v>
      </c>
      <c r="AE73" s="99"/>
      <c r="AF73" s="501"/>
      <c r="AG73" s="640"/>
      <c r="AH73" s="640"/>
      <c r="AI73" s="640"/>
      <c r="AJ73" s="640"/>
      <c r="AK73" s="640"/>
      <c r="AL73" s="640"/>
      <c r="AM73" s="640"/>
      <c r="AN73" s="640"/>
      <c r="AO73" s="640"/>
      <c r="AP73" s="640"/>
      <c r="AQ73" s="640"/>
      <c r="AR73" s="640"/>
      <c r="AS73" s="99"/>
    </row>
    <row r="74" spans="1:71" ht="15.6">
      <c r="A74" s="1558" t="s">
        <v>386</v>
      </c>
      <c r="B74" s="1564" t="s">
        <v>387</v>
      </c>
      <c r="C74" s="730">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604">
        <f>'Input data'!N28</f>
        <v>1</v>
      </c>
      <c r="AE74" s="309"/>
      <c r="AF74" s="501"/>
      <c r="AG74" s="640"/>
      <c r="AH74" s="640"/>
      <c r="AI74" s="640"/>
      <c r="AJ74" s="640"/>
      <c r="AK74" s="640"/>
      <c r="AL74" s="640"/>
      <c r="AM74" s="640"/>
      <c r="AN74" s="640"/>
      <c r="AO74" s="640"/>
      <c r="AP74" s="640"/>
      <c r="AQ74" s="640"/>
      <c r="AR74" s="640"/>
      <c r="AS74" s="99"/>
      <c r="BI74" s="99"/>
      <c r="BJ74" s="99"/>
      <c r="BK74" s="99"/>
      <c r="BL74" s="99"/>
      <c r="BM74" s="99"/>
      <c r="BN74" s="99"/>
      <c r="BO74" s="99"/>
      <c r="BP74" s="99"/>
      <c r="BQ74" s="99"/>
      <c r="BR74" s="99"/>
      <c r="BS74" s="99"/>
    </row>
    <row r="75" spans="1:71" ht="15.6">
      <c r="A75" s="1560"/>
      <c r="B75" s="1562" t="s">
        <v>393</v>
      </c>
      <c r="C75" s="730">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604">
        <f>'Input data'!N29</f>
        <v>1</v>
      </c>
      <c r="AE75" s="309"/>
      <c r="AF75" s="501"/>
      <c r="AG75" s="640"/>
      <c r="AH75" s="640"/>
      <c r="AI75" s="640"/>
      <c r="AJ75" s="640"/>
      <c r="AK75" s="640"/>
      <c r="AL75" s="640"/>
      <c r="AM75" s="640"/>
      <c r="AN75" s="640"/>
      <c r="AO75" s="640"/>
      <c r="AP75" s="640"/>
      <c r="AQ75" s="640"/>
      <c r="AR75" s="640"/>
      <c r="AS75" s="99"/>
      <c r="BI75" s="99"/>
      <c r="BJ75" s="1811"/>
      <c r="BK75" s="1811"/>
      <c r="BL75" s="1811"/>
      <c r="BM75" s="1811"/>
      <c r="BN75" s="1811"/>
      <c r="BO75" s="1811"/>
      <c r="BP75" s="1811"/>
      <c r="BQ75" s="1811"/>
      <c r="BR75" s="99"/>
      <c r="BS75" s="99"/>
    </row>
    <row r="76" spans="1:71" ht="15.6">
      <c r="A76" s="1560"/>
      <c r="B76" s="1562" t="s">
        <v>573</v>
      </c>
      <c r="C76" s="730">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604">
        <f>'Input data'!N30</f>
        <v>1</v>
      </c>
      <c r="AE76" s="309"/>
      <c r="AF76" s="501"/>
      <c r="AG76" s="640"/>
      <c r="AH76" s="640"/>
      <c r="AI76" s="640"/>
      <c r="AJ76" s="640"/>
      <c r="AK76" s="640"/>
      <c r="AL76" s="640"/>
      <c r="AM76" s="640"/>
      <c r="AN76" s="640"/>
      <c r="AO76" s="640"/>
      <c r="AP76" s="640"/>
      <c r="AQ76" s="640"/>
      <c r="AR76" s="640"/>
      <c r="AS76" s="99"/>
      <c r="BI76" s="99"/>
      <c r="BJ76" s="1112"/>
      <c r="BK76" s="1112"/>
      <c r="BL76" s="1112"/>
      <c r="BM76" s="1112"/>
      <c r="BN76" s="1112"/>
      <c r="BO76" s="1112"/>
      <c r="BP76" s="1112"/>
      <c r="BQ76" s="1112"/>
      <c r="BR76" s="99"/>
      <c r="BS76" s="99"/>
    </row>
    <row r="77" spans="1:71" ht="16.2" thickBot="1">
      <c r="A77" s="1565"/>
      <c r="B77" s="1566" t="s">
        <v>866</v>
      </c>
      <c r="C77" s="730">
        <f>'Input data'!C31</f>
        <v>0.29028184578274857</v>
      </c>
      <c r="D77" s="483">
        <f>'Input data'!D31</f>
        <v>0.30317187715157518</v>
      </c>
      <c r="E77" s="483">
        <f>'Input data'!E31</f>
        <v>8.2805443243048754E-2</v>
      </c>
      <c r="F77" s="483">
        <f>'Input data'!F31</f>
        <v>0</v>
      </c>
      <c r="G77" s="483">
        <f>'Input data'!G31</f>
        <v>0</v>
      </c>
      <c r="H77" s="483">
        <f>'Input data'!H31</f>
        <v>0</v>
      </c>
      <c r="I77" s="732">
        <f>'Input data'!I31</f>
        <v>0.10674798164530724</v>
      </c>
      <c r="J77" s="732">
        <f>'Input data'!J31</f>
        <v>7.3566915963792778E-2</v>
      </c>
      <c r="K77" s="732">
        <f>'Input data'!K31</f>
        <v>7.4064190823870071E-2</v>
      </c>
      <c r="L77" s="732">
        <f>'Input data'!L31</f>
        <v>6.5108303152026786E-2</v>
      </c>
      <c r="M77" s="732">
        <f>'Input data'!M31</f>
        <v>4.2534422376305772E-3</v>
      </c>
      <c r="N77" s="733">
        <f>'Input data'!N31</f>
        <v>1</v>
      </c>
      <c r="AE77" s="309"/>
      <c r="AF77" s="501"/>
      <c r="AG77" s="640"/>
      <c r="AH77" s="640"/>
      <c r="AI77" s="640"/>
      <c r="AJ77" s="640"/>
      <c r="AK77" s="640"/>
      <c r="AL77" s="640"/>
      <c r="AM77" s="640"/>
      <c r="AN77" s="640"/>
      <c r="AO77" s="640"/>
      <c r="AP77" s="640"/>
      <c r="AQ77" s="640"/>
      <c r="AR77" s="640"/>
      <c r="AS77" s="99"/>
      <c r="BI77" s="99"/>
      <c r="BJ77" s="640"/>
      <c r="BK77" s="640"/>
      <c r="BL77" s="640"/>
      <c r="BM77" s="640"/>
      <c r="BN77" s="640"/>
      <c r="BO77" s="640"/>
      <c r="BP77" s="640"/>
      <c r="BQ77" s="640"/>
      <c r="BR77" s="99"/>
      <c r="BS77" s="99"/>
    </row>
    <row r="78" spans="1:71" ht="14.4" customHeight="1" thickBot="1">
      <c r="A78" s="1567" t="s">
        <v>627</v>
      </c>
      <c r="B78" s="1568" t="s">
        <v>372</v>
      </c>
      <c r="C78" s="1553" t="s">
        <v>623</v>
      </c>
      <c r="D78" s="1554" t="s">
        <v>624</v>
      </c>
      <c r="E78" s="1554" t="s">
        <v>625</v>
      </c>
      <c r="F78" s="1554" t="s">
        <v>626</v>
      </c>
      <c r="G78" s="1554" t="s">
        <v>574</v>
      </c>
      <c r="H78" s="1575" t="s">
        <v>622</v>
      </c>
      <c r="I78" s="1569"/>
      <c r="J78" s="1569"/>
      <c r="K78" s="1569"/>
      <c r="L78" s="1569"/>
      <c r="M78" s="1569"/>
      <c r="N78" s="1569"/>
      <c r="AE78" s="309"/>
      <c r="AF78" s="501"/>
      <c r="AG78" s="640"/>
      <c r="AH78" s="640"/>
      <c r="AI78" s="640"/>
      <c r="AJ78" s="640"/>
      <c r="AK78" s="640"/>
      <c r="AL78" s="640"/>
      <c r="AM78" s="640"/>
      <c r="AN78" s="640"/>
      <c r="AO78" s="640"/>
      <c r="AP78" s="640"/>
      <c r="AQ78" s="640"/>
      <c r="AR78" s="640"/>
      <c r="AS78" s="99"/>
      <c r="BI78" s="99"/>
      <c r="BJ78" s="99"/>
      <c r="BK78" s="99"/>
      <c r="BL78" s="99"/>
      <c r="BM78" s="99"/>
      <c r="BN78" s="99"/>
      <c r="BO78" s="99"/>
      <c r="BP78" s="99"/>
      <c r="BQ78" s="99"/>
      <c r="BR78" s="99"/>
      <c r="BS78" s="99"/>
    </row>
    <row r="79" spans="1:71" ht="15.6">
      <c r="A79" s="1560"/>
      <c r="B79" s="1570" t="s">
        <v>441</v>
      </c>
      <c r="C79" s="1559">
        <f>'Waste Summary 2017 SASOW'!J10+'Waste Summary 2017 SASOW'!J13</f>
        <v>49995051</v>
      </c>
      <c r="D79" s="1596">
        <f>'Waste Summary 2017 SASOW'!K10+'Waste Summary 2017 SASOW'!K13</f>
        <v>0</v>
      </c>
      <c r="E79" s="1596">
        <f>'Waste Summary 2017 SASOW'!L10+'Waste Summary 2017 SASOW'!L13</f>
        <v>46917968.670000002</v>
      </c>
      <c r="F79" s="1596">
        <f>'Waste Summary 2017 SASOW'!M10+'Waste Summary 2017 SASOW'!M13</f>
        <v>0</v>
      </c>
      <c r="G79" s="1596">
        <f>'Waste Summary 2017 SASOW'!N10+'Waste Summary 2017 SASOW'!N13</f>
        <v>0</v>
      </c>
      <c r="H79" s="1571">
        <f>'Waste Summary 2017 SASOW'!O10+'Waste Summary 2017 SASOW'!O13</f>
        <v>3077082.33</v>
      </c>
      <c r="L79" s="1569"/>
      <c r="M79" s="1569"/>
      <c r="N79" s="1569"/>
      <c r="AE79" s="99"/>
      <c r="AF79" s="1590"/>
      <c r="AG79" s="640"/>
      <c r="AH79" s="640"/>
      <c r="AI79" s="640"/>
      <c r="AJ79" s="640"/>
      <c r="AK79" s="640"/>
      <c r="AL79" s="640"/>
      <c r="AM79" s="640"/>
      <c r="AN79" s="640"/>
      <c r="AO79" s="640"/>
      <c r="AP79" s="640"/>
      <c r="AQ79" s="640"/>
      <c r="AR79" s="640"/>
      <c r="AS79" s="99"/>
      <c r="BI79" s="99"/>
      <c r="BJ79" s="99"/>
      <c r="BK79" s="99"/>
      <c r="BL79" s="99"/>
      <c r="BM79" s="99"/>
      <c r="BN79" s="99"/>
      <c r="BO79" s="99"/>
      <c r="BP79" s="99"/>
      <c r="BQ79" s="99"/>
      <c r="BR79" s="99"/>
      <c r="BS79" s="99"/>
    </row>
    <row r="80" spans="1:71" ht="16.2" thickBot="1">
      <c r="A80" s="1565"/>
      <c r="B80" s="1565" t="s">
        <v>420</v>
      </c>
      <c r="C80" s="1572">
        <f t="shared" ref="C80:H80" si="9">C79/$C$79</f>
        <v>1</v>
      </c>
      <c r="D80" s="1573">
        <f t="shared" si="9"/>
        <v>0</v>
      </c>
      <c r="E80" s="1573">
        <f t="shared" si="9"/>
        <v>0.93845226140483384</v>
      </c>
      <c r="F80" s="1573">
        <f t="shared" si="9"/>
        <v>0</v>
      </c>
      <c r="G80" s="1573">
        <f t="shared" si="9"/>
        <v>0</v>
      </c>
      <c r="H80" s="1574">
        <f t="shared" si="9"/>
        <v>6.154773859516615E-2</v>
      </c>
      <c r="L80" s="1569"/>
      <c r="M80" s="1569"/>
      <c r="N80" s="1569"/>
      <c r="AE80" s="99"/>
      <c r="AF80" s="1590"/>
      <c r="AG80" s="640"/>
      <c r="AH80" s="640"/>
      <c r="AI80" s="640"/>
      <c r="AJ80" s="640"/>
      <c r="AK80" s="640"/>
      <c r="AL80" s="640"/>
      <c r="AM80" s="640"/>
      <c r="AN80" s="640"/>
      <c r="AO80" s="640"/>
      <c r="AP80" s="640"/>
      <c r="AQ80" s="640"/>
      <c r="AR80" s="640"/>
      <c r="AS80" s="99"/>
      <c r="BI80" s="99"/>
      <c r="BJ80" s="99"/>
      <c r="BK80" s="99"/>
      <c r="BL80" s="99"/>
      <c r="BM80" s="99"/>
      <c r="BN80" s="99"/>
      <c r="BO80" s="99"/>
      <c r="BP80" s="99"/>
      <c r="BQ80" s="99"/>
      <c r="BR80" s="99"/>
      <c r="BS80" s="99"/>
    </row>
    <row r="81" spans="1:91" ht="15.6">
      <c r="A81" s="303"/>
      <c r="B81" s="303"/>
      <c r="C81" s="359"/>
      <c r="D81" s="359"/>
      <c r="E81" s="359"/>
      <c r="F81" s="359"/>
      <c r="G81" s="359"/>
      <c r="H81" s="359"/>
      <c r="I81" s="303"/>
      <c r="J81" s="303"/>
      <c r="K81" s="303"/>
      <c r="L81" s="359"/>
      <c r="M81" s="359"/>
      <c r="N81" s="359"/>
      <c r="AE81" s="99"/>
      <c r="AF81" s="1590"/>
      <c r="AG81" s="640"/>
      <c r="AH81" s="640"/>
      <c r="AI81" s="640"/>
      <c r="AJ81" s="640"/>
      <c r="AK81" s="640"/>
      <c r="AL81" s="640"/>
      <c r="AM81" s="640"/>
      <c r="AN81" s="640"/>
      <c r="AO81" s="640"/>
      <c r="AP81" s="640"/>
      <c r="AQ81" s="640"/>
      <c r="AR81" s="640"/>
      <c r="AS81" s="99"/>
      <c r="BI81" s="99"/>
      <c r="BJ81" s="99"/>
      <c r="BK81" s="99"/>
      <c r="BL81" s="99"/>
      <c r="BM81" s="99"/>
      <c r="BN81" s="99"/>
      <c r="BO81" s="99"/>
      <c r="BP81" s="99"/>
      <c r="BQ81" s="99"/>
      <c r="BR81" s="99"/>
      <c r="BS81" s="99"/>
    </row>
    <row r="82" spans="1:91" ht="15" thickBot="1">
      <c r="B82" s="303"/>
      <c r="C82" s="359"/>
      <c r="D82" s="359"/>
      <c r="E82" s="359"/>
      <c r="F82" s="359"/>
      <c r="G82" s="359"/>
      <c r="H82" s="359"/>
      <c r="I82" s="303"/>
      <c r="J82" s="303"/>
      <c r="K82" s="303"/>
      <c r="L82" s="359"/>
      <c r="M82" s="359"/>
      <c r="N82" s="359"/>
      <c r="AE82" s="1579"/>
      <c r="AF82" s="1579"/>
      <c r="AG82" s="198"/>
      <c r="AH82" s="1593"/>
      <c r="AI82" s="1593"/>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42" t="s">
        <v>704</v>
      </c>
      <c r="B83" s="115"/>
      <c r="C83" s="116"/>
      <c r="D83" s="128"/>
      <c r="E83" s="128"/>
      <c r="F83" s="128"/>
      <c r="G83" s="128"/>
      <c r="H83" s="359"/>
      <c r="I83" s="303"/>
      <c r="J83" s="303"/>
      <c r="K83" s="303"/>
      <c r="L83" s="359"/>
      <c r="M83" s="359"/>
      <c r="N83" s="359"/>
      <c r="AE83" s="1579"/>
      <c r="AF83" s="1579"/>
      <c r="AG83" s="198"/>
      <c r="AH83" s="1593"/>
      <c r="AI83" s="1593"/>
      <c r="AJ83" s="99"/>
      <c r="AK83" s="99"/>
      <c r="AL83" s="99"/>
      <c r="AM83" s="99"/>
      <c r="AN83" s="99"/>
      <c r="AO83" s="99"/>
      <c r="AP83" s="99"/>
      <c r="AQ83" s="99"/>
      <c r="AR83" s="99"/>
      <c r="AS83" s="99"/>
    </row>
    <row r="84" spans="1:91">
      <c r="A84" s="743" t="s">
        <v>659</v>
      </c>
      <c r="B84" s="128">
        <v>2017</v>
      </c>
      <c r="C84" s="604">
        <f>'Waste Summary 2017 SASOW'!L25</f>
        <v>0.1093486545815688</v>
      </c>
      <c r="D84" s="710"/>
      <c r="E84" s="710"/>
      <c r="F84" s="710"/>
      <c r="G84" s="710"/>
      <c r="H84" s="711"/>
      <c r="I84" s="303"/>
      <c r="J84" s="303"/>
      <c r="K84" s="303"/>
      <c r="L84" s="359"/>
      <c r="M84" s="359"/>
      <c r="N84" s="359"/>
      <c r="AE84" s="1579"/>
      <c r="AF84" s="1579"/>
      <c r="AG84" s="198"/>
      <c r="AH84" s="1593"/>
      <c r="AI84" s="1593"/>
      <c r="AJ84" s="99"/>
      <c r="AK84" s="99"/>
      <c r="AL84" s="99"/>
      <c r="AM84" s="99"/>
      <c r="AN84" s="99"/>
      <c r="AO84" s="99"/>
      <c r="AP84" s="99"/>
      <c r="AQ84" s="99"/>
      <c r="AR84" s="99"/>
      <c r="AS84" s="99"/>
    </row>
    <row r="85" spans="1:91">
      <c r="A85" s="743" t="s">
        <v>658</v>
      </c>
      <c r="B85" s="128">
        <v>2017</v>
      </c>
      <c r="C85" s="604">
        <f>'Waste Summary 2017 SASOW'!L26</f>
        <v>0.30189463979095105</v>
      </c>
      <c r="D85" s="710"/>
      <c r="E85" s="710"/>
      <c r="F85" s="710"/>
      <c r="G85" s="710"/>
      <c r="H85" s="711"/>
      <c r="I85" s="303"/>
      <c r="J85" s="303"/>
      <c r="K85" s="303"/>
      <c r="L85" s="359"/>
      <c r="M85" s="359"/>
      <c r="N85" s="359"/>
      <c r="O85" s="359"/>
      <c r="P85" s="359"/>
      <c r="Q85" s="7"/>
      <c r="R85" s="358"/>
      <c r="S85" s="358"/>
      <c r="T85" s="4"/>
      <c r="U85" s="4"/>
      <c r="AE85" s="1579"/>
      <c r="AF85" s="1579"/>
      <c r="AG85" s="198"/>
      <c r="AH85" s="1593"/>
      <c r="AI85" s="1593"/>
      <c r="AJ85" s="99"/>
      <c r="AK85" s="99"/>
      <c r="AL85" s="99"/>
      <c r="AM85" s="99"/>
      <c r="AN85" s="99"/>
      <c r="AO85" s="99"/>
      <c r="AP85" s="99"/>
      <c r="AQ85" s="99"/>
      <c r="AR85" s="99"/>
      <c r="AS85" s="99"/>
    </row>
    <row r="86" spans="1:91" ht="15" thickBot="1">
      <c r="A86" s="744" t="s">
        <v>853</v>
      </c>
      <c r="B86" s="138">
        <v>2017</v>
      </c>
      <c r="C86" s="733">
        <f>'Waste Summary 2017 SASOW'!L27</f>
        <v>0.69810536020904879</v>
      </c>
      <c r="D86" s="710"/>
      <c r="E86" s="710"/>
      <c r="F86" s="710"/>
      <c r="G86" s="710"/>
      <c r="H86" s="711"/>
      <c r="I86" s="303"/>
      <c r="J86" s="303"/>
      <c r="K86" s="303"/>
      <c r="L86" s="359"/>
      <c r="M86" s="359"/>
      <c r="N86" s="359"/>
      <c r="O86" s="359"/>
      <c r="P86" s="359"/>
      <c r="Q86" s="7"/>
      <c r="R86" s="358"/>
      <c r="S86" s="358"/>
      <c r="T86" s="4"/>
      <c r="U86" s="4"/>
      <c r="AE86" s="1579"/>
      <c r="AF86" s="1579"/>
      <c r="AG86" s="198"/>
      <c r="AH86" s="1593"/>
      <c r="AI86" s="1593"/>
      <c r="AJ86" s="99"/>
      <c r="AK86" s="99"/>
      <c r="AL86" s="99"/>
      <c r="AM86" s="99"/>
      <c r="AN86" s="99"/>
      <c r="AO86" s="99"/>
      <c r="AP86" s="99"/>
      <c r="AQ86" s="99"/>
      <c r="AR86" s="99"/>
      <c r="AS86" s="99"/>
    </row>
    <row r="87" spans="1:91">
      <c r="A87" s="128"/>
      <c r="B87" s="710"/>
      <c r="C87" s="710"/>
      <c r="D87" s="710"/>
      <c r="E87" s="710"/>
      <c r="F87" s="710"/>
      <c r="G87" s="710"/>
      <c r="H87" s="711"/>
      <c r="I87" s="303"/>
      <c r="J87" s="303"/>
      <c r="K87" s="303"/>
      <c r="L87" s="359"/>
      <c r="M87" s="359"/>
      <c r="N87" s="359"/>
      <c r="O87" s="359"/>
      <c r="P87" s="359"/>
      <c r="Q87" s="7"/>
      <c r="R87" s="358"/>
      <c r="S87" s="358"/>
      <c r="T87" s="4"/>
      <c r="U87" s="4"/>
    </row>
    <row r="88" spans="1:91" ht="28.8">
      <c r="A88" s="782" t="s">
        <v>647</v>
      </c>
      <c r="B88" s="710"/>
      <c r="C88" s="710"/>
      <c r="D88" s="710"/>
      <c r="E88" s="710"/>
      <c r="F88" s="710"/>
      <c r="G88" s="710"/>
      <c r="H88" s="711"/>
      <c r="I88" s="303"/>
      <c r="J88" s="303"/>
      <c r="K88" s="303"/>
      <c r="L88" s="359"/>
      <c r="M88" s="359"/>
      <c r="N88" s="359"/>
      <c r="O88" s="359"/>
      <c r="P88" s="359"/>
      <c r="Q88" s="7"/>
      <c r="R88" s="358"/>
      <c r="S88" s="358"/>
      <c r="T88" s="4"/>
      <c r="U88" s="4"/>
    </row>
    <row r="89" spans="1:91">
      <c r="A89" s="128"/>
      <c r="B89" s="710"/>
      <c r="C89" s="710"/>
      <c r="D89" s="710"/>
      <c r="E89" s="710"/>
      <c r="F89" s="710"/>
      <c r="G89" s="710"/>
      <c r="H89" s="711"/>
      <c r="I89" s="303"/>
      <c r="J89" s="303"/>
      <c r="K89" s="303"/>
      <c r="L89" s="359"/>
      <c r="M89" s="359"/>
      <c r="N89" s="359"/>
      <c r="O89" s="359"/>
      <c r="P89" s="359"/>
      <c r="Q89" s="7"/>
      <c r="R89" s="358"/>
      <c r="S89" s="358"/>
      <c r="T89" s="4"/>
      <c r="U89" s="4"/>
      <c r="X89" s="704"/>
    </row>
    <row r="90" spans="1:91" ht="23.4">
      <c r="A90" s="783" t="s">
        <v>732</v>
      </c>
      <c r="B90" s="784"/>
      <c r="C90" s="710"/>
      <c r="D90" s="710"/>
      <c r="E90" s="710"/>
      <c r="F90" s="710"/>
      <c r="G90" s="710"/>
      <c r="H90" s="711"/>
      <c r="I90" s="303"/>
      <c r="J90" s="303"/>
      <c r="K90" s="303"/>
      <c r="L90" s="359"/>
      <c r="M90" s="359"/>
      <c r="N90" s="359"/>
      <c r="O90" s="359"/>
      <c r="P90" s="359"/>
      <c r="Q90" s="7"/>
      <c r="R90" s="358"/>
      <c r="S90" s="358"/>
      <c r="T90" s="4"/>
      <c r="U90" s="4"/>
      <c r="AB90" s="704"/>
      <c r="AF90" s="704"/>
    </row>
    <row r="91" spans="1:91">
      <c r="A91" s="128"/>
      <c r="B91" s="710"/>
      <c r="C91" s="710"/>
      <c r="D91" s="710"/>
      <c r="E91" s="710"/>
      <c r="F91" s="710"/>
      <c r="G91" s="710"/>
      <c r="H91" s="711"/>
      <c r="I91" s="303"/>
      <c r="J91" s="303"/>
      <c r="K91" s="303"/>
      <c r="L91" s="359"/>
      <c r="M91" s="359"/>
      <c r="N91" s="359"/>
      <c r="O91" s="359"/>
      <c r="P91" s="359"/>
      <c r="Q91" s="7"/>
      <c r="R91" s="358"/>
      <c r="S91" s="358"/>
      <c r="T91" s="4"/>
      <c r="U91" s="4"/>
    </row>
    <row r="92" spans="1:91">
      <c r="A92" s="128"/>
      <c r="B92" s="710"/>
      <c r="C92" s="710"/>
      <c r="D92" s="710"/>
      <c r="E92" s="710"/>
      <c r="F92" s="710"/>
      <c r="G92" s="710"/>
      <c r="H92" s="711"/>
      <c r="I92" s="303"/>
      <c r="J92" s="303"/>
      <c r="K92" s="303"/>
      <c r="L92" s="359"/>
      <c r="M92" s="359"/>
      <c r="N92" s="359"/>
      <c r="O92" s="359"/>
      <c r="P92" s="359"/>
      <c r="Q92" s="7"/>
      <c r="R92" s="358"/>
      <c r="S92" s="35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BE93" s="705"/>
      <c r="BF93" s="705"/>
      <c r="BG93" s="705"/>
      <c r="BH93" s="705"/>
      <c r="BI93" s="705"/>
      <c r="BJ93" s="705"/>
      <c r="BK93" s="705"/>
      <c r="BL93" s="705"/>
      <c r="CG93" s="1" t="s">
        <v>629</v>
      </c>
    </row>
    <row r="94" spans="1:91" ht="34.950000000000003" customHeight="1" thickBot="1">
      <c r="A94" s="1793" t="s">
        <v>687</v>
      </c>
      <c r="B94" s="1794"/>
      <c r="C94" s="1794"/>
      <c r="D94" s="1795"/>
      <c r="E94" s="1814" t="s">
        <v>685</v>
      </c>
      <c r="F94" s="1815"/>
      <c r="G94" s="1816"/>
      <c r="H94" s="1817" t="s">
        <v>686</v>
      </c>
      <c r="I94" s="1818"/>
      <c r="J94" s="1818"/>
      <c r="K94" s="1819"/>
      <c r="L94" s="1801" t="s">
        <v>682</v>
      </c>
      <c r="M94" s="1785"/>
      <c r="N94" s="1785"/>
      <c r="O94" s="1785"/>
      <c r="P94" s="1786"/>
      <c r="Q94" s="1784" t="s">
        <v>683</v>
      </c>
      <c r="R94" s="1785"/>
      <c r="S94" s="1785"/>
      <c r="T94" s="1785"/>
      <c r="U94" s="1786"/>
      <c r="V94" s="1782" t="s">
        <v>684</v>
      </c>
      <c r="W94" s="1820" t="s">
        <v>696</v>
      </c>
      <c r="X94" s="1821"/>
      <c r="Y94" s="1791" t="s">
        <v>674</v>
      </c>
      <c r="Z94" s="1787" t="s">
        <v>680</v>
      </c>
      <c r="AA94" s="1843" t="s">
        <v>661</v>
      </c>
      <c r="AB94" s="1779" t="s">
        <v>725</v>
      </c>
      <c r="AC94" s="1771" t="s">
        <v>728</v>
      </c>
      <c r="AD94" s="1787" t="s">
        <v>727</v>
      </c>
      <c r="AE94" s="1771" t="s">
        <v>730</v>
      </c>
      <c r="AF94" s="1822" t="s">
        <v>681</v>
      </c>
      <c r="AG94" s="1847" t="s">
        <v>699</v>
      </c>
      <c r="AH94" s="1848"/>
      <c r="AI94" s="1848"/>
      <c r="AJ94" s="1848"/>
      <c r="AK94" s="1848"/>
      <c r="AL94" s="1848"/>
      <c r="AM94" s="1848"/>
      <c r="AN94" s="1848"/>
      <c r="AO94" s="1848"/>
      <c r="AP94" s="1848"/>
      <c r="AQ94" s="1849"/>
      <c r="AR94" s="1762" t="s">
        <v>703</v>
      </c>
      <c r="AS94" s="1763"/>
      <c r="AT94" s="1763"/>
      <c r="AU94" s="1763"/>
      <c r="AV94" s="1763"/>
      <c r="AW94" s="1763"/>
      <c r="AX94" s="1763"/>
      <c r="AY94" s="1763"/>
      <c r="AZ94" s="1763"/>
      <c r="BA94" s="1763"/>
      <c r="BB94" s="1764"/>
      <c r="BC94" s="1316" t="s">
        <v>225</v>
      </c>
      <c r="BD94" s="1757" t="s">
        <v>707</v>
      </c>
      <c r="BE94" s="1765" t="s">
        <v>700</v>
      </c>
      <c r="BF94" s="1765"/>
      <c r="BG94" s="1765"/>
      <c r="BH94" s="1765"/>
      <c r="BI94" s="1765"/>
      <c r="BJ94" s="1765"/>
      <c r="BK94" s="1765"/>
      <c r="BL94" s="1766"/>
      <c r="BM94" s="1668" t="s">
        <v>862</v>
      </c>
      <c r="BN94" s="1669"/>
      <c r="BO94" s="1669"/>
      <c r="BP94" s="1669"/>
      <c r="BQ94" s="1669"/>
      <c r="BR94" s="1669"/>
      <c r="BS94" s="1669"/>
      <c r="BT94" s="1670"/>
      <c r="BV94" s="1738" t="s">
        <v>733</v>
      </c>
      <c r="BW94" s="1736"/>
      <c r="BX94" s="1737"/>
      <c r="BY94" s="1738" t="s">
        <v>736</v>
      </c>
      <c r="BZ94" s="1736"/>
      <c r="CA94" s="1739"/>
      <c r="CB94" s="1850" t="s">
        <v>734</v>
      </c>
      <c r="CC94" s="1846"/>
      <c r="CD94" s="1845" t="s">
        <v>737</v>
      </c>
      <c r="CE94" s="1846"/>
      <c r="CG94" s="1752" t="s">
        <v>863</v>
      </c>
      <c r="CH94" s="1753"/>
      <c r="CI94" s="1753"/>
      <c r="CJ94" s="1753"/>
      <c r="CK94" s="1753"/>
      <c r="CL94" s="1753"/>
      <c r="CM94" s="1754"/>
    </row>
    <row r="95" spans="1:91" s="10" customFormat="1" ht="42.6" customHeight="1" thickBot="1">
      <c r="A95" s="1789" t="s">
        <v>217</v>
      </c>
      <c r="B95" s="802" t="s">
        <v>218</v>
      </c>
      <c r="C95" s="802" t="s">
        <v>464</v>
      </c>
      <c r="D95" s="592" t="s">
        <v>576</v>
      </c>
      <c r="E95" s="800" t="s">
        <v>577</v>
      </c>
      <c r="F95" s="798" t="s">
        <v>580</v>
      </c>
      <c r="G95" s="799" t="s">
        <v>606</v>
      </c>
      <c r="H95" s="796" t="s">
        <v>554</v>
      </c>
      <c r="I95" s="792" t="s">
        <v>288</v>
      </c>
      <c r="J95" s="791" t="s">
        <v>677</v>
      </c>
      <c r="K95" s="793" t="s">
        <v>678</v>
      </c>
      <c r="L95" s="758" t="s">
        <v>87</v>
      </c>
      <c r="M95" s="747" t="s">
        <v>364</v>
      </c>
      <c r="N95" s="747" t="s">
        <v>365</v>
      </c>
      <c r="O95" s="747" t="s">
        <v>366</v>
      </c>
      <c r="P95" s="746" t="s">
        <v>660</v>
      </c>
      <c r="Q95" s="582" t="s">
        <v>87</v>
      </c>
      <c r="R95" s="747" t="s">
        <v>364</v>
      </c>
      <c r="S95" s="747" t="s">
        <v>365</v>
      </c>
      <c r="T95" s="747" t="s">
        <v>366</v>
      </c>
      <c r="U95" s="1269" t="s">
        <v>660</v>
      </c>
      <c r="V95" s="1783"/>
      <c r="W95" s="587" t="s">
        <v>693</v>
      </c>
      <c r="X95" s="590" t="s">
        <v>654</v>
      </c>
      <c r="Y95" s="1792"/>
      <c r="Z95" s="1788"/>
      <c r="AA95" s="1844"/>
      <c r="AB95" s="1780"/>
      <c r="AC95" s="1772"/>
      <c r="AD95" s="1788"/>
      <c r="AE95" s="1772"/>
      <c r="AF95" s="1823"/>
      <c r="AG95" s="819" t="s">
        <v>549</v>
      </c>
      <c r="AH95" s="819" t="s">
        <v>565</v>
      </c>
      <c r="AI95" s="819" t="s">
        <v>428</v>
      </c>
      <c r="AJ95" s="819" t="s">
        <v>429</v>
      </c>
      <c r="AK95" s="819" t="s">
        <v>225</v>
      </c>
      <c r="AL95" s="823" t="s">
        <v>671</v>
      </c>
      <c r="AM95" s="818" t="s">
        <v>549</v>
      </c>
      <c r="AN95" s="819" t="s">
        <v>565</v>
      </c>
      <c r="AO95" s="819" t="s">
        <v>428</v>
      </c>
      <c r="AP95" s="819" t="s">
        <v>429</v>
      </c>
      <c r="AQ95" s="831" t="s">
        <v>225</v>
      </c>
      <c r="AR95" s="833" t="s">
        <v>221</v>
      </c>
      <c r="AS95" s="832" t="s">
        <v>85</v>
      </c>
      <c r="AT95" s="832" t="s">
        <v>87</v>
      </c>
      <c r="AU95" s="832" t="s">
        <v>222</v>
      </c>
      <c r="AV95" s="832" t="s">
        <v>115</v>
      </c>
      <c r="AW95" s="832" t="s">
        <v>223</v>
      </c>
      <c r="AX95" s="832" t="s">
        <v>548</v>
      </c>
      <c r="AY95" s="832" t="s">
        <v>374</v>
      </c>
      <c r="AZ95" s="832" t="s">
        <v>375</v>
      </c>
      <c r="BA95" s="832" t="s">
        <v>376</v>
      </c>
      <c r="BB95" s="832" t="s">
        <v>377</v>
      </c>
      <c r="BC95" s="1317"/>
      <c r="BD95" s="1758"/>
      <c r="BE95" s="1483" t="s">
        <v>221</v>
      </c>
      <c r="BF95" s="832" t="s">
        <v>85</v>
      </c>
      <c r="BG95" s="832" t="s">
        <v>87</v>
      </c>
      <c r="BH95" s="832" t="s">
        <v>222</v>
      </c>
      <c r="BI95" s="832" t="s">
        <v>115</v>
      </c>
      <c r="BJ95" s="832" t="s">
        <v>223</v>
      </c>
      <c r="BK95" s="832" t="s">
        <v>702</v>
      </c>
      <c r="BL95" s="1233" t="s">
        <v>303</v>
      </c>
      <c r="BM95" s="508" t="s">
        <v>221</v>
      </c>
      <c r="BN95" s="482" t="s">
        <v>85</v>
      </c>
      <c r="BO95" s="482" t="s">
        <v>87</v>
      </c>
      <c r="BP95" s="482" t="s">
        <v>222</v>
      </c>
      <c r="BQ95" s="482" t="s">
        <v>115</v>
      </c>
      <c r="BR95" s="482" t="s">
        <v>223</v>
      </c>
      <c r="BS95" s="482" t="s">
        <v>224</v>
      </c>
      <c r="BT95" s="1235" t="s">
        <v>225</v>
      </c>
      <c r="BU95"/>
      <c r="BV95" s="1484" t="s">
        <v>609</v>
      </c>
      <c r="BW95" s="1485" t="s">
        <v>716</v>
      </c>
      <c r="BX95" s="1486" t="str">
        <f>D135</f>
        <v xml:space="preserve">Coal ash generated - ‘IRP realistic’ </v>
      </c>
      <c r="BY95" s="1484" t="s">
        <v>609</v>
      </c>
      <c r="BZ95" s="1485" t="s">
        <v>716</v>
      </c>
      <c r="CA95" s="1487" t="s">
        <v>722</v>
      </c>
      <c r="CB95" s="1488" t="s">
        <v>267</v>
      </c>
      <c r="CC95" s="1489" t="s">
        <v>731</v>
      </c>
      <c r="CD95" s="1490" t="s">
        <v>267</v>
      </c>
      <c r="CE95" s="1489" t="s">
        <v>731</v>
      </c>
      <c r="CF95"/>
      <c r="CG95" s="1491" t="s">
        <v>87</v>
      </c>
      <c r="CH95" s="1492" t="s">
        <v>364</v>
      </c>
      <c r="CI95" s="1492" t="s">
        <v>365</v>
      </c>
      <c r="CJ95" s="1492" t="s">
        <v>366</v>
      </c>
      <c r="CK95" s="1493" t="s">
        <v>660</v>
      </c>
      <c r="CL95" s="1492" t="s">
        <v>303</v>
      </c>
      <c r="CM95" s="1755" t="s">
        <v>864</v>
      </c>
    </row>
    <row r="96" spans="1:91" ht="31.8" thickBot="1">
      <c r="A96" s="1813"/>
      <c r="B96" s="524" t="s">
        <v>232</v>
      </c>
      <c r="C96" s="525" t="s">
        <v>558</v>
      </c>
      <c r="D96" s="556" t="s">
        <v>556</v>
      </c>
      <c r="E96" s="801" t="s">
        <v>229</v>
      </c>
      <c r="F96" s="789" t="s">
        <v>229</v>
      </c>
      <c r="G96" s="790" t="s">
        <v>228</v>
      </c>
      <c r="H96" s="797" t="s">
        <v>227</v>
      </c>
      <c r="I96" s="794" t="s">
        <v>228</v>
      </c>
      <c r="J96" s="794" t="s">
        <v>227</v>
      </c>
      <c r="K96" s="795" t="s">
        <v>227</v>
      </c>
      <c r="L96" s="642" t="s">
        <v>229</v>
      </c>
      <c r="M96" s="512" t="s">
        <v>229</v>
      </c>
      <c r="N96" s="512" t="s">
        <v>229</v>
      </c>
      <c r="O96" s="512" t="s">
        <v>229</v>
      </c>
      <c r="P96" s="513" t="s">
        <v>229</v>
      </c>
      <c r="Q96" s="511" t="s">
        <v>227</v>
      </c>
      <c r="R96" s="512" t="s">
        <v>227</v>
      </c>
      <c r="S96" s="512" t="s">
        <v>227</v>
      </c>
      <c r="T96" s="512" t="s">
        <v>227</v>
      </c>
      <c r="U96" s="513" t="s">
        <v>227</v>
      </c>
      <c r="V96" s="787" t="s">
        <v>227</v>
      </c>
      <c r="W96" s="785" t="s">
        <v>229</v>
      </c>
      <c r="X96" s="788" t="s">
        <v>227</v>
      </c>
      <c r="Y96" s="813" t="s">
        <v>227</v>
      </c>
      <c r="Z96" s="814" t="s">
        <v>227</v>
      </c>
      <c r="AA96" s="815" t="s">
        <v>227</v>
      </c>
      <c r="AB96" s="1781"/>
      <c r="AC96" s="1773"/>
      <c r="AD96" s="1284" t="s">
        <v>28</v>
      </c>
      <c r="AE96" s="1773"/>
      <c r="AF96" s="1282" t="s">
        <v>227</v>
      </c>
      <c r="AG96" s="821" t="s">
        <v>227</v>
      </c>
      <c r="AH96" s="821" t="s">
        <v>227</v>
      </c>
      <c r="AI96" s="821" t="s">
        <v>227</v>
      </c>
      <c r="AJ96" s="821" t="s">
        <v>227</v>
      </c>
      <c r="AK96" s="821" t="s">
        <v>227</v>
      </c>
      <c r="AL96" s="830" t="s">
        <v>669</v>
      </c>
      <c r="AM96" s="189" t="s">
        <v>229</v>
      </c>
      <c r="AN96" s="822" t="s">
        <v>229</v>
      </c>
      <c r="AO96" s="822" t="s">
        <v>229</v>
      </c>
      <c r="AP96" s="822" t="s">
        <v>229</v>
      </c>
      <c r="AQ96" s="827" t="s">
        <v>229</v>
      </c>
      <c r="AR96" s="838" t="s">
        <v>227</v>
      </c>
      <c r="AS96" s="839" t="s">
        <v>227</v>
      </c>
      <c r="AT96" s="839" t="s">
        <v>227</v>
      </c>
      <c r="AU96" s="839" t="s">
        <v>227</v>
      </c>
      <c r="AV96" s="839" t="s">
        <v>227</v>
      </c>
      <c r="AW96" s="839" t="s">
        <v>227</v>
      </c>
      <c r="AX96" s="839" t="s">
        <v>227</v>
      </c>
      <c r="AY96" s="839" t="s">
        <v>227</v>
      </c>
      <c r="AZ96" s="839" t="s">
        <v>227</v>
      </c>
      <c r="BA96" s="839" t="s">
        <v>227</v>
      </c>
      <c r="BB96" s="839" t="s">
        <v>227</v>
      </c>
      <c r="BC96" s="839" t="s">
        <v>227</v>
      </c>
      <c r="BD96" s="1759"/>
      <c r="BE96" s="1494" t="s">
        <v>229</v>
      </c>
      <c r="BF96" s="839" t="s">
        <v>229</v>
      </c>
      <c r="BG96" s="839" t="s">
        <v>229</v>
      </c>
      <c r="BH96" s="839" t="s">
        <v>229</v>
      </c>
      <c r="BI96" s="839" t="s">
        <v>229</v>
      </c>
      <c r="BJ96" s="839" t="s">
        <v>229</v>
      </c>
      <c r="BK96" s="839" t="s">
        <v>229</v>
      </c>
      <c r="BL96" s="1234" t="s">
        <v>229</v>
      </c>
      <c r="BM96" s="1495" t="s">
        <v>229</v>
      </c>
      <c r="BN96" s="1496" t="s">
        <v>229</v>
      </c>
      <c r="BO96" s="1496" t="s">
        <v>229</v>
      </c>
      <c r="BP96" s="1496" t="s">
        <v>229</v>
      </c>
      <c r="BQ96" s="1496" t="s">
        <v>229</v>
      </c>
      <c r="BR96" s="1496" t="s">
        <v>229</v>
      </c>
      <c r="BS96" s="1496" t="s">
        <v>229</v>
      </c>
      <c r="BT96" s="1497" t="s">
        <v>229</v>
      </c>
      <c r="BV96" s="67" t="s">
        <v>717</v>
      </c>
      <c r="BW96" s="1359" t="s">
        <v>229</v>
      </c>
      <c r="BX96" s="1363" t="s">
        <v>717</v>
      </c>
      <c r="BY96" s="67" t="s">
        <v>717</v>
      </c>
      <c r="BZ96" s="1359" t="s">
        <v>229</v>
      </c>
      <c r="CA96" s="68" t="s">
        <v>717</v>
      </c>
      <c r="CB96" s="1498" t="s">
        <v>229</v>
      </c>
      <c r="CC96" s="1499" t="s">
        <v>229</v>
      </c>
      <c r="CD96" s="1500" t="s">
        <v>229</v>
      </c>
      <c r="CE96" s="1499" t="s">
        <v>229</v>
      </c>
      <c r="CG96" s="1501" t="s">
        <v>227</v>
      </c>
      <c r="CH96" s="1502" t="s">
        <v>227</v>
      </c>
      <c r="CI96" s="1502" t="s">
        <v>227</v>
      </c>
      <c r="CJ96" s="1502" t="s">
        <v>227</v>
      </c>
      <c r="CK96" s="1502" t="s">
        <v>227</v>
      </c>
      <c r="CL96" s="1502" t="s">
        <v>227</v>
      </c>
      <c r="CM96" s="1756"/>
    </row>
    <row r="97" spans="1:91">
      <c r="A97" s="127">
        <f>'Input data'!A117</f>
        <v>2017</v>
      </c>
      <c r="B97" s="748">
        <f>'Input data'!B117</f>
        <v>56.521999999999998</v>
      </c>
      <c r="C97" s="236">
        <f>'Input data'!C117</f>
        <v>3120.54</v>
      </c>
      <c r="D97" s="237">
        <f>'Input data'!D117</f>
        <v>49995051</v>
      </c>
      <c r="E97" s="730">
        <f>'Input data'!F117</f>
        <v>0.71479999999999999</v>
      </c>
      <c r="F97" s="730">
        <f>'Input data'!G117</f>
        <v>0.28959999999999997</v>
      </c>
      <c r="G97" s="885">
        <f>'Input data'!H117</f>
        <v>501</v>
      </c>
      <c r="H97" s="602">
        <f>'Input data'!I117</f>
        <v>424.26313389388866</v>
      </c>
      <c r="I97" s="608">
        <f>'Input data'!K117</f>
        <v>23980.200853950373</v>
      </c>
      <c r="J97" s="608">
        <f>H97*B10</f>
        <v>197.16290517356791</v>
      </c>
      <c r="K97" s="727">
        <f t="shared" ref="K97:K130" si="10">H97*$B$10-J97</f>
        <v>0</v>
      </c>
      <c r="L97" s="483">
        <f>C17</f>
        <v>0.57999999999999996</v>
      </c>
      <c r="M97" s="483">
        <f>D17</f>
        <v>0.437</v>
      </c>
      <c r="N97" s="483">
        <f>E17</f>
        <v>0.71200000000000008</v>
      </c>
      <c r="O97" s="483">
        <f>F17</f>
        <v>0.8</v>
      </c>
      <c r="P97" s="114">
        <f>$G$17</f>
        <v>0.23600000000000002</v>
      </c>
      <c r="Q97" s="602">
        <f>H97*$E$75*L97</f>
        <v>21.956594277323916</v>
      </c>
      <c r="R97" s="608">
        <f t="shared" ref="R97:R130" si="11">H97*$J$75*M97</f>
        <v>8.498893173320921</v>
      </c>
      <c r="S97" s="608">
        <f t="shared" ref="S97:S130" si="12">H97*$K$75*N97</f>
        <v>35.157920176424213</v>
      </c>
      <c r="T97" s="608">
        <f t="shared" ref="T97:T130" si="13">H97*$L$75*O97</f>
        <v>50.006188746360976</v>
      </c>
      <c r="U97" s="608">
        <f t="shared" ref="U97:U130" si="14">H97*$M$75*P97</f>
        <v>0.67710709475193609</v>
      </c>
      <c r="V97" s="1295">
        <f t="shared" ref="V97:V130" si="15">SUM(Q97:U97)</f>
        <v>116.29670346818196</v>
      </c>
      <c r="W97" s="730">
        <v>0</v>
      </c>
      <c r="X97" s="606">
        <f t="shared" ref="X97:X130" si="16">W97*H97*($C$76+$D$76)*$B$10</f>
        <v>0</v>
      </c>
      <c r="Y97" s="606">
        <f t="shared" ref="Y97:Y130" si="17">X97+(V97-$V$97)</f>
        <v>0</v>
      </c>
      <c r="Z97" s="607">
        <f t="shared" ref="Z97:Z130" si="18">$J$97-Y97</f>
        <v>197.16290517356791</v>
      </c>
      <c r="AA97" s="608">
        <f t="shared" ref="AA97:AA130" si="19">K97-Y97</f>
        <v>0</v>
      </c>
      <c r="AB97" s="811">
        <f t="shared" ref="AB97:AB130" si="20">AA97/Z97</f>
        <v>0</v>
      </c>
      <c r="AC97" s="135" t="str">
        <f>IF(AND(AB97&gt;=0,AB97&lt;=0.85),"Policies met","Policies not met")</f>
        <v>Policies met</v>
      </c>
      <c r="AD97" s="1240">
        <f>IF(AB97&lt;=0,0,IF(AB97&gt;=0.85,0.85,AB97))</f>
        <v>0</v>
      </c>
      <c r="AE97" s="135" t="str">
        <f>IF(AND(AB97&gt;=0,AB97&lt;=0.85),"No","Yes")</f>
        <v>No</v>
      </c>
      <c r="AF97" s="1293">
        <f>$H$97*(1-AD97)</f>
        <v>424.26313389388866</v>
      </c>
      <c r="AG97" s="759">
        <f>Z97-Z97*AD97</f>
        <v>197.16290517356791</v>
      </c>
      <c r="AH97" s="759">
        <f t="shared" ref="AH97:AH130" si="21">V97*(1-AB97)</f>
        <v>116.29670346818196</v>
      </c>
      <c r="AI97" s="759">
        <f t="shared" ref="AI97:AI130" si="22">($C$10*$H$10*$H$97+X97)*(1-AB97)</f>
        <v>59.269011747436601</v>
      </c>
      <c r="AJ97" s="759">
        <f t="shared" ref="AJ97:AJ130" si="23">H97*$D$10*(1-AB97)</f>
        <v>51.534513504702232</v>
      </c>
      <c r="AK97" s="759">
        <f>SUM(AG97:AJ97)</f>
        <v>424.26313389388872</v>
      </c>
      <c r="AL97" s="865">
        <f t="shared" ref="AL97:AL130" si="24">AF97-AK97</f>
        <v>0</v>
      </c>
      <c r="AM97" s="730">
        <f>AG97/AK97</f>
        <v>0.46471844811027058</v>
      </c>
      <c r="AN97" s="483">
        <f>AH97/AK97</f>
        <v>0.274114562820508</v>
      </c>
      <c r="AO97" s="483">
        <f>AI97/AK97</f>
        <v>0.13969870821314445</v>
      </c>
      <c r="AP97" s="483">
        <f>AJ97/AK97</f>
        <v>0.1214682808560769</v>
      </c>
      <c r="AQ97" s="483">
        <f>SUM(AM97:AP97)</f>
        <v>0.99999999999999989</v>
      </c>
      <c r="AR97" s="1353">
        <f>($H$97*$C$76*AM97-0.5*X97)*(1-AD97)</f>
        <v>47.321656818861349</v>
      </c>
      <c r="AS97" s="1354">
        <f>($H$97*$D$76-0.5*X97)*(1-AD97)*AM97</f>
        <v>60.016663087128173</v>
      </c>
      <c r="AT97" s="1354">
        <f>($H$97*$E$76*AM97-(Q97-$Q$97))*(1-AD97)</f>
        <v>11.632264519473155</v>
      </c>
      <c r="AU97" s="1354">
        <f>$H$97*$F$76*(1-AD97)*AM97</f>
        <v>0</v>
      </c>
      <c r="AV97" s="1354">
        <f>$H$97*$G$76*(1-AD97)*AM97</f>
        <v>0</v>
      </c>
      <c r="AW97" s="1354">
        <f>$H$97*$H$76*(1-AD97)*AM97</f>
        <v>0</v>
      </c>
      <c r="AX97" s="1355">
        <f t="shared" ref="AX97:AX130" si="25">$H$97*$I$76*(1-AD97)*$AM$97</f>
        <v>49.510847715298119</v>
      </c>
      <c r="AY97" s="1354">
        <f>($H$97*$J$76*AM97-(R97-$R$97))*(1-AD97)</f>
        <v>7.1581397336128587</v>
      </c>
      <c r="AZ97" s="1354">
        <f>($H$97*$K$76*AM97-(S97-$S$97))*(1-AD97)</f>
        <v>10.404319152730528</v>
      </c>
      <c r="BA97" s="1354">
        <f>($H$97*$L$76*AM97-(T97-$T$97))*(1-AD97)</f>
        <v>9.146222458533865</v>
      </c>
      <c r="BB97" s="1354">
        <f>($H$97*$M$76*AM97-(U97-$U$97))*(1-AB97)</f>
        <v>1.9727916879297922</v>
      </c>
      <c r="BC97" s="608">
        <f>SUM(AR97:BB97)</f>
        <v>197.16290517356785</v>
      </c>
      <c r="BD97" s="840">
        <f>BC97-AG97</f>
        <v>0</v>
      </c>
      <c r="BE97" s="760">
        <f>AR97/BC97</f>
        <v>0.24001298204245272</v>
      </c>
      <c r="BF97" s="705">
        <f>AS97/BC97</f>
        <v>0.30440139352934509</v>
      </c>
      <c r="BG97" s="705">
        <f>AT97/BC97</f>
        <v>5.8998240613430591E-2</v>
      </c>
      <c r="BH97" s="705">
        <f>AU97/BC97</f>
        <v>0</v>
      </c>
      <c r="BI97" s="705">
        <f>AV97/BC97</f>
        <v>0</v>
      </c>
      <c r="BJ97" s="705">
        <f>AW97/BC97</f>
        <v>0</v>
      </c>
      <c r="BK97" s="705">
        <f>SUM(AX97:BB97)/BC97</f>
        <v>0.3965873838147716</v>
      </c>
      <c r="BL97" s="705">
        <f>SUM(BE97:BK97)</f>
        <v>1</v>
      </c>
      <c r="BM97" s="809">
        <f>'Input data'!V118</f>
        <v>0.29028184578274857</v>
      </c>
      <c r="BN97" s="728">
        <f>'Input data'!W118</f>
        <v>0.30317187715157518</v>
      </c>
      <c r="BO97" s="728">
        <f>'Input data'!X118</f>
        <v>8.2805443243048754E-2</v>
      </c>
      <c r="BP97" s="728">
        <f>'Input data'!Y118</f>
        <v>0</v>
      </c>
      <c r="BQ97" s="728">
        <f>'Input data'!Z118</f>
        <v>0</v>
      </c>
      <c r="BR97" s="728">
        <f>'Input data'!AA118</f>
        <v>0</v>
      </c>
      <c r="BS97" s="728">
        <f>'Input data'!AB118</f>
        <v>0.32374083382262742</v>
      </c>
      <c r="BT97" s="825">
        <f>SUM(BM97:BS97)</f>
        <v>0.99999999999999989</v>
      </c>
      <c r="BV97" s="606">
        <f t="shared" ref="BV97:BV130" si="26">(AK97*B97+C137*W137)*1000/10^6</f>
        <v>109.87635423856577</v>
      </c>
      <c r="BW97" s="114">
        <f>(B97*(AK97-AM97*AK97)+C137*(AC137-AC137*AE137))/(AK97*B97*AM97+AC137*C137*AE137)</f>
        <v>0.29713182575222163</v>
      </c>
      <c r="BX97" s="1503">
        <f t="shared" ref="BX97:BX130" si="27">D137/10^6</f>
        <v>49.995050999999997</v>
      </c>
      <c r="BY97" s="606">
        <f t="shared" ref="BY97:BY130" si="28">(AK97*B97+C177*W177)*1000/10^6</f>
        <v>109.87635423856577</v>
      </c>
      <c r="BZ97" s="114">
        <f>(B177*(AK97-AM97*AK97)+C177*(AC177-AC177*AE177))/(AK97*B177*AM97+AC177*C177*AE177)</f>
        <v>0.29713182575222163</v>
      </c>
      <c r="CA97" s="765">
        <f t="shared" ref="CA97:CA130" si="29">D177/10^6</f>
        <v>49.995050999999997</v>
      </c>
      <c r="CB97" s="730">
        <f t="shared" ref="CB97:CB130" si="30">AD97</f>
        <v>0</v>
      </c>
      <c r="CC97" s="604">
        <f t="shared" ref="CC97:CC130" si="31">U137</f>
        <v>0</v>
      </c>
      <c r="CD97" s="114">
        <f t="shared" ref="CD97:CD130" si="32">AD97</f>
        <v>0</v>
      </c>
      <c r="CE97" s="604">
        <f t="shared" ref="CE97:CE130" si="33">U177</f>
        <v>0</v>
      </c>
      <c r="CG97" s="737">
        <f>(1-AD97)*Q97</f>
        <v>21.956594277323916</v>
      </c>
      <c r="CH97" s="738">
        <f>(1-AD97)*R97</f>
        <v>8.498893173320921</v>
      </c>
      <c r="CI97" s="738">
        <f>(1-AD97)*S97</f>
        <v>35.157920176424213</v>
      </c>
      <c r="CJ97" s="738">
        <f>(1-AD97)*T97</f>
        <v>50.006188746360976</v>
      </c>
      <c r="CK97" s="738">
        <f>(1-AD97)*U97</f>
        <v>0.67710709475193609</v>
      </c>
      <c r="CL97" s="738">
        <f>SUM(CG97:CK97)</f>
        <v>116.29670346818196</v>
      </c>
      <c r="CM97" s="1310">
        <f>AH97-CL97</f>
        <v>0</v>
      </c>
    </row>
    <row r="98" spans="1:91">
      <c r="A98" s="127">
        <f>'Input data'!A118</f>
        <v>2018</v>
      </c>
      <c r="B98" s="748">
        <f>'Input data'!B118</f>
        <v>57.436</v>
      </c>
      <c r="C98" s="236">
        <f>'Input data'!C118</f>
        <v>3152.24</v>
      </c>
      <c r="D98" s="237">
        <f>'Input data'!D118</f>
        <v>50172070.130067617</v>
      </c>
      <c r="E98" s="730">
        <f t="shared" ref="E98:E129" si="34">($E$130-$E$97)/($A$130-$A$97)+E97</f>
        <v>0.72344242424242422</v>
      </c>
      <c r="F98" s="483">
        <f t="shared" ref="F98:F129" si="35">($F$130-$F$97)/($A$130-$A$97)+F97</f>
        <v>0.29195303030303027</v>
      </c>
      <c r="G98" s="607">
        <f>B98*F98*'Input data'!$C$9</f>
        <v>513.23802109781525</v>
      </c>
      <c r="H98" s="602">
        <f>'Input data'!I118</f>
        <v>424.26313389388866</v>
      </c>
      <c r="I98" s="608">
        <f>'Input data'!K118</f>
        <v>24367.97735832939</v>
      </c>
      <c r="J98" s="608">
        <f>$J$97*(1+(($J$110/$J$97)^(1/($A$110-$A$97))-1))^(A98-$A$97)</f>
        <v>186.92571705684603</v>
      </c>
      <c r="K98" s="609">
        <f t="shared" si="10"/>
        <v>10.237188116721882</v>
      </c>
      <c r="L98" s="483">
        <f t="shared" ref="L98:L106" si="36">($L$110-$L$97)/($A$110-$A$97)+L97</f>
        <v>0.57999999999999996</v>
      </c>
      <c r="M98" s="483">
        <f t="shared" ref="M98:M106" si="37">($M$110-$M$97)/($A$110-$A$97)+M97</f>
        <v>0.437</v>
      </c>
      <c r="N98" s="483">
        <f t="shared" ref="N98:N106" si="38">($N$110-$N$97)/($A$110-$A$97)+N97</f>
        <v>0.71200000000000008</v>
      </c>
      <c r="O98" s="483">
        <f t="shared" ref="O98:O106" si="39">($O$110-$O$97)/($A$110-$A$97)+O97</f>
        <v>0.8</v>
      </c>
      <c r="P98" s="483">
        <f t="shared" ref="P98:P109" si="40">($P$110-$P$97)/($A$110-$A$97)+P97</f>
        <v>0.23600000000000002</v>
      </c>
      <c r="Q98" s="602">
        <f t="shared" ref="Q98:Q130" si="41">H98*$E$75*L98</f>
        <v>21.956594277323916</v>
      </c>
      <c r="R98" s="608">
        <f t="shared" si="11"/>
        <v>8.498893173320921</v>
      </c>
      <c r="S98" s="608">
        <f t="shared" si="12"/>
        <v>35.157920176424213</v>
      </c>
      <c r="T98" s="608">
        <f t="shared" si="13"/>
        <v>50.006188746360976</v>
      </c>
      <c r="U98" s="608">
        <f t="shared" si="14"/>
        <v>0.67710709475193609</v>
      </c>
      <c r="V98" s="1295">
        <f t="shared" si="15"/>
        <v>116.29670346818196</v>
      </c>
      <c r="W98" s="730">
        <f>($W$102-$W$97)/($A$102-$A$97)+W97</f>
        <v>0.05</v>
      </c>
      <c r="X98" s="606">
        <f t="shared" si="16"/>
        <v>5.3669159952994772</v>
      </c>
      <c r="Y98" s="606">
        <f t="shared" si="17"/>
        <v>5.3669159952994772</v>
      </c>
      <c r="Z98" s="607">
        <f t="shared" si="18"/>
        <v>191.79598917826843</v>
      </c>
      <c r="AA98" s="608">
        <f t="shared" si="19"/>
        <v>4.8702721214224045</v>
      </c>
      <c r="AB98" s="811">
        <f t="shared" si="20"/>
        <v>2.5392982107126535E-2</v>
      </c>
      <c r="AC98" s="135" t="str">
        <f t="shared" ref="AC98:AC130" si="42">IF(AND(AB98&gt;=0,AB98&lt;=0.85),"Policies met","Policies not met")</f>
        <v>Policies met</v>
      </c>
      <c r="AD98" s="1240">
        <f t="shared" ref="AD98:AD130" si="43">IF(AB98&lt;=0,0,IF(AB98&gt;=0.85,0.85,AB98))</f>
        <v>2.5392982107126535E-2</v>
      </c>
      <c r="AE98" s="135" t="str">
        <f t="shared" ref="AE98:AE130" si="44">IF(AND(AB98&gt;=0,AB98&lt;=0.85),"No","Yes")</f>
        <v>No</v>
      </c>
      <c r="AF98" s="1293">
        <f t="shared" ref="AF98:AF130" si="45">$H$97*(1-AD98)</f>
        <v>413.48982772620775</v>
      </c>
      <c r="AG98" s="118">
        <f t="shared" ref="AG98:AG130" si="46">Z98-Z98*AD98</f>
        <v>186.92571705684603</v>
      </c>
      <c r="AH98" s="118">
        <f t="shared" si="21"/>
        <v>113.34358335789662</v>
      </c>
      <c r="AI98" s="118">
        <f t="shared" si="22"/>
        <v>62.994628786087254</v>
      </c>
      <c r="AJ98" s="118">
        <f t="shared" si="23"/>
        <v>50.225898525377858</v>
      </c>
      <c r="AK98" s="118">
        <f t="shared" ref="AK98:AK130" si="47">SUM(AG98:AJ98)</f>
        <v>413.48982772620775</v>
      </c>
      <c r="AL98" s="828">
        <f t="shared" si="24"/>
        <v>0</v>
      </c>
      <c r="AM98" s="730">
        <f t="shared" ref="AM98:AM130" si="48">AG98/AK98</f>
        <v>0.45206847792303823</v>
      </c>
      <c r="AN98" s="483">
        <f t="shared" ref="AN98:AN130" si="49">AH98/AK98</f>
        <v>0.27411456282050806</v>
      </c>
      <c r="AO98" s="483">
        <f t="shared" ref="AO98:AO130" si="50">AI98/AK98</f>
        <v>0.15234867840037686</v>
      </c>
      <c r="AP98" s="483">
        <f t="shared" ref="AP98:AP130" si="51">AJ98/AK98</f>
        <v>0.1214682808560769</v>
      </c>
      <c r="AQ98" s="483">
        <f t="shared" ref="AQ98:AQ130" si="52">SUM(AM98:AP98)</f>
        <v>1.0000000000000002</v>
      </c>
      <c r="AR98" s="834">
        <f>($AR$97-0.5*X98)*(1-AD98)</f>
        <v>43.504701837250231</v>
      </c>
      <c r="AS98" s="835">
        <f>($AS$97-0.5*X98)*(1-AD98)</f>
        <v>55.877344038497093</v>
      </c>
      <c r="AT98" s="835">
        <f>($AT$97-(Q98-$Q$97))*(1-AD98)</f>
        <v>11.336886634664811</v>
      </c>
      <c r="AU98" s="835">
        <f t="shared" ref="AU98:AU130" si="53">$H$97*$F$76*(1-AD98)</f>
        <v>0</v>
      </c>
      <c r="AV98" s="835">
        <f t="shared" ref="AV98:AV130" si="54">$H$97*$G$76*(1-AD98)</f>
        <v>0</v>
      </c>
      <c r="AW98" s="835">
        <f t="shared" ref="AW98:AW130" si="55">$H$97*$H$76*(1-AD98)</f>
        <v>0</v>
      </c>
      <c r="AX98" s="1228">
        <f t="shared" si="25"/>
        <v>48.253619645154892</v>
      </c>
      <c r="AY98" s="835">
        <f>($AY$97-(R98-$R$97))*(1-AD98)</f>
        <v>6.9763732194369164</v>
      </c>
      <c r="AZ98" s="835">
        <f>($AZ$97-(S98-$S$97))*(1-AD98)</f>
        <v>10.140122462648408</v>
      </c>
      <c r="BA98" s="835">
        <f>($BA$97-(T98-$T$97))*(1-AD98)</f>
        <v>8.9139725952965154</v>
      </c>
      <c r="BB98" s="835">
        <f>($BB$97-(U98-$U$97))*(1-AD98)</f>
        <v>1.9226966238971031</v>
      </c>
      <c r="BC98" s="608">
        <f t="shared" ref="BC98:BC130" si="56">SUM(AR98:BB98)</f>
        <v>186.92571705684597</v>
      </c>
      <c r="BD98" s="840">
        <f t="shared" ref="BD98:BD130" si="57">BC98-AG98</f>
        <v>0</v>
      </c>
      <c r="BE98" s="760">
        <f t="shared" ref="BE98:BE130" si="58">AR98/BC98</f>
        <v>0.23273791601409247</v>
      </c>
      <c r="BF98" s="705">
        <f t="shared" ref="BF98:BF129" si="59">AS98/BC98</f>
        <v>0.29892807109844727</v>
      </c>
      <c r="BG98" s="705">
        <f t="shared" ref="BG98:BG130" si="60">AT98/BC98</f>
        <v>6.0649154183622316E-2</v>
      </c>
      <c r="BH98" s="705">
        <f t="shared" ref="BH98:BH130" si="61">AU98/BC98</f>
        <v>0</v>
      </c>
      <c r="BI98" s="705">
        <f t="shared" ref="BI98:BI130" si="62">AV98/BC98</f>
        <v>0</v>
      </c>
      <c r="BJ98" s="705">
        <f t="shared" ref="BJ98:BJ130" si="63">AW98/BC98</f>
        <v>0</v>
      </c>
      <c r="BK98" s="705">
        <f t="shared" ref="BK98:BK130" si="64">SUM(AX98:BB98)/BC98</f>
        <v>0.40768485870383786</v>
      </c>
      <c r="BL98" s="705">
        <f t="shared" ref="BL98:BL130" si="65">SUM(BE98:BK98)</f>
        <v>0.99999999999999989</v>
      </c>
      <c r="BM98" s="730">
        <f>BM97</f>
        <v>0.29028184578274857</v>
      </c>
      <c r="BN98" s="483">
        <f t="shared" ref="BN98:BS113" si="66">BN97</f>
        <v>0.30317187715157518</v>
      </c>
      <c r="BO98" s="483">
        <f t="shared" si="66"/>
        <v>8.2805443243048754E-2</v>
      </c>
      <c r="BP98" s="483">
        <f t="shared" si="66"/>
        <v>0</v>
      </c>
      <c r="BQ98" s="483">
        <f t="shared" si="66"/>
        <v>0</v>
      </c>
      <c r="BR98" s="483">
        <f t="shared" si="66"/>
        <v>0</v>
      </c>
      <c r="BS98" s="483">
        <f t="shared" si="66"/>
        <v>0.32374083382262742</v>
      </c>
      <c r="BT98" s="604">
        <f>SUM(BM98:BS98)</f>
        <v>0.99999999999999989</v>
      </c>
      <c r="BV98" s="606">
        <f t="shared" si="26"/>
        <v>106.29013303385885</v>
      </c>
      <c r="BW98" s="114">
        <f t="shared" ref="BW98:BW130" si="67">(B98*(AK98-AM98*AK98)+C138*(AC138-AC138*AE138))/(AK98*B98*AM98+AC138*C138*AE138)</f>
        <v>0.30918051690308657</v>
      </c>
      <c r="BX98" s="1503">
        <f t="shared" si="27"/>
        <v>50.172070130067617</v>
      </c>
      <c r="BY98" s="606">
        <f t="shared" si="28"/>
        <v>106.29013303385885</v>
      </c>
      <c r="BZ98" s="114">
        <f t="shared" ref="BZ98:BZ130" si="68">(B178*(AK98-AM98*AK98)+C178*(AC178-AC178*AE178))/(AK98*B178*AM98+AC178*C178*AE178)</f>
        <v>0.30918051690308657</v>
      </c>
      <c r="CA98" s="765">
        <f t="shared" si="29"/>
        <v>50.172070130067617</v>
      </c>
      <c r="CB98" s="730">
        <f t="shared" si="30"/>
        <v>2.5392982107126535E-2</v>
      </c>
      <c r="CC98" s="604">
        <f t="shared" si="31"/>
        <v>0.10745501591388418</v>
      </c>
      <c r="CD98" s="114">
        <f t="shared" si="32"/>
        <v>2.5392982107126535E-2</v>
      </c>
      <c r="CE98" s="604">
        <f t="shared" si="33"/>
        <v>0.10745501591388418</v>
      </c>
      <c r="CG98" s="602">
        <f t="shared" ref="CG98:CG130" si="69">(1-AD98)*Q98</f>
        <v>21.399050871706393</v>
      </c>
      <c r="CH98" s="704">
        <f t="shared" ref="CH98:CH130" si="70">(1-AD98)*R98</f>
        <v>8.2830809310404039</v>
      </c>
      <c r="CI98" s="704">
        <f t="shared" ref="CI98:CI130" si="71">(1-AD98)*S98</f>
        <v>34.265155738460493</v>
      </c>
      <c r="CJ98" s="704">
        <f t="shared" ref="CJ98:CJ130" si="72">(1-AD98)*T98</f>
        <v>48.736382490279041</v>
      </c>
      <c r="CK98" s="704">
        <f t="shared" ref="CK98:CK130" si="73">(1-AD98)*U98</f>
        <v>0.65991332641029177</v>
      </c>
      <c r="CL98" s="704">
        <f t="shared" ref="CL98:CL130" si="74">SUM(CG98:CK98)</f>
        <v>113.34358335789662</v>
      </c>
      <c r="CM98" s="727">
        <f t="shared" ref="CM98:CM130" si="75">AH98-CL98</f>
        <v>0</v>
      </c>
    </row>
    <row r="99" spans="1:91">
      <c r="A99" s="127">
        <f>'Input data'!A119</f>
        <v>2019</v>
      </c>
      <c r="B99" s="748">
        <f>'Input data'!B119</f>
        <v>58.365000000000002</v>
      </c>
      <c r="C99" s="236">
        <f>'Input data'!C119</f>
        <v>3179.2899999999995</v>
      </c>
      <c r="D99" s="237">
        <f>'Input data'!D119</f>
        <v>49847473.41597119</v>
      </c>
      <c r="E99" s="730">
        <f t="shared" si="34"/>
        <v>0.73208484848484845</v>
      </c>
      <c r="F99" s="483">
        <f t="shared" si="35"/>
        <v>0.29430606060606057</v>
      </c>
      <c r="G99" s="607">
        <f>B99*F99*'Input data'!$C$9</f>
        <v>525.7428112174747</v>
      </c>
      <c r="H99" s="602">
        <f>'Input data'!I119</f>
        <v>424.26313389388866</v>
      </c>
      <c r="I99" s="608">
        <f>'Input data'!K119</f>
        <v>24762.117809716812</v>
      </c>
      <c r="J99" s="608">
        <f t="shared" ref="J99:J109" si="76">$J$97*(1+(($J$110/$J$97)^(1/($A$110-$A$97))-1))^(A99-$A$97)</f>
        <v>177.22006919332182</v>
      </c>
      <c r="K99" s="609">
        <f t="shared" si="10"/>
        <v>19.942835980246088</v>
      </c>
      <c r="L99" s="483">
        <f t="shared" si="36"/>
        <v>0.57999999999999996</v>
      </c>
      <c r="M99" s="483">
        <f t="shared" si="37"/>
        <v>0.437</v>
      </c>
      <c r="N99" s="483">
        <f t="shared" si="38"/>
        <v>0.71200000000000008</v>
      </c>
      <c r="O99" s="483">
        <f t="shared" si="39"/>
        <v>0.8</v>
      </c>
      <c r="P99" s="483">
        <f t="shared" si="40"/>
        <v>0.23600000000000002</v>
      </c>
      <c r="Q99" s="602">
        <f t="shared" si="41"/>
        <v>21.956594277323916</v>
      </c>
      <c r="R99" s="608">
        <f t="shared" si="11"/>
        <v>8.498893173320921</v>
      </c>
      <c r="S99" s="608">
        <f t="shared" si="12"/>
        <v>35.157920176424213</v>
      </c>
      <c r="T99" s="608">
        <f t="shared" si="13"/>
        <v>50.006188746360976</v>
      </c>
      <c r="U99" s="608">
        <f t="shared" si="14"/>
        <v>0.67710709475193609</v>
      </c>
      <c r="V99" s="1295">
        <f t="shared" si="15"/>
        <v>116.29670346818196</v>
      </c>
      <c r="W99" s="730">
        <f>($W$102-$W$97)/($A$102-$A$97)+W98</f>
        <v>0.1</v>
      </c>
      <c r="X99" s="606">
        <f t="shared" si="16"/>
        <v>10.733831990598954</v>
      </c>
      <c r="Y99" s="606">
        <f t="shared" si="17"/>
        <v>10.733831990598954</v>
      </c>
      <c r="Z99" s="607">
        <f t="shared" si="18"/>
        <v>186.42907318296895</v>
      </c>
      <c r="AA99" s="608">
        <f t="shared" si="19"/>
        <v>9.2090039896471332</v>
      </c>
      <c r="AB99" s="811">
        <f t="shared" si="20"/>
        <v>4.9396823319553002E-2</v>
      </c>
      <c r="AC99" s="135" t="str">
        <f t="shared" si="42"/>
        <v>Policies met</v>
      </c>
      <c r="AD99" s="1240">
        <f t="shared" si="43"/>
        <v>4.9396823319553002E-2</v>
      </c>
      <c r="AE99" s="135" t="str">
        <f t="shared" si="44"/>
        <v>No</v>
      </c>
      <c r="AF99" s="1293">
        <f t="shared" si="45"/>
        <v>403.30588282793241</v>
      </c>
      <c r="AG99" s="118">
        <f t="shared" si="46"/>
        <v>177.22006919332182</v>
      </c>
      <c r="AH99" s="118">
        <f t="shared" si="21"/>
        <v>110.55201575431774</v>
      </c>
      <c r="AI99" s="118">
        <f t="shared" si="22"/>
        <v>66.544925634041533</v>
      </c>
      <c r="AJ99" s="118">
        <f t="shared" si="23"/>
        <v>48.98887224625134</v>
      </c>
      <c r="AK99" s="118">
        <f t="shared" si="47"/>
        <v>403.30588282793241</v>
      </c>
      <c r="AL99" s="828">
        <f t="shared" si="24"/>
        <v>0</v>
      </c>
      <c r="AM99" s="730">
        <f t="shared" si="48"/>
        <v>0.43941850773580582</v>
      </c>
      <c r="AN99" s="483">
        <f t="shared" si="49"/>
        <v>0.27411456282050806</v>
      </c>
      <c r="AO99" s="483">
        <f t="shared" si="50"/>
        <v>0.16499864858760926</v>
      </c>
      <c r="AP99" s="483">
        <f t="shared" si="51"/>
        <v>0.12146828085607692</v>
      </c>
      <c r="AQ99" s="483">
        <f t="shared" si="52"/>
        <v>1</v>
      </c>
      <c r="AR99" s="834">
        <f t="shared" ref="AR99:AR130" si="77">($AR$97-0.5*X99)*(1-AD99)</f>
        <v>39.882309903682746</v>
      </c>
      <c r="AS99" s="835">
        <f t="shared" ref="AS99:AS130" si="78">($AS$97-0.5*X99)*(1-AD99)</f>
        <v>51.950223190275381</v>
      </c>
      <c r="AT99" s="835">
        <f t="shared" ref="AT99:AT130" si="79">($AT$97-(Q99-$Q$97))*(1-AD99)</f>
        <v>11.057667604198436</v>
      </c>
      <c r="AU99" s="835">
        <f t="shared" si="53"/>
        <v>0</v>
      </c>
      <c r="AV99" s="835">
        <f t="shared" si="54"/>
        <v>0</v>
      </c>
      <c r="AW99" s="835">
        <f t="shared" si="55"/>
        <v>0</v>
      </c>
      <c r="AX99" s="1228">
        <f t="shared" si="25"/>
        <v>47.065169118304247</v>
      </c>
      <c r="AY99" s="835">
        <f t="shared" ref="AY99:AY130" si="80">($AY$97-(R99-$R$97))*(1-AD99)</f>
        <v>6.8045503698949119</v>
      </c>
      <c r="AZ99" s="835">
        <f t="shared" ref="AZ99:AZ130" si="81">($AZ$97-(S99-$S$97))*(1-AD99)</f>
        <v>9.8903788377828565</v>
      </c>
      <c r="BA99" s="835">
        <f t="shared" ref="BA99:BA130" si="82">($BA$97-(T99-$T$97))*(1-AD99)</f>
        <v>8.6944281237083398</v>
      </c>
      <c r="BB99" s="835">
        <f t="shared" ref="BB99:BB130" si="83">($BB$97-(U99-$U$97))*(1-AD99)</f>
        <v>1.8753420454748415</v>
      </c>
      <c r="BC99" s="608">
        <f t="shared" si="56"/>
        <v>177.22006919332176</v>
      </c>
      <c r="BD99" s="840">
        <f t="shared" si="57"/>
        <v>0</v>
      </c>
      <c r="BE99" s="760">
        <f t="shared" si="58"/>
        <v>0.22504398110902918</v>
      </c>
      <c r="BF99" s="705">
        <f t="shared" si="59"/>
        <v>0.29313961689973789</v>
      </c>
      <c r="BG99" s="705">
        <f t="shared" si="60"/>
        <v>6.23951206797922E-2</v>
      </c>
      <c r="BH99" s="705">
        <f t="shared" si="61"/>
        <v>0</v>
      </c>
      <c r="BI99" s="705">
        <f t="shared" si="62"/>
        <v>0</v>
      </c>
      <c r="BJ99" s="705">
        <f t="shared" si="63"/>
        <v>0</v>
      </c>
      <c r="BK99" s="705">
        <f t="shared" si="64"/>
        <v>0.41942128131144069</v>
      </c>
      <c r="BL99" s="705">
        <f t="shared" si="65"/>
        <v>1</v>
      </c>
      <c r="BM99" s="730">
        <f t="shared" ref="BM99:BS114" si="84">BM98</f>
        <v>0.29028184578274857</v>
      </c>
      <c r="BN99" s="483">
        <f t="shared" si="66"/>
        <v>0.30317187715157518</v>
      </c>
      <c r="BO99" s="483">
        <f t="shared" si="66"/>
        <v>8.2805443243048754E-2</v>
      </c>
      <c r="BP99" s="483">
        <f t="shared" si="66"/>
        <v>0</v>
      </c>
      <c r="BQ99" s="483">
        <f t="shared" si="66"/>
        <v>0</v>
      </c>
      <c r="BR99" s="483">
        <f t="shared" si="66"/>
        <v>0</v>
      </c>
      <c r="BS99" s="483">
        <f t="shared" si="66"/>
        <v>0.32374083382262742</v>
      </c>
      <c r="BT99" s="604">
        <f t="shared" ref="BT99:BT130" si="85">SUM(BM99:BS99)</f>
        <v>0.99999999999999989</v>
      </c>
      <c r="BV99" s="606">
        <f t="shared" si="26"/>
        <v>102.83663580000209</v>
      </c>
      <c r="BW99" s="114">
        <f t="shared" si="67"/>
        <v>0.32332819026603998</v>
      </c>
      <c r="BX99" s="1503">
        <f t="shared" si="27"/>
        <v>49.847473415971187</v>
      </c>
      <c r="BY99" s="606">
        <f t="shared" si="28"/>
        <v>102.74353699665076</v>
      </c>
      <c r="BZ99" s="114">
        <f t="shared" si="68"/>
        <v>0.32213017099988633</v>
      </c>
      <c r="CA99" s="765">
        <f t="shared" si="29"/>
        <v>50.172070130067617</v>
      </c>
      <c r="CB99" s="730">
        <f t="shared" si="30"/>
        <v>4.9396823319553002E-2</v>
      </c>
      <c r="CC99" s="604">
        <f t="shared" si="31"/>
        <v>0.19484352780501424</v>
      </c>
      <c r="CD99" s="114">
        <f t="shared" si="32"/>
        <v>4.9396823319553002E-2</v>
      </c>
      <c r="CE99" s="604">
        <f t="shared" si="33"/>
        <v>0.20626314747894148</v>
      </c>
      <c r="CG99" s="602">
        <f t="shared" si="69"/>
        <v>20.872008269107837</v>
      </c>
      <c r="CH99" s="704">
        <f t="shared" si="70"/>
        <v>8.0790748488266324</v>
      </c>
      <c r="CI99" s="704">
        <f t="shared" si="71"/>
        <v>33.421230605186437</v>
      </c>
      <c r="CJ99" s="704">
        <f t="shared" si="72"/>
        <v>47.536041875972764</v>
      </c>
      <c r="CK99" s="704">
        <f t="shared" si="73"/>
        <v>0.64366015522405884</v>
      </c>
      <c r="CL99" s="704">
        <f t="shared" si="74"/>
        <v>110.55201575431774</v>
      </c>
      <c r="CM99" s="727">
        <f t="shared" si="75"/>
        <v>0</v>
      </c>
    </row>
    <row r="100" spans="1:91">
      <c r="A100" s="127">
        <f>'Input data'!A120</f>
        <v>2020</v>
      </c>
      <c r="B100" s="748">
        <f>'Input data'!B120</f>
        <v>59.308999999999997</v>
      </c>
      <c r="C100" s="236">
        <f>'Input data'!C120</f>
        <v>2948.9199999999987</v>
      </c>
      <c r="D100" s="237">
        <f>'Input data'!D120</f>
        <v>47586944.933914557</v>
      </c>
      <c r="E100" s="730">
        <f t="shared" si="34"/>
        <v>0.74072727272727268</v>
      </c>
      <c r="F100" s="483">
        <f t="shared" si="35"/>
        <v>0.29665909090909087</v>
      </c>
      <c r="G100" s="607">
        <f>B100*F100*'Input data'!$C$9</f>
        <v>538.51761122950779</v>
      </c>
      <c r="H100" s="602">
        <f>'Input data'!I120</f>
        <v>424.26313389388866</v>
      </c>
      <c r="I100" s="608">
        <f>'Input data'!K120</f>
        <v>25162.622208112643</v>
      </c>
      <c r="J100" s="608">
        <f t="shared" si="76"/>
        <v>168.01836269182053</v>
      </c>
      <c r="K100" s="609">
        <f t="shared" si="10"/>
        <v>29.144542481747379</v>
      </c>
      <c r="L100" s="483">
        <f t="shared" si="36"/>
        <v>0.57999999999999996</v>
      </c>
      <c r="M100" s="483">
        <f t="shared" si="37"/>
        <v>0.437</v>
      </c>
      <c r="N100" s="483">
        <f t="shared" si="38"/>
        <v>0.71200000000000008</v>
      </c>
      <c r="O100" s="483">
        <f t="shared" si="39"/>
        <v>0.8</v>
      </c>
      <c r="P100" s="483">
        <f t="shared" si="40"/>
        <v>0.23600000000000002</v>
      </c>
      <c r="Q100" s="602">
        <f t="shared" si="41"/>
        <v>21.956594277323916</v>
      </c>
      <c r="R100" s="608">
        <f t="shared" si="11"/>
        <v>8.498893173320921</v>
      </c>
      <c r="S100" s="608">
        <f t="shared" si="12"/>
        <v>35.157920176424213</v>
      </c>
      <c r="T100" s="608">
        <f t="shared" si="13"/>
        <v>50.006188746360976</v>
      </c>
      <c r="U100" s="608">
        <f t="shared" si="14"/>
        <v>0.67710709475193609</v>
      </c>
      <c r="V100" s="1295">
        <f t="shared" si="15"/>
        <v>116.29670346818196</v>
      </c>
      <c r="W100" s="730">
        <f>($W$102-$W$97)/($A$102-$A$97)+W99</f>
        <v>0.15000000000000002</v>
      </c>
      <c r="X100" s="606">
        <f t="shared" si="16"/>
        <v>16.100747985898433</v>
      </c>
      <c r="Y100" s="606">
        <f t="shared" si="17"/>
        <v>16.100747985898433</v>
      </c>
      <c r="Z100" s="607">
        <f t="shared" si="18"/>
        <v>181.06215718766947</v>
      </c>
      <c r="AA100" s="608">
        <f t="shared" si="19"/>
        <v>13.043794495848946</v>
      </c>
      <c r="AB100" s="811">
        <f t="shared" si="20"/>
        <v>7.2040423567521938E-2</v>
      </c>
      <c r="AC100" s="135" t="str">
        <f t="shared" si="42"/>
        <v>Policies met</v>
      </c>
      <c r="AD100" s="1240">
        <f t="shared" si="43"/>
        <v>7.2040423567521938E-2</v>
      </c>
      <c r="AE100" s="135" t="str">
        <f t="shared" si="44"/>
        <v>No</v>
      </c>
      <c r="AF100" s="1293">
        <f t="shared" si="45"/>
        <v>393.69903802408868</v>
      </c>
      <c r="AG100" s="118">
        <f t="shared" si="46"/>
        <v>168.01836269182053</v>
      </c>
      <c r="AH100" s="118">
        <f t="shared" si="21"/>
        <v>107.91863969082763</v>
      </c>
      <c r="AI100" s="118">
        <f t="shared" si="22"/>
        <v>69.940090317963211</v>
      </c>
      <c r="AJ100" s="118">
        <f t="shared" si="23"/>
        <v>47.821945323477301</v>
      </c>
      <c r="AK100" s="118">
        <f t="shared" si="47"/>
        <v>393.69903802408868</v>
      </c>
      <c r="AL100" s="828">
        <f t="shared" si="24"/>
        <v>0</v>
      </c>
      <c r="AM100" s="730">
        <f t="shared" si="48"/>
        <v>0.42676853754857341</v>
      </c>
      <c r="AN100" s="483">
        <f t="shared" si="49"/>
        <v>0.274114562820508</v>
      </c>
      <c r="AO100" s="483">
        <f t="shared" si="50"/>
        <v>0.17764861877484164</v>
      </c>
      <c r="AP100" s="483">
        <f t="shared" si="51"/>
        <v>0.1214682808560769</v>
      </c>
      <c r="AQ100" s="483">
        <f t="shared" si="52"/>
        <v>0.99999999999999989</v>
      </c>
      <c r="AR100" s="834">
        <f t="shared" si="77"/>
        <v>36.442162977093474</v>
      </c>
      <c r="AS100" s="835">
        <f t="shared" si="78"/>
        <v>48.222615616602006</v>
      </c>
      <c r="AT100" s="835">
        <f t="shared" si="79"/>
        <v>10.794271256440853</v>
      </c>
      <c r="AU100" s="835">
        <f t="shared" si="53"/>
        <v>0</v>
      </c>
      <c r="AV100" s="835">
        <f t="shared" si="54"/>
        <v>0</v>
      </c>
      <c r="AW100" s="835">
        <f t="shared" si="55"/>
        <v>0</v>
      </c>
      <c r="AX100" s="1228">
        <f t="shared" si="25"/>
        <v>45.944065274700968</v>
      </c>
      <c r="AY100" s="835">
        <f t="shared" si="80"/>
        <v>6.6424643152478797</v>
      </c>
      <c r="AZ100" s="835">
        <f t="shared" si="81"/>
        <v>9.6547875940361401</v>
      </c>
      <c r="BA100" s="835">
        <f t="shared" si="82"/>
        <v>8.4873247185783036</v>
      </c>
      <c r="BB100" s="835">
        <f t="shared" si="83"/>
        <v>1.8306709391208433</v>
      </c>
      <c r="BC100" s="608">
        <f t="shared" si="56"/>
        <v>168.01836269182044</v>
      </c>
      <c r="BD100" s="840">
        <f t="shared" si="57"/>
        <v>0</v>
      </c>
      <c r="BE100" s="760">
        <f t="shared" si="58"/>
        <v>0.2168939298851266</v>
      </c>
      <c r="BF100" s="705">
        <f t="shared" si="59"/>
        <v>0.28700800819641364</v>
      </c>
      <c r="BG100" s="705">
        <f t="shared" si="60"/>
        <v>6.4244592576108622E-2</v>
      </c>
      <c r="BH100" s="705">
        <f t="shared" si="61"/>
        <v>0</v>
      </c>
      <c r="BI100" s="705">
        <f t="shared" si="62"/>
        <v>0</v>
      </c>
      <c r="BJ100" s="705">
        <f t="shared" si="63"/>
        <v>0</v>
      </c>
      <c r="BK100" s="705">
        <f t="shared" si="64"/>
        <v>0.43185346934235136</v>
      </c>
      <c r="BL100" s="705">
        <f t="shared" si="65"/>
        <v>1.0000000000000002</v>
      </c>
      <c r="BM100" s="730">
        <f t="shared" si="84"/>
        <v>0.29028184578274857</v>
      </c>
      <c r="BN100" s="483">
        <f t="shared" si="66"/>
        <v>0.30317187715157518</v>
      </c>
      <c r="BO100" s="483">
        <f t="shared" si="66"/>
        <v>8.2805443243048754E-2</v>
      </c>
      <c r="BP100" s="483">
        <f t="shared" si="66"/>
        <v>0</v>
      </c>
      <c r="BQ100" s="483">
        <f t="shared" si="66"/>
        <v>0</v>
      </c>
      <c r="BR100" s="483">
        <f t="shared" si="66"/>
        <v>0</v>
      </c>
      <c r="BS100" s="483">
        <f t="shared" si="66"/>
        <v>0.32374083382262742</v>
      </c>
      <c r="BT100" s="604">
        <f t="shared" si="85"/>
        <v>0.99999999999999989</v>
      </c>
      <c r="BV100" s="606">
        <f t="shared" si="26"/>
        <v>92.80989421388928</v>
      </c>
      <c r="BW100" s="114">
        <f t="shared" si="67"/>
        <v>0.34106045371459914</v>
      </c>
      <c r="BX100" s="1503">
        <f t="shared" si="27"/>
        <v>47.586944933914559</v>
      </c>
      <c r="BY100" s="606">
        <f t="shared" si="28"/>
        <v>92.041392261469241</v>
      </c>
      <c r="BZ100" s="114">
        <f t="shared" si="68"/>
        <v>0.32995595256499261</v>
      </c>
      <c r="CA100" s="765">
        <f t="shared" si="29"/>
        <v>50.172070130067617</v>
      </c>
      <c r="CB100" s="730">
        <f t="shared" si="30"/>
        <v>7.2040423567521938E-2</v>
      </c>
      <c r="CC100" s="604">
        <f t="shared" si="31"/>
        <v>0.35528409453439536</v>
      </c>
      <c r="CD100" s="114">
        <f t="shared" si="32"/>
        <v>7.2040423567521938E-2</v>
      </c>
      <c r="CE100" s="604">
        <f t="shared" si="33"/>
        <v>0.4541334303058962</v>
      </c>
      <c r="CG100" s="602">
        <f t="shared" si="69"/>
        <v>20.374831925485271</v>
      </c>
      <c r="CH100" s="704">
        <f t="shared" si="70"/>
        <v>7.886629309259761</v>
      </c>
      <c r="CI100" s="704">
        <f t="shared" si="71"/>
        <v>32.625128715161487</v>
      </c>
      <c r="CJ100" s="704">
        <f t="shared" si="72"/>
        <v>46.403721728075681</v>
      </c>
      <c r="CK100" s="704">
        <f t="shared" si="73"/>
        <v>0.62832801284543238</v>
      </c>
      <c r="CL100" s="704">
        <f t="shared" si="74"/>
        <v>107.91863969082763</v>
      </c>
      <c r="CM100" s="727">
        <f t="shared" si="75"/>
        <v>0</v>
      </c>
    </row>
    <row r="101" spans="1:91">
      <c r="A101" s="127">
        <f>'Input data'!A121</f>
        <v>2021</v>
      </c>
      <c r="B101" s="748">
        <f>'Input data'!B121</f>
        <v>59.991999999999997</v>
      </c>
      <c r="C101" s="236">
        <f>'Input data'!C121</f>
        <v>3014.38</v>
      </c>
      <c r="D101" s="237">
        <f>'Input data'!D121</f>
        <v>47328556.831579238</v>
      </c>
      <c r="E101" s="730">
        <f t="shared" si="34"/>
        <v>0.74936969696969691</v>
      </c>
      <c r="F101" s="483">
        <f t="shared" si="35"/>
        <v>0.29901212121212117</v>
      </c>
      <c r="G101" s="607">
        <f>B101*F101*'Input data'!$C$9</f>
        <v>549.03974240012258</v>
      </c>
      <c r="H101" s="602">
        <f>'Input data'!I121</f>
        <v>424.26313389388866</v>
      </c>
      <c r="I101" s="608">
        <f>'Input data'!K121</f>
        <v>25452.393928562167</v>
      </c>
      <c r="J101" s="608">
        <f t="shared" si="76"/>
        <v>159.29443166419858</v>
      </c>
      <c r="K101" s="609">
        <f t="shared" si="10"/>
        <v>37.868473509369323</v>
      </c>
      <c r="L101" s="483">
        <f t="shared" si="36"/>
        <v>0.57999999999999996</v>
      </c>
      <c r="M101" s="483">
        <f t="shared" si="37"/>
        <v>0.437</v>
      </c>
      <c r="N101" s="483">
        <f t="shared" si="38"/>
        <v>0.71200000000000008</v>
      </c>
      <c r="O101" s="483">
        <f t="shared" si="39"/>
        <v>0.8</v>
      </c>
      <c r="P101" s="483">
        <f t="shared" si="40"/>
        <v>0.23600000000000002</v>
      </c>
      <c r="Q101" s="602">
        <f t="shared" si="41"/>
        <v>21.956594277323916</v>
      </c>
      <c r="R101" s="608">
        <f t="shared" si="11"/>
        <v>8.498893173320921</v>
      </c>
      <c r="S101" s="608">
        <f t="shared" si="12"/>
        <v>35.157920176424213</v>
      </c>
      <c r="T101" s="608">
        <f t="shared" si="13"/>
        <v>50.006188746360976</v>
      </c>
      <c r="U101" s="608">
        <f t="shared" si="14"/>
        <v>0.67710709475193609</v>
      </c>
      <c r="V101" s="1295">
        <f t="shared" si="15"/>
        <v>116.29670346818196</v>
      </c>
      <c r="W101" s="730">
        <f>($W$102-$W$97)/($A$102-$A$97)+W100</f>
        <v>0.2</v>
      </c>
      <c r="X101" s="606">
        <f t="shared" si="16"/>
        <v>21.467663981197909</v>
      </c>
      <c r="Y101" s="606">
        <f t="shared" si="17"/>
        <v>21.467663981197909</v>
      </c>
      <c r="Z101" s="607">
        <f t="shared" si="18"/>
        <v>175.69524119236999</v>
      </c>
      <c r="AA101" s="608">
        <f t="shared" si="19"/>
        <v>16.400809528171415</v>
      </c>
      <c r="AB101" s="811">
        <f t="shared" si="20"/>
        <v>9.33480577895337E-2</v>
      </c>
      <c r="AC101" s="135" t="str">
        <f t="shared" si="42"/>
        <v>Policies met</v>
      </c>
      <c r="AD101" s="1240">
        <f t="shared" si="43"/>
        <v>9.33480577895337E-2</v>
      </c>
      <c r="AE101" s="135" t="str">
        <f t="shared" si="44"/>
        <v>No</v>
      </c>
      <c r="AF101" s="1293">
        <f t="shared" si="45"/>
        <v>384.65899435319329</v>
      </c>
      <c r="AG101" s="118">
        <f t="shared" si="46"/>
        <v>159.29443166419858</v>
      </c>
      <c r="AH101" s="118">
        <f t="shared" si="21"/>
        <v>105.44063207210185</v>
      </c>
      <c r="AI101" s="118">
        <f t="shared" si="22"/>
        <v>73.200063856983093</v>
      </c>
      <c r="AJ101" s="118">
        <f t="shared" si="23"/>
        <v>46.723866759909782</v>
      </c>
      <c r="AK101" s="118">
        <f t="shared" si="47"/>
        <v>384.65899435319329</v>
      </c>
      <c r="AL101" s="828">
        <f t="shared" si="24"/>
        <v>0</v>
      </c>
      <c r="AM101" s="730">
        <f t="shared" si="48"/>
        <v>0.41411856736134106</v>
      </c>
      <c r="AN101" s="483">
        <f t="shared" si="49"/>
        <v>0.27411456282050806</v>
      </c>
      <c r="AO101" s="483">
        <f t="shared" si="50"/>
        <v>0.19029858896207405</v>
      </c>
      <c r="AP101" s="483">
        <f t="shared" si="51"/>
        <v>0.1214682808560769</v>
      </c>
      <c r="AQ101" s="483">
        <f t="shared" si="52"/>
        <v>1.0000000000000002</v>
      </c>
      <c r="AR101" s="834">
        <f t="shared" si="77"/>
        <v>33.172422441800421</v>
      </c>
      <c r="AS101" s="835">
        <f t="shared" si="78"/>
        <v>44.682374531298585</v>
      </c>
      <c r="AT101" s="835">
        <f t="shared" si="79"/>
        <v>10.546415218886233</v>
      </c>
      <c r="AU101" s="835">
        <f t="shared" si="53"/>
        <v>0</v>
      </c>
      <c r="AV101" s="835">
        <f t="shared" si="54"/>
        <v>0</v>
      </c>
      <c r="AW101" s="835">
        <f t="shared" si="55"/>
        <v>0</v>
      </c>
      <c r="AX101" s="1228">
        <f t="shared" si="25"/>
        <v>44.88910624156167</v>
      </c>
      <c r="AY101" s="835">
        <f t="shared" si="80"/>
        <v>6.4899412920940085</v>
      </c>
      <c r="AZ101" s="835">
        <f t="shared" si="81"/>
        <v>9.4330961672006861</v>
      </c>
      <c r="BA101" s="835">
        <f t="shared" si="82"/>
        <v>8.2924403559187141</v>
      </c>
      <c r="BB101" s="835">
        <f t="shared" si="83"/>
        <v>1.7886354154382103</v>
      </c>
      <c r="BC101" s="608">
        <f t="shared" si="56"/>
        <v>159.29443166419858</v>
      </c>
      <c r="BD101" s="840">
        <f t="shared" si="57"/>
        <v>0</v>
      </c>
      <c r="BE101" s="760">
        <f t="shared" si="58"/>
        <v>0.20824596374925214</v>
      </c>
      <c r="BF101" s="705">
        <f t="shared" si="59"/>
        <v>0.28050179823919702</v>
      </c>
      <c r="BG101" s="705">
        <f t="shared" si="60"/>
        <v>6.6207055128698136E-2</v>
      </c>
      <c r="BH101" s="705">
        <f t="shared" si="61"/>
        <v>0</v>
      </c>
      <c r="BI101" s="705">
        <f t="shared" si="62"/>
        <v>0</v>
      </c>
      <c r="BJ101" s="705">
        <f t="shared" si="63"/>
        <v>0</v>
      </c>
      <c r="BK101" s="705">
        <f t="shared" si="64"/>
        <v>0.44504518288285239</v>
      </c>
      <c r="BL101" s="705">
        <f t="shared" si="65"/>
        <v>0.99999999999999978</v>
      </c>
      <c r="BM101" s="730">
        <f t="shared" si="84"/>
        <v>0.29028184578274857</v>
      </c>
      <c r="BN101" s="483">
        <f t="shared" si="66"/>
        <v>0.30317187715157518</v>
      </c>
      <c r="BO101" s="483">
        <f t="shared" si="66"/>
        <v>8.2805443243048754E-2</v>
      </c>
      <c r="BP101" s="483">
        <f t="shared" si="66"/>
        <v>0</v>
      </c>
      <c r="BQ101" s="483">
        <f t="shared" si="66"/>
        <v>0</v>
      </c>
      <c r="BR101" s="483">
        <f t="shared" si="66"/>
        <v>0</v>
      </c>
      <c r="BS101" s="483">
        <f t="shared" si="66"/>
        <v>0.32374083382262742</v>
      </c>
      <c r="BT101" s="604">
        <f t="shared" si="85"/>
        <v>0.99999999999999989</v>
      </c>
      <c r="BV101" s="606">
        <f t="shared" si="26"/>
        <v>90.867285029242865</v>
      </c>
      <c r="BW101" s="114">
        <f t="shared" si="67"/>
        <v>0.35686533956860023</v>
      </c>
      <c r="BX101" s="1503">
        <f t="shared" si="27"/>
        <v>47.328556831579235</v>
      </c>
      <c r="BY101" s="606">
        <f t="shared" si="28"/>
        <v>89.993966261017306</v>
      </c>
      <c r="BZ101" s="114">
        <f t="shared" si="68"/>
        <v>0.34382460695929362</v>
      </c>
      <c r="CA101" s="765">
        <f t="shared" si="29"/>
        <v>50.172070130067617</v>
      </c>
      <c r="CB101" s="730">
        <f t="shared" si="30"/>
        <v>9.33480577895337E-2</v>
      </c>
      <c r="CC101" s="604">
        <f t="shared" si="31"/>
        <v>0.40996511174104849</v>
      </c>
      <c r="CD101" s="114">
        <f t="shared" si="32"/>
        <v>9.33480577895337E-2</v>
      </c>
      <c r="CE101" s="604">
        <f t="shared" si="33"/>
        <v>0.51714095500752022</v>
      </c>
      <c r="CG101" s="602">
        <f t="shared" si="69"/>
        <v>19.906988845862937</v>
      </c>
      <c r="CH101" s="704">
        <f t="shared" si="70"/>
        <v>7.7055380022306865</v>
      </c>
      <c r="CI101" s="704">
        <f t="shared" si="71"/>
        <v>31.875996612035554</v>
      </c>
      <c r="CJ101" s="704">
        <f t="shared" si="72"/>
        <v>45.338208149431345</v>
      </c>
      <c r="CK101" s="704">
        <f t="shared" si="73"/>
        <v>0.61390046254132913</v>
      </c>
      <c r="CL101" s="704">
        <f t="shared" si="74"/>
        <v>105.44063207210183</v>
      </c>
      <c r="CM101" s="727">
        <f t="shared" si="75"/>
        <v>0</v>
      </c>
    </row>
    <row r="102" spans="1:91" s="1" customFormat="1">
      <c r="A102" s="157">
        <f>'Input data'!A122</f>
        <v>2022</v>
      </c>
      <c r="B102" s="749">
        <f>'Input data'!B122</f>
        <v>60.682000000000002</v>
      </c>
      <c r="C102" s="605">
        <f>'Input data'!C122</f>
        <v>3077.2</v>
      </c>
      <c r="D102" s="750">
        <f>'Input data'!D122</f>
        <v>45903210.392984279</v>
      </c>
      <c r="E102" s="729">
        <f t="shared" si="34"/>
        <v>0.75801212121212114</v>
      </c>
      <c r="F102" s="477">
        <f t="shared" si="35"/>
        <v>0.30136515151515147</v>
      </c>
      <c r="G102" s="770">
        <f>B102*F102*'Input data'!$C$9</f>
        <v>559.72481930992205</v>
      </c>
      <c r="H102" s="734">
        <f>'Input data'!I122</f>
        <v>424.26313389388866</v>
      </c>
      <c r="I102" s="740">
        <f>'Input data'!K122</f>
        <v>25745.135490948953</v>
      </c>
      <c r="J102" s="608">
        <f t="shared" si="76"/>
        <v>151.02346882026438</v>
      </c>
      <c r="K102" s="609">
        <f t="shared" si="10"/>
        <v>46.139436353303523</v>
      </c>
      <c r="L102" s="483">
        <f t="shared" si="36"/>
        <v>0.57999999999999996</v>
      </c>
      <c r="M102" s="483">
        <f t="shared" si="37"/>
        <v>0.437</v>
      </c>
      <c r="N102" s="483">
        <f t="shared" si="38"/>
        <v>0.71200000000000008</v>
      </c>
      <c r="O102" s="483">
        <f t="shared" si="39"/>
        <v>0.8</v>
      </c>
      <c r="P102" s="483">
        <f t="shared" si="40"/>
        <v>0.23600000000000002</v>
      </c>
      <c r="Q102" s="602">
        <f t="shared" si="41"/>
        <v>21.956594277323916</v>
      </c>
      <c r="R102" s="608">
        <f t="shared" si="11"/>
        <v>8.498893173320921</v>
      </c>
      <c r="S102" s="608">
        <f t="shared" si="12"/>
        <v>35.157920176424213</v>
      </c>
      <c r="T102" s="608">
        <f t="shared" si="13"/>
        <v>50.006188746360976</v>
      </c>
      <c r="U102" s="608">
        <f t="shared" si="14"/>
        <v>0.67710709475193609</v>
      </c>
      <c r="V102" s="1295">
        <f t="shared" si="15"/>
        <v>116.29670346818196</v>
      </c>
      <c r="W102" s="729">
        <f>$C$26</f>
        <v>0.25</v>
      </c>
      <c r="X102" s="606">
        <f t="shared" si="16"/>
        <v>26.834579976497384</v>
      </c>
      <c r="Y102" s="606">
        <f t="shared" si="17"/>
        <v>26.834579976497384</v>
      </c>
      <c r="Z102" s="607">
        <f t="shared" si="18"/>
        <v>170.32832519707051</v>
      </c>
      <c r="AA102" s="608">
        <f t="shared" si="19"/>
        <v>19.304856376806139</v>
      </c>
      <c r="AB102" s="811">
        <f t="shared" si="20"/>
        <v>0.11333908411575319</v>
      </c>
      <c r="AC102" s="135" t="str">
        <f t="shared" si="42"/>
        <v>Policies met</v>
      </c>
      <c r="AD102" s="1240">
        <f t="shared" si="43"/>
        <v>0.11333908411575319</v>
      </c>
      <c r="AE102" s="135" t="str">
        <f t="shared" si="44"/>
        <v>No</v>
      </c>
      <c r="AF102" s="1293">
        <f t="shared" si="45"/>
        <v>376.17753887427614</v>
      </c>
      <c r="AG102" s="118">
        <f t="shared" si="46"/>
        <v>151.02346882026438</v>
      </c>
      <c r="AH102" s="118">
        <f t="shared" si="21"/>
        <v>103.11574161141688</v>
      </c>
      <c r="AI102" s="118">
        <f t="shared" si="22"/>
        <v>76.344689498866558</v>
      </c>
      <c r="AJ102" s="118">
        <f t="shared" si="23"/>
        <v>45.693638943728367</v>
      </c>
      <c r="AK102" s="118">
        <f t="shared" si="47"/>
        <v>376.17753887427619</v>
      </c>
      <c r="AL102" s="828">
        <f t="shared" si="24"/>
        <v>0</v>
      </c>
      <c r="AM102" s="730">
        <f t="shared" si="48"/>
        <v>0.40146859717410865</v>
      </c>
      <c r="AN102" s="483">
        <f t="shared" si="49"/>
        <v>0.274114562820508</v>
      </c>
      <c r="AO102" s="483">
        <f t="shared" si="50"/>
        <v>0.20294855914930643</v>
      </c>
      <c r="AP102" s="483">
        <f t="shared" si="51"/>
        <v>0.1214682808560769</v>
      </c>
      <c r="AQ102" s="483">
        <f t="shared" si="52"/>
        <v>1</v>
      </c>
      <c r="AR102" s="834">
        <f t="shared" si="77"/>
        <v>30.061676946506498</v>
      </c>
      <c r="AS102" s="835">
        <f t="shared" si="78"/>
        <v>41.317842831484214</v>
      </c>
      <c r="AT102" s="835">
        <f t="shared" si="79"/>
        <v>10.313874312643895</v>
      </c>
      <c r="AU102" s="835">
        <f t="shared" si="53"/>
        <v>0</v>
      </c>
      <c r="AV102" s="835">
        <f t="shared" si="54"/>
        <v>0</v>
      </c>
      <c r="AW102" s="835">
        <f t="shared" si="55"/>
        <v>0</v>
      </c>
      <c r="AX102" s="1228">
        <f t="shared" si="25"/>
        <v>43.8993335814517</v>
      </c>
      <c r="AY102" s="835">
        <f t="shared" si="80"/>
        <v>6.346842732232596</v>
      </c>
      <c r="AZ102" s="835">
        <f t="shared" si="81"/>
        <v>9.2251031491120603</v>
      </c>
      <c r="BA102" s="835">
        <f t="shared" si="82"/>
        <v>8.1095979819647042</v>
      </c>
      <c r="BB102" s="835">
        <f t="shared" si="83"/>
        <v>1.7491972848686588</v>
      </c>
      <c r="BC102" s="608">
        <f t="shared" si="56"/>
        <v>151.02346882026433</v>
      </c>
      <c r="BD102" s="840">
        <f t="shared" si="57"/>
        <v>0</v>
      </c>
      <c r="BE102" s="760">
        <f t="shared" si="58"/>
        <v>0.19905301594074379</v>
      </c>
      <c r="BF102" s="705">
        <f t="shared" si="59"/>
        <v>0.2735855768261905</v>
      </c>
      <c r="BG102" s="705">
        <f t="shared" si="60"/>
        <v>6.8293189086516201E-2</v>
      </c>
      <c r="BH102" s="705">
        <f t="shared" si="61"/>
        <v>0</v>
      </c>
      <c r="BI102" s="705">
        <f t="shared" si="62"/>
        <v>0</v>
      </c>
      <c r="BJ102" s="705">
        <f t="shared" si="63"/>
        <v>0</v>
      </c>
      <c r="BK102" s="705">
        <f t="shared" si="64"/>
        <v>0.45906821814654947</v>
      </c>
      <c r="BL102" s="705">
        <f t="shared" si="65"/>
        <v>1</v>
      </c>
      <c r="BM102" s="730">
        <f t="shared" si="84"/>
        <v>0.29028184578274857</v>
      </c>
      <c r="BN102" s="483">
        <f t="shared" si="66"/>
        <v>0.30317187715157518</v>
      </c>
      <c r="BO102" s="483">
        <f t="shared" si="66"/>
        <v>8.2805443243048754E-2</v>
      </c>
      <c r="BP102" s="483">
        <f t="shared" si="66"/>
        <v>0</v>
      </c>
      <c r="BQ102" s="483">
        <f t="shared" si="66"/>
        <v>0</v>
      </c>
      <c r="BR102" s="483">
        <f t="shared" si="66"/>
        <v>0</v>
      </c>
      <c r="BS102" s="483">
        <f t="shared" si="66"/>
        <v>0.32374083382262742</v>
      </c>
      <c r="BT102" s="604">
        <f t="shared" si="85"/>
        <v>0.99999999999999989</v>
      </c>
      <c r="BV102" s="606">
        <f t="shared" si="26"/>
        <v>89.290543972056582</v>
      </c>
      <c r="BW102" s="114">
        <f t="shared" si="67"/>
        <v>0.37943231633106983</v>
      </c>
      <c r="BX102" s="1503">
        <f t="shared" si="27"/>
        <v>45.903210392984278</v>
      </c>
      <c r="BY102" s="606">
        <f t="shared" si="28"/>
        <v>87.940575062302727</v>
      </c>
      <c r="BZ102" s="114">
        <f t="shared" si="68"/>
        <v>0.35857690816221094</v>
      </c>
      <c r="CA102" s="765">
        <f t="shared" si="29"/>
        <v>50.172070130067617</v>
      </c>
      <c r="CB102" s="730">
        <f t="shared" si="30"/>
        <v>0.11333908411575319</v>
      </c>
      <c r="CC102" s="604">
        <f t="shared" si="31"/>
        <v>0.41924619569115001</v>
      </c>
      <c r="CD102" s="114">
        <f t="shared" si="32"/>
        <v>0.11333908411575319</v>
      </c>
      <c r="CE102" s="604">
        <f t="shared" si="33"/>
        <v>0.57795902501819563</v>
      </c>
      <c r="CG102" s="602">
        <f t="shared" si="69"/>
        <v>19.468053991630835</v>
      </c>
      <c r="CH102" s="704">
        <f t="shared" si="70"/>
        <v>7.5356364050591003</v>
      </c>
      <c r="CI102" s="704">
        <f t="shared" si="71"/>
        <v>31.173153704213533</v>
      </c>
      <c r="CJ102" s="704">
        <f t="shared" si="72"/>
        <v>44.338533113728936</v>
      </c>
      <c r="CK102" s="704">
        <f t="shared" si="73"/>
        <v>0.60036439678447306</v>
      </c>
      <c r="CL102" s="704">
        <f t="shared" si="74"/>
        <v>103.11574161141687</v>
      </c>
      <c r="CM102" s="727">
        <f t="shared" si="75"/>
        <v>0</v>
      </c>
    </row>
    <row r="103" spans="1:91">
      <c r="A103" s="127">
        <f>'Input data'!A123</f>
        <v>2023</v>
      </c>
      <c r="B103" s="748">
        <f>'Input data'!B123</f>
        <v>61.381</v>
      </c>
      <c r="C103" s="236">
        <f>'Input data'!C123</f>
        <v>3140.61</v>
      </c>
      <c r="D103" s="237">
        <f>'Input data'!D123</f>
        <v>44745286.877069645</v>
      </c>
      <c r="E103" s="730">
        <f t="shared" si="34"/>
        <v>0.76665454545454537</v>
      </c>
      <c r="F103" s="483">
        <f t="shared" si="35"/>
        <v>0.30371818181818178</v>
      </c>
      <c r="G103" s="607">
        <f>B103*F103*'Input data'!$C$9</f>
        <v>570.59294620778201</v>
      </c>
      <c r="H103" s="602">
        <f>'Input data'!I123</f>
        <v>424.26313389388866</v>
      </c>
      <c r="I103" s="608">
        <f>'Input data'!K123</f>
        <v>26041.695421540779</v>
      </c>
      <c r="J103" s="608">
        <f t="shared" si="76"/>
        <v>143.1819549259956</v>
      </c>
      <c r="K103" s="609">
        <f t="shared" si="10"/>
        <v>53.980950247572309</v>
      </c>
      <c r="L103" s="483">
        <f t="shared" si="36"/>
        <v>0.57999999999999996</v>
      </c>
      <c r="M103" s="483">
        <f t="shared" si="37"/>
        <v>0.437</v>
      </c>
      <c r="N103" s="483">
        <f t="shared" si="38"/>
        <v>0.71200000000000008</v>
      </c>
      <c r="O103" s="483">
        <f t="shared" si="39"/>
        <v>0.8</v>
      </c>
      <c r="P103" s="483">
        <f t="shared" si="40"/>
        <v>0.23600000000000002</v>
      </c>
      <c r="Q103" s="602">
        <f t="shared" si="41"/>
        <v>21.956594277323916</v>
      </c>
      <c r="R103" s="608">
        <f t="shared" si="11"/>
        <v>8.498893173320921</v>
      </c>
      <c r="S103" s="608">
        <f t="shared" si="12"/>
        <v>35.157920176424213</v>
      </c>
      <c r="T103" s="608">
        <f t="shared" si="13"/>
        <v>50.006188746360976</v>
      </c>
      <c r="U103" s="608">
        <f t="shared" si="14"/>
        <v>0.67710709475193609</v>
      </c>
      <c r="V103" s="1295">
        <f t="shared" si="15"/>
        <v>116.29670346818196</v>
      </c>
      <c r="W103" s="730">
        <f>($W$107-$W$102)/($A$107-$A$102)+W102</f>
        <v>0.3</v>
      </c>
      <c r="X103" s="606">
        <f t="shared" si="16"/>
        <v>32.201495971796867</v>
      </c>
      <c r="Y103" s="606">
        <f t="shared" si="17"/>
        <v>32.201495971796867</v>
      </c>
      <c r="Z103" s="607">
        <f t="shared" si="18"/>
        <v>164.96140920177103</v>
      </c>
      <c r="AA103" s="608">
        <f t="shared" si="19"/>
        <v>21.779454275775443</v>
      </c>
      <c r="AB103" s="811">
        <f t="shared" si="20"/>
        <v>0.13202757166760198</v>
      </c>
      <c r="AC103" s="135" t="str">
        <f t="shared" si="42"/>
        <v>Policies met</v>
      </c>
      <c r="AD103" s="1240">
        <f t="shared" si="43"/>
        <v>0.13202757166760198</v>
      </c>
      <c r="AE103" s="135" t="str">
        <f t="shared" si="44"/>
        <v>No</v>
      </c>
      <c r="AF103" s="1293">
        <f t="shared" si="45"/>
        <v>368.24870257779185</v>
      </c>
      <c r="AG103" s="118">
        <f t="shared" si="46"/>
        <v>143.1819549259956</v>
      </c>
      <c r="AH103" s="118">
        <f t="shared" si="21"/>
        <v>100.9423321163307</v>
      </c>
      <c r="AI103" s="118">
        <f t="shared" si="22"/>
        <v>79.393878705860431</v>
      </c>
      <c r="AJ103" s="118">
        <f t="shared" si="23"/>
        <v>44.730536829605157</v>
      </c>
      <c r="AK103" s="118">
        <f t="shared" si="47"/>
        <v>368.2487025777919</v>
      </c>
      <c r="AL103" s="828">
        <f t="shared" si="24"/>
        <v>0</v>
      </c>
      <c r="AM103" s="730">
        <f t="shared" si="48"/>
        <v>0.38881862698687625</v>
      </c>
      <c r="AN103" s="483">
        <f t="shared" si="49"/>
        <v>0.274114562820508</v>
      </c>
      <c r="AO103" s="483">
        <f t="shared" si="50"/>
        <v>0.21559852933653884</v>
      </c>
      <c r="AP103" s="483">
        <f t="shared" si="51"/>
        <v>0.1214682808560769</v>
      </c>
      <c r="AQ103" s="483">
        <f t="shared" si="52"/>
        <v>0.99999999999999989</v>
      </c>
      <c r="AR103" s="834">
        <f t="shared" si="77"/>
        <v>27.098888054491233</v>
      </c>
      <c r="AS103" s="835">
        <f t="shared" si="78"/>
        <v>38.117803472853808</v>
      </c>
      <c r="AT103" s="835">
        <f t="shared" si="79"/>
        <v>10.096484881971909</v>
      </c>
      <c r="AU103" s="835">
        <f t="shared" si="53"/>
        <v>0</v>
      </c>
      <c r="AV103" s="835">
        <f t="shared" si="54"/>
        <v>0</v>
      </c>
      <c r="AW103" s="835">
        <f t="shared" si="55"/>
        <v>0</v>
      </c>
      <c r="AX103" s="1228">
        <f t="shared" si="25"/>
        <v>42.974050720242872</v>
      </c>
      <c r="AY103" s="835">
        <f t="shared" si="80"/>
        <v>6.2130679269265769</v>
      </c>
      <c r="AZ103" s="835">
        <f t="shared" si="81"/>
        <v>9.0306621601407944</v>
      </c>
      <c r="BA103" s="835">
        <f t="shared" si="82"/>
        <v>7.9386689174019534</v>
      </c>
      <c r="BB103" s="835">
        <f t="shared" si="83"/>
        <v>1.7123287919663919</v>
      </c>
      <c r="BC103" s="608">
        <f t="shared" si="56"/>
        <v>143.18195492599551</v>
      </c>
      <c r="BD103" s="840">
        <f t="shared" si="57"/>
        <v>0</v>
      </c>
      <c r="BE103" s="760">
        <f t="shared" si="58"/>
        <v>0.18926189454877509</v>
      </c>
      <c r="BF103" s="705">
        <f t="shared" si="59"/>
        <v>0.26621932556064926</v>
      </c>
      <c r="BG103" s="705">
        <f t="shared" si="60"/>
        <v>7.0515065164394083E-2</v>
      </c>
      <c r="BH103" s="705">
        <f t="shared" si="61"/>
        <v>0</v>
      </c>
      <c r="BI103" s="705">
        <f t="shared" si="62"/>
        <v>0</v>
      </c>
      <c r="BJ103" s="705">
        <f t="shared" si="63"/>
        <v>0</v>
      </c>
      <c r="BK103" s="705">
        <f t="shared" si="64"/>
        <v>0.47400371472618164</v>
      </c>
      <c r="BL103" s="705">
        <f t="shared" si="65"/>
        <v>1</v>
      </c>
      <c r="BM103" s="730">
        <f t="shared" si="84"/>
        <v>0.29028184578274857</v>
      </c>
      <c r="BN103" s="483">
        <f t="shared" si="66"/>
        <v>0.30317187715157518</v>
      </c>
      <c r="BO103" s="483">
        <f t="shared" si="66"/>
        <v>8.2805443243048754E-2</v>
      </c>
      <c r="BP103" s="483">
        <f t="shared" si="66"/>
        <v>0</v>
      </c>
      <c r="BQ103" s="483">
        <f t="shared" si="66"/>
        <v>0</v>
      </c>
      <c r="BR103" s="483">
        <f t="shared" si="66"/>
        <v>0</v>
      </c>
      <c r="BS103" s="483">
        <f t="shared" si="66"/>
        <v>0.32374083382262742</v>
      </c>
      <c r="BT103" s="604">
        <f t="shared" si="85"/>
        <v>0.99999999999999989</v>
      </c>
      <c r="BV103" s="606">
        <f t="shared" si="26"/>
        <v>87.742597350320452</v>
      </c>
      <c r="BW103" s="114">
        <f t="shared" si="67"/>
        <v>0.40265575687566835</v>
      </c>
      <c r="BX103" s="1503">
        <f t="shared" si="27"/>
        <v>44.745286877069645</v>
      </c>
      <c r="BY103" s="606">
        <f t="shared" si="28"/>
        <v>85.981776376355498</v>
      </c>
      <c r="BZ103" s="114">
        <f t="shared" si="68"/>
        <v>0.37450722069661757</v>
      </c>
      <c r="CA103" s="765">
        <f t="shared" si="29"/>
        <v>50.172070130067617</v>
      </c>
      <c r="CB103" s="730">
        <f t="shared" si="30"/>
        <v>0.13202757166760198</v>
      </c>
      <c r="CC103" s="604">
        <f t="shared" si="31"/>
        <v>0.43557414277489337</v>
      </c>
      <c r="CD103" s="114">
        <f t="shared" si="32"/>
        <v>0.13202757166760198</v>
      </c>
      <c r="CE103" s="604">
        <f t="shared" si="33"/>
        <v>0.63450040196700619</v>
      </c>
      <c r="CG103" s="602">
        <f t="shared" si="69"/>
        <v>19.057718452798071</v>
      </c>
      <c r="CH103" s="704">
        <f t="shared" si="70"/>
        <v>7.3768049457849996</v>
      </c>
      <c r="CI103" s="704">
        <f t="shared" si="71"/>
        <v>30.516105350647532</v>
      </c>
      <c r="CJ103" s="704">
        <f t="shared" si="72"/>
        <v>43.403993077827167</v>
      </c>
      <c r="CK103" s="704">
        <f t="shared" si="73"/>
        <v>0.58771028927293301</v>
      </c>
      <c r="CL103" s="704">
        <f t="shared" si="74"/>
        <v>100.9423321163307</v>
      </c>
      <c r="CM103" s="727">
        <f t="shared" si="75"/>
        <v>0</v>
      </c>
    </row>
    <row r="104" spans="1:91">
      <c r="A104" s="127">
        <f>'Input data'!A124</f>
        <v>2024</v>
      </c>
      <c r="B104" s="748">
        <f>'Input data'!B124</f>
        <v>62.088000000000001</v>
      </c>
      <c r="C104" s="236">
        <f>'Input data'!C124</f>
        <v>3201.77</v>
      </c>
      <c r="D104" s="237">
        <f>'Input data'!D124</f>
        <v>43251251.992583826</v>
      </c>
      <c r="E104" s="730">
        <f t="shared" si="34"/>
        <v>0.7752969696969696</v>
      </c>
      <c r="F104" s="483">
        <f t="shared" si="35"/>
        <v>0.30607121212121208</v>
      </c>
      <c r="G104" s="607">
        <f>B104*F104*'Input data'!$C$9</f>
        <v>581.63669967536055</v>
      </c>
      <c r="H104" s="602">
        <f>'Input data'!I124</f>
        <v>424.26313389388866</v>
      </c>
      <c r="I104" s="608">
        <f>'Input data'!K124</f>
        <v>26341.649457203759</v>
      </c>
      <c r="J104" s="608">
        <f t="shared" si="76"/>
        <v>135.7475919244612</v>
      </c>
      <c r="K104" s="609">
        <f t="shared" si="10"/>
        <v>61.415313249106703</v>
      </c>
      <c r="L104" s="483">
        <f t="shared" si="36"/>
        <v>0.57999999999999996</v>
      </c>
      <c r="M104" s="483">
        <f t="shared" si="37"/>
        <v>0.437</v>
      </c>
      <c r="N104" s="483">
        <f t="shared" si="38"/>
        <v>0.71200000000000008</v>
      </c>
      <c r="O104" s="483">
        <f t="shared" si="39"/>
        <v>0.8</v>
      </c>
      <c r="P104" s="483">
        <f t="shared" si="40"/>
        <v>0.23600000000000002</v>
      </c>
      <c r="Q104" s="602">
        <f t="shared" si="41"/>
        <v>21.956594277323916</v>
      </c>
      <c r="R104" s="608">
        <f t="shared" si="11"/>
        <v>8.498893173320921</v>
      </c>
      <c r="S104" s="608">
        <f t="shared" si="12"/>
        <v>35.157920176424213</v>
      </c>
      <c r="T104" s="608">
        <f t="shared" si="13"/>
        <v>50.006188746360976</v>
      </c>
      <c r="U104" s="608">
        <f t="shared" si="14"/>
        <v>0.67710709475193609</v>
      </c>
      <c r="V104" s="1295">
        <f t="shared" si="15"/>
        <v>116.29670346818196</v>
      </c>
      <c r="W104" s="730">
        <f>($W$107-$W$102)/($A$107-$A$102)+W103</f>
        <v>0.35</v>
      </c>
      <c r="X104" s="606">
        <f t="shared" si="16"/>
        <v>37.568411967096331</v>
      </c>
      <c r="Y104" s="606">
        <f t="shared" si="17"/>
        <v>37.568411967096331</v>
      </c>
      <c r="Z104" s="607">
        <f t="shared" si="18"/>
        <v>159.59449320647158</v>
      </c>
      <c r="AA104" s="608">
        <f t="shared" si="19"/>
        <v>23.846901282010371</v>
      </c>
      <c r="AB104" s="811">
        <f t="shared" si="20"/>
        <v>0.14942183030813608</v>
      </c>
      <c r="AC104" s="135" t="str">
        <f t="shared" si="42"/>
        <v>Policies met</v>
      </c>
      <c r="AD104" s="1240">
        <f t="shared" si="43"/>
        <v>0.14942183030813608</v>
      </c>
      <c r="AE104" s="135" t="str">
        <f t="shared" si="44"/>
        <v>No</v>
      </c>
      <c r="AF104" s="1293">
        <f t="shared" si="45"/>
        <v>360.86895989519803</v>
      </c>
      <c r="AG104" s="118">
        <f t="shared" si="46"/>
        <v>135.7475919244612</v>
      </c>
      <c r="AH104" s="118">
        <f t="shared" si="21"/>
        <v>98.919437177163658</v>
      </c>
      <c r="AI104" s="118">
        <f t="shared" si="22"/>
        <v>82.367798620782921</v>
      </c>
      <c r="AJ104" s="118">
        <f t="shared" si="23"/>
        <v>43.83413217279027</v>
      </c>
      <c r="AK104" s="118">
        <f t="shared" si="47"/>
        <v>360.86895989519803</v>
      </c>
      <c r="AL104" s="828">
        <f t="shared" si="24"/>
        <v>0</v>
      </c>
      <c r="AM104" s="730">
        <f t="shared" si="48"/>
        <v>0.3761686567996439</v>
      </c>
      <c r="AN104" s="483">
        <f t="shared" si="49"/>
        <v>0.27411456282050806</v>
      </c>
      <c r="AO104" s="483">
        <f t="shared" si="50"/>
        <v>0.22824849952377121</v>
      </c>
      <c r="AP104" s="483">
        <f t="shared" si="51"/>
        <v>0.12146828085607692</v>
      </c>
      <c r="AQ104" s="483">
        <f t="shared" si="52"/>
        <v>1.0000000000000002</v>
      </c>
      <c r="AR104" s="834">
        <f t="shared" si="77"/>
        <v>24.273332699172244</v>
      </c>
      <c r="AS104" s="835">
        <f t="shared" si="78"/>
        <v>35.071427895061376</v>
      </c>
      <c r="AT104" s="835">
        <f t="shared" si="79"/>
        <v>9.894150264345086</v>
      </c>
      <c r="AU104" s="835">
        <f t="shared" si="53"/>
        <v>0</v>
      </c>
      <c r="AV104" s="835">
        <f t="shared" si="54"/>
        <v>0</v>
      </c>
      <c r="AW104" s="835">
        <f t="shared" si="55"/>
        <v>0</v>
      </c>
      <c r="AX104" s="1228">
        <f t="shared" si="25"/>
        <v>42.112846229570877</v>
      </c>
      <c r="AY104" s="835">
        <f t="shared" si="80"/>
        <v>6.0885573930150318</v>
      </c>
      <c r="AZ104" s="835">
        <f t="shared" si="81"/>
        <v>8.8496867418195375</v>
      </c>
      <c r="BA104" s="835">
        <f t="shared" si="82"/>
        <v>7.7795771583743552</v>
      </c>
      <c r="BB104" s="835">
        <f t="shared" si="83"/>
        <v>1.6780135431026455</v>
      </c>
      <c r="BC104" s="608">
        <f t="shared" si="56"/>
        <v>135.74759192446118</v>
      </c>
      <c r="BD104" s="840">
        <f t="shared" si="57"/>
        <v>0</v>
      </c>
      <c r="BE104" s="760">
        <f t="shared" si="58"/>
        <v>0.17881225261571868</v>
      </c>
      <c r="BF104" s="705">
        <f t="shared" si="59"/>
        <v>0.25835764301865044</v>
      </c>
      <c r="BG104" s="705">
        <f t="shared" si="60"/>
        <v>7.2886377755053203E-2</v>
      </c>
      <c r="BH104" s="705">
        <f t="shared" si="61"/>
        <v>0</v>
      </c>
      <c r="BI104" s="705">
        <f t="shared" si="62"/>
        <v>0</v>
      </c>
      <c r="BJ104" s="705">
        <f t="shared" si="63"/>
        <v>0</v>
      </c>
      <c r="BK104" s="705">
        <f t="shared" si="64"/>
        <v>0.48994372661057761</v>
      </c>
      <c r="BL104" s="705">
        <f t="shared" si="65"/>
        <v>1</v>
      </c>
      <c r="BM104" s="730">
        <f t="shared" si="84"/>
        <v>0.29028184578274857</v>
      </c>
      <c r="BN104" s="483">
        <f t="shared" si="66"/>
        <v>0.30317187715157518</v>
      </c>
      <c r="BO104" s="483">
        <f t="shared" si="66"/>
        <v>8.2805443243048754E-2</v>
      </c>
      <c r="BP104" s="483">
        <f t="shared" si="66"/>
        <v>0</v>
      </c>
      <c r="BQ104" s="483">
        <f t="shared" si="66"/>
        <v>0</v>
      </c>
      <c r="BR104" s="483">
        <f t="shared" si="66"/>
        <v>0</v>
      </c>
      <c r="BS104" s="483">
        <f t="shared" si="66"/>
        <v>0.32374083382262742</v>
      </c>
      <c r="BT104" s="604">
        <f t="shared" si="85"/>
        <v>0.99999999999999989</v>
      </c>
      <c r="BV104" s="606">
        <f t="shared" si="26"/>
        <v>86.352436594069189</v>
      </c>
      <c r="BW104" s="114">
        <f t="shared" si="67"/>
        <v>0.42978803358723744</v>
      </c>
      <c r="BX104" s="1503">
        <f t="shared" si="27"/>
        <v>43.251251992583825</v>
      </c>
      <c r="BY104" s="606">
        <f t="shared" si="28"/>
        <v>84.057043130962555</v>
      </c>
      <c r="BZ104" s="114">
        <f t="shared" si="68"/>
        <v>0.39178185523986708</v>
      </c>
      <c r="CA104" s="765">
        <f t="shared" si="29"/>
        <v>50.172070130067617</v>
      </c>
      <c r="CB104" s="730">
        <f t="shared" si="30"/>
        <v>0.14942183030813608</v>
      </c>
      <c r="CC104" s="604">
        <f t="shared" si="31"/>
        <v>0.43816490215331066</v>
      </c>
      <c r="CD104" s="114">
        <f t="shared" si="32"/>
        <v>0.14942183030813608</v>
      </c>
      <c r="CE104" s="604">
        <f t="shared" si="33"/>
        <v>0.68836315689870742</v>
      </c>
      <c r="CG104" s="602">
        <f t="shared" si="69"/>
        <v>18.675799773073031</v>
      </c>
      <c r="CH104" s="704">
        <f t="shared" si="70"/>
        <v>7.2289729997699865</v>
      </c>
      <c r="CI104" s="704">
        <f t="shared" si="71"/>
        <v>29.904559393835562</v>
      </c>
      <c r="CJ104" s="704">
        <f t="shared" si="72"/>
        <v>42.534172497145605</v>
      </c>
      <c r="CK104" s="704">
        <f t="shared" si="73"/>
        <v>0.57593251333947726</v>
      </c>
      <c r="CL104" s="704">
        <f t="shared" si="74"/>
        <v>98.919437177163658</v>
      </c>
      <c r="CM104" s="727">
        <f t="shared" si="75"/>
        <v>0</v>
      </c>
    </row>
    <row r="105" spans="1:91">
      <c r="A105" s="127">
        <f>'Input data'!A125</f>
        <v>2025</v>
      </c>
      <c r="B105" s="748">
        <f>'Input data'!B125</f>
        <v>62.802999999999997</v>
      </c>
      <c r="C105" s="236">
        <f>'Input data'!C125</f>
        <v>3265.54</v>
      </c>
      <c r="D105" s="237">
        <f>'Input data'!D125</f>
        <v>40955103.194912732</v>
      </c>
      <c r="E105" s="730">
        <f t="shared" si="34"/>
        <v>0.78393939393939382</v>
      </c>
      <c r="F105" s="483">
        <f t="shared" si="35"/>
        <v>0.30842424242424238</v>
      </c>
      <c r="G105" s="607">
        <f>B105*F105*'Input data'!$C$9</f>
        <v>592.85780817693978</v>
      </c>
      <c r="H105" s="602">
        <f>'Input data'!I125</f>
        <v>424.26313389388866</v>
      </c>
      <c r="I105" s="608">
        <f>'Input data'!K125</f>
        <v>26644.997597937887</v>
      </c>
      <c r="J105" s="608">
        <f t="shared" si="76"/>
        <v>128.69923952927135</v>
      </c>
      <c r="K105" s="609">
        <f t="shared" si="10"/>
        <v>68.463665644296555</v>
      </c>
      <c r="L105" s="483">
        <f t="shared" si="36"/>
        <v>0.57999999999999996</v>
      </c>
      <c r="M105" s="483">
        <f t="shared" si="37"/>
        <v>0.437</v>
      </c>
      <c r="N105" s="483">
        <f t="shared" si="38"/>
        <v>0.71200000000000008</v>
      </c>
      <c r="O105" s="483">
        <f t="shared" si="39"/>
        <v>0.8</v>
      </c>
      <c r="P105" s="483">
        <f t="shared" si="40"/>
        <v>0.23600000000000002</v>
      </c>
      <c r="Q105" s="602">
        <f t="shared" si="41"/>
        <v>21.956594277323916</v>
      </c>
      <c r="R105" s="608">
        <f t="shared" si="11"/>
        <v>8.498893173320921</v>
      </c>
      <c r="S105" s="608">
        <f t="shared" si="12"/>
        <v>35.157920176424213</v>
      </c>
      <c r="T105" s="608">
        <f t="shared" si="13"/>
        <v>50.006188746360976</v>
      </c>
      <c r="U105" s="608">
        <f t="shared" si="14"/>
        <v>0.67710709475193609</v>
      </c>
      <c r="V105" s="1295">
        <f t="shared" si="15"/>
        <v>116.29670346818196</v>
      </c>
      <c r="W105" s="730">
        <f>($W$107-$W$102)/($A$107-$A$102)+W104</f>
        <v>0.39999999999999997</v>
      </c>
      <c r="X105" s="606">
        <f t="shared" si="16"/>
        <v>42.935327962395817</v>
      </c>
      <c r="Y105" s="606">
        <f t="shared" si="17"/>
        <v>42.935327962395817</v>
      </c>
      <c r="Z105" s="607">
        <f t="shared" si="18"/>
        <v>154.2275772111721</v>
      </c>
      <c r="AA105" s="608">
        <f t="shared" si="19"/>
        <v>25.528337681900737</v>
      </c>
      <c r="AB105" s="811">
        <f t="shared" si="20"/>
        <v>0.16552381969241936</v>
      </c>
      <c r="AC105" s="135" t="str">
        <f t="shared" si="42"/>
        <v>Policies met</v>
      </c>
      <c r="AD105" s="1240">
        <f t="shared" si="43"/>
        <v>0.16552381969241936</v>
      </c>
      <c r="AE105" s="135" t="str">
        <f t="shared" si="44"/>
        <v>No</v>
      </c>
      <c r="AF105" s="1293">
        <f t="shared" si="45"/>
        <v>354.03747941709588</v>
      </c>
      <c r="AG105" s="118">
        <f t="shared" si="46"/>
        <v>128.69923952927138</v>
      </c>
      <c r="AH105" s="118">
        <f t="shared" si="21"/>
        <v>97.046828892491845</v>
      </c>
      <c r="AI105" s="118">
        <f t="shared" si="22"/>
        <v>85.28708701191934</v>
      </c>
      <c r="AJ105" s="118">
        <f t="shared" si="23"/>
        <v>43.00432398341335</v>
      </c>
      <c r="AK105" s="118">
        <f t="shared" si="47"/>
        <v>354.03747941709594</v>
      </c>
      <c r="AL105" s="828">
        <f t="shared" si="24"/>
        <v>0</v>
      </c>
      <c r="AM105" s="730">
        <f t="shared" si="48"/>
        <v>0.36351868661241149</v>
      </c>
      <c r="AN105" s="483">
        <f t="shared" si="49"/>
        <v>0.274114562820508</v>
      </c>
      <c r="AO105" s="483">
        <f t="shared" si="50"/>
        <v>0.24089846971100359</v>
      </c>
      <c r="AP105" s="483">
        <f t="shared" si="51"/>
        <v>0.12146828085607689</v>
      </c>
      <c r="AQ105" s="483">
        <f t="shared" si="52"/>
        <v>1</v>
      </c>
      <c r="AR105" s="834">
        <f t="shared" si="77"/>
        <v>21.574541188872935</v>
      </c>
      <c r="AS105" s="835">
        <f t="shared" si="78"/>
        <v>32.16822152859703</v>
      </c>
      <c r="AT105" s="835">
        <f t="shared" si="79"/>
        <v>9.7068476645373529</v>
      </c>
      <c r="AU105" s="835">
        <f t="shared" si="53"/>
        <v>0</v>
      </c>
      <c r="AV105" s="835">
        <f t="shared" si="54"/>
        <v>0</v>
      </c>
      <c r="AW105" s="835">
        <f t="shared" si="55"/>
        <v>0</v>
      </c>
      <c r="AX105" s="1228">
        <f t="shared" si="25"/>
        <v>41.315623085252284</v>
      </c>
      <c r="AY105" s="835">
        <f t="shared" si="80"/>
        <v>5.9732971030131807</v>
      </c>
      <c r="AZ105" s="835">
        <f t="shared" si="81"/>
        <v>8.6821565052715748</v>
      </c>
      <c r="BA105" s="835">
        <f t="shared" si="82"/>
        <v>7.632304781440749</v>
      </c>
      <c r="BB105" s="835">
        <f t="shared" si="83"/>
        <v>1.6462476722861976</v>
      </c>
      <c r="BC105" s="608">
        <f t="shared" si="56"/>
        <v>128.69923952927132</v>
      </c>
      <c r="BD105" s="840">
        <f t="shared" si="57"/>
        <v>0</v>
      </c>
      <c r="BE105" s="760">
        <f t="shared" si="58"/>
        <v>0.16763534320625123</v>
      </c>
      <c r="BF105" s="705">
        <f t="shared" si="59"/>
        <v>0.24994880813791209</v>
      </c>
      <c r="BG105" s="705">
        <f t="shared" si="60"/>
        <v>7.5422727438336029E-2</v>
      </c>
      <c r="BH105" s="705">
        <f t="shared" si="61"/>
        <v>0</v>
      </c>
      <c r="BI105" s="705">
        <f t="shared" si="62"/>
        <v>0</v>
      </c>
      <c r="BJ105" s="705">
        <f t="shared" si="63"/>
        <v>0</v>
      </c>
      <c r="BK105" s="705">
        <f t="shared" si="64"/>
        <v>0.50699312121750051</v>
      </c>
      <c r="BL105" s="705">
        <f t="shared" si="65"/>
        <v>0.99999999999999989</v>
      </c>
      <c r="BM105" s="730">
        <f t="shared" si="84"/>
        <v>0.29028184578274857</v>
      </c>
      <c r="BN105" s="483">
        <f t="shared" si="66"/>
        <v>0.30317187715157518</v>
      </c>
      <c r="BO105" s="483">
        <f t="shared" si="66"/>
        <v>8.2805443243048754E-2</v>
      </c>
      <c r="BP105" s="483">
        <f t="shared" si="66"/>
        <v>0</v>
      </c>
      <c r="BQ105" s="483">
        <f t="shared" si="66"/>
        <v>0</v>
      </c>
      <c r="BR105" s="483">
        <f t="shared" si="66"/>
        <v>0</v>
      </c>
      <c r="BS105" s="483">
        <f t="shared" si="66"/>
        <v>0.32374083382262742</v>
      </c>
      <c r="BT105" s="604">
        <f t="shared" si="85"/>
        <v>0.99999999999999989</v>
      </c>
      <c r="BV105" s="606">
        <f t="shared" si="26"/>
        <v>85.411016661416483</v>
      </c>
      <c r="BW105" s="114">
        <f t="shared" si="67"/>
        <v>0.46420451913582322</v>
      </c>
      <c r="BX105" s="1503">
        <f t="shared" si="27"/>
        <v>40.955103194912731</v>
      </c>
      <c r="BY105" s="606">
        <f t="shared" si="28"/>
        <v>82.298949321685654</v>
      </c>
      <c r="BZ105" s="114">
        <f t="shared" si="68"/>
        <v>0.41085422264242766</v>
      </c>
      <c r="CA105" s="765">
        <f t="shared" si="29"/>
        <v>50.172070130067617</v>
      </c>
      <c r="CB105" s="730">
        <f t="shared" si="30"/>
        <v>0.16552381969241936</v>
      </c>
      <c r="CC105" s="604">
        <f t="shared" si="31"/>
        <v>0.40852501985860129</v>
      </c>
      <c r="CD105" s="114">
        <f t="shared" si="32"/>
        <v>0.16552381969241936</v>
      </c>
      <c r="CE105" s="604">
        <f t="shared" si="33"/>
        <v>0.73669286220748598</v>
      </c>
      <c r="CG105" s="602">
        <f t="shared" si="69"/>
        <v>18.322254925104545</v>
      </c>
      <c r="CH105" s="704">
        <f t="shared" si="70"/>
        <v>7.0921239121150155</v>
      </c>
      <c r="CI105" s="704">
        <f t="shared" si="71"/>
        <v>29.338446936381299</v>
      </c>
      <c r="CJ105" s="704">
        <f t="shared" si="72"/>
        <v>41.728973376803232</v>
      </c>
      <c r="CK105" s="704">
        <f t="shared" si="73"/>
        <v>0.56502974208775869</v>
      </c>
      <c r="CL105" s="704">
        <f t="shared" si="74"/>
        <v>97.04682889249186</v>
      </c>
      <c r="CM105" s="727">
        <f t="shared" si="75"/>
        <v>0</v>
      </c>
    </row>
    <row r="106" spans="1:91">
      <c r="A106" s="127">
        <f>'Input data'!A126</f>
        <v>2026</v>
      </c>
      <c r="B106" s="748">
        <f>'Input data'!B126</f>
        <v>63.420999999999999</v>
      </c>
      <c r="C106" s="236">
        <f>'Input data'!C126</f>
        <v>3341.28</v>
      </c>
      <c r="D106" s="237">
        <f>'Input data'!D126</f>
        <v>39969673.998818383</v>
      </c>
      <c r="E106" s="730">
        <f t="shared" si="34"/>
        <v>0.79258181818181805</v>
      </c>
      <c r="F106" s="483">
        <f t="shared" si="35"/>
        <v>0.31077727272727268</v>
      </c>
      <c r="G106" s="607">
        <f>B106*F106*'Input data'!$C$9</f>
        <v>603.2592423450709</v>
      </c>
      <c r="H106" s="602">
        <f>'Input data'!I126</f>
        <v>424.26313389388866</v>
      </c>
      <c r="I106" s="608">
        <f>'Input data'!K126</f>
        <v>26907.192214684314</v>
      </c>
      <c r="J106" s="608">
        <f t="shared" si="76"/>
        <v>122.01685511025322</v>
      </c>
      <c r="K106" s="609">
        <f t="shared" si="10"/>
        <v>75.146050063314689</v>
      </c>
      <c r="L106" s="483">
        <f t="shared" si="36"/>
        <v>0.57999999999999996</v>
      </c>
      <c r="M106" s="483">
        <f t="shared" si="37"/>
        <v>0.437</v>
      </c>
      <c r="N106" s="483">
        <f t="shared" si="38"/>
        <v>0.71200000000000008</v>
      </c>
      <c r="O106" s="483">
        <f t="shared" si="39"/>
        <v>0.8</v>
      </c>
      <c r="P106" s="483">
        <f t="shared" si="40"/>
        <v>0.23600000000000002</v>
      </c>
      <c r="Q106" s="602">
        <f t="shared" si="41"/>
        <v>21.956594277323916</v>
      </c>
      <c r="R106" s="608">
        <f t="shared" si="11"/>
        <v>8.498893173320921</v>
      </c>
      <c r="S106" s="608">
        <f t="shared" si="12"/>
        <v>35.157920176424213</v>
      </c>
      <c r="T106" s="608">
        <f t="shared" si="13"/>
        <v>50.006188746360976</v>
      </c>
      <c r="U106" s="608">
        <f t="shared" si="14"/>
        <v>0.67710709475193609</v>
      </c>
      <c r="V106" s="1295">
        <f t="shared" si="15"/>
        <v>116.29670346818196</v>
      </c>
      <c r="W106" s="730">
        <f>($W$107-$W$102)/($A$107-$A$102)+W105</f>
        <v>0.44999999999999996</v>
      </c>
      <c r="X106" s="606">
        <f t="shared" si="16"/>
        <v>48.302243957695282</v>
      </c>
      <c r="Y106" s="606">
        <f t="shared" si="17"/>
        <v>48.302243957695282</v>
      </c>
      <c r="Z106" s="607">
        <f t="shared" si="18"/>
        <v>148.86066121587263</v>
      </c>
      <c r="AA106" s="608">
        <f t="shared" si="19"/>
        <v>26.843806105619407</v>
      </c>
      <c r="AB106" s="811">
        <f t="shared" si="20"/>
        <v>0.18032840836768446</v>
      </c>
      <c r="AC106" s="135" t="str">
        <f t="shared" si="42"/>
        <v>Policies met</v>
      </c>
      <c r="AD106" s="1240">
        <f t="shared" si="43"/>
        <v>0.18032840836768446</v>
      </c>
      <c r="AE106" s="135" t="str">
        <f t="shared" si="44"/>
        <v>No</v>
      </c>
      <c r="AF106" s="1293">
        <f t="shared" si="45"/>
        <v>347.7564382297179</v>
      </c>
      <c r="AG106" s="118">
        <f t="shared" si="46"/>
        <v>122.01685511025322</v>
      </c>
      <c r="AH106" s="118">
        <f t="shared" si="21"/>
        <v>95.325104033356141</v>
      </c>
      <c r="AI106" s="118">
        <f t="shared" si="22"/>
        <v>88.17310237771224</v>
      </c>
      <c r="AJ106" s="118">
        <f t="shared" si="23"/>
        <v>42.241376708396338</v>
      </c>
      <c r="AK106" s="118">
        <f t="shared" si="47"/>
        <v>347.75643822971796</v>
      </c>
      <c r="AL106" s="828">
        <f t="shared" si="24"/>
        <v>0</v>
      </c>
      <c r="AM106" s="730">
        <f t="shared" si="48"/>
        <v>0.35086871642517908</v>
      </c>
      <c r="AN106" s="483">
        <f t="shared" si="49"/>
        <v>0.274114562820508</v>
      </c>
      <c r="AO106" s="483">
        <f t="shared" si="50"/>
        <v>0.25354843989823594</v>
      </c>
      <c r="AP106" s="483">
        <f t="shared" si="51"/>
        <v>0.1214682808560769</v>
      </c>
      <c r="AQ106" s="483">
        <f t="shared" si="52"/>
        <v>0.99999999999999989</v>
      </c>
      <c r="AR106" s="834">
        <f t="shared" si="77"/>
        <v>18.992229171286056</v>
      </c>
      <c r="AS106" s="835">
        <f t="shared" si="78"/>
        <v>29.397965164978544</v>
      </c>
      <c r="AT106" s="835">
        <f t="shared" si="79"/>
        <v>9.5346367729646726</v>
      </c>
      <c r="AU106" s="835">
        <f t="shared" si="53"/>
        <v>0</v>
      </c>
      <c r="AV106" s="835">
        <f t="shared" si="54"/>
        <v>0</v>
      </c>
      <c r="AW106" s="835">
        <f t="shared" si="55"/>
        <v>0</v>
      </c>
      <c r="AX106" s="1228">
        <f t="shared" si="25"/>
        <v>40.582635349863601</v>
      </c>
      <c r="AY106" s="835">
        <f t="shared" si="80"/>
        <v>5.8673237885769707</v>
      </c>
      <c r="AZ106" s="835">
        <f t="shared" si="81"/>
        <v>8.528124839769216</v>
      </c>
      <c r="BA106" s="835">
        <f t="shared" si="82"/>
        <v>7.4968987200096828</v>
      </c>
      <c r="BB106" s="835">
        <f t="shared" si="83"/>
        <v>1.617041302804415</v>
      </c>
      <c r="BC106" s="608">
        <f t="shared" si="56"/>
        <v>122.01685511025316</v>
      </c>
      <c r="BD106" s="840">
        <f t="shared" si="57"/>
        <v>0</v>
      </c>
      <c r="BE106" s="760">
        <f t="shared" si="58"/>
        <v>0.15565250517336213</v>
      </c>
      <c r="BF106" s="705">
        <f t="shared" si="59"/>
        <v>0.24093364099914596</v>
      </c>
      <c r="BG106" s="705">
        <f t="shared" si="60"/>
        <v>7.8141964602753231E-2</v>
      </c>
      <c r="BH106" s="705">
        <f t="shared" si="61"/>
        <v>0</v>
      </c>
      <c r="BI106" s="705">
        <f t="shared" si="62"/>
        <v>0</v>
      </c>
      <c r="BJ106" s="705">
        <f t="shared" si="63"/>
        <v>0</v>
      </c>
      <c r="BK106" s="705">
        <f t="shared" si="64"/>
        <v>0.52527188922473855</v>
      </c>
      <c r="BL106" s="705">
        <f t="shared" si="65"/>
        <v>0.99999999999999989</v>
      </c>
      <c r="BM106" s="730">
        <f t="shared" si="84"/>
        <v>0.29028184578274857</v>
      </c>
      <c r="BN106" s="483">
        <f t="shared" si="66"/>
        <v>0.30317187715157518</v>
      </c>
      <c r="BO106" s="483">
        <f t="shared" si="66"/>
        <v>8.2805443243048754E-2</v>
      </c>
      <c r="BP106" s="483">
        <f t="shared" si="66"/>
        <v>0</v>
      </c>
      <c r="BQ106" s="483">
        <f t="shared" si="66"/>
        <v>0</v>
      </c>
      <c r="BR106" s="483">
        <f t="shared" si="66"/>
        <v>0</v>
      </c>
      <c r="BS106" s="483">
        <f t="shared" si="66"/>
        <v>0.32374083382262742</v>
      </c>
      <c r="BT106" s="604">
        <f t="shared" si="85"/>
        <v>0.99999999999999989</v>
      </c>
      <c r="BV106" s="606">
        <f t="shared" si="26"/>
        <v>84.381797795234618</v>
      </c>
      <c r="BW106" s="114">
        <f t="shared" si="67"/>
        <v>0.49389810572749709</v>
      </c>
      <c r="BX106" s="1503">
        <f t="shared" si="27"/>
        <v>39.969673998818379</v>
      </c>
      <c r="BY106" s="606">
        <f t="shared" si="28"/>
        <v>80.890486785400199</v>
      </c>
      <c r="BZ106" s="114">
        <f t="shared" si="68"/>
        <v>0.43208782151485392</v>
      </c>
      <c r="CA106" s="765">
        <f t="shared" si="29"/>
        <v>50.172070130067617</v>
      </c>
      <c r="CB106" s="730">
        <f t="shared" si="30"/>
        <v>0.18032840836768446</v>
      </c>
      <c r="CC106" s="604">
        <f t="shared" si="31"/>
        <v>0.41840074203244715</v>
      </c>
      <c r="CD106" s="114">
        <f t="shared" si="32"/>
        <v>0.18032840836768446</v>
      </c>
      <c r="CE106" s="604">
        <f t="shared" si="33"/>
        <v>0.7746304493589371</v>
      </c>
      <c r="CG106" s="602">
        <f t="shared" si="69"/>
        <v>17.997196578119084</v>
      </c>
      <c r="CH106" s="704">
        <f t="shared" si="70"/>
        <v>6.9663012944889804</v>
      </c>
      <c r="CI106" s="704">
        <f t="shared" si="71"/>
        <v>28.817948389491534</v>
      </c>
      <c r="CJ106" s="704">
        <f t="shared" si="72"/>
        <v>40.988652321195687</v>
      </c>
      <c r="CK106" s="704">
        <f t="shared" si="73"/>
        <v>0.55500545006085256</v>
      </c>
      <c r="CL106" s="704">
        <f t="shared" si="74"/>
        <v>95.325104033356141</v>
      </c>
      <c r="CM106" s="727">
        <f t="shared" si="75"/>
        <v>0</v>
      </c>
    </row>
    <row r="107" spans="1:91" s="1" customFormat="1">
      <c r="A107" s="157">
        <f>'Input data'!A127</f>
        <v>2027</v>
      </c>
      <c r="B107" s="749">
        <f>'Input data'!B127</f>
        <v>64.046000000000006</v>
      </c>
      <c r="C107" s="605">
        <f>'Input data'!C127</f>
        <v>3416.2799999999997</v>
      </c>
      <c r="D107" s="750">
        <f>'Input data'!D127</f>
        <v>38984244.802724026</v>
      </c>
      <c r="E107" s="729">
        <f t="shared" si="34"/>
        <v>0.80122424242424228</v>
      </c>
      <c r="F107" s="477">
        <f t="shared" si="35"/>
        <v>0.31313030303030298</v>
      </c>
      <c r="G107" s="770">
        <f>B107*F107*'Input data'!$C$9</f>
        <v>613.81678041460282</v>
      </c>
      <c r="H107" s="734">
        <f>'Input data'!I127</f>
        <v>424.26313389388866</v>
      </c>
      <c r="I107" s="740">
        <f>'Input data'!K127</f>
        <v>27172.356673367995</v>
      </c>
      <c r="J107" s="608">
        <f t="shared" si="76"/>
        <v>115.68143670041169</v>
      </c>
      <c r="K107" s="609">
        <f t="shared" si="10"/>
        <v>81.481468473156212</v>
      </c>
      <c r="L107" s="477">
        <f>($L$110-$L$97)/($A$110-$A$97)*L106+L106</f>
        <v>0.57999999999999996</v>
      </c>
      <c r="M107" s="477">
        <f>($M$110-$M$97)/($A$110-$A$97)*M106+M106</f>
        <v>0.437</v>
      </c>
      <c r="N107" s="477">
        <f>($N$110-$N$97)/($A$110-$A$97)*N106+N106</f>
        <v>0.71200000000000008</v>
      </c>
      <c r="O107" s="477">
        <f>($L$110-$L$97)/($A$110-$A$97)*O106+O106</f>
        <v>0.8</v>
      </c>
      <c r="P107" s="483">
        <f t="shared" si="40"/>
        <v>0.23600000000000002</v>
      </c>
      <c r="Q107" s="602">
        <f t="shared" si="41"/>
        <v>21.956594277323916</v>
      </c>
      <c r="R107" s="608">
        <f t="shared" si="11"/>
        <v>8.498893173320921</v>
      </c>
      <c r="S107" s="608">
        <f t="shared" si="12"/>
        <v>35.157920176424213</v>
      </c>
      <c r="T107" s="608">
        <f t="shared" si="13"/>
        <v>50.006188746360976</v>
      </c>
      <c r="U107" s="608">
        <f t="shared" si="14"/>
        <v>0.67710709475193609</v>
      </c>
      <c r="V107" s="1295">
        <f t="shared" si="15"/>
        <v>116.29670346818196</v>
      </c>
      <c r="W107" s="729">
        <f>$C$27</f>
        <v>0.5</v>
      </c>
      <c r="X107" s="606">
        <f t="shared" si="16"/>
        <v>53.669159952994768</v>
      </c>
      <c r="Y107" s="606">
        <f t="shared" si="17"/>
        <v>53.669159952994768</v>
      </c>
      <c r="Z107" s="607">
        <f t="shared" si="18"/>
        <v>143.49374522057315</v>
      </c>
      <c r="AA107" s="608">
        <f t="shared" si="19"/>
        <v>27.812308520161444</v>
      </c>
      <c r="AB107" s="811">
        <f t="shared" si="20"/>
        <v>0.193822444855763</v>
      </c>
      <c r="AC107" s="135" t="str">
        <f t="shared" si="42"/>
        <v>Policies met</v>
      </c>
      <c r="AD107" s="1240">
        <f t="shared" si="43"/>
        <v>0.193822444855763</v>
      </c>
      <c r="AE107" s="135" t="str">
        <f t="shared" si="44"/>
        <v>No</v>
      </c>
      <c r="AF107" s="1293">
        <f t="shared" si="45"/>
        <v>342.03141602040722</v>
      </c>
      <c r="AG107" s="118">
        <f t="shared" si="46"/>
        <v>115.68143670041169</v>
      </c>
      <c r="AH107" s="118">
        <f t="shared" si="21"/>
        <v>93.755792073313231</v>
      </c>
      <c r="AI107" s="118">
        <f t="shared" si="22"/>
        <v>91.048219143913812</v>
      </c>
      <c r="AJ107" s="118">
        <f t="shared" si="23"/>
        <v>41.545968102768505</v>
      </c>
      <c r="AK107" s="118">
        <f t="shared" si="47"/>
        <v>342.03141602040722</v>
      </c>
      <c r="AL107" s="828">
        <f t="shared" si="24"/>
        <v>0</v>
      </c>
      <c r="AM107" s="730">
        <f t="shared" si="48"/>
        <v>0.33821874623794673</v>
      </c>
      <c r="AN107" s="483">
        <f t="shared" si="49"/>
        <v>0.274114562820508</v>
      </c>
      <c r="AO107" s="483">
        <f t="shared" si="50"/>
        <v>0.26619841008546841</v>
      </c>
      <c r="AP107" s="483">
        <f t="shared" si="51"/>
        <v>0.1214682808560769</v>
      </c>
      <c r="AQ107" s="483">
        <f t="shared" si="52"/>
        <v>1</v>
      </c>
      <c r="AR107" s="834">
        <f t="shared" si="77"/>
        <v>16.516221520829095</v>
      </c>
      <c r="AS107" s="835">
        <f t="shared" si="78"/>
        <v>26.750650636721204</v>
      </c>
      <c r="AT107" s="835">
        <f t="shared" si="79"/>
        <v>9.3776705710999213</v>
      </c>
      <c r="AU107" s="835">
        <f t="shared" si="53"/>
        <v>0</v>
      </c>
      <c r="AV107" s="835">
        <f t="shared" si="54"/>
        <v>0</v>
      </c>
      <c r="AW107" s="835">
        <f t="shared" si="55"/>
        <v>0</v>
      </c>
      <c r="AX107" s="1228">
        <f t="shared" si="25"/>
        <v>39.914534164237672</v>
      </c>
      <c r="AY107" s="835">
        <f t="shared" si="80"/>
        <v>5.7707315898248339</v>
      </c>
      <c r="AZ107" s="835">
        <f t="shared" si="81"/>
        <v>8.3877285774886552</v>
      </c>
      <c r="BA107" s="835">
        <f t="shared" si="82"/>
        <v>7.3734792604261434</v>
      </c>
      <c r="BB107" s="835">
        <f t="shared" si="83"/>
        <v>1.5904203797841123</v>
      </c>
      <c r="BC107" s="608">
        <f t="shared" si="56"/>
        <v>115.68143670041162</v>
      </c>
      <c r="BD107" s="840">
        <f t="shared" si="57"/>
        <v>0</v>
      </c>
      <c r="BE107" s="760">
        <f t="shared" si="58"/>
        <v>0.14277330911442879</v>
      </c>
      <c r="BF107" s="705">
        <f t="shared" si="59"/>
        <v>0.23124410795484199</v>
      </c>
      <c r="BG107" s="705">
        <f t="shared" si="60"/>
        <v>8.1064610179297267E-2</v>
      </c>
      <c r="BH107" s="705">
        <f t="shared" si="61"/>
        <v>0</v>
      </c>
      <c r="BI107" s="705">
        <f t="shared" si="62"/>
        <v>0</v>
      </c>
      <c r="BJ107" s="705">
        <f t="shared" si="63"/>
        <v>0</v>
      </c>
      <c r="BK107" s="705">
        <f t="shared" si="64"/>
        <v>0.54491797275143206</v>
      </c>
      <c r="BL107" s="705">
        <f t="shared" si="65"/>
        <v>1</v>
      </c>
      <c r="BM107" s="730">
        <f t="shared" si="84"/>
        <v>0.29028184578274857</v>
      </c>
      <c r="BN107" s="483">
        <f t="shared" si="66"/>
        <v>0.30317187715157518</v>
      </c>
      <c r="BO107" s="483">
        <f t="shared" si="66"/>
        <v>8.2805443243048754E-2</v>
      </c>
      <c r="BP107" s="483">
        <f t="shared" si="66"/>
        <v>0</v>
      </c>
      <c r="BQ107" s="483">
        <f t="shared" si="66"/>
        <v>0</v>
      </c>
      <c r="BR107" s="483">
        <f t="shared" si="66"/>
        <v>0</v>
      </c>
      <c r="BS107" s="483">
        <f t="shared" si="66"/>
        <v>0.32374083382262742</v>
      </c>
      <c r="BT107" s="604">
        <f t="shared" si="85"/>
        <v>0.99999999999999989</v>
      </c>
      <c r="BV107" s="606">
        <f t="shared" si="26"/>
        <v>83.437373342730112</v>
      </c>
      <c r="BW107" s="114">
        <f t="shared" si="67"/>
        <v>0.52644709744557738</v>
      </c>
      <c r="BX107" s="1503">
        <f t="shared" si="27"/>
        <v>38.984244802724028</v>
      </c>
      <c r="BY107" s="606">
        <f t="shared" si="28"/>
        <v>79.576338614341637</v>
      </c>
      <c r="BZ107" s="114">
        <f t="shared" si="68"/>
        <v>0.45581130178029217</v>
      </c>
      <c r="CA107" s="765">
        <f t="shared" si="29"/>
        <v>50.172070130067617</v>
      </c>
      <c r="CB107" s="730">
        <f t="shared" si="30"/>
        <v>0.193822444855763</v>
      </c>
      <c r="CC107" s="604">
        <f t="shared" si="31"/>
        <v>0.42632664176680307</v>
      </c>
      <c r="CD107" s="114">
        <f t="shared" si="32"/>
        <v>0.193822444855763</v>
      </c>
      <c r="CE107" s="604">
        <f t="shared" si="33"/>
        <v>0.80921495847631686</v>
      </c>
      <c r="CG107" s="602">
        <f t="shared" si="69"/>
        <v>17.700913493786938</v>
      </c>
      <c r="CH107" s="704">
        <f t="shared" si="70"/>
        <v>6.8516169198999055</v>
      </c>
      <c r="CI107" s="704">
        <f t="shared" si="71"/>
        <v>28.343526131785911</v>
      </c>
      <c r="CJ107" s="704">
        <f t="shared" si="72"/>
        <v>40.313866985622546</v>
      </c>
      <c r="CK107" s="704">
        <f t="shared" si="73"/>
        <v>0.54586854221793302</v>
      </c>
      <c r="CL107" s="704">
        <f t="shared" si="74"/>
        <v>93.755792073313245</v>
      </c>
      <c r="CM107" s="727">
        <f t="shared" si="75"/>
        <v>0</v>
      </c>
    </row>
    <row r="108" spans="1:91">
      <c r="A108" s="127">
        <f>'Input data'!A128</f>
        <v>2028</v>
      </c>
      <c r="B108" s="748">
        <f>'Input data'!B128</f>
        <v>64.676000000000002</v>
      </c>
      <c r="C108" s="236">
        <f>'Input data'!C128</f>
        <v>3494.8800000000006</v>
      </c>
      <c r="D108" s="237">
        <f>'Input data'!D128</f>
        <v>37998815.60662967</v>
      </c>
      <c r="E108" s="730">
        <f t="shared" si="34"/>
        <v>0.80986666666666651</v>
      </c>
      <c r="F108" s="483">
        <f t="shared" si="35"/>
        <v>0.31548333333333328</v>
      </c>
      <c r="G108" s="607">
        <f>B108*F108*'Input data'!$C$9</f>
        <v>624.51262275570207</v>
      </c>
      <c r="H108" s="602">
        <f>'Input data'!I128</f>
        <v>424.26313389388866</v>
      </c>
      <c r="I108" s="608">
        <f>'Input data'!K128</f>
        <v>27439.642447721144</v>
      </c>
      <c r="J108" s="608">
        <f t="shared" si="76"/>
        <v>109.67496896211051</v>
      </c>
      <c r="K108" s="609">
        <f t="shared" si="10"/>
        <v>87.487936211457395</v>
      </c>
      <c r="L108" s="483">
        <f>($L$110-$L$97)/($A$110-$A$97)*L107+L107</f>
        <v>0.57999999999999996</v>
      </c>
      <c r="M108" s="483">
        <f>($M$110-$M$97)/($A$110-$A$97)*M107+M107</f>
        <v>0.437</v>
      </c>
      <c r="N108" s="483">
        <f>($N$110-$N$97)/($A$110-$A$97)*N107+N107</f>
        <v>0.71200000000000008</v>
      </c>
      <c r="O108" s="483">
        <f>($L$110-$L$97)/($A$110-$A$97)*O107+O107</f>
        <v>0.8</v>
      </c>
      <c r="P108" s="483">
        <f t="shared" si="40"/>
        <v>0.23600000000000002</v>
      </c>
      <c r="Q108" s="602">
        <f t="shared" si="41"/>
        <v>21.956594277323916</v>
      </c>
      <c r="R108" s="608">
        <f t="shared" si="11"/>
        <v>8.498893173320921</v>
      </c>
      <c r="S108" s="608">
        <f t="shared" si="12"/>
        <v>35.157920176424213</v>
      </c>
      <c r="T108" s="608">
        <f t="shared" si="13"/>
        <v>50.006188746360976</v>
      </c>
      <c r="U108" s="608">
        <f t="shared" si="14"/>
        <v>0.67710709475193609</v>
      </c>
      <c r="V108" s="1295">
        <f t="shared" si="15"/>
        <v>116.29670346818196</v>
      </c>
      <c r="W108" s="730">
        <f>W107</f>
        <v>0.5</v>
      </c>
      <c r="X108" s="606">
        <f t="shared" si="16"/>
        <v>53.669159952994768</v>
      </c>
      <c r="Y108" s="606">
        <f t="shared" si="17"/>
        <v>53.669159952994768</v>
      </c>
      <c r="Z108" s="607">
        <f t="shared" si="18"/>
        <v>143.49374522057315</v>
      </c>
      <c r="AA108" s="608">
        <f t="shared" si="19"/>
        <v>33.818776258462627</v>
      </c>
      <c r="AB108" s="811">
        <f t="shared" si="20"/>
        <v>0.23568118740282154</v>
      </c>
      <c r="AC108" s="135" t="str">
        <f t="shared" si="42"/>
        <v>Policies met</v>
      </c>
      <c r="AD108" s="1240">
        <f t="shared" si="43"/>
        <v>0.23568118740282154</v>
      </c>
      <c r="AE108" s="135" t="str">
        <f t="shared" si="44"/>
        <v>No</v>
      </c>
      <c r="AF108" s="1293">
        <f t="shared" si="45"/>
        <v>324.27229472653471</v>
      </c>
      <c r="AG108" s="118">
        <f t="shared" si="46"/>
        <v>109.67496896211051</v>
      </c>
      <c r="AH108" s="118">
        <f t="shared" si="21"/>
        <v>88.887758303767001</v>
      </c>
      <c r="AI108" s="118">
        <f t="shared" si="22"/>
        <v>86.320769290969963</v>
      </c>
      <c r="AJ108" s="118">
        <f t="shared" si="23"/>
        <v>39.38879816968727</v>
      </c>
      <c r="AK108" s="118">
        <f t="shared" si="47"/>
        <v>324.27229472653477</v>
      </c>
      <c r="AL108" s="828">
        <f t="shared" si="24"/>
        <v>0</v>
      </c>
      <c r="AM108" s="730">
        <f t="shared" si="48"/>
        <v>0.33821874623794668</v>
      </c>
      <c r="AN108" s="483">
        <f t="shared" si="49"/>
        <v>0.274114562820508</v>
      </c>
      <c r="AO108" s="483">
        <f t="shared" si="50"/>
        <v>0.26619841008546835</v>
      </c>
      <c r="AP108" s="483">
        <f t="shared" si="51"/>
        <v>0.1214682808560769</v>
      </c>
      <c r="AQ108" s="483">
        <f t="shared" si="52"/>
        <v>0.99999999999999989</v>
      </c>
      <c r="AR108" s="834">
        <f t="shared" si="77"/>
        <v>15.658658245742778</v>
      </c>
      <c r="AS108" s="835">
        <f t="shared" si="78"/>
        <v>25.361690362618212</v>
      </c>
      <c r="AT108" s="835">
        <f t="shared" si="79"/>
        <v>8.8907586053400109</v>
      </c>
      <c r="AU108" s="835">
        <f t="shared" si="53"/>
        <v>0</v>
      </c>
      <c r="AV108" s="835">
        <f t="shared" si="54"/>
        <v>0</v>
      </c>
      <c r="AW108" s="835">
        <f t="shared" si="55"/>
        <v>0</v>
      </c>
      <c r="AX108" s="1228">
        <f t="shared" si="25"/>
        <v>37.842072336436388</v>
      </c>
      <c r="AY108" s="835">
        <f t="shared" si="80"/>
        <v>5.4711008615996635</v>
      </c>
      <c r="AZ108" s="835">
        <f t="shared" si="81"/>
        <v>7.9522168606970789</v>
      </c>
      <c r="BA108" s="835">
        <f t="shared" si="82"/>
        <v>6.9906298892562502</v>
      </c>
      <c r="BB108" s="835">
        <f t="shared" si="83"/>
        <v>1.5078418004200822</v>
      </c>
      <c r="BC108" s="608">
        <f t="shared" si="56"/>
        <v>109.67496896211047</v>
      </c>
      <c r="BD108" s="840">
        <f t="shared" si="57"/>
        <v>0</v>
      </c>
      <c r="BE108" s="760">
        <f t="shared" si="58"/>
        <v>0.14277330911442876</v>
      </c>
      <c r="BF108" s="705">
        <f t="shared" si="59"/>
        <v>0.23124410795484193</v>
      </c>
      <c r="BG108" s="705">
        <f t="shared" si="60"/>
        <v>8.1064610179297253E-2</v>
      </c>
      <c r="BH108" s="705">
        <f t="shared" si="61"/>
        <v>0</v>
      </c>
      <c r="BI108" s="705">
        <f t="shared" si="62"/>
        <v>0</v>
      </c>
      <c r="BJ108" s="705">
        <f t="shared" si="63"/>
        <v>0</v>
      </c>
      <c r="BK108" s="705">
        <f t="shared" si="64"/>
        <v>0.54491797275143194</v>
      </c>
      <c r="BL108" s="705">
        <f t="shared" si="65"/>
        <v>0.99999999999999989</v>
      </c>
      <c r="BM108" s="730">
        <f t="shared" si="84"/>
        <v>0.29028184578274857</v>
      </c>
      <c r="BN108" s="483">
        <f t="shared" si="66"/>
        <v>0.30317187715157518</v>
      </c>
      <c r="BO108" s="483">
        <f t="shared" si="66"/>
        <v>8.2805443243048754E-2</v>
      </c>
      <c r="BP108" s="483">
        <f t="shared" si="66"/>
        <v>0</v>
      </c>
      <c r="BQ108" s="483">
        <f t="shared" si="66"/>
        <v>0</v>
      </c>
      <c r="BR108" s="483">
        <f t="shared" si="66"/>
        <v>0</v>
      </c>
      <c r="BS108" s="483">
        <f t="shared" si="66"/>
        <v>0.32374083382262742</v>
      </c>
      <c r="BT108" s="604">
        <f t="shared" si="85"/>
        <v>0.99999999999999989</v>
      </c>
      <c r="BV108" s="606">
        <f t="shared" si="26"/>
        <v>81.458458681006846</v>
      </c>
      <c r="BW108" s="114">
        <f t="shared" si="67"/>
        <v>0.53919341684209243</v>
      </c>
      <c r="BX108" s="1503">
        <f t="shared" si="27"/>
        <v>37.99881560662967</v>
      </c>
      <c r="BY108" s="606">
        <f t="shared" si="28"/>
        <v>77.536661858203075</v>
      </c>
      <c r="BZ108" s="114">
        <f t="shared" si="68"/>
        <v>0.46508934036440602</v>
      </c>
      <c r="CA108" s="765">
        <f t="shared" si="29"/>
        <v>50.172070130067617</v>
      </c>
      <c r="CB108" s="730">
        <f t="shared" si="30"/>
        <v>0.23568118740282154</v>
      </c>
      <c r="CC108" s="604">
        <f t="shared" si="31"/>
        <v>0.4407301874331998</v>
      </c>
      <c r="CD108" s="114">
        <f t="shared" si="32"/>
        <v>0.23568118740282154</v>
      </c>
      <c r="CE108" s="604">
        <f t="shared" si="33"/>
        <v>0.84102694071253192</v>
      </c>
      <c r="CG108" s="602">
        <f t="shared" si="69"/>
        <v>16.781838066722219</v>
      </c>
      <c r="CH108" s="704">
        <f t="shared" si="70"/>
        <v>6.4958639386229127</v>
      </c>
      <c r="CI108" s="704">
        <f t="shared" si="71"/>
        <v>26.87185980263094</v>
      </c>
      <c r="CJ108" s="704">
        <f t="shared" si="72"/>
        <v>38.220670805129011</v>
      </c>
      <c r="CK108" s="704">
        <f t="shared" si="73"/>
        <v>0.517525690661925</v>
      </c>
      <c r="CL108" s="704">
        <f t="shared" si="74"/>
        <v>88.887758303767015</v>
      </c>
      <c r="CM108" s="727">
        <f t="shared" si="75"/>
        <v>0</v>
      </c>
    </row>
    <row r="109" spans="1:91">
      <c r="A109" s="127">
        <f>'Input data'!A129</f>
        <v>2029</v>
      </c>
      <c r="B109" s="748">
        <f>'Input data'!B129</f>
        <v>65.313000000000002</v>
      </c>
      <c r="C109" s="236">
        <f>'Input data'!C129</f>
        <v>3576.08</v>
      </c>
      <c r="D109" s="237">
        <f>'Input data'!D129</f>
        <v>37013386.410535313</v>
      </c>
      <c r="E109" s="730">
        <f t="shared" si="34"/>
        <v>0.81850909090909074</v>
      </c>
      <c r="F109" s="483">
        <f t="shared" si="35"/>
        <v>0.31783636363636358</v>
      </c>
      <c r="G109" s="607">
        <f>B109*F109*'Input data'!$C$9</f>
        <v>635.36730573331556</v>
      </c>
      <c r="H109" s="602">
        <f>'Input data'!I129</f>
        <v>424.26313389388866</v>
      </c>
      <c r="I109" s="608">
        <f>'Input data'!K129</f>
        <v>27709.898064011551</v>
      </c>
      <c r="J109" s="608">
        <f t="shared" si="76"/>
        <v>103.98037195882353</v>
      </c>
      <c r="K109" s="609">
        <f t="shared" si="10"/>
        <v>93.182533214744382</v>
      </c>
      <c r="L109" s="483">
        <f>($L$110-$L$97)/($A$110-$A$97)*L108+L108</f>
        <v>0.57999999999999996</v>
      </c>
      <c r="M109" s="483">
        <f>($L$110-$L$97)/($A$110-$A$97)*M108+M108</f>
        <v>0.437</v>
      </c>
      <c r="N109" s="483">
        <f>($N$110-$N$97)/($A$110-$A$97)*N108+N108</f>
        <v>0.71200000000000008</v>
      </c>
      <c r="O109" s="483">
        <f>($L$110-$L$97)/($A$110-$A$97)*O108+O108</f>
        <v>0.8</v>
      </c>
      <c r="P109" s="483">
        <f t="shared" si="40"/>
        <v>0.23600000000000002</v>
      </c>
      <c r="Q109" s="602">
        <f t="shared" si="41"/>
        <v>21.956594277323916</v>
      </c>
      <c r="R109" s="608">
        <f t="shared" si="11"/>
        <v>8.498893173320921</v>
      </c>
      <c r="S109" s="608">
        <f t="shared" si="12"/>
        <v>35.157920176424213</v>
      </c>
      <c r="T109" s="608">
        <f t="shared" si="13"/>
        <v>50.006188746360976</v>
      </c>
      <c r="U109" s="608">
        <f t="shared" si="14"/>
        <v>0.67710709475193609</v>
      </c>
      <c r="V109" s="1295">
        <f t="shared" si="15"/>
        <v>116.29670346818196</v>
      </c>
      <c r="W109" s="730">
        <f t="shared" ref="W109:W130" si="86">W108</f>
        <v>0.5</v>
      </c>
      <c r="X109" s="606">
        <f t="shared" si="16"/>
        <v>53.669159952994768</v>
      </c>
      <c r="Y109" s="606">
        <f t="shared" si="17"/>
        <v>53.669159952994768</v>
      </c>
      <c r="Z109" s="607">
        <f t="shared" si="18"/>
        <v>143.49374522057315</v>
      </c>
      <c r="AA109" s="608">
        <f t="shared" si="19"/>
        <v>39.513373261749614</v>
      </c>
      <c r="AB109" s="811">
        <f t="shared" si="20"/>
        <v>0.27536651999019995</v>
      </c>
      <c r="AC109" s="135" t="str">
        <f t="shared" si="42"/>
        <v>Policies met</v>
      </c>
      <c r="AD109" s="1240">
        <f t="shared" si="43"/>
        <v>0.27536651999019995</v>
      </c>
      <c r="AE109" s="135" t="str">
        <f t="shared" si="44"/>
        <v>No</v>
      </c>
      <c r="AF109" s="1293">
        <f t="shared" si="45"/>
        <v>307.43527115339225</v>
      </c>
      <c r="AG109" s="118">
        <f t="shared" si="46"/>
        <v>103.98037195882353</v>
      </c>
      <c r="AH109" s="118">
        <f t="shared" si="21"/>
        <v>84.272484947816466</v>
      </c>
      <c r="AI109" s="118">
        <f t="shared" si="22"/>
        <v>81.838780385227892</v>
      </c>
      <c r="AJ109" s="118">
        <f t="shared" si="23"/>
        <v>37.34363386152441</v>
      </c>
      <c r="AK109" s="118">
        <f t="shared" si="47"/>
        <v>307.43527115339225</v>
      </c>
      <c r="AL109" s="828">
        <f t="shared" si="24"/>
        <v>0</v>
      </c>
      <c r="AM109" s="730">
        <f t="shared" si="48"/>
        <v>0.33821874623794673</v>
      </c>
      <c r="AN109" s="483">
        <f t="shared" si="49"/>
        <v>0.27411456282050806</v>
      </c>
      <c r="AO109" s="483">
        <f t="shared" si="50"/>
        <v>0.26619841008546841</v>
      </c>
      <c r="AP109" s="483">
        <f t="shared" si="51"/>
        <v>0.12146828085607692</v>
      </c>
      <c r="AQ109" s="483">
        <f t="shared" si="52"/>
        <v>1.0000000000000002</v>
      </c>
      <c r="AR109" s="834">
        <f t="shared" si="77"/>
        <v>14.845621787510385</v>
      </c>
      <c r="AS109" s="835">
        <f t="shared" si="78"/>
        <v>24.044848358430794</v>
      </c>
      <c r="AT109" s="835">
        <f t="shared" si="79"/>
        <v>8.4291283191403572</v>
      </c>
      <c r="AU109" s="835">
        <f t="shared" si="53"/>
        <v>0</v>
      </c>
      <c r="AV109" s="835">
        <f t="shared" si="54"/>
        <v>0</v>
      </c>
      <c r="AW109" s="835">
        <f t="shared" si="55"/>
        <v>0</v>
      </c>
      <c r="AX109" s="1228">
        <f t="shared" si="25"/>
        <v>35.877217878171734</v>
      </c>
      <c r="AY109" s="835">
        <f t="shared" si="80"/>
        <v>5.1870277055643088</v>
      </c>
      <c r="AZ109" s="835">
        <f t="shared" si="81"/>
        <v>7.5393179947757361</v>
      </c>
      <c r="BA109" s="835">
        <f t="shared" si="82"/>
        <v>6.6276590090711833</v>
      </c>
      <c r="BB109" s="835">
        <f t="shared" si="83"/>
        <v>1.4295509061589726</v>
      </c>
      <c r="BC109" s="608">
        <f t="shared" si="56"/>
        <v>103.98037195882347</v>
      </c>
      <c r="BD109" s="840">
        <f t="shared" si="57"/>
        <v>0</v>
      </c>
      <c r="BE109" s="760">
        <f t="shared" si="58"/>
        <v>0.14277330911442879</v>
      </c>
      <c r="BF109" s="705">
        <f t="shared" si="59"/>
        <v>0.23124410795484193</v>
      </c>
      <c r="BG109" s="705">
        <f t="shared" si="60"/>
        <v>8.1064610179297267E-2</v>
      </c>
      <c r="BH109" s="705">
        <f t="shared" si="61"/>
        <v>0</v>
      </c>
      <c r="BI109" s="705">
        <f t="shared" si="62"/>
        <v>0</v>
      </c>
      <c r="BJ109" s="705">
        <f t="shared" si="63"/>
        <v>0</v>
      </c>
      <c r="BK109" s="705">
        <f t="shared" si="64"/>
        <v>0.54491797275143206</v>
      </c>
      <c r="BL109" s="705">
        <f t="shared" si="65"/>
        <v>1</v>
      </c>
      <c r="BM109" s="730">
        <f t="shared" si="84"/>
        <v>0.29028184578274857</v>
      </c>
      <c r="BN109" s="483">
        <f t="shared" si="66"/>
        <v>0.30317187715157518</v>
      </c>
      <c r="BO109" s="483">
        <f t="shared" si="66"/>
        <v>8.2805443243048754E-2</v>
      </c>
      <c r="BP109" s="483">
        <f t="shared" si="66"/>
        <v>0</v>
      </c>
      <c r="BQ109" s="483">
        <f t="shared" si="66"/>
        <v>0</v>
      </c>
      <c r="BR109" s="483">
        <f t="shared" si="66"/>
        <v>0</v>
      </c>
      <c r="BS109" s="483">
        <f t="shared" si="66"/>
        <v>0.32374083382262742</v>
      </c>
      <c r="BT109" s="604">
        <f t="shared" si="85"/>
        <v>0.99999999999999989</v>
      </c>
      <c r="BV109" s="606">
        <f t="shared" si="26"/>
        <v>79.638503928462299</v>
      </c>
      <c r="BW109" s="114">
        <f t="shared" si="67"/>
        <v>0.55390119153091844</v>
      </c>
      <c r="BX109" s="1503">
        <f t="shared" si="27"/>
        <v>37.013386410535311</v>
      </c>
      <c r="BY109" s="606">
        <f t="shared" si="28"/>
        <v>76.422887953703537</v>
      </c>
      <c r="BZ109" s="114">
        <f t="shared" si="68"/>
        <v>0.47855857378410172</v>
      </c>
      <c r="CA109" s="765">
        <f t="shared" si="29"/>
        <v>50.172070130067617</v>
      </c>
      <c r="CB109" s="730">
        <f t="shared" si="30"/>
        <v>0.27536651999019995</v>
      </c>
      <c r="CC109" s="604">
        <f t="shared" si="31"/>
        <v>0.45200512590005021</v>
      </c>
      <c r="CD109" s="114">
        <f t="shared" si="32"/>
        <v>0.27536651999019995</v>
      </c>
      <c r="CE109" s="604">
        <f t="shared" si="33"/>
        <v>0.85</v>
      </c>
      <c r="CG109" s="602">
        <f t="shared" si="69"/>
        <v>15.910483320340489</v>
      </c>
      <c r="CH109" s="704">
        <f t="shared" si="70"/>
        <v>6.1585825364150715</v>
      </c>
      <c r="CI109" s="704">
        <f t="shared" si="71"/>
        <v>25.476606047349037</v>
      </c>
      <c r="CJ109" s="704">
        <f t="shared" si="72"/>
        <v>36.236158573302454</v>
      </c>
      <c r="CK109" s="704">
        <f t="shared" si="73"/>
        <v>0.49065447040942084</v>
      </c>
      <c r="CL109" s="704">
        <f t="shared" si="74"/>
        <v>84.27248494781648</v>
      </c>
      <c r="CM109" s="727">
        <f t="shared" si="75"/>
        <v>0</v>
      </c>
    </row>
    <row r="110" spans="1:91" s="1" customFormat="1">
      <c r="A110" s="157">
        <f>'Input data'!A130</f>
        <v>2030</v>
      </c>
      <c r="B110" s="749">
        <f>'Input data'!B130</f>
        <v>65.956000000000003</v>
      </c>
      <c r="C110" s="605">
        <f>'Input data'!C130</f>
        <v>3660.12</v>
      </c>
      <c r="D110" s="750">
        <f>'Input data'!D130</f>
        <v>36027957.214440949</v>
      </c>
      <c r="E110" s="729">
        <f t="shared" si="34"/>
        <v>0.82715151515151497</v>
      </c>
      <c r="F110" s="477">
        <f t="shared" si="35"/>
        <v>0.32018939393939388</v>
      </c>
      <c r="G110" s="770">
        <f>B110*F110*'Input data'!$C$9</f>
        <v>646.37254169696007</v>
      </c>
      <c r="H110" s="734">
        <f>'Input data'!I130</f>
        <v>424.26313389388866</v>
      </c>
      <c r="I110" s="740">
        <f>'Input data'!K130</f>
        <v>27982.69925910532</v>
      </c>
      <c r="J110" s="608">
        <f>J97*(1-$C$4)</f>
        <v>98.581452586783954</v>
      </c>
      <c r="K110" s="609">
        <f t="shared" si="10"/>
        <v>98.581452586783954</v>
      </c>
      <c r="L110" s="477">
        <f>C18</f>
        <v>0.57999999999999996</v>
      </c>
      <c r="M110" s="477">
        <f>D18</f>
        <v>0.437</v>
      </c>
      <c r="N110" s="477">
        <f>E18</f>
        <v>0.71200000000000008</v>
      </c>
      <c r="O110" s="477">
        <f>F18</f>
        <v>0.8</v>
      </c>
      <c r="P110" s="477">
        <f>G18</f>
        <v>0.23600000000000002</v>
      </c>
      <c r="Q110" s="602">
        <f t="shared" si="41"/>
        <v>21.956594277323916</v>
      </c>
      <c r="R110" s="608">
        <f t="shared" si="11"/>
        <v>8.498893173320921</v>
      </c>
      <c r="S110" s="608">
        <f t="shared" si="12"/>
        <v>35.157920176424213</v>
      </c>
      <c r="T110" s="608">
        <f t="shared" si="13"/>
        <v>50.006188746360976</v>
      </c>
      <c r="U110" s="608">
        <f t="shared" si="14"/>
        <v>0.67710709475193609</v>
      </c>
      <c r="V110" s="1295">
        <f t="shared" si="15"/>
        <v>116.29670346818196</v>
      </c>
      <c r="W110" s="730">
        <f t="shared" si="86"/>
        <v>0.5</v>
      </c>
      <c r="X110" s="606">
        <f t="shared" si="16"/>
        <v>53.669159952994768</v>
      </c>
      <c r="Y110" s="606">
        <f t="shared" si="17"/>
        <v>53.669159952994768</v>
      </c>
      <c r="Z110" s="607">
        <f t="shared" si="18"/>
        <v>143.49374522057315</v>
      </c>
      <c r="AA110" s="608">
        <f t="shared" si="19"/>
        <v>44.912292633789185</v>
      </c>
      <c r="AB110" s="811">
        <f t="shared" si="20"/>
        <v>0.31299129146536464</v>
      </c>
      <c r="AC110" s="135" t="str">
        <f t="shared" si="42"/>
        <v>Policies met</v>
      </c>
      <c r="AD110" s="1240">
        <f t="shared" si="43"/>
        <v>0.31299129146536464</v>
      </c>
      <c r="AE110" s="135" t="str">
        <f t="shared" si="44"/>
        <v>No</v>
      </c>
      <c r="AF110" s="1293">
        <f t="shared" si="45"/>
        <v>291.47246769529755</v>
      </c>
      <c r="AG110" s="118">
        <f t="shared" si="46"/>
        <v>98.581452586783968</v>
      </c>
      <c r="AH110" s="118">
        <f t="shared" si="21"/>
        <v>79.896848056511132</v>
      </c>
      <c r="AI110" s="118">
        <f t="shared" si="22"/>
        <v>77.589507484176252</v>
      </c>
      <c r="AJ110" s="118">
        <f t="shared" si="23"/>
        <v>35.404659567826208</v>
      </c>
      <c r="AK110" s="118">
        <f t="shared" si="47"/>
        <v>291.47246769529755</v>
      </c>
      <c r="AL110" s="828">
        <f t="shared" si="24"/>
        <v>0</v>
      </c>
      <c r="AM110" s="730">
        <f t="shared" si="48"/>
        <v>0.33821874623794673</v>
      </c>
      <c r="AN110" s="483">
        <f t="shared" si="49"/>
        <v>0.274114562820508</v>
      </c>
      <c r="AO110" s="483">
        <f t="shared" si="50"/>
        <v>0.26619841008546835</v>
      </c>
      <c r="AP110" s="483">
        <f t="shared" si="51"/>
        <v>0.12146828085607692</v>
      </c>
      <c r="AQ110" s="483">
        <f t="shared" si="52"/>
        <v>1</v>
      </c>
      <c r="AR110" s="834">
        <f t="shared" si="77"/>
        <v>14.074800203122303</v>
      </c>
      <c r="AS110" s="835">
        <f t="shared" si="78"/>
        <v>22.79638006432339</v>
      </c>
      <c r="AT110" s="835">
        <f t="shared" si="79"/>
        <v>7.9914670248565134</v>
      </c>
      <c r="AU110" s="835">
        <f t="shared" si="53"/>
        <v>0</v>
      </c>
      <c r="AV110" s="835">
        <f t="shared" si="54"/>
        <v>0</v>
      </c>
      <c r="AW110" s="835">
        <f t="shared" si="55"/>
        <v>0</v>
      </c>
      <c r="AX110" s="1228">
        <f t="shared" si="25"/>
        <v>34.014383547341964</v>
      </c>
      <c r="AY110" s="835">
        <f t="shared" si="80"/>
        <v>4.9177043338998292</v>
      </c>
      <c r="AZ110" s="835">
        <f t="shared" si="81"/>
        <v>7.1478578642995716</v>
      </c>
      <c r="BA110" s="835">
        <f t="shared" si="82"/>
        <v>6.2835344792078285</v>
      </c>
      <c r="BB110" s="835">
        <f t="shared" si="83"/>
        <v>1.3553250697325099</v>
      </c>
      <c r="BC110" s="608">
        <f t="shared" si="56"/>
        <v>98.581452586783911</v>
      </c>
      <c r="BD110" s="840">
        <f t="shared" si="57"/>
        <v>0</v>
      </c>
      <c r="BE110" s="760">
        <f t="shared" si="58"/>
        <v>0.14277330911442876</v>
      </c>
      <c r="BF110" s="705">
        <f t="shared" si="59"/>
        <v>0.23124410795484193</v>
      </c>
      <c r="BG110" s="705">
        <f t="shared" si="60"/>
        <v>8.1064610179297267E-2</v>
      </c>
      <c r="BH110" s="705">
        <f t="shared" si="61"/>
        <v>0</v>
      </c>
      <c r="BI110" s="705">
        <f t="shared" si="62"/>
        <v>0</v>
      </c>
      <c r="BJ110" s="705">
        <f t="shared" si="63"/>
        <v>0</v>
      </c>
      <c r="BK110" s="705">
        <f t="shared" si="64"/>
        <v>0.54491797275143206</v>
      </c>
      <c r="BL110" s="705">
        <f t="shared" si="65"/>
        <v>1</v>
      </c>
      <c r="BM110" s="730">
        <f t="shared" si="84"/>
        <v>0.29028184578274857</v>
      </c>
      <c r="BN110" s="483">
        <f t="shared" si="66"/>
        <v>0.30317187715157518</v>
      </c>
      <c r="BO110" s="483">
        <f t="shared" si="66"/>
        <v>8.2805443243048754E-2</v>
      </c>
      <c r="BP110" s="483">
        <f t="shared" si="66"/>
        <v>0</v>
      </c>
      <c r="BQ110" s="483">
        <f t="shared" si="66"/>
        <v>0</v>
      </c>
      <c r="BR110" s="483">
        <f t="shared" si="66"/>
        <v>0</v>
      </c>
      <c r="BS110" s="483">
        <f t="shared" si="66"/>
        <v>0.32374083382262742</v>
      </c>
      <c r="BT110" s="604">
        <f t="shared" si="85"/>
        <v>0.99999999999999989</v>
      </c>
      <c r="BV110" s="606">
        <f t="shared" si="26"/>
        <v>77.975706398072248</v>
      </c>
      <c r="BW110" s="114">
        <f t="shared" si="67"/>
        <v>0.57071062808606376</v>
      </c>
      <c r="BX110" s="1503">
        <f t="shared" si="27"/>
        <v>36.027957214440953</v>
      </c>
      <c r="BY110" s="606">
        <f t="shared" si="28"/>
        <v>75.712755328722352</v>
      </c>
      <c r="BZ110" s="114">
        <f t="shared" si="68"/>
        <v>0.49571015796475626</v>
      </c>
      <c r="CA110" s="765">
        <f t="shared" si="29"/>
        <v>50.172070130067617</v>
      </c>
      <c r="CB110" s="730">
        <f t="shared" si="30"/>
        <v>0.31299129146536464</v>
      </c>
      <c r="CC110" s="604">
        <f t="shared" si="31"/>
        <v>0.46036539887088651</v>
      </c>
      <c r="CD110" s="114">
        <f t="shared" si="32"/>
        <v>0.31299129146536464</v>
      </c>
      <c r="CE110" s="604">
        <f t="shared" si="33"/>
        <v>0.85</v>
      </c>
      <c r="CG110" s="602">
        <f t="shared" si="69"/>
        <v>15.084371478283268</v>
      </c>
      <c r="CH110" s="704">
        <f t="shared" si="70"/>
        <v>5.8388136229770344</v>
      </c>
      <c r="CI110" s="704">
        <f t="shared" si="71"/>
        <v>24.153797335168999</v>
      </c>
      <c r="CJ110" s="704">
        <f t="shared" si="72"/>
        <v>34.354687149376673</v>
      </c>
      <c r="CK110" s="704">
        <f t="shared" si="73"/>
        <v>0.4651784707051666</v>
      </c>
      <c r="CL110" s="704">
        <f t="shared" si="74"/>
        <v>79.896848056511146</v>
      </c>
      <c r="CM110" s="727">
        <f t="shared" si="75"/>
        <v>0</v>
      </c>
    </row>
    <row r="111" spans="1:91">
      <c r="A111" s="127">
        <f>'Input data'!A131</f>
        <v>2031</v>
      </c>
      <c r="B111" s="748">
        <f>'Input data'!B131</f>
        <v>66.519000000000005</v>
      </c>
      <c r="C111" s="236">
        <f>'Input data'!C131</f>
        <v>3761.03</v>
      </c>
      <c r="D111" s="237">
        <f>'Input data'!D131</f>
        <v>35846430.699385166</v>
      </c>
      <c r="E111" s="730">
        <f t="shared" si="34"/>
        <v>0.8357939393939392</v>
      </c>
      <c r="F111" s="483">
        <f t="shared" si="35"/>
        <v>0.32254242424242419</v>
      </c>
      <c r="G111" s="607">
        <f>B111*F111*'Input data'!$C$9</f>
        <v>656.68062845237228</v>
      </c>
      <c r="H111" s="602">
        <f>'Input data'!I131</f>
        <v>424.26313389388866</v>
      </c>
      <c r="I111" s="608">
        <f>'Input data'!K131</f>
        <v>28221.559403487583</v>
      </c>
      <c r="J111" s="608">
        <f t="shared" ref="J111:J116" si="87">($J$117-$J$107)/($A$117-$A$107)+J110</f>
        <v>93.914010597817665</v>
      </c>
      <c r="K111" s="609">
        <f t="shared" si="10"/>
        <v>103.24889457575024</v>
      </c>
      <c r="L111" s="483">
        <f>L110</f>
        <v>0.57999999999999996</v>
      </c>
      <c r="M111" s="483">
        <f t="shared" ref="M111:P111" si="88">M110</f>
        <v>0.437</v>
      </c>
      <c r="N111" s="483">
        <f t="shared" si="88"/>
        <v>0.71200000000000008</v>
      </c>
      <c r="O111" s="483">
        <f t="shared" si="88"/>
        <v>0.8</v>
      </c>
      <c r="P111" s="483">
        <f t="shared" si="88"/>
        <v>0.23600000000000002</v>
      </c>
      <c r="Q111" s="602">
        <f t="shared" si="41"/>
        <v>21.956594277323916</v>
      </c>
      <c r="R111" s="608">
        <f t="shared" si="11"/>
        <v>8.498893173320921</v>
      </c>
      <c r="S111" s="608">
        <f t="shared" si="12"/>
        <v>35.157920176424213</v>
      </c>
      <c r="T111" s="608">
        <f t="shared" si="13"/>
        <v>50.006188746360976</v>
      </c>
      <c r="U111" s="608">
        <f t="shared" si="14"/>
        <v>0.67710709475193609</v>
      </c>
      <c r="V111" s="1295">
        <f t="shared" si="15"/>
        <v>116.29670346818196</v>
      </c>
      <c r="W111" s="730">
        <f t="shared" si="86"/>
        <v>0.5</v>
      </c>
      <c r="X111" s="606">
        <f t="shared" si="16"/>
        <v>53.669159952994768</v>
      </c>
      <c r="Y111" s="606">
        <f t="shared" si="17"/>
        <v>53.669159952994768</v>
      </c>
      <c r="Z111" s="607">
        <f t="shared" si="18"/>
        <v>143.49374522057315</v>
      </c>
      <c r="AA111" s="608">
        <f t="shared" si="19"/>
        <v>49.579734622755474</v>
      </c>
      <c r="AB111" s="811">
        <f t="shared" si="20"/>
        <v>0.34551843738236382</v>
      </c>
      <c r="AC111" s="135" t="str">
        <f t="shared" si="42"/>
        <v>Policies met</v>
      </c>
      <c r="AD111" s="1240">
        <f t="shared" si="43"/>
        <v>0.34551843738236382</v>
      </c>
      <c r="AE111" s="135" t="str">
        <f t="shared" si="44"/>
        <v>No</v>
      </c>
      <c r="AF111" s="1293">
        <f t="shared" si="45"/>
        <v>277.67239883192764</v>
      </c>
      <c r="AG111" s="118">
        <f t="shared" si="46"/>
        <v>93.914010597817679</v>
      </c>
      <c r="AH111" s="118">
        <f t="shared" si="21"/>
        <v>76.11404821313559</v>
      </c>
      <c r="AI111" s="118">
        <f t="shared" si="22"/>
        <v>73.915951093677208</v>
      </c>
      <c r="AJ111" s="118">
        <f t="shared" si="23"/>
        <v>33.728388927297189</v>
      </c>
      <c r="AK111" s="118">
        <f t="shared" si="47"/>
        <v>277.67239883192769</v>
      </c>
      <c r="AL111" s="828">
        <f t="shared" si="24"/>
        <v>0</v>
      </c>
      <c r="AM111" s="730">
        <f t="shared" si="48"/>
        <v>0.33821874623794668</v>
      </c>
      <c r="AN111" s="483">
        <f t="shared" si="49"/>
        <v>0.274114562820508</v>
      </c>
      <c r="AO111" s="483">
        <f t="shared" si="50"/>
        <v>0.26619841008546835</v>
      </c>
      <c r="AP111" s="483">
        <f t="shared" si="51"/>
        <v>0.12146828085607689</v>
      </c>
      <c r="AQ111" s="483">
        <f t="shared" si="52"/>
        <v>0.99999999999999989</v>
      </c>
      <c r="AR111" s="834">
        <f t="shared" si="77"/>
        <v>13.408414065257954</v>
      </c>
      <c r="AS111" s="835">
        <f t="shared" si="78"/>
        <v>21.717061605153908</v>
      </c>
      <c r="AT111" s="835">
        <f t="shared" si="79"/>
        <v>7.6131026594864766</v>
      </c>
      <c r="AU111" s="835">
        <f t="shared" si="53"/>
        <v>0</v>
      </c>
      <c r="AV111" s="835">
        <f t="shared" si="54"/>
        <v>0</v>
      </c>
      <c r="AW111" s="835">
        <f t="shared" si="55"/>
        <v>0</v>
      </c>
      <c r="AX111" s="1228">
        <f t="shared" si="25"/>
        <v>32.403936979232135</v>
      </c>
      <c r="AY111" s="835">
        <f t="shared" si="80"/>
        <v>4.6848704782903337</v>
      </c>
      <c r="AZ111" s="835">
        <f t="shared" si="81"/>
        <v>6.809435057051676</v>
      </c>
      <c r="BA111" s="835">
        <f t="shared" si="82"/>
        <v>5.986033966709762</v>
      </c>
      <c r="BB111" s="835">
        <f t="shared" si="83"/>
        <v>1.2911557866353744</v>
      </c>
      <c r="BC111" s="608">
        <f t="shared" si="56"/>
        <v>93.914010597817608</v>
      </c>
      <c r="BD111" s="840">
        <f t="shared" si="57"/>
        <v>0</v>
      </c>
      <c r="BE111" s="760">
        <f t="shared" si="58"/>
        <v>0.14277330911442879</v>
      </c>
      <c r="BF111" s="705">
        <f t="shared" si="59"/>
        <v>0.23124410795484199</v>
      </c>
      <c r="BG111" s="705">
        <f t="shared" si="60"/>
        <v>8.1064610179297267E-2</v>
      </c>
      <c r="BH111" s="705">
        <f t="shared" si="61"/>
        <v>0</v>
      </c>
      <c r="BI111" s="705">
        <f t="shared" si="62"/>
        <v>0</v>
      </c>
      <c r="BJ111" s="705">
        <f t="shared" si="63"/>
        <v>0</v>
      </c>
      <c r="BK111" s="705">
        <f t="shared" si="64"/>
        <v>0.54491797275143217</v>
      </c>
      <c r="BL111" s="705">
        <f t="shared" si="65"/>
        <v>1.0000000000000002</v>
      </c>
      <c r="BM111" s="730">
        <f t="shared" si="84"/>
        <v>0.29028184578274857</v>
      </c>
      <c r="BN111" s="483">
        <f t="shared" si="66"/>
        <v>0.30317187715157518</v>
      </c>
      <c r="BO111" s="483">
        <f t="shared" si="66"/>
        <v>8.2805443243048754E-2</v>
      </c>
      <c r="BP111" s="483">
        <f t="shared" si="66"/>
        <v>0</v>
      </c>
      <c r="BQ111" s="483">
        <f t="shared" si="66"/>
        <v>0</v>
      </c>
      <c r="BR111" s="483">
        <f t="shared" si="66"/>
        <v>0</v>
      </c>
      <c r="BS111" s="483">
        <f t="shared" si="66"/>
        <v>0.32374083382262742</v>
      </c>
      <c r="BT111" s="604">
        <f t="shared" si="85"/>
        <v>0.99999999999999989</v>
      </c>
      <c r="BV111" s="606">
        <f t="shared" si="26"/>
        <v>76.693301921146329</v>
      </c>
      <c r="BW111" s="114">
        <f t="shared" si="67"/>
        <v>0.56438013508341156</v>
      </c>
      <c r="BX111" s="1503">
        <f t="shared" si="27"/>
        <v>35.846430699385166</v>
      </c>
      <c r="BY111" s="606">
        <f t="shared" si="28"/>
        <v>75.13302953435452</v>
      </c>
      <c r="BZ111" s="114">
        <f t="shared" si="68"/>
        <v>0.48852845558251917</v>
      </c>
      <c r="CA111" s="765">
        <f t="shared" si="29"/>
        <v>50.172070130067617</v>
      </c>
      <c r="CB111" s="730">
        <f t="shared" si="30"/>
        <v>0.34551843738236382</v>
      </c>
      <c r="CC111" s="604">
        <f t="shared" si="31"/>
        <v>0.48286370621860969</v>
      </c>
      <c r="CD111" s="114">
        <f t="shared" si="32"/>
        <v>0.34551843738236382</v>
      </c>
      <c r="CE111" s="604">
        <f t="shared" si="33"/>
        <v>0.85</v>
      </c>
      <c r="CG111" s="602">
        <f t="shared" si="69"/>
        <v>14.370186132384404</v>
      </c>
      <c r="CH111" s="704">
        <f t="shared" si="70"/>
        <v>5.5623688845954362</v>
      </c>
      <c r="CI111" s="704">
        <f t="shared" si="71"/>
        <v>23.010210535452234</v>
      </c>
      <c r="CJ111" s="704">
        <f t="shared" si="72"/>
        <v>32.728128551270785</v>
      </c>
      <c r="CK111" s="704">
        <f t="shared" si="73"/>
        <v>0.44315410943273492</v>
      </c>
      <c r="CL111" s="704">
        <f t="shared" si="74"/>
        <v>76.114048213135604</v>
      </c>
      <c r="CM111" s="727">
        <f t="shared" si="75"/>
        <v>0</v>
      </c>
    </row>
    <row r="112" spans="1:91">
      <c r="A112" s="127">
        <f>'Input data'!A132</f>
        <v>2032</v>
      </c>
      <c r="B112" s="748">
        <f>'Input data'!B132</f>
        <v>67.087000000000003</v>
      </c>
      <c r="C112" s="236">
        <f>'Input data'!C132</f>
        <v>3857.2</v>
      </c>
      <c r="D112" s="237">
        <f>'Input data'!D132</f>
        <v>35664904.184329376</v>
      </c>
      <c r="E112" s="730">
        <f t="shared" si="34"/>
        <v>0.84443636363636343</v>
      </c>
      <c r="F112" s="483">
        <f t="shared" si="35"/>
        <v>0.32489545454545449</v>
      </c>
      <c r="G112" s="607">
        <f>B112*F112*'Input data'!$C$9</f>
        <v>667.11952946746214</v>
      </c>
      <c r="H112" s="602">
        <f>'Input data'!I132</f>
        <v>424.26313389388866</v>
      </c>
      <c r="I112" s="608">
        <f>'Input data'!K132</f>
        <v>28462.540863539311</v>
      </c>
      <c r="J112" s="608">
        <f t="shared" si="87"/>
        <v>89.246568608851376</v>
      </c>
      <c r="K112" s="609">
        <f t="shared" si="10"/>
        <v>107.91633656471653</v>
      </c>
      <c r="L112" s="483">
        <f t="shared" ref="L112:L130" si="89">L111</f>
        <v>0.57999999999999996</v>
      </c>
      <c r="M112" s="483">
        <f t="shared" ref="M112:M130" si="90">M111</f>
        <v>0.437</v>
      </c>
      <c r="N112" s="483">
        <f t="shared" ref="N112:N130" si="91">N111</f>
        <v>0.71200000000000008</v>
      </c>
      <c r="O112" s="483">
        <f t="shared" ref="O112:P130" si="92">O111</f>
        <v>0.8</v>
      </c>
      <c r="P112" s="483">
        <f t="shared" si="92"/>
        <v>0.23600000000000002</v>
      </c>
      <c r="Q112" s="602">
        <f t="shared" si="41"/>
        <v>21.956594277323916</v>
      </c>
      <c r="R112" s="608">
        <f t="shared" si="11"/>
        <v>8.498893173320921</v>
      </c>
      <c r="S112" s="608">
        <f t="shared" si="12"/>
        <v>35.157920176424213</v>
      </c>
      <c r="T112" s="608">
        <f t="shared" si="13"/>
        <v>50.006188746360976</v>
      </c>
      <c r="U112" s="608">
        <f t="shared" si="14"/>
        <v>0.67710709475193609</v>
      </c>
      <c r="V112" s="1295">
        <f t="shared" si="15"/>
        <v>116.29670346818196</v>
      </c>
      <c r="W112" s="730">
        <f t="shared" si="86"/>
        <v>0.5</v>
      </c>
      <c r="X112" s="606">
        <f t="shared" si="16"/>
        <v>53.669159952994768</v>
      </c>
      <c r="Y112" s="606">
        <f t="shared" si="17"/>
        <v>53.669159952994768</v>
      </c>
      <c r="Z112" s="607">
        <f t="shared" si="18"/>
        <v>143.49374522057315</v>
      </c>
      <c r="AA112" s="608">
        <f t="shared" si="19"/>
        <v>54.247176611721763</v>
      </c>
      <c r="AB112" s="811">
        <f t="shared" si="20"/>
        <v>0.37804558329936305</v>
      </c>
      <c r="AC112" s="135" t="str">
        <f t="shared" si="42"/>
        <v>Policies met</v>
      </c>
      <c r="AD112" s="1240">
        <f t="shared" si="43"/>
        <v>0.37804558329936305</v>
      </c>
      <c r="AE112" s="135" t="str">
        <f t="shared" si="44"/>
        <v>No</v>
      </c>
      <c r="AF112" s="1293">
        <f t="shared" si="45"/>
        <v>263.87232996855778</v>
      </c>
      <c r="AG112" s="118">
        <f t="shared" si="46"/>
        <v>89.246568608851391</v>
      </c>
      <c r="AH112" s="118">
        <f t="shared" si="21"/>
        <v>72.331248369760061</v>
      </c>
      <c r="AI112" s="118">
        <f t="shared" si="22"/>
        <v>70.242394703178178</v>
      </c>
      <c r="AJ112" s="118">
        <f t="shared" si="23"/>
        <v>32.052118286768177</v>
      </c>
      <c r="AK112" s="118">
        <f t="shared" si="47"/>
        <v>263.87232996855778</v>
      </c>
      <c r="AL112" s="828">
        <f t="shared" si="24"/>
        <v>0</v>
      </c>
      <c r="AM112" s="730">
        <f t="shared" si="48"/>
        <v>0.33821874623794673</v>
      </c>
      <c r="AN112" s="483">
        <f t="shared" si="49"/>
        <v>0.27411456282050806</v>
      </c>
      <c r="AO112" s="483">
        <f t="shared" si="50"/>
        <v>0.26619841008546841</v>
      </c>
      <c r="AP112" s="483">
        <f t="shared" si="51"/>
        <v>0.12146828085607692</v>
      </c>
      <c r="AQ112" s="483">
        <f t="shared" si="52"/>
        <v>1.0000000000000002</v>
      </c>
      <c r="AR112" s="834">
        <f t="shared" si="77"/>
        <v>12.742027927393607</v>
      </c>
      <c r="AS112" s="835">
        <f t="shared" si="78"/>
        <v>20.63774314598443</v>
      </c>
      <c r="AT112" s="835">
        <f t="shared" si="79"/>
        <v>7.2347382941164415</v>
      </c>
      <c r="AU112" s="835">
        <f t="shared" si="53"/>
        <v>0</v>
      </c>
      <c r="AV112" s="835">
        <f t="shared" si="54"/>
        <v>0</v>
      </c>
      <c r="AW112" s="835">
        <f t="shared" si="55"/>
        <v>0</v>
      </c>
      <c r="AX112" s="1228">
        <f t="shared" si="25"/>
        <v>30.793490411122306</v>
      </c>
      <c r="AY112" s="835">
        <f t="shared" si="80"/>
        <v>4.452036622680839</v>
      </c>
      <c r="AZ112" s="835">
        <f t="shared" si="81"/>
        <v>6.4710122498037812</v>
      </c>
      <c r="BA112" s="835">
        <f t="shared" si="82"/>
        <v>5.6885334542116963</v>
      </c>
      <c r="BB112" s="835">
        <f t="shared" si="83"/>
        <v>1.226986503538239</v>
      </c>
      <c r="BC112" s="608">
        <f t="shared" si="56"/>
        <v>89.246568608851334</v>
      </c>
      <c r="BD112" s="840">
        <f t="shared" si="57"/>
        <v>0</v>
      </c>
      <c r="BE112" s="760">
        <f t="shared" si="58"/>
        <v>0.14277330911442879</v>
      </c>
      <c r="BF112" s="705">
        <f t="shared" si="59"/>
        <v>0.23124410795484199</v>
      </c>
      <c r="BG112" s="705">
        <f t="shared" si="60"/>
        <v>8.1064610179297267E-2</v>
      </c>
      <c r="BH112" s="705">
        <f t="shared" si="61"/>
        <v>0</v>
      </c>
      <c r="BI112" s="705">
        <f t="shared" si="62"/>
        <v>0</v>
      </c>
      <c r="BJ112" s="705">
        <f t="shared" si="63"/>
        <v>0</v>
      </c>
      <c r="BK112" s="705">
        <f t="shared" si="64"/>
        <v>0.54491797275143194</v>
      </c>
      <c r="BL112" s="705">
        <f t="shared" si="65"/>
        <v>1</v>
      </c>
      <c r="BM112" s="730">
        <f t="shared" si="84"/>
        <v>0.29028184578274857</v>
      </c>
      <c r="BN112" s="483">
        <f t="shared" si="66"/>
        <v>0.30317187715157518</v>
      </c>
      <c r="BO112" s="483">
        <f t="shared" si="66"/>
        <v>8.2805443243048754E-2</v>
      </c>
      <c r="BP112" s="483">
        <f t="shared" si="66"/>
        <v>0</v>
      </c>
      <c r="BQ112" s="483">
        <f t="shared" si="66"/>
        <v>0</v>
      </c>
      <c r="BR112" s="483">
        <f t="shared" si="66"/>
        <v>0</v>
      </c>
      <c r="BS112" s="483">
        <f t="shared" si="66"/>
        <v>0.32374083382262742</v>
      </c>
      <c r="BT112" s="604">
        <f t="shared" si="85"/>
        <v>0.99999999999999989</v>
      </c>
      <c r="BV112" s="606">
        <f t="shared" si="26"/>
        <v>75.270535784232166</v>
      </c>
      <c r="BW112" s="114">
        <f t="shared" si="67"/>
        <v>0.55770079918369797</v>
      </c>
      <c r="BX112" s="1503">
        <f t="shared" si="27"/>
        <v>35.664904184329373</v>
      </c>
      <c r="BY112" s="606">
        <f t="shared" si="28"/>
        <v>74.530904330938327</v>
      </c>
      <c r="BZ112" s="114">
        <f t="shared" si="68"/>
        <v>0.48115347749068749</v>
      </c>
      <c r="CA112" s="765">
        <f t="shared" si="29"/>
        <v>50.172070130067617</v>
      </c>
      <c r="CB112" s="730">
        <f t="shared" si="30"/>
        <v>0.37804558329936305</v>
      </c>
      <c r="CC112" s="604">
        <f t="shared" si="31"/>
        <v>0.50641955260319971</v>
      </c>
      <c r="CD112" s="114">
        <f t="shared" si="32"/>
        <v>0.37804558329936305</v>
      </c>
      <c r="CE112" s="604">
        <f t="shared" si="33"/>
        <v>0.85</v>
      </c>
      <c r="CG112" s="602">
        <f t="shared" si="69"/>
        <v>13.65600078648554</v>
      </c>
      <c r="CH112" s="704">
        <f t="shared" si="70"/>
        <v>5.2859241462138389</v>
      </c>
      <c r="CI112" s="704">
        <f t="shared" si="71"/>
        <v>21.866623735735477</v>
      </c>
      <c r="CJ112" s="704">
        <f t="shared" si="72"/>
        <v>31.101569953164898</v>
      </c>
      <c r="CK112" s="704">
        <f t="shared" si="73"/>
        <v>0.42112974816030335</v>
      </c>
      <c r="CL112" s="704">
        <f t="shared" si="74"/>
        <v>72.331248369760047</v>
      </c>
      <c r="CM112" s="727">
        <f t="shared" si="75"/>
        <v>0</v>
      </c>
    </row>
    <row r="113" spans="1:91">
      <c r="A113" s="127">
        <f>'Input data'!A133</f>
        <v>2033</v>
      </c>
      <c r="B113" s="748">
        <f>'Input data'!B133</f>
        <v>67.659000000000006</v>
      </c>
      <c r="C113" s="236">
        <f>'Input data'!C133</f>
        <v>3964.01</v>
      </c>
      <c r="D113" s="237">
        <f>'Input data'!D133</f>
        <v>35483377.6692736</v>
      </c>
      <c r="E113" s="730">
        <f t="shared" si="34"/>
        <v>0.85307878787878766</v>
      </c>
      <c r="F113" s="483">
        <f t="shared" si="35"/>
        <v>0.32724848484848479</v>
      </c>
      <c r="G113" s="607">
        <f>B113*F113*'Input data'!$C$9</f>
        <v>677.6803089176409</v>
      </c>
      <c r="H113" s="602">
        <f>'Input data'!I133</f>
        <v>424.26313389388866</v>
      </c>
      <c r="I113" s="608">
        <f>'Input data'!K133</f>
        <v>28705.219376126617</v>
      </c>
      <c r="J113" s="608">
        <f t="shared" si="87"/>
        <v>84.579126619885088</v>
      </c>
      <c r="K113" s="609">
        <f t="shared" si="10"/>
        <v>112.58377855368282</v>
      </c>
      <c r="L113" s="483">
        <f t="shared" si="89"/>
        <v>0.57999999999999996</v>
      </c>
      <c r="M113" s="483">
        <f t="shared" si="90"/>
        <v>0.437</v>
      </c>
      <c r="N113" s="483">
        <f t="shared" si="91"/>
        <v>0.71200000000000008</v>
      </c>
      <c r="O113" s="483">
        <f t="shared" si="92"/>
        <v>0.8</v>
      </c>
      <c r="P113" s="483">
        <f t="shared" si="92"/>
        <v>0.23600000000000002</v>
      </c>
      <c r="Q113" s="602">
        <f t="shared" si="41"/>
        <v>21.956594277323916</v>
      </c>
      <c r="R113" s="608">
        <f t="shared" si="11"/>
        <v>8.498893173320921</v>
      </c>
      <c r="S113" s="608">
        <f t="shared" si="12"/>
        <v>35.157920176424213</v>
      </c>
      <c r="T113" s="608">
        <f t="shared" si="13"/>
        <v>50.006188746360976</v>
      </c>
      <c r="U113" s="608">
        <f t="shared" si="14"/>
        <v>0.67710709475193609</v>
      </c>
      <c r="V113" s="1295">
        <f t="shared" si="15"/>
        <v>116.29670346818196</v>
      </c>
      <c r="W113" s="730">
        <f t="shared" si="86"/>
        <v>0.5</v>
      </c>
      <c r="X113" s="606">
        <f t="shared" si="16"/>
        <v>53.669159952994768</v>
      </c>
      <c r="Y113" s="606">
        <f t="shared" si="17"/>
        <v>53.669159952994768</v>
      </c>
      <c r="Z113" s="607">
        <f t="shared" si="18"/>
        <v>143.49374522057315</v>
      </c>
      <c r="AA113" s="608">
        <f t="shared" si="19"/>
        <v>58.914618600688051</v>
      </c>
      <c r="AB113" s="811">
        <f t="shared" si="20"/>
        <v>0.41057272921636223</v>
      </c>
      <c r="AC113" s="135" t="str">
        <f t="shared" si="42"/>
        <v>Policies met</v>
      </c>
      <c r="AD113" s="1240">
        <f t="shared" si="43"/>
        <v>0.41057272921636223</v>
      </c>
      <c r="AE113" s="135" t="str">
        <f t="shared" si="44"/>
        <v>No</v>
      </c>
      <c r="AF113" s="1293">
        <f t="shared" si="45"/>
        <v>250.07226110518789</v>
      </c>
      <c r="AG113" s="118">
        <f t="shared" si="46"/>
        <v>84.579126619885102</v>
      </c>
      <c r="AH113" s="118">
        <f t="shared" si="21"/>
        <v>68.548448526384519</v>
      </c>
      <c r="AI113" s="118">
        <f t="shared" si="22"/>
        <v>66.568838312679134</v>
      </c>
      <c r="AJ113" s="118">
        <f t="shared" si="23"/>
        <v>30.375847646239162</v>
      </c>
      <c r="AK113" s="118">
        <f t="shared" si="47"/>
        <v>250.07226110518792</v>
      </c>
      <c r="AL113" s="828">
        <f t="shared" si="24"/>
        <v>0</v>
      </c>
      <c r="AM113" s="730">
        <f t="shared" si="48"/>
        <v>0.33821874623794668</v>
      </c>
      <c r="AN113" s="483">
        <f t="shared" si="49"/>
        <v>0.274114562820508</v>
      </c>
      <c r="AO113" s="483">
        <f t="shared" si="50"/>
        <v>0.26619841008546835</v>
      </c>
      <c r="AP113" s="483">
        <f t="shared" si="51"/>
        <v>0.1214682808560769</v>
      </c>
      <c r="AQ113" s="483">
        <f t="shared" si="52"/>
        <v>0.99999999999999989</v>
      </c>
      <c r="AR113" s="834">
        <f t="shared" si="77"/>
        <v>12.075641789529259</v>
      </c>
      <c r="AS113" s="835">
        <f t="shared" si="78"/>
        <v>19.558424686814945</v>
      </c>
      <c r="AT113" s="835">
        <f t="shared" si="79"/>
        <v>6.8563739287464056</v>
      </c>
      <c r="AU113" s="835">
        <f t="shared" si="53"/>
        <v>0</v>
      </c>
      <c r="AV113" s="835">
        <f t="shared" si="54"/>
        <v>0</v>
      </c>
      <c r="AW113" s="835">
        <f t="shared" si="55"/>
        <v>0</v>
      </c>
      <c r="AX113" s="1228">
        <f t="shared" si="25"/>
        <v>29.183043843012477</v>
      </c>
      <c r="AY113" s="835">
        <f t="shared" si="80"/>
        <v>4.2192027670713435</v>
      </c>
      <c r="AZ113" s="835">
        <f t="shared" si="81"/>
        <v>6.1325894425558856</v>
      </c>
      <c r="BA113" s="835">
        <f t="shared" si="82"/>
        <v>5.3910329417136298</v>
      </c>
      <c r="BB113" s="835">
        <f t="shared" si="83"/>
        <v>1.1628172204411034</v>
      </c>
      <c r="BC113" s="608">
        <f t="shared" si="56"/>
        <v>84.579126619885031</v>
      </c>
      <c r="BD113" s="840">
        <f t="shared" si="57"/>
        <v>0</v>
      </c>
      <c r="BE113" s="760">
        <f t="shared" si="58"/>
        <v>0.14277330911442879</v>
      </c>
      <c r="BF113" s="705">
        <f t="shared" si="59"/>
        <v>0.23124410795484199</v>
      </c>
      <c r="BG113" s="705">
        <f t="shared" si="60"/>
        <v>8.1064610179297281E-2</v>
      </c>
      <c r="BH113" s="705">
        <f t="shared" si="61"/>
        <v>0</v>
      </c>
      <c r="BI113" s="705">
        <f t="shared" si="62"/>
        <v>0</v>
      </c>
      <c r="BJ113" s="705">
        <f t="shared" si="63"/>
        <v>0</v>
      </c>
      <c r="BK113" s="705">
        <f t="shared" si="64"/>
        <v>0.54491797275143217</v>
      </c>
      <c r="BL113" s="705">
        <f t="shared" si="65"/>
        <v>1.0000000000000002</v>
      </c>
      <c r="BM113" s="730">
        <f t="shared" si="84"/>
        <v>0.29028184578274857</v>
      </c>
      <c r="BN113" s="483">
        <f t="shared" si="66"/>
        <v>0.30317187715157518</v>
      </c>
      <c r="BO113" s="483">
        <f t="shared" si="66"/>
        <v>8.2805443243048754E-2</v>
      </c>
      <c r="BP113" s="483">
        <f t="shared" si="66"/>
        <v>0</v>
      </c>
      <c r="BQ113" s="483">
        <f t="shared" si="66"/>
        <v>0</v>
      </c>
      <c r="BR113" s="483">
        <f t="shared" si="66"/>
        <v>0</v>
      </c>
      <c r="BS113" s="483">
        <f t="shared" si="66"/>
        <v>0.32374083382262742</v>
      </c>
      <c r="BT113" s="604">
        <f t="shared" si="85"/>
        <v>0.99999999999999989</v>
      </c>
      <c r="BV113" s="606">
        <f t="shared" si="26"/>
        <v>73.977880776461646</v>
      </c>
      <c r="BW113" s="114">
        <f t="shared" si="67"/>
        <v>0.55074695204294777</v>
      </c>
      <c r="BX113" s="1503">
        <f t="shared" si="27"/>
        <v>35.483377669273601</v>
      </c>
      <c r="BY113" s="606">
        <f t="shared" si="28"/>
        <v>73.932464155047001</v>
      </c>
      <c r="BZ113" s="114">
        <f t="shared" si="68"/>
        <v>0.47361224791371626</v>
      </c>
      <c r="CA113" s="765">
        <f t="shared" si="29"/>
        <v>50.172070130067617</v>
      </c>
      <c r="CB113" s="730">
        <f t="shared" si="30"/>
        <v>0.41057272921636223</v>
      </c>
      <c r="CC113" s="604">
        <f t="shared" si="31"/>
        <v>0.52691923024145726</v>
      </c>
      <c r="CD113" s="114">
        <f t="shared" si="32"/>
        <v>0.41057272921636223</v>
      </c>
      <c r="CE113" s="604">
        <f t="shared" si="33"/>
        <v>0.85</v>
      </c>
      <c r="CG113" s="602">
        <f t="shared" si="69"/>
        <v>12.941815440586675</v>
      </c>
      <c r="CH113" s="704">
        <f t="shared" si="70"/>
        <v>5.0094794078322407</v>
      </c>
      <c r="CI113" s="704">
        <f t="shared" si="71"/>
        <v>20.723036936018715</v>
      </c>
      <c r="CJ113" s="704">
        <f t="shared" si="72"/>
        <v>29.47501135505901</v>
      </c>
      <c r="CK113" s="704">
        <f t="shared" si="73"/>
        <v>0.39910538688787173</v>
      </c>
      <c r="CL113" s="704">
        <f t="shared" si="74"/>
        <v>68.548448526384504</v>
      </c>
      <c r="CM113" s="727">
        <f t="shared" si="75"/>
        <v>0</v>
      </c>
    </row>
    <row r="114" spans="1:91">
      <c r="A114" s="127">
        <f>'Input data'!A134</f>
        <v>2034</v>
      </c>
      <c r="B114" s="748">
        <f>'Input data'!B134</f>
        <v>68.236999999999995</v>
      </c>
      <c r="C114" s="236">
        <f>'Input data'!C134</f>
        <v>4078.22</v>
      </c>
      <c r="D114" s="237">
        <f>'Input data'!D134</f>
        <v>35301851.154217809</v>
      </c>
      <c r="E114" s="730">
        <f t="shared" si="34"/>
        <v>0.86172121212121189</v>
      </c>
      <c r="F114" s="483">
        <f t="shared" si="35"/>
        <v>0.32960151515151509</v>
      </c>
      <c r="G114" s="607">
        <f>B114*F114*'Input data'!$C$9</f>
        <v>688.38400730327044</v>
      </c>
      <c r="H114" s="602">
        <f>'Input data'!I134</f>
        <v>424.26313389388866</v>
      </c>
      <c r="I114" s="608">
        <f>'Input data'!K134</f>
        <v>28950.443467517278</v>
      </c>
      <c r="J114" s="608">
        <f t="shared" si="87"/>
        <v>79.911684630918799</v>
      </c>
      <c r="K114" s="609">
        <f t="shared" si="10"/>
        <v>117.25122054264911</v>
      </c>
      <c r="L114" s="483">
        <f t="shared" si="89"/>
        <v>0.57999999999999996</v>
      </c>
      <c r="M114" s="483">
        <f t="shared" si="90"/>
        <v>0.437</v>
      </c>
      <c r="N114" s="483">
        <f t="shared" si="91"/>
        <v>0.71200000000000008</v>
      </c>
      <c r="O114" s="483">
        <f t="shared" si="92"/>
        <v>0.8</v>
      </c>
      <c r="P114" s="483">
        <f t="shared" si="92"/>
        <v>0.23600000000000002</v>
      </c>
      <c r="Q114" s="602">
        <f t="shared" si="41"/>
        <v>21.956594277323916</v>
      </c>
      <c r="R114" s="608">
        <f t="shared" si="11"/>
        <v>8.498893173320921</v>
      </c>
      <c r="S114" s="608">
        <f t="shared" si="12"/>
        <v>35.157920176424213</v>
      </c>
      <c r="T114" s="608">
        <f t="shared" si="13"/>
        <v>50.006188746360976</v>
      </c>
      <c r="U114" s="608">
        <f t="shared" si="14"/>
        <v>0.67710709475193609</v>
      </c>
      <c r="V114" s="1295">
        <f t="shared" si="15"/>
        <v>116.29670346818196</v>
      </c>
      <c r="W114" s="730">
        <f t="shared" si="86"/>
        <v>0.5</v>
      </c>
      <c r="X114" s="606">
        <f t="shared" si="16"/>
        <v>53.669159952994768</v>
      </c>
      <c r="Y114" s="606">
        <f t="shared" si="17"/>
        <v>53.669159952994768</v>
      </c>
      <c r="Z114" s="607">
        <f t="shared" si="18"/>
        <v>143.49374522057315</v>
      </c>
      <c r="AA114" s="608">
        <f t="shared" si="19"/>
        <v>63.58206058965434</v>
      </c>
      <c r="AB114" s="811">
        <f t="shared" si="20"/>
        <v>0.44309987513336141</v>
      </c>
      <c r="AC114" s="135" t="str">
        <f t="shared" si="42"/>
        <v>Policies met</v>
      </c>
      <c r="AD114" s="1240">
        <f t="shared" si="43"/>
        <v>0.44309987513336141</v>
      </c>
      <c r="AE114" s="135" t="str">
        <f t="shared" si="44"/>
        <v>No</v>
      </c>
      <c r="AF114" s="1293">
        <f t="shared" si="45"/>
        <v>236.27219224181798</v>
      </c>
      <c r="AG114" s="118">
        <f t="shared" si="46"/>
        <v>79.911684630918813</v>
      </c>
      <c r="AH114" s="118">
        <f t="shared" si="21"/>
        <v>64.765648683008962</v>
      </c>
      <c r="AI114" s="118">
        <f t="shared" si="22"/>
        <v>62.895281922180089</v>
      </c>
      <c r="AJ114" s="118">
        <f t="shared" si="23"/>
        <v>28.699577005710143</v>
      </c>
      <c r="AK114" s="118">
        <f t="shared" si="47"/>
        <v>236.272192241818</v>
      </c>
      <c r="AL114" s="828">
        <f t="shared" si="24"/>
        <v>0</v>
      </c>
      <c r="AM114" s="730">
        <f t="shared" si="48"/>
        <v>0.33821874623794673</v>
      </c>
      <c r="AN114" s="483">
        <f t="shared" si="49"/>
        <v>0.274114562820508</v>
      </c>
      <c r="AO114" s="483">
        <f t="shared" si="50"/>
        <v>0.26619841008546835</v>
      </c>
      <c r="AP114" s="483">
        <f t="shared" si="51"/>
        <v>0.1214682808560769</v>
      </c>
      <c r="AQ114" s="483">
        <f t="shared" si="52"/>
        <v>0.99999999999999989</v>
      </c>
      <c r="AR114" s="834">
        <f t="shared" si="77"/>
        <v>11.40925565166491</v>
      </c>
      <c r="AS114" s="835">
        <f t="shared" si="78"/>
        <v>18.479106227645463</v>
      </c>
      <c r="AT114" s="835">
        <f t="shared" si="79"/>
        <v>6.4780095633763697</v>
      </c>
      <c r="AU114" s="835">
        <f t="shared" si="53"/>
        <v>0</v>
      </c>
      <c r="AV114" s="835">
        <f t="shared" si="54"/>
        <v>0</v>
      </c>
      <c r="AW114" s="835">
        <f t="shared" si="55"/>
        <v>0</v>
      </c>
      <c r="AX114" s="1228">
        <f t="shared" si="25"/>
        <v>27.572597274902648</v>
      </c>
      <c r="AY114" s="835">
        <f t="shared" si="80"/>
        <v>3.9863689114618479</v>
      </c>
      <c r="AZ114" s="835">
        <f t="shared" si="81"/>
        <v>5.7941666353079899</v>
      </c>
      <c r="BA114" s="835">
        <f t="shared" si="82"/>
        <v>5.0935324292155633</v>
      </c>
      <c r="BB114" s="835">
        <f t="shared" si="83"/>
        <v>1.0986479373439679</v>
      </c>
      <c r="BC114" s="608">
        <f t="shared" si="56"/>
        <v>79.911684630918757</v>
      </c>
      <c r="BD114" s="840">
        <f t="shared" si="57"/>
        <v>0</v>
      </c>
      <c r="BE114" s="760">
        <f t="shared" si="58"/>
        <v>0.14277330911442876</v>
      </c>
      <c r="BF114" s="705">
        <f t="shared" si="59"/>
        <v>0.23124410795484199</v>
      </c>
      <c r="BG114" s="705">
        <f t="shared" si="60"/>
        <v>8.1064610179297267E-2</v>
      </c>
      <c r="BH114" s="705">
        <f t="shared" si="61"/>
        <v>0</v>
      </c>
      <c r="BI114" s="705">
        <f t="shared" si="62"/>
        <v>0</v>
      </c>
      <c r="BJ114" s="705">
        <f t="shared" si="63"/>
        <v>0</v>
      </c>
      <c r="BK114" s="705">
        <f t="shared" si="64"/>
        <v>0.54491797275143206</v>
      </c>
      <c r="BL114" s="705">
        <f t="shared" si="65"/>
        <v>1</v>
      </c>
      <c r="BM114" s="730">
        <f t="shared" si="84"/>
        <v>0.29028184578274857</v>
      </c>
      <c r="BN114" s="483">
        <f t="shared" si="84"/>
        <v>0.30317187715157518</v>
      </c>
      <c r="BO114" s="483">
        <f t="shared" si="84"/>
        <v>8.2805443243048754E-2</v>
      </c>
      <c r="BP114" s="483">
        <f t="shared" si="84"/>
        <v>0</v>
      </c>
      <c r="BQ114" s="483">
        <f t="shared" si="84"/>
        <v>0</v>
      </c>
      <c r="BR114" s="483">
        <f t="shared" si="84"/>
        <v>0</v>
      </c>
      <c r="BS114" s="483">
        <f t="shared" si="84"/>
        <v>0.32374083382262742</v>
      </c>
      <c r="BT114" s="604">
        <f t="shared" si="85"/>
        <v>0.99999999999999989</v>
      </c>
      <c r="BV114" s="606">
        <f t="shared" si="26"/>
        <v>72.747549474662065</v>
      </c>
      <c r="BW114" s="114">
        <f t="shared" si="67"/>
        <v>0.54350960087657207</v>
      </c>
      <c r="BX114" s="1503">
        <f t="shared" si="27"/>
        <v>35.301851154217808</v>
      </c>
      <c r="BY114" s="606">
        <f t="shared" si="28"/>
        <v>73.332424630864779</v>
      </c>
      <c r="BZ114" s="114">
        <f t="shared" si="68"/>
        <v>0.46590084358604955</v>
      </c>
      <c r="CA114" s="765">
        <f t="shared" si="29"/>
        <v>50.172070130067617</v>
      </c>
      <c r="CB114" s="730">
        <f t="shared" si="30"/>
        <v>0.44309987513336141</v>
      </c>
      <c r="CC114" s="604">
        <f t="shared" si="31"/>
        <v>0.54553174589675757</v>
      </c>
      <c r="CD114" s="114">
        <f t="shared" si="32"/>
        <v>0.44309987513336141</v>
      </c>
      <c r="CE114" s="604">
        <f t="shared" si="33"/>
        <v>0.85</v>
      </c>
      <c r="CG114" s="602">
        <f t="shared" si="69"/>
        <v>12.227630094687809</v>
      </c>
      <c r="CH114" s="704">
        <f t="shared" si="70"/>
        <v>4.7330346694506424</v>
      </c>
      <c r="CI114" s="704">
        <f t="shared" si="71"/>
        <v>19.579450136301954</v>
      </c>
      <c r="CJ114" s="704">
        <f t="shared" si="72"/>
        <v>27.848452756953122</v>
      </c>
      <c r="CK114" s="704">
        <f t="shared" si="73"/>
        <v>0.37708102561544005</v>
      </c>
      <c r="CL114" s="704">
        <f t="shared" si="74"/>
        <v>64.765648683008962</v>
      </c>
      <c r="CM114" s="727">
        <f t="shared" si="75"/>
        <v>0</v>
      </c>
    </row>
    <row r="115" spans="1:91">
      <c r="A115" s="127">
        <f>'Input data'!A135</f>
        <v>2035</v>
      </c>
      <c r="B115" s="748">
        <f>'Input data'!B135</f>
        <v>68.819000000000003</v>
      </c>
      <c r="C115" s="236">
        <f>'Input data'!C135</f>
        <v>4200.2899999999991</v>
      </c>
      <c r="D115" s="237">
        <f>'Input data'!D135</f>
        <v>35120324.639162026</v>
      </c>
      <c r="E115" s="730">
        <f t="shared" si="34"/>
        <v>0.87036363636363612</v>
      </c>
      <c r="F115" s="483">
        <f t="shared" si="35"/>
        <v>0.33195454545454539</v>
      </c>
      <c r="G115" s="607">
        <f>B115*F115*'Input data'!$C$9</f>
        <v>699.21160066565164</v>
      </c>
      <c r="H115" s="602">
        <f>'Input data'!I135</f>
        <v>424.26313389388866</v>
      </c>
      <c r="I115" s="608">
        <f>'Input data'!K135</f>
        <v>29197.364611443525</v>
      </c>
      <c r="J115" s="608">
        <f t="shared" si="87"/>
        <v>75.244242641952511</v>
      </c>
      <c r="K115" s="609">
        <f t="shared" si="10"/>
        <v>121.9186625316154</v>
      </c>
      <c r="L115" s="483">
        <f t="shared" si="89"/>
        <v>0.57999999999999996</v>
      </c>
      <c r="M115" s="483">
        <f t="shared" si="90"/>
        <v>0.437</v>
      </c>
      <c r="N115" s="483">
        <f t="shared" si="91"/>
        <v>0.71200000000000008</v>
      </c>
      <c r="O115" s="483">
        <f t="shared" si="92"/>
        <v>0.8</v>
      </c>
      <c r="P115" s="483">
        <f t="shared" si="92"/>
        <v>0.23600000000000002</v>
      </c>
      <c r="Q115" s="602">
        <f t="shared" si="41"/>
        <v>21.956594277323916</v>
      </c>
      <c r="R115" s="608">
        <f t="shared" si="11"/>
        <v>8.498893173320921</v>
      </c>
      <c r="S115" s="608">
        <f t="shared" si="12"/>
        <v>35.157920176424213</v>
      </c>
      <c r="T115" s="608">
        <f t="shared" si="13"/>
        <v>50.006188746360976</v>
      </c>
      <c r="U115" s="608">
        <f t="shared" si="14"/>
        <v>0.67710709475193609</v>
      </c>
      <c r="V115" s="1295">
        <f t="shared" si="15"/>
        <v>116.29670346818196</v>
      </c>
      <c r="W115" s="730">
        <f t="shared" si="86"/>
        <v>0.5</v>
      </c>
      <c r="X115" s="606">
        <f t="shared" si="16"/>
        <v>53.669159952994768</v>
      </c>
      <c r="Y115" s="606">
        <f t="shared" si="17"/>
        <v>53.669159952994768</v>
      </c>
      <c r="Z115" s="607">
        <f t="shared" si="18"/>
        <v>143.49374522057315</v>
      </c>
      <c r="AA115" s="608">
        <f t="shared" si="19"/>
        <v>68.249502578620621</v>
      </c>
      <c r="AB115" s="811">
        <f t="shared" si="20"/>
        <v>0.47562702105036059</v>
      </c>
      <c r="AC115" s="135" t="str">
        <f t="shared" si="42"/>
        <v>Policies met</v>
      </c>
      <c r="AD115" s="1240">
        <f t="shared" si="43"/>
        <v>0.47562702105036059</v>
      </c>
      <c r="AE115" s="135" t="str">
        <f t="shared" si="44"/>
        <v>No</v>
      </c>
      <c r="AF115" s="1293">
        <f t="shared" si="45"/>
        <v>222.47212337844812</v>
      </c>
      <c r="AG115" s="118">
        <f t="shared" si="46"/>
        <v>75.244242641952525</v>
      </c>
      <c r="AH115" s="118">
        <f t="shared" si="21"/>
        <v>60.982848839633434</v>
      </c>
      <c r="AI115" s="118">
        <f t="shared" si="22"/>
        <v>59.221725531681059</v>
      </c>
      <c r="AJ115" s="118">
        <f t="shared" si="23"/>
        <v>27.023306365181131</v>
      </c>
      <c r="AK115" s="118">
        <f t="shared" si="47"/>
        <v>222.47212337844812</v>
      </c>
      <c r="AL115" s="828">
        <f t="shared" si="24"/>
        <v>0</v>
      </c>
      <c r="AM115" s="730">
        <f t="shared" si="48"/>
        <v>0.33821874623794673</v>
      </c>
      <c r="AN115" s="483">
        <f t="shared" si="49"/>
        <v>0.27411456282050806</v>
      </c>
      <c r="AO115" s="483">
        <f t="shared" si="50"/>
        <v>0.26619841008546841</v>
      </c>
      <c r="AP115" s="483">
        <f t="shared" si="51"/>
        <v>0.12146828085607692</v>
      </c>
      <c r="AQ115" s="483">
        <f t="shared" si="52"/>
        <v>1.0000000000000002</v>
      </c>
      <c r="AR115" s="834">
        <f t="shared" si="77"/>
        <v>10.742869513800565</v>
      </c>
      <c r="AS115" s="835">
        <f t="shared" si="78"/>
        <v>17.399787768475981</v>
      </c>
      <c r="AT115" s="835">
        <f t="shared" si="79"/>
        <v>6.0996451980063346</v>
      </c>
      <c r="AU115" s="835">
        <f t="shared" si="53"/>
        <v>0</v>
      </c>
      <c r="AV115" s="835">
        <f t="shared" si="54"/>
        <v>0</v>
      </c>
      <c r="AW115" s="835">
        <f t="shared" si="55"/>
        <v>0</v>
      </c>
      <c r="AX115" s="1228">
        <f t="shared" si="25"/>
        <v>25.962150706792823</v>
      </c>
      <c r="AY115" s="835">
        <f t="shared" si="80"/>
        <v>3.7535350558523533</v>
      </c>
      <c r="AZ115" s="835">
        <f t="shared" si="81"/>
        <v>5.4557438280600952</v>
      </c>
      <c r="BA115" s="835">
        <f t="shared" si="82"/>
        <v>4.7960319167174976</v>
      </c>
      <c r="BB115" s="835">
        <f t="shared" si="83"/>
        <v>1.0344786542468325</v>
      </c>
      <c r="BC115" s="608">
        <f t="shared" si="56"/>
        <v>75.244242641952468</v>
      </c>
      <c r="BD115" s="840">
        <f t="shared" si="57"/>
        <v>0</v>
      </c>
      <c r="BE115" s="760">
        <f t="shared" si="58"/>
        <v>0.14277330911442881</v>
      </c>
      <c r="BF115" s="705">
        <f t="shared" si="59"/>
        <v>0.23124410795484199</v>
      </c>
      <c r="BG115" s="705">
        <f t="shared" si="60"/>
        <v>8.1064610179297281E-2</v>
      </c>
      <c r="BH115" s="705">
        <f t="shared" si="61"/>
        <v>0</v>
      </c>
      <c r="BI115" s="705">
        <f t="shared" si="62"/>
        <v>0</v>
      </c>
      <c r="BJ115" s="705">
        <f t="shared" si="63"/>
        <v>0</v>
      </c>
      <c r="BK115" s="705">
        <f t="shared" si="64"/>
        <v>0.54491797275143217</v>
      </c>
      <c r="BL115" s="705">
        <f t="shared" si="65"/>
        <v>1.0000000000000002</v>
      </c>
      <c r="BM115" s="730">
        <f t="shared" ref="BM115:BS130" si="93">BM114</f>
        <v>0.29028184578274857</v>
      </c>
      <c r="BN115" s="483">
        <f t="shared" si="93"/>
        <v>0.30317187715157518</v>
      </c>
      <c r="BO115" s="483">
        <f t="shared" si="93"/>
        <v>8.2805443243048754E-2</v>
      </c>
      <c r="BP115" s="483">
        <f t="shared" si="93"/>
        <v>0</v>
      </c>
      <c r="BQ115" s="483">
        <f t="shared" si="93"/>
        <v>0</v>
      </c>
      <c r="BR115" s="483">
        <f t="shared" si="93"/>
        <v>0</v>
      </c>
      <c r="BS115" s="483">
        <f t="shared" si="93"/>
        <v>0.32374083382262742</v>
      </c>
      <c r="BT115" s="604">
        <f t="shared" si="85"/>
        <v>0.99999999999999989</v>
      </c>
      <c r="BV115" s="606">
        <f t="shared" si="26"/>
        <v>71.5771538373222</v>
      </c>
      <c r="BW115" s="114">
        <f t="shared" si="67"/>
        <v>0.53599021663047142</v>
      </c>
      <c r="BX115" s="1503">
        <f t="shared" si="27"/>
        <v>35.120324639162028</v>
      </c>
      <c r="BY115" s="606">
        <f t="shared" si="28"/>
        <v>72.730886242199247</v>
      </c>
      <c r="BZ115" s="114">
        <f t="shared" si="68"/>
        <v>0.4580135019327411</v>
      </c>
      <c r="CA115" s="765">
        <f t="shared" si="29"/>
        <v>50.172070130067617</v>
      </c>
      <c r="CB115" s="730">
        <f t="shared" si="30"/>
        <v>0.47562702105036059</v>
      </c>
      <c r="CC115" s="604">
        <f t="shared" si="31"/>
        <v>0.56239567712902327</v>
      </c>
      <c r="CD115" s="114">
        <f t="shared" si="32"/>
        <v>0.47562702105036059</v>
      </c>
      <c r="CE115" s="604">
        <f t="shared" si="33"/>
        <v>0.85</v>
      </c>
      <c r="CG115" s="602">
        <f t="shared" si="69"/>
        <v>11.513444748788947</v>
      </c>
      <c r="CH115" s="704">
        <f t="shared" si="70"/>
        <v>4.4565899310690451</v>
      </c>
      <c r="CI115" s="704">
        <f t="shared" si="71"/>
        <v>18.435863336585196</v>
      </c>
      <c r="CJ115" s="704">
        <f t="shared" si="72"/>
        <v>26.221894158847238</v>
      </c>
      <c r="CK115" s="704">
        <f t="shared" si="73"/>
        <v>0.35505666434300848</v>
      </c>
      <c r="CL115" s="704">
        <f t="shared" si="74"/>
        <v>60.982848839633434</v>
      </c>
      <c r="CM115" s="727">
        <f t="shared" si="75"/>
        <v>0</v>
      </c>
    </row>
    <row r="116" spans="1:91">
      <c r="A116" s="127">
        <f>'Input data'!A136</f>
        <v>2036</v>
      </c>
      <c r="B116" s="748">
        <f>'Input data'!B136</f>
        <v>69.322999999999993</v>
      </c>
      <c r="C116" s="236">
        <f>'Input data'!C136</f>
        <v>4325.9699999999993</v>
      </c>
      <c r="D116" s="237">
        <f>'Input data'!D136</f>
        <v>32285395.803631678</v>
      </c>
      <c r="E116" s="730">
        <f t="shared" si="34"/>
        <v>0.87900606060606035</v>
      </c>
      <c r="F116" s="483">
        <f t="shared" si="35"/>
        <v>0.33430757575757569</v>
      </c>
      <c r="G116" s="607">
        <f>B116*F116*'Input data'!$C$9</f>
        <v>709.32491506726262</v>
      </c>
      <c r="H116" s="602">
        <f>'Input data'!I136</f>
        <v>424.26313389388866</v>
      </c>
      <c r="I116" s="608">
        <f>'Input data'!K136</f>
        <v>29411.193230926041</v>
      </c>
      <c r="J116" s="608">
        <f t="shared" si="87"/>
        <v>70.576800652986222</v>
      </c>
      <c r="K116" s="609">
        <f t="shared" si="10"/>
        <v>126.58610452058169</v>
      </c>
      <c r="L116" s="483">
        <f t="shared" si="89"/>
        <v>0.57999999999999996</v>
      </c>
      <c r="M116" s="483">
        <f t="shared" si="90"/>
        <v>0.437</v>
      </c>
      <c r="N116" s="483">
        <f t="shared" si="91"/>
        <v>0.71200000000000008</v>
      </c>
      <c r="O116" s="483">
        <f t="shared" si="92"/>
        <v>0.8</v>
      </c>
      <c r="P116" s="483">
        <f t="shared" si="92"/>
        <v>0.23600000000000002</v>
      </c>
      <c r="Q116" s="602">
        <f t="shared" si="41"/>
        <v>21.956594277323916</v>
      </c>
      <c r="R116" s="608">
        <f t="shared" si="11"/>
        <v>8.498893173320921</v>
      </c>
      <c r="S116" s="608">
        <f t="shared" si="12"/>
        <v>35.157920176424213</v>
      </c>
      <c r="T116" s="608">
        <f t="shared" si="13"/>
        <v>50.006188746360976</v>
      </c>
      <c r="U116" s="608">
        <f t="shared" si="14"/>
        <v>0.67710709475193609</v>
      </c>
      <c r="V116" s="1295">
        <f t="shared" si="15"/>
        <v>116.29670346818196</v>
      </c>
      <c r="W116" s="730">
        <f t="shared" si="86"/>
        <v>0.5</v>
      </c>
      <c r="X116" s="606">
        <f t="shared" si="16"/>
        <v>53.669159952994768</v>
      </c>
      <c r="Y116" s="606">
        <f t="shared" si="17"/>
        <v>53.669159952994768</v>
      </c>
      <c r="Z116" s="607">
        <f t="shared" si="18"/>
        <v>143.49374522057315</v>
      </c>
      <c r="AA116" s="608">
        <f t="shared" si="19"/>
        <v>72.91694456758691</v>
      </c>
      <c r="AB116" s="811">
        <f t="shared" si="20"/>
        <v>0.50815416696735982</v>
      </c>
      <c r="AC116" s="135" t="str">
        <f t="shared" si="42"/>
        <v>Policies met</v>
      </c>
      <c r="AD116" s="1240">
        <f t="shared" si="43"/>
        <v>0.50815416696735982</v>
      </c>
      <c r="AE116" s="135" t="str">
        <f t="shared" si="44"/>
        <v>No</v>
      </c>
      <c r="AF116" s="1293">
        <f t="shared" si="45"/>
        <v>208.67205451507823</v>
      </c>
      <c r="AG116" s="118">
        <f t="shared" si="46"/>
        <v>70.576800652986236</v>
      </c>
      <c r="AH116" s="118">
        <f t="shared" si="21"/>
        <v>57.200048996257891</v>
      </c>
      <c r="AI116" s="118">
        <f t="shared" si="22"/>
        <v>55.548169141182015</v>
      </c>
      <c r="AJ116" s="118">
        <f t="shared" si="23"/>
        <v>25.347035724652116</v>
      </c>
      <c r="AK116" s="118">
        <f t="shared" si="47"/>
        <v>208.67205451507829</v>
      </c>
      <c r="AL116" s="828">
        <f t="shared" si="24"/>
        <v>0</v>
      </c>
      <c r="AM116" s="730">
        <f t="shared" si="48"/>
        <v>0.33821874623794668</v>
      </c>
      <c r="AN116" s="483">
        <f t="shared" si="49"/>
        <v>0.27411456282050795</v>
      </c>
      <c r="AO116" s="483">
        <f t="shared" si="50"/>
        <v>0.26619841008546835</v>
      </c>
      <c r="AP116" s="483">
        <f t="shared" si="51"/>
        <v>0.12146828085607689</v>
      </c>
      <c r="AQ116" s="483">
        <f t="shared" si="52"/>
        <v>0.99999999999999989</v>
      </c>
      <c r="AR116" s="834">
        <f t="shared" si="77"/>
        <v>10.076483375936217</v>
      </c>
      <c r="AS116" s="835">
        <f t="shared" si="78"/>
        <v>16.3204693093065</v>
      </c>
      <c r="AT116" s="835">
        <f t="shared" si="79"/>
        <v>5.7212808326362978</v>
      </c>
      <c r="AU116" s="835">
        <f t="shared" si="53"/>
        <v>0</v>
      </c>
      <c r="AV116" s="835">
        <f t="shared" si="54"/>
        <v>0</v>
      </c>
      <c r="AW116" s="835">
        <f t="shared" si="55"/>
        <v>0</v>
      </c>
      <c r="AX116" s="1228">
        <f t="shared" si="25"/>
        <v>24.351704138682994</v>
      </c>
      <c r="AY116" s="835">
        <f t="shared" si="80"/>
        <v>3.5207012002428577</v>
      </c>
      <c r="AZ116" s="835">
        <f t="shared" si="81"/>
        <v>5.1173210208121995</v>
      </c>
      <c r="BA116" s="835">
        <f t="shared" si="82"/>
        <v>4.4985314042194311</v>
      </c>
      <c r="BB116" s="835">
        <f t="shared" si="83"/>
        <v>0.97030937114969695</v>
      </c>
      <c r="BC116" s="608">
        <f t="shared" si="56"/>
        <v>70.576800652986194</v>
      </c>
      <c r="BD116" s="840">
        <f t="shared" si="57"/>
        <v>0</v>
      </c>
      <c r="BE116" s="760">
        <f t="shared" si="58"/>
        <v>0.14277330911442879</v>
      </c>
      <c r="BF116" s="705">
        <f t="shared" si="59"/>
        <v>0.23124410795484196</v>
      </c>
      <c r="BG116" s="705">
        <f t="shared" si="60"/>
        <v>8.1064610179297253E-2</v>
      </c>
      <c r="BH116" s="705">
        <f t="shared" si="61"/>
        <v>0</v>
      </c>
      <c r="BI116" s="705">
        <f t="shared" si="62"/>
        <v>0</v>
      </c>
      <c r="BJ116" s="705">
        <f t="shared" si="63"/>
        <v>0</v>
      </c>
      <c r="BK116" s="705">
        <f t="shared" si="64"/>
        <v>0.54491797275143194</v>
      </c>
      <c r="BL116" s="705">
        <f t="shared" si="65"/>
        <v>0.99999999999999989</v>
      </c>
      <c r="BM116" s="730">
        <f t="shared" si="93"/>
        <v>0.29028184578274857</v>
      </c>
      <c r="BN116" s="483">
        <f t="shared" si="93"/>
        <v>0.30317187715157518</v>
      </c>
      <c r="BO116" s="483">
        <f t="shared" si="93"/>
        <v>8.2805443243048754E-2</v>
      </c>
      <c r="BP116" s="483">
        <f t="shared" si="93"/>
        <v>0</v>
      </c>
      <c r="BQ116" s="483">
        <f t="shared" si="93"/>
        <v>0</v>
      </c>
      <c r="BR116" s="483">
        <f t="shared" si="93"/>
        <v>0</v>
      </c>
      <c r="BS116" s="483">
        <f t="shared" si="93"/>
        <v>0.32374083382262742</v>
      </c>
      <c r="BT116" s="604">
        <f t="shared" si="85"/>
        <v>0.99999999999999989</v>
      </c>
      <c r="BV116" s="606">
        <f t="shared" si="26"/>
        <v>71.091449780835489</v>
      </c>
      <c r="BW116" s="114">
        <f t="shared" si="67"/>
        <v>0.54348731944651452</v>
      </c>
      <c r="BX116" s="1503">
        <f t="shared" si="27"/>
        <v>32.28539580363168</v>
      </c>
      <c r="BY116" s="606">
        <f t="shared" si="28"/>
        <v>72.103237987365191</v>
      </c>
      <c r="BZ116" s="114">
        <f t="shared" si="68"/>
        <v>0.44976060715982213</v>
      </c>
      <c r="CA116" s="765">
        <f t="shared" si="29"/>
        <v>50.172070130067617</v>
      </c>
      <c r="CB116" s="730">
        <f t="shared" si="30"/>
        <v>0.50815416696735982</v>
      </c>
      <c r="CC116" s="604">
        <f t="shared" si="31"/>
        <v>0.51093784582381507</v>
      </c>
      <c r="CD116" s="114">
        <f t="shared" si="32"/>
        <v>0.50815416696735982</v>
      </c>
      <c r="CE116" s="604">
        <f t="shared" si="33"/>
        <v>0.85</v>
      </c>
      <c r="CG116" s="602">
        <f t="shared" si="69"/>
        <v>10.799259402890081</v>
      </c>
      <c r="CH116" s="704">
        <f t="shared" si="70"/>
        <v>4.1801451926874469</v>
      </c>
      <c r="CI116" s="704">
        <f t="shared" si="71"/>
        <v>17.292276536868435</v>
      </c>
      <c r="CJ116" s="704">
        <f t="shared" si="72"/>
        <v>24.595335560741351</v>
      </c>
      <c r="CK116" s="704">
        <f t="shared" si="73"/>
        <v>0.33303230307057685</v>
      </c>
      <c r="CL116" s="704">
        <f t="shared" si="74"/>
        <v>57.200048996257884</v>
      </c>
      <c r="CM116" s="727">
        <f t="shared" si="75"/>
        <v>0</v>
      </c>
    </row>
    <row r="117" spans="1:91" s="1" customFormat="1">
      <c r="A117" s="157">
        <f>'Input data'!A137</f>
        <v>2037</v>
      </c>
      <c r="B117" s="749">
        <f>'Input data'!B137</f>
        <v>69.83</v>
      </c>
      <c r="C117" s="605">
        <f>'Input data'!C137</f>
        <v>4457.0000000000018</v>
      </c>
      <c r="D117" s="750">
        <f>'Input data'!D137</f>
        <v>29450466.968101323</v>
      </c>
      <c r="E117" s="729">
        <f t="shared" si="34"/>
        <v>0.88764848484848458</v>
      </c>
      <c r="F117" s="477">
        <f t="shared" si="35"/>
        <v>0.33666060606060599</v>
      </c>
      <c r="G117" s="770">
        <f>B117*F117*'Input data'!$C$9</f>
        <v>719.54173754516603</v>
      </c>
      <c r="H117" s="734">
        <f>'Input data'!I137</f>
        <v>424.26313389388866</v>
      </c>
      <c r="I117" s="740">
        <f>'Input data'!K137</f>
        <v>29626.294639810243</v>
      </c>
      <c r="J117" s="740">
        <f>J97*(1-$C$5)</f>
        <v>69.007016810748766</v>
      </c>
      <c r="K117" s="609">
        <f t="shared" si="10"/>
        <v>128.15588836281916</v>
      </c>
      <c r="L117" s="477">
        <f t="shared" si="89"/>
        <v>0.57999999999999996</v>
      </c>
      <c r="M117" s="477">
        <f t="shared" si="90"/>
        <v>0.437</v>
      </c>
      <c r="N117" s="477">
        <f t="shared" si="91"/>
        <v>0.71200000000000008</v>
      </c>
      <c r="O117" s="477">
        <f t="shared" si="92"/>
        <v>0.8</v>
      </c>
      <c r="P117" s="477">
        <f>P116</f>
        <v>0.23600000000000002</v>
      </c>
      <c r="Q117" s="602">
        <f t="shared" si="41"/>
        <v>21.956594277323916</v>
      </c>
      <c r="R117" s="608">
        <f t="shared" si="11"/>
        <v>8.498893173320921</v>
      </c>
      <c r="S117" s="608">
        <f t="shared" si="12"/>
        <v>35.157920176424213</v>
      </c>
      <c r="T117" s="608">
        <f t="shared" si="13"/>
        <v>50.006188746360976</v>
      </c>
      <c r="U117" s="608">
        <f t="shared" si="14"/>
        <v>0.67710709475193609</v>
      </c>
      <c r="V117" s="1295">
        <f t="shared" si="15"/>
        <v>116.29670346818196</v>
      </c>
      <c r="W117" s="730">
        <f t="shared" si="86"/>
        <v>0.5</v>
      </c>
      <c r="X117" s="606">
        <f t="shared" si="16"/>
        <v>53.669159952994768</v>
      </c>
      <c r="Y117" s="606">
        <f t="shared" si="17"/>
        <v>53.669159952994768</v>
      </c>
      <c r="Z117" s="607">
        <f t="shared" si="18"/>
        <v>143.49374522057315</v>
      </c>
      <c r="AA117" s="608">
        <f t="shared" si="19"/>
        <v>74.486728409824394</v>
      </c>
      <c r="AB117" s="811">
        <f t="shared" si="20"/>
        <v>0.51909390402575539</v>
      </c>
      <c r="AC117" s="135" t="str">
        <f t="shared" si="42"/>
        <v>Policies met</v>
      </c>
      <c r="AD117" s="1240">
        <f t="shared" si="43"/>
        <v>0.51909390402575539</v>
      </c>
      <c r="AE117" s="135" t="str">
        <f t="shared" si="44"/>
        <v>No</v>
      </c>
      <c r="AF117" s="1293">
        <f t="shared" si="45"/>
        <v>204.03072738670821</v>
      </c>
      <c r="AG117" s="118">
        <f t="shared" si="46"/>
        <v>69.007016810748752</v>
      </c>
      <c r="AH117" s="118">
        <f t="shared" si="21"/>
        <v>55.927793639557777</v>
      </c>
      <c r="AI117" s="118">
        <f t="shared" si="22"/>
        <v>54.312655238923362</v>
      </c>
      <c r="AJ117" s="118">
        <f t="shared" si="23"/>
        <v>24.783261697478338</v>
      </c>
      <c r="AK117" s="118">
        <f t="shared" si="47"/>
        <v>204.03072738670824</v>
      </c>
      <c r="AL117" s="828">
        <f t="shared" si="24"/>
        <v>0</v>
      </c>
      <c r="AM117" s="730">
        <f t="shared" si="48"/>
        <v>0.33821874623794668</v>
      </c>
      <c r="AN117" s="483">
        <f t="shared" si="49"/>
        <v>0.274114562820508</v>
      </c>
      <c r="AO117" s="483">
        <f t="shared" si="50"/>
        <v>0.26619841008546835</v>
      </c>
      <c r="AP117" s="483">
        <f t="shared" si="51"/>
        <v>0.1214682808560769</v>
      </c>
      <c r="AQ117" s="483">
        <f t="shared" si="52"/>
        <v>0.99999999999999989</v>
      </c>
      <c r="AR117" s="834">
        <f t="shared" si="77"/>
        <v>9.85236014218561</v>
      </c>
      <c r="AS117" s="835">
        <f t="shared" si="78"/>
        <v>15.957466045026369</v>
      </c>
      <c r="AT117" s="835">
        <f t="shared" si="79"/>
        <v>5.5940269173995576</v>
      </c>
      <c r="AU117" s="835">
        <f t="shared" si="53"/>
        <v>0</v>
      </c>
      <c r="AV117" s="835">
        <f t="shared" si="54"/>
        <v>0</v>
      </c>
      <c r="AW117" s="835">
        <f t="shared" si="55"/>
        <v>0</v>
      </c>
      <c r="AX117" s="1228">
        <f t="shared" si="25"/>
        <v>23.810068483139368</v>
      </c>
      <c r="AY117" s="835">
        <f t="shared" si="80"/>
        <v>3.4423930337298794</v>
      </c>
      <c r="AZ117" s="835">
        <f t="shared" si="81"/>
        <v>5.0035005050096988</v>
      </c>
      <c r="BA117" s="835">
        <f t="shared" si="82"/>
        <v>4.3984741354454782</v>
      </c>
      <c r="BB117" s="835">
        <f t="shared" si="83"/>
        <v>0.94872754881275667</v>
      </c>
      <c r="BC117" s="608">
        <f t="shared" si="56"/>
        <v>69.007016810748709</v>
      </c>
      <c r="BD117" s="840">
        <f t="shared" si="57"/>
        <v>0</v>
      </c>
      <c r="BE117" s="760">
        <f t="shared" si="58"/>
        <v>0.14277330911442879</v>
      </c>
      <c r="BF117" s="705">
        <f t="shared" si="59"/>
        <v>0.23124410795484196</v>
      </c>
      <c r="BG117" s="705">
        <f t="shared" si="60"/>
        <v>8.1064610179297267E-2</v>
      </c>
      <c r="BH117" s="705">
        <f t="shared" si="61"/>
        <v>0</v>
      </c>
      <c r="BI117" s="705">
        <f t="shared" si="62"/>
        <v>0</v>
      </c>
      <c r="BJ117" s="705">
        <f t="shared" si="63"/>
        <v>0</v>
      </c>
      <c r="BK117" s="705">
        <f t="shared" si="64"/>
        <v>0.54491797275143194</v>
      </c>
      <c r="BL117" s="705">
        <f t="shared" si="65"/>
        <v>1</v>
      </c>
      <c r="BM117" s="730">
        <f t="shared" si="93"/>
        <v>0.29028184578274857</v>
      </c>
      <c r="BN117" s="483">
        <f t="shared" si="93"/>
        <v>0.30317187715157518</v>
      </c>
      <c r="BO117" s="483">
        <f t="shared" si="93"/>
        <v>8.2805443243048754E-2</v>
      </c>
      <c r="BP117" s="483">
        <f t="shared" si="93"/>
        <v>0</v>
      </c>
      <c r="BQ117" s="483">
        <f t="shared" si="93"/>
        <v>0</v>
      </c>
      <c r="BR117" s="483">
        <f t="shared" si="93"/>
        <v>0</v>
      </c>
      <c r="BS117" s="483">
        <f t="shared" si="93"/>
        <v>0.32374083382262742</v>
      </c>
      <c r="BT117" s="604">
        <f t="shared" si="85"/>
        <v>0.99999999999999989</v>
      </c>
      <c r="BV117" s="606">
        <f t="shared" si="26"/>
        <v>71.257635119666631</v>
      </c>
      <c r="BW117" s="114">
        <f t="shared" si="67"/>
        <v>0.5576827280251021</v>
      </c>
      <c r="BX117" s="1503">
        <f t="shared" si="27"/>
        <v>29.450466968101324</v>
      </c>
      <c r="BY117" s="606">
        <f t="shared" si="28"/>
        <v>72.11105139425915</v>
      </c>
      <c r="BZ117" s="114">
        <f t="shared" si="68"/>
        <v>0.44791897173481371</v>
      </c>
      <c r="CA117" s="765">
        <f t="shared" si="29"/>
        <v>50.172070130067617</v>
      </c>
      <c r="CB117" s="730">
        <f t="shared" si="30"/>
        <v>0.51909390402575539</v>
      </c>
      <c r="CC117" s="604">
        <f t="shared" si="31"/>
        <v>0.46253045571033874</v>
      </c>
      <c r="CD117" s="114">
        <f t="shared" si="32"/>
        <v>0.51909390402575539</v>
      </c>
      <c r="CE117" s="604">
        <f t="shared" si="33"/>
        <v>0.85</v>
      </c>
      <c r="CG117" s="602">
        <f t="shared" si="69"/>
        <v>10.559060034798286</v>
      </c>
      <c r="CH117" s="704">
        <f t="shared" si="70"/>
        <v>4.0871695360839233</v>
      </c>
      <c r="CI117" s="704">
        <f t="shared" si="71"/>
        <v>16.907658134618295</v>
      </c>
      <c r="CJ117" s="704">
        <f t="shared" si="72"/>
        <v>24.048281004563663</v>
      </c>
      <c r="CK117" s="704">
        <f t="shared" si="73"/>
        <v>0.32562492949361649</v>
      </c>
      <c r="CL117" s="704">
        <f t="shared" si="74"/>
        <v>55.927793639557777</v>
      </c>
      <c r="CM117" s="727">
        <f t="shared" si="75"/>
        <v>0</v>
      </c>
    </row>
    <row r="118" spans="1:91">
      <c r="A118" s="127">
        <f>'Input data'!A138</f>
        <v>2038</v>
      </c>
      <c r="B118" s="748">
        <f>'Input data'!B138</f>
        <v>70.341999999999999</v>
      </c>
      <c r="C118" s="236">
        <f>'Input data'!C138</f>
        <v>4590.03</v>
      </c>
      <c r="D118" s="237">
        <f>'Input data'!D138</f>
        <v>26615538.132570967</v>
      </c>
      <c r="E118" s="730">
        <f t="shared" si="34"/>
        <v>0.89629090909090881</v>
      </c>
      <c r="F118" s="483">
        <f t="shared" si="35"/>
        <v>0.33901363636363629</v>
      </c>
      <c r="G118" s="607">
        <f>B118*F118*'Input data'!$C$9</f>
        <v>729.88346869644954</v>
      </c>
      <c r="H118" s="602">
        <f>'Input data'!I138</f>
        <v>424.26313389388866</v>
      </c>
      <c r="I118" s="608">
        <f>'Input data'!K138</f>
        <v>29843.517364363917</v>
      </c>
      <c r="J118" s="608">
        <f t="shared" ref="J118:J126" si="94">($J$127-$J$117)/($A$127-$A$117)+J117</f>
        <v>66.049573233145253</v>
      </c>
      <c r="K118" s="609">
        <f t="shared" si="10"/>
        <v>131.11333194042265</v>
      </c>
      <c r="L118" s="483">
        <f t="shared" si="89"/>
        <v>0.57999999999999996</v>
      </c>
      <c r="M118" s="483">
        <f t="shared" si="90"/>
        <v>0.437</v>
      </c>
      <c r="N118" s="483">
        <f t="shared" si="91"/>
        <v>0.71200000000000008</v>
      </c>
      <c r="O118" s="483">
        <f t="shared" si="92"/>
        <v>0.8</v>
      </c>
      <c r="P118" s="483">
        <f t="shared" si="92"/>
        <v>0.23600000000000002</v>
      </c>
      <c r="Q118" s="602">
        <f t="shared" si="41"/>
        <v>21.956594277323916</v>
      </c>
      <c r="R118" s="608">
        <f t="shared" si="11"/>
        <v>8.498893173320921</v>
      </c>
      <c r="S118" s="608">
        <f t="shared" si="12"/>
        <v>35.157920176424213</v>
      </c>
      <c r="T118" s="608">
        <f t="shared" si="13"/>
        <v>50.006188746360976</v>
      </c>
      <c r="U118" s="608">
        <f t="shared" si="14"/>
        <v>0.67710709475193609</v>
      </c>
      <c r="V118" s="1295">
        <f t="shared" si="15"/>
        <v>116.29670346818196</v>
      </c>
      <c r="W118" s="730">
        <f t="shared" si="86"/>
        <v>0.5</v>
      </c>
      <c r="X118" s="606">
        <f t="shared" si="16"/>
        <v>53.669159952994768</v>
      </c>
      <c r="Y118" s="606">
        <f t="shared" si="17"/>
        <v>53.669159952994768</v>
      </c>
      <c r="Z118" s="607">
        <f t="shared" si="18"/>
        <v>143.49374522057315</v>
      </c>
      <c r="AA118" s="608">
        <f t="shared" si="19"/>
        <v>77.444171987427893</v>
      </c>
      <c r="AB118" s="811">
        <f t="shared" si="20"/>
        <v>0.53970416528179432</v>
      </c>
      <c r="AC118" s="135" t="str">
        <f t="shared" si="42"/>
        <v>Policies met</v>
      </c>
      <c r="AD118" s="1240">
        <f t="shared" si="43"/>
        <v>0.53970416528179432</v>
      </c>
      <c r="AE118" s="135" t="str">
        <f t="shared" si="44"/>
        <v>No</v>
      </c>
      <c r="AF118" s="1293">
        <f t="shared" si="45"/>
        <v>195.28655335584935</v>
      </c>
      <c r="AG118" s="118">
        <f t="shared" si="46"/>
        <v>66.049573233145253</v>
      </c>
      <c r="AH118" s="118">
        <f t="shared" si="21"/>
        <v>53.53088819786246</v>
      </c>
      <c r="AI118" s="118">
        <f t="shared" si="22"/>
        <v>51.984970014398094</v>
      </c>
      <c r="AJ118" s="118">
        <f t="shared" si="23"/>
        <v>23.721121910443557</v>
      </c>
      <c r="AK118" s="118">
        <f t="shared" si="47"/>
        <v>195.28655335584938</v>
      </c>
      <c r="AL118" s="828">
        <f t="shared" si="24"/>
        <v>0</v>
      </c>
      <c r="AM118" s="730">
        <f t="shared" si="48"/>
        <v>0.33821874623794668</v>
      </c>
      <c r="AN118" s="483">
        <f t="shared" si="49"/>
        <v>0.274114562820508</v>
      </c>
      <c r="AO118" s="483">
        <f t="shared" si="50"/>
        <v>0.26619841008546841</v>
      </c>
      <c r="AP118" s="483">
        <f t="shared" si="51"/>
        <v>0.12146828085607689</v>
      </c>
      <c r="AQ118" s="483">
        <f t="shared" si="52"/>
        <v>0.99999999999999989</v>
      </c>
      <c r="AR118" s="834">
        <f t="shared" si="77"/>
        <v>9.430116136091943</v>
      </c>
      <c r="AS118" s="835">
        <f t="shared" si="78"/>
        <v>15.273574643096671</v>
      </c>
      <c r="AT118" s="835">
        <f t="shared" si="79"/>
        <v>5.3542829066538635</v>
      </c>
      <c r="AU118" s="835">
        <f t="shared" si="53"/>
        <v>0</v>
      </c>
      <c r="AV118" s="835">
        <f t="shared" si="54"/>
        <v>0</v>
      </c>
      <c r="AW118" s="835">
        <f t="shared" si="55"/>
        <v>0</v>
      </c>
      <c r="AX118" s="1228">
        <f t="shared" si="25"/>
        <v>22.789636976719112</v>
      </c>
      <c r="AY118" s="835">
        <f t="shared" si="80"/>
        <v>3.294861903712885</v>
      </c>
      <c r="AZ118" s="835">
        <f t="shared" si="81"/>
        <v>4.7890647690807127</v>
      </c>
      <c r="BA118" s="835">
        <f t="shared" si="82"/>
        <v>4.2099681010692445</v>
      </c>
      <c r="BB118" s="835">
        <f t="shared" si="83"/>
        <v>0.90806779672078164</v>
      </c>
      <c r="BC118" s="608">
        <f t="shared" si="56"/>
        <v>66.049573233145225</v>
      </c>
      <c r="BD118" s="840">
        <f t="shared" si="57"/>
        <v>0</v>
      </c>
      <c r="BE118" s="760">
        <f t="shared" si="58"/>
        <v>0.14277330911442876</v>
      </c>
      <c r="BF118" s="705">
        <f t="shared" si="59"/>
        <v>0.2312441079548419</v>
      </c>
      <c r="BG118" s="705">
        <f t="shared" si="60"/>
        <v>8.1064610179297253E-2</v>
      </c>
      <c r="BH118" s="705">
        <f t="shared" si="61"/>
        <v>0</v>
      </c>
      <c r="BI118" s="705">
        <f t="shared" si="62"/>
        <v>0</v>
      </c>
      <c r="BJ118" s="705">
        <f t="shared" si="63"/>
        <v>0</v>
      </c>
      <c r="BK118" s="705">
        <f t="shared" si="64"/>
        <v>0.54491797275143183</v>
      </c>
      <c r="BL118" s="705">
        <f t="shared" si="65"/>
        <v>0.99999999999999978</v>
      </c>
      <c r="BM118" s="730">
        <f t="shared" si="93"/>
        <v>0.29028184578274857</v>
      </c>
      <c r="BN118" s="483">
        <f t="shared" si="93"/>
        <v>0.30317187715157518</v>
      </c>
      <c r="BO118" s="483">
        <f t="shared" si="93"/>
        <v>8.2805443243048754E-2</v>
      </c>
      <c r="BP118" s="483">
        <f t="shared" si="93"/>
        <v>0</v>
      </c>
      <c r="BQ118" s="483">
        <f t="shared" si="93"/>
        <v>0</v>
      </c>
      <c r="BR118" s="483">
        <f t="shared" si="93"/>
        <v>0</v>
      </c>
      <c r="BS118" s="483">
        <f t="shared" si="93"/>
        <v>0.32374083382262742</v>
      </c>
      <c r="BT118" s="604">
        <f t="shared" si="85"/>
        <v>0.99999999999999989</v>
      </c>
      <c r="BV118" s="606">
        <f t="shared" si="26"/>
        <v>71.106030386352742</v>
      </c>
      <c r="BW118" s="114">
        <f t="shared" si="67"/>
        <v>0.56904788579981747</v>
      </c>
      <c r="BX118" s="1503">
        <f t="shared" si="27"/>
        <v>26.615538132570968</v>
      </c>
      <c r="BY118" s="606">
        <f t="shared" si="28"/>
        <v>71.830004417343631</v>
      </c>
      <c r="BZ118" s="114">
        <f t="shared" si="68"/>
        <v>0.44308818316449833</v>
      </c>
      <c r="CA118" s="765">
        <f t="shared" si="29"/>
        <v>50.172070130067617</v>
      </c>
      <c r="CB118" s="730">
        <f t="shared" si="30"/>
        <v>0.53970416528179432</v>
      </c>
      <c r="CC118" s="604">
        <f t="shared" si="31"/>
        <v>0.41762456255238573</v>
      </c>
      <c r="CD118" s="114">
        <f t="shared" si="32"/>
        <v>0.53970416528179432</v>
      </c>
      <c r="CE118" s="604">
        <f t="shared" si="33"/>
        <v>0.85</v>
      </c>
      <c r="CG118" s="602">
        <f t="shared" si="69"/>
        <v>10.106528890449789</v>
      </c>
      <c r="CH118" s="704">
        <f t="shared" si="70"/>
        <v>3.9120051273946133</v>
      </c>
      <c r="CI118" s="704">
        <f t="shared" si="71"/>
        <v>16.183044214563228</v>
      </c>
      <c r="CJ118" s="704">
        <f t="shared" si="72"/>
        <v>23.01764039008237</v>
      </c>
      <c r="CK118" s="704">
        <f t="shared" si="73"/>
        <v>0.31166957537246159</v>
      </c>
      <c r="CL118" s="704">
        <f t="shared" si="74"/>
        <v>53.530888197862467</v>
      </c>
      <c r="CM118" s="727">
        <f t="shared" si="75"/>
        <v>0</v>
      </c>
    </row>
    <row r="119" spans="1:91">
      <c r="A119" s="127">
        <f>'Input data'!A139</f>
        <v>2039</v>
      </c>
      <c r="B119" s="748">
        <f>'Input data'!B139</f>
        <v>70.856999999999999</v>
      </c>
      <c r="C119" s="236">
        <f>'Input data'!C139</f>
        <v>4728.5300000000007</v>
      </c>
      <c r="D119" s="237">
        <f>'Input data'!D139</f>
        <v>23780609.297040608</v>
      </c>
      <c r="E119" s="730">
        <f t="shared" si="34"/>
        <v>0.90493333333333303</v>
      </c>
      <c r="F119" s="483">
        <f t="shared" si="35"/>
        <v>0.3413666666666666</v>
      </c>
      <c r="G119" s="607">
        <f>B119*F119*'Input data'!$C$9</f>
        <v>740.33029234961748</v>
      </c>
      <c r="H119" s="602">
        <f>'Input data'!I139</f>
        <v>424.26313389388866</v>
      </c>
      <c r="I119" s="608">
        <f>'Input data'!K139</f>
        <v>30062.01287831927</v>
      </c>
      <c r="J119" s="608">
        <f t="shared" si="94"/>
        <v>63.092129655541733</v>
      </c>
      <c r="K119" s="609">
        <f t="shared" si="10"/>
        <v>134.07077551802618</v>
      </c>
      <c r="L119" s="483">
        <f t="shared" si="89"/>
        <v>0.57999999999999996</v>
      </c>
      <c r="M119" s="483">
        <f t="shared" si="90"/>
        <v>0.437</v>
      </c>
      <c r="N119" s="483">
        <f t="shared" si="91"/>
        <v>0.71200000000000008</v>
      </c>
      <c r="O119" s="483">
        <f t="shared" si="92"/>
        <v>0.8</v>
      </c>
      <c r="P119" s="483">
        <f t="shared" si="92"/>
        <v>0.23600000000000002</v>
      </c>
      <c r="Q119" s="602">
        <f t="shared" si="41"/>
        <v>21.956594277323916</v>
      </c>
      <c r="R119" s="608">
        <f t="shared" si="11"/>
        <v>8.498893173320921</v>
      </c>
      <c r="S119" s="608">
        <f t="shared" si="12"/>
        <v>35.157920176424213</v>
      </c>
      <c r="T119" s="608">
        <f t="shared" si="13"/>
        <v>50.006188746360976</v>
      </c>
      <c r="U119" s="608">
        <f t="shared" si="14"/>
        <v>0.67710709475193609</v>
      </c>
      <c r="V119" s="1295">
        <f t="shared" si="15"/>
        <v>116.29670346818196</v>
      </c>
      <c r="W119" s="730">
        <f t="shared" si="86"/>
        <v>0.5</v>
      </c>
      <c r="X119" s="606">
        <f t="shared" si="16"/>
        <v>53.669159952994768</v>
      </c>
      <c r="Y119" s="606">
        <f t="shared" si="17"/>
        <v>53.669159952994768</v>
      </c>
      <c r="Z119" s="607">
        <f t="shared" si="18"/>
        <v>143.49374522057315</v>
      </c>
      <c r="AA119" s="608">
        <f t="shared" si="19"/>
        <v>80.40161556503142</v>
      </c>
      <c r="AB119" s="811">
        <f t="shared" si="20"/>
        <v>0.56031442653783348</v>
      </c>
      <c r="AC119" s="135" t="str">
        <f t="shared" si="42"/>
        <v>Policies met</v>
      </c>
      <c r="AD119" s="1240">
        <f t="shared" si="43"/>
        <v>0.56031442653783348</v>
      </c>
      <c r="AE119" s="135" t="str">
        <f t="shared" si="44"/>
        <v>No</v>
      </c>
      <c r="AF119" s="1293">
        <f t="shared" si="45"/>
        <v>186.54237932499038</v>
      </c>
      <c r="AG119" s="118">
        <f t="shared" si="46"/>
        <v>63.092129655541726</v>
      </c>
      <c r="AH119" s="118">
        <f t="shared" si="21"/>
        <v>51.133982756167114</v>
      </c>
      <c r="AI119" s="118">
        <f t="shared" si="22"/>
        <v>49.65728478987279</v>
      </c>
      <c r="AJ119" s="118">
        <f t="shared" si="23"/>
        <v>22.658982123408766</v>
      </c>
      <c r="AK119" s="118">
        <f t="shared" si="47"/>
        <v>186.54237932499041</v>
      </c>
      <c r="AL119" s="828">
        <f t="shared" si="24"/>
        <v>0</v>
      </c>
      <c r="AM119" s="730">
        <f t="shared" si="48"/>
        <v>0.33821874623794668</v>
      </c>
      <c r="AN119" s="483">
        <f t="shared" si="49"/>
        <v>0.274114562820508</v>
      </c>
      <c r="AO119" s="483">
        <f t="shared" si="50"/>
        <v>0.26619841008546835</v>
      </c>
      <c r="AP119" s="483">
        <f t="shared" si="51"/>
        <v>0.12146828085607689</v>
      </c>
      <c r="AQ119" s="483">
        <f t="shared" si="52"/>
        <v>0.99999999999999989</v>
      </c>
      <c r="AR119" s="834">
        <f t="shared" si="77"/>
        <v>9.0078721299982725</v>
      </c>
      <c r="AS119" s="835">
        <f t="shared" si="78"/>
        <v>14.589683241166966</v>
      </c>
      <c r="AT119" s="835">
        <f t="shared" si="79"/>
        <v>5.1145388959081668</v>
      </c>
      <c r="AU119" s="835">
        <f t="shared" si="53"/>
        <v>0</v>
      </c>
      <c r="AV119" s="835">
        <f t="shared" si="54"/>
        <v>0</v>
      </c>
      <c r="AW119" s="835">
        <f t="shared" si="55"/>
        <v>0</v>
      </c>
      <c r="AX119" s="1228">
        <f t="shared" si="25"/>
        <v>21.769205470298854</v>
      </c>
      <c r="AY119" s="835">
        <f t="shared" si="80"/>
        <v>3.1473307736958898</v>
      </c>
      <c r="AZ119" s="835">
        <f t="shared" si="81"/>
        <v>4.5746290331517248</v>
      </c>
      <c r="BA119" s="835">
        <f t="shared" si="82"/>
        <v>4.021462066693009</v>
      </c>
      <c r="BB119" s="835">
        <f t="shared" si="83"/>
        <v>0.86740804462880616</v>
      </c>
      <c r="BC119" s="608">
        <f t="shared" si="56"/>
        <v>63.092129655541683</v>
      </c>
      <c r="BD119" s="840">
        <f t="shared" si="57"/>
        <v>0</v>
      </c>
      <c r="BE119" s="760">
        <f t="shared" si="58"/>
        <v>0.14277330911442879</v>
      </c>
      <c r="BF119" s="705">
        <f t="shared" si="59"/>
        <v>0.23124410795484196</v>
      </c>
      <c r="BG119" s="705">
        <f t="shared" si="60"/>
        <v>8.1064610179297253E-2</v>
      </c>
      <c r="BH119" s="705">
        <f t="shared" si="61"/>
        <v>0</v>
      </c>
      <c r="BI119" s="705">
        <f t="shared" si="62"/>
        <v>0</v>
      </c>
      <c r="BJ119" s="705">
        <f t="shared" si="63"/>
        <v>0</v>
      </c>
      <c r="BK119" s="705">
        <f t="shared" si="64"/>
        <v>0.54491797275143206</v>
      </c>
      <c r="BL119" s="705">
        <f t="shared" si="65"/>
        <v>1</v>
      </c>
      <c r="BM119" s="730">
        <f t="shared" si="93"/>
        <v>0.29028184578274857</v>
      </c>
      <c r="BN119" s="483">
        <f t="shared" si="93"/>
        <v>0.30317187715157518</v>
      </c>
      <c r="BO119" s="483">
        <f t="shared" si="93"/>
        <v>8.2805443243048754E-2</v>
      </c>
      <c r="BP119" s="483">
        <f t="shared" si="93"/>
        <v>0</v>
      </c>
      <c r="BQ119" s="483">
        <f t="shared" si="93"/>
        <v>0</v>
      </c>
      <c r="BR119" s="483">
        <f t="shared" si="93"/>
        <v>0</v>
      </c>
      <c r="BS119" s="483">
        <f t="shared" si="93"/>
        <v>0.32374083382262742</v>
      </c>
      <c r="BT119" s="604">
        <f t="shared" si="85"/>
        <v>0.99999999999999989</v>
      </c>
      <c r="BV119" s="606">
        <f t="shared" si="26"/>
        <v>70.968903086776976</v>
      </c>
      <c r="BW119" s="114">
        <f t="shared" si="67"/>
        <v>0.58054476328152671</v>
      </c>
      <c r="BX119" s="1503">
        <f t="shared" si="27"/>
        <v>23.780609297040609</v>
      </c>
      <c r="BY119" s="606">
        <f t="shared" si="28"/>
        <v>71.550002699091522</v>
      </c>
      <c r="BZ119" s="114">
        <f t="shared" si="68"/>
        <v>0.43818307243271637</v>
      </c>
      <c r="CA119" s="765">
        <f t="shared" si="29"/>
        <v>50.172070130067617</v>
      </c>
      <c r="CB119" s="730">
        <f t="shared" si="30"/>
        <v>0.56031442653783348</v>
      </c>
      <c r="CC119" s="604">
        <f t="shared" si="31"/>
        <v>0.37555059815466163</v>
      </c>
      <c r="CD119" s="114">
        <f t="shared" si="32"/>
        <v>0.56031442653783348</v>
      </c>
      <c r="CE119" s="604">
        <f t="shared" si="33"/>
        <v>0.85</v>
      </c>
      <c r="CG119" s="602">
        <f t="shared" si="69"/>
        <v>9.6539977461012896</v>
      </c>
      <c r="CH119" s="704">
        <f t="shared" si="70"/>
        <v>3.7368407187053014</v>
      </c>
      <c r="CI119" s="704">
        <f t="shared" si="71"/>
        <v>15.458430294508155</v>
      </c>
      <c r="CJ119" s="704">
        <f t="shared" si="72"/>
        <v>21.986999775601063</v>
      </c>
      <c r="CK119" s="704">
        <f t="shared" si="73"/>
        <v>0.29771422125130653</v>
      </c>
      <c r="CL119" s="704">
        <f t="shared" si="74"/>
        <v>51.133982756167114</v>
      </c>
      <c r="CM119" s="727">
        <f t="shared" si="75"/>
        <v>0</v>
      </c>
    </row>
    <row r="120" spans="1:91">
      <c r="A120" s="127">
        <f>'Input data'!A140</f>
        <v>2040</v>
      </c>
      <c r="B120" s="748">
        <f>'Input data'!B140</f>
        <v>71.375</v>
      </c>
      <c r="C120" s="236">
        <f>'Input data'!C140</f>
        <v>4875.51</v>
      </c>
      <c r="D120" s="237">
        <f>'Input data'!D140</f>
        <v>20945680.461510252</v>
      </c>
      <c r="E120" s="730">
        <f t="shared" si="34"/>
        <v>0.91357575757575726</v>
      </c>
      <c r="F120" s="483">
        <f t="shared" si="35"/>
        <v>0.3437196969696969</v>
      </c>
      <c r="G120" s="607">
        <f>B120*F120*'Input data'!$C$9</f>
        <v>750.88285667877574</v>
      </c>
      <c r="H120" s="602">
        <f>'Input data'!I140</f>
        <v>424.26313389388866</v>
      </c>
      <c r="I120" s="608">
        <f>'Input data'!K140</f>
        <v>30281.781181676302</v>
      </c>
      <c r="J120" s="608">
        <f t="shared" si="94"/>
        <v>60.134686077938213</v>
      </c>
      <c r="K120" s="609">
        <f t="shared" si="10"/>
        <v>137.02821909562971</v>
      </c>
      <c r="L120" s="483">
        <f t="shared" si="89"/>
        <v>0.57999999999999996</v>
      </c>
      <c r="M120" s="483">
        <f t="shared" si="90"/>
        <v>0.437</v>
      </c>
      <c r="N120" s="483">
        <f t="shared" si="91"/>
        <v>0.71200000000000008</v>
      </c>
      <c r="O120" s="483">
        <f t="shared" si="92"/>
        <v>0.8</v>
      </c>
      <c r="P120" s="483">
        <f t="shared" si="92"/>
        <v>0.23600000000000002</v>
      </c>
      <c r="Q120" s="602">
        <f t="shared" si="41"/>
        <v>21.956594277323916</v>
      </c>
      <c r="R120" s="608">
        <f t="shared" si="11"/>
        <v>8.498893173320921</v>
      </c>
      <c r="S120" s="608">
        <f t="shared" si="12"/>
        <v>35.157920176424213</v>
      </c>
      <c r="T120" s="608">
        <f t="shared" si="13"/>
        <v>50.006188746360976</v>
      </c>
      <c r="U120" s="608">
        <f t="shared" si="14"/>
        <v>0.67710709475193609</v>
      </c>
      <c r="V120" s="1295">
        <f t="shared" si="15"/>
        <v>116.29670346818196</v>
      </c>
      <c r="W120" s="730">
        <f t="shared" si="86"/>
        <v>0.5</v>
      </c>
      <c r="X120" s="606">
        <f t="shared" si="16"/>
        <v>53.669159952994768</v>
      </c>
      <c r="Y120" s="606">
        <f t="shared" si="17"/>
        <v>53.669159952994768</v>
      </c>
      <c r="Z120" s="607">
        <f t="shared" si="18"/>
        <v>143.49374522057315</v>
      </c>
      <c r="AA120" s="608">
        <f t="shared" si="19"/>
        <v>83.359059142634948</v>
      </c>
      <c r="AB120" s="811">
        <f t="shared" si="20"/>
        <v>0.58092468779387252</v>
      </c>
      <c r="AC120" s="135" t="str">
        <f t="shared" si="42"/>
        <v>Policies met</v>
      </c>
      <c r="AD120" s="1240">
        <f t="shared" si="43"/>
        <v>0.58092468779387252</v>
      </c>
      <c r="AE120" s="135" t="str">
        <f t="shared" si="44"/>
        <v>No</v>
      </c>
      <c r="AF120" s="1293">
        <f t="shared" si="45"/>
        <v>177.79820529413146</v>
      </c>
      <c r="AG120" s="118">
        <f t="shared" si="46"/>
        <v>60.134686077938198</v>
      </c>
      <c r="AH120" s="118">
        <f t="shared" si="21"/>
        <v>48.737077314471783</v>
      </c>
      <c r="AI120" s="118">
        <f t="shared" si="22"/>
        <v>47.329599565347507</v>
      </c>
      <c r="AJ120" s="118">
        <f t="shared" si="23"/>
        <v>21.596842336373982</v>
      </c>
      <c r="AK120" s="118">
        <f t="shared" si="47"/>
        <v>177.79820529413146</v>
      </c>
      <c r="AL120" s="828">
        <f t="shared" si="24"/>
        <v>0</v>
      </c>
      <c r="AM120" s="730">
        <f t="shared" si="48"/>
        <v>0.33821874623794668</v>
      </c>
      <c r="AN120" s="483">
        <f t="shared" si="49"/>
        <v>0.27411456282050806</v>
      </c>
      <c r="AO120" s="483">
        <f t="shared" si="50"/>
        <v>0.26619841008546841</v>
      </c>
      <c r="AP120" s="483">
        <f t="shared" si="51"/>
        <v>0.12146828085607692</v>
      </c>
      <c r="AQ120" s="483">
        <f t="shared" si="52"/>
        <v>1</v>
      </c>
      <c r="AR120" s="834">
        <f t="shared" si="77"/>
        <v>8.5856281239046037</v>
      </c>
      <c r="AS120" s="835">
        <f t="shared" si="78"/>
        <v>13.905791839237265</v>
      </c>
      <c r="AT120" s="835">
        <f t="shared" si="79"/>
        <v>4.8747948851624718</v>
      </c>
      <c r="AU120" s="835">
        <f t="shared" si="53"/>
        <v>0</v>
      </c>
      <c r="AV120" s="835">
        <f t="shared" si="54"/>
        <v>0</v>
      </c>
      <c r="AW120" s="835">
        <f t="shared" si="55"/>
        <v>0</v>
      </c>
      <c r="AX120" s="1228">
        <f t="shared" si="25"/>
        <v>20.748773963878595</v>
      </c>
      <c r="AY120" s="835">
        <f t="shared" si="80"/>
        <v>2.999799643678895</v>
      </c>
      <c r="AZ120" s="835">
        <f t="shared" si="81"/>
        <v>4.3601932972227377</v>
      </c>
      <c r="BA120" s="835">
        <f t="shared" si="82"/>
        <v>3.8329560323167744</v>
      </c>
      <c r="BB120" s="835">
        <f t="shared" si="83"/>
        <v>0.82674829253683091</v>
      </c>
      <c r="BC120" s="608">
        <f t="shared" si="56"/>
        <v>60.134686077938177</v>
      </c>
      <c r="BD120" s="840">
        <f t="shared" si="57"/>
        <v>0</v>
      </c>
      <c r="BE120" s="760">
        <f t="shared" si="58"/>
        <v>0.14277330911442876</v>
      </c>
      <c r="BF120" s="705">
        <f t="shared" si="59"/>
        <v>0.23124410795484193</v>
      </c>
      <c r="BG120" s="705">
        <f t="shared" si="60"/>
        <v>8.1064610179297253E-2</v>
      </c>
      <c r="BH120" s="705">
        <f t="shared" si="61"/>
        <v>0</v>
      </c>
      <c r="BI120" s="705">
        <f t="shared" si="62"/>
        <v>0</v>
      </c>
      <c r="BJ120" s="705">
        <f t="shared" si="63"/>
        <v>0</v>
      </c>
      <c r="BK120" s="705">
        <f t="shared" si="64"/>
        <v>0.54491797275143194</v>
      </c>
      <c r="BL120" s="705">
        <f t="shared" si="65"/>
        <v>0.99999999999999989</v>
      </c>
      <c r="BM120" s="730">
        <f t="shared" si="93"/>
        <v>0.29028184578274857</v>
      </c>
      <c r="BN120" s="483">
        <f t="shared" si="93"/>
        <v>0.30317187715157518</v>
      </c>
      <c r="BO120" s="483">
        <f t="shared" si="93"/>
        <v>8.2805443243048754E-2</v>
      </c>
      <c r="BP120" s="483">
        <f t="shared" si="93"/>
        <v>0</v>
      </c>
      <c r="BQ120" s="483">
        <f t="shared" si="93"/>
        <v>0</v>
      </c>
      <c r="BR120" s="483">
        <f t="shared" si="93"/>
        <v>0</v>
      </c>
      <c r="BS120" s="483">
        <f t="shared" si="93"/>
        <v>0.32374083382262742</v>
      </c>
      <c r="BT120" s="604">
        <f t="shared" si="85"/>
        <v>0.99999999999999989</v>
      </c>
      <c r="BV120" s="606">
        <f t="shared" si="26"/>
        <v>70.881879640890077</v>
      </c>
      <c r="BW120" s="114">
        <f t="shared" si="67"/>
        <v>0.59216461912375973</v>
      </c>
      <c r="BX120" s="1503">
        <f t="shared" si="27"/>
        <v>20.945680461510253</v>
      </c>
      <c r="BY120" s="606">
        <f t="shared" si="28"/>
        <v>71.276161946663493</v>
      </c>
      <c r="BZ120" s="114">
        <f t="shared" si="68"/>
        <v>0.43321374977926591</v>
      </c>
      <c r="CA120" s="765">
        <f t="shared" si="29"/>
        <v>50.172070130067617</v>
      </c>
      <c r="CB120" s="730">
        <f t="shared" si="30"/>
        <v>0.58092468779387252</v>
      </c>
      <c r="CC120" s="604">
        <f t="shared" si="31"/>
        <v>0.33598202717537362</v>
      </c>
      <c r="CD120" s="114">
        <f t="shared" si="32"/>
        <v>0.58092468779387252</v>
      </c>
      <c r="CE120" s="604">
        <f t="shared" si="33"/>
        <v>0.85</v>
      </c>
      <c r="CG120" s="602">
        <f t="shared" si="69"/>
        <v>9.2014666017527915</v>
      </c>
      <c r="CH120" s="704">
        <f t="shared" si="70"/>
        <v>3.5616763100159905</v>
      </c>
      <c r="CI120" s="704">
        <f t="shared" si="71"/>
        <v>14.733816374453086</v>
      </c>
      <c r="CJ120" s="704">
        <f t="shared" si="72"/>
        <v>20.956359161119764</v>
      </c>
      <c r="CK120" s="704">
        <f t="shared" si="73"/>
        <v>0.28375886713015158</v>
      </c>
      <c r="CL120" s="704">
        <f t="shared" si="74"/>
        <v>48.737077314471783</v>
      </c>
      <c r="CM120" s="727">
        <f t="shared" si="75"/>
        <v>0</v>
      </c>
    </row>
    <row r="121" spans="1:91">
      <c r="A121" s="127">
        <f>'Input data'!A141</f>
        <v>2041</v>
      </c>
      <c r="B121" s="748">
        <f>'Input data'!B141</f>
        <v>71.819000000000003</v>
      </c>
      <c r="C121" s="236">
        <f>'Input data'!C141</f>
        <v>5028.54</v>
      </c>
      <c r="D121" s="237">
        <f>'Input data'!D141</f>
        <v>19664699.523913871</v>
      </c>
      <c r="E121" s="730">
        <f t="shared" si="34"/>
        <v>0.92221818181818149</v>
      </c>
      <c r="F121" s="483">
        <f t="shared" si="35"/>
        <v>0.3460727272727272</v>
      </c>
      <c r="G121" s="607">
        <f>B121*F121*'Input data'!$C$9</f>
        <v>760.7262051045102</v>
      </c>
      <c r="H121" s="602">
        <f>'Input data'!I141</f>
        <v>424.26313389388866</v>
      </c>
      <c r="I121" s="608">
        <f>'Input data'!K141</f>
        <v>30470.15401312519</v>
      </c>
      <c r="J121" s="608">
        <f t="shared" si="94"/>
        <v>57.177242500334692</v>
      </c>
      <c r="K121" s="609">
        <f t="shared" si="10"/>
        <v>139.98566267323321</v>
      </c>
      <c r="L121" s="483">
        <f t="shared" si="89"/>
        <v>0.57999999999999996</v>
      </c>
      <c r="M121" s="483">
        <f t="shared" si="90"/>
        <v>0.437</v>
      </c>
      <c r="N121" s="483">
        <f t="shared" si="91"/>
        <v>0.71200000000000008</v>
      </c>
      <c r="O121" s="483">
        <f t="shared" si="92"/>
        <v>0.8</v>
      </c>
      <c r="P121" s="483">
        <f t="shared" si="92"/>
        <v>0.23600000000000002</v>
      </c>
      <c r="Q121" s="602">
        <f t="shared" si="41"/>
        <v>21.956594277323916</v>
      </c>
      <c r="R121" s="608">
        <f t="shared" si="11"/>
        <v>8.498893173320921</v>
      </c>
      <c r="S121" s="608">
        <f t="shared" si="12"/>
        <v>35.157920176424213</v>
      </c>
      <c r="T121" s="608">
        <f t="shared" si="13"/>
        <v>50.006188746360976</v>
      </c>
      <c r="U121" s="608">
        <f t="shared" si="14"/>
        <v>0.67710709475193609</v>
      </c>
      <c r="V121" s="1295">
        <f t="shared" si="15"/>
        <v>116.29670346818196</v>
      </c>
      <c r="W121" s="730">
        <f t="shared" si="86"/>
        <v>0.5</v>
      </c>
      <c r="X121" s="606">
        <f t="shared" si="16"/>
        <v>53.669159952994768</v>
      </c>
      <c r="Y121" s="606">
        <f t="shared" si="17"/>
        <v>53.669159952994768</v>
      </c>
      <c r="Z121" s="607">
        <f t="shared" si="18"/>
        <v>143.49374522057315</v>
      </c>
      <c r="AA121" s="608">
        <f t="shared" si="19"/>
        <v>86.316502720238446</v>
      </c>
      <c r="AB121" s="811">
        <f t="shared" si="20"/>
        <v>0.60153494904991145</v>
      </c>
      <c r="AC121" s="135" t="str">
        <f t="shared" si="42"/>
        <v>Policies met</v>
      </c>
      <c r="AD121" s="1240">
        <f t="shared" si="43"/>
        <v>0.60153494904991145</v>
      </c>
      <c r="AE121" s="135" t="str">
        <f t="shared" si="44"/>
        <v>No</v>
      </c>
      <c r="AF121" s="1293">
        <f t="shared" si="45"/>
        <v>169.05403126327258</v>
      </c>
      <c r="AG121" s="118">
        <f t="shared" si="46"/>
        <v>57.1772425003347</v>
      </c>
      <c r="AH121" s="118">
        <f t="shared" si="21"/>
        <v>46.340171872776466</v>
      </c>
      <c r="AI121" s="118">
        <f t="shared" si="22"/>
        <v>45.001914340822232</v>
      </c>
      <c r="AJ121" s="118">
        <f t="shared" si="23"/>
        <v>20.534702549339201</v>
      </c>
      <c r="AK121" s="118">
        <f t="shared" si="47"/>
        <v>169.05403126327258</v>
      </c>
      <c r="AL121" s="828">
        <f t="shared" si="24"/>
        <v>0</v>
      </c>
      <c r="AM121" s="730">
        <f t="shared" si="48"/>
        <v>0.33821874623794673</v>
      </c>
      <c r="AN121" s="483">
        <f t="shared" si="49"/>
        <v>0.27411456282050806</v>
      </c>
      <c r="AO121" s="483">
        <f t="shared" si="50"/>
        <v>0.26619841008546841</v>
      </c>
      <c r="AP121" s="483">
        <f t="shared" si="51"/>
        <v>0.12146828085607692</v>
      </c>
      <c r="AQ121" s="483">
        <f t="shared" si="52"/>
        <v>1.0000000000000002</v>
      </c>
      <c r="AR121" s="834">
        <f t="shared" si="77"/>
        <v>8.1633841178109368</v>
      </c>
      <c r="AS121" s="835">
        <f t="shared" si="78"/>
        <v>13.221900437307568</v>
      </c>
      <c r="AT121" s="835">
        <f t="shared" si="79"/>
        <v>4.6350508744167778</v>
      </c>
      <c r="AU121" s="835">
        <f t="shared" si="53"/>
        <v>0</v>
      </c>
      <c r="AV121" s="835">
        <f t="shared" si="54"/>
        <v>0</v>
      </c>
      <c r="AW121" s="835">
        <f t="shared" si="55"/>
        <v>0</v>
      </c>
      <c r="AX121" s="1228">
        <f t="shared" si="25"/>
        <v>19.728342457458343</v>
      </c>
      <c r="AY121" s="835">
        <f t="shared" si="80"/>
        <v>2.852268513661901</v>
      </c>
      <c r="AZ121" s="835">
        <f t="shared" si="81"/>
        <v>4.1457575612937516</v>
      </c>
      <c r="BA121" s="835">
        <f t="shared" si="82"/>
        <v>3.6444499979405407</v>
      </c>
      <c r="BB121" s="835">
        <f t="shared" si="83"/>
        <v>0.78608854044485588</v>
      </c>
      <c r="BC121" s="608">
        <f t="shared" si="56"/>
        <v>57.177242500334664</v>
      </c>
      <c r="BD121" s="840">
        <f t="shared" si="57"/>
        <v>0</v>
      </c>
      <c r="BE121" s="760">
        <f t="shared" si="58"/>
        <v>0.14277330911442879</v>
      </c>
      <c r="BF121" s="705">
        <f t="shared" si="59"/>
        <v>0.23124410795484199</v>
      </c>
      <c r="BG121" s="705">
        <f t="shared" si="60"/>
        <v>8.1064610179297267E-2</v>
      </c>
      <c r="BH121" s="705">
        <f t="shared" si="61"/>
        <v>0</v>
      </c>
      <c r="BI121" s="705">
        <f t="shared" si="62"/>
        <v>0</v>
      </c>
      <c r="BJ121" s="705">
        <f t="shared" si="63"/>
        <v>0</v>
      </c>
      <c r="BK121" s="705">
        <f t="shared" si="64"/>
        <v>0.54491797275143217</v>
      </c>
      <c r="BL121" s="705">
        <f t="shared" si="65"/>
        <v>1.0000000000000002</v>
      </c>
      <c r="BM121" s="730">
        <f t="shared" si="93"/>
        <v>0.29028184578274857</v>
      </c>
      <c r="BN121" s="483">
        <f t="shared" si="93"/>
        <v>0.30317187715157518</v>
      </c>
      <c r="BO121" s="483">
        <f t="shared" si="93"/>
        <v>8.2805443243048754E-2</v>
      </c>
      <c r="BP121" s="483">
        <f t="shared" si="93"/>
        <v>0</v>
      </c>
      <c r="BQ121" s="483">
        <f t="shared" si="93"/>
        <v>0</v>
      </c>
      <c r="BR121" s="483">
        <f t="shared" si="93"/>
        <v>0</v>
      </c>
      <c r="BS121" s="483">
        <f t="shared" si="93"/>
        <v>0.32374083382262742</v>
      </c>
      <c r="BT121" s="604">
        <f t="shared" si="85"/>
        <v>0.99999999999999989</v>
      </c>
      <c r="BV121" s="606">
        <f t="shared" si="26"/>
        <v>69.098425281024831</v>
      </c>
      <c r="BW121" s="114">
        <f t="shared" si="67"/>
        <v>0.59440519026119454</v>
      </c>
      <c r="BX121" s="1503">
        <f t="shared" si="27"/>
        <v>19.664699523913871</v>
      </c>
      <c r="BY121" s="606">
        <f t="shared" si="28"/>
        <v>70.991192812555624</v>
      </c>
      <c r="BZ121" s="114">
        <f t="shared" si="68"/>
        <v>0.42803742657425559</v>
      </c>
      <c r="CA121" s="765">
        <f t="shared" si="29"/>
        <v>50.172070130067617</v>
      </c>
      <c r="CB121" s="730">
        <f t="shared" si="30"/>
        <v>0.60153494904991145</v>
      </c>
      <c r="CC121" s="604">
        <f t="shared" si="31"/>
        <v>0.35538442650760704</v>
      </c>
      <c r="CD121" s="114">
        <f t="shared" si="32"/>
        <v>0.60153494904991145</v>
      </c>
      <c r="CE121" s="604">
        <f t="shared" si="33"/>
        <v>0.85</v>
      </c>
      <c r="CG121" s="602">
        <f t="shared" si="69"/>
        <v>8.748935457404297</v>
      </c>
      <c r="CH121" s="704">
        <f t="shared" si="70"/>
        <v>3.3865119013266805</v>
      </c>
      <c r="CI121" s="704">
        <f t="shared" si="71"/>
        <v>14.00920245439802</v>
      </c>
      <c r="CJ121" s="704">
        <f t="shared" si="72"/>
        <v>19.925718546638471</v>
      </c>
      <c r="CK121" s="704">
        <f t="shared" si="73"/>
        <v>0.26980351300899663</v>
      </c>
      <c r="CL121" s="704">
        <f t="shared" si="74"/>
        <v>46.340171872776466</v>
      </c>
      <c r="CM121" s="727">
        <f t="shared" si="75"/>
        <v>0</v>
      </c>
    </row>
    <row r="122" spans="1:91">
      <c r="A122" s="127">
        <f>'Input data'!A142</f>
        <v>2042</v>
      </c>
      <c r="B122" s="748">
        <f>'Input data'!B142</f>
        <v>72.265000000000001</v>
      </c>
      <c r="C122" s="236">
        <f>'Input data'!C142</f>
        <v>5188.1000000000004</v>
      </c>
      <c r="D122" s="237">
        <f>'Input data'!D142</f>
        <v>18383718.586317491</v>
      </c>
      <c r="E122" s="730">
        <f t="shared" si="34"/>
        <v>0.93086060606060572</v>
      </c>
      <c r="F122" s="483">
        <f t="shared" si="35"/>
        <v>0.3484257575757575</v>
      </c>
      <c r="G122" s="607">
        <f>B122*F122*'Input data'!$C$9</f>
        <v>770.65483528643074</v>
      </c>
      <c r="H122" s="602">
        <f>'Input data'!I142</f>
        <v>424.26313389388866</v>
      </c>
      <c r="I122" s="608">
        <f>'Input data'!K142</f>
        <v>30659.375370841866</v>
      </c>
      <c r="J122" s="608">
        <f t="shared" si="94"/>
        <v>54.219798922731172</v>
      </c>
      <c r="K122" s="609">
        <f t="shared" si="10"/>
        <v>142.94310625083673</v>
      </c>
      <c r="L122" s="483">
        <f t="shared" si="89"/>
        <v>0.57999999999999996</v>
      </c>
      <c r="M122" s="483">
        <f t="shared" si="90"/>
        <v>0.437</v>
      </c>
      <c r="N122" s="483">
        <f t="shared" si="91"/>
        <v>0.71200000000000008</v>
      </c>
      <c r="O122" s="483">
        <f t="shared" si="92"/>
        <v>0.8</v>
      </c>
      <c r="P122" s="483">
        <f t="shared" si="92"/>
        <v>0.23600000000000002</v>
      </c>
      <c r="Q122" s="602">
        <f t="shared" si="41"/>
        <v>21.956594277323916</v>
      </c>
      <c r="R122" s="608">
        <f t="shared" si="11"/>
        <v>8.498893173320921</v>
      </c>
      <c r="S122" s="608">
        <f t="shared" si="12"/>
        <v>35.157920176424213</v>
      </c>
      <c r="T122" s="608">
        <f t="shared" si="13"/>
        <v>50.006188746360976</v>
      </c>
      <c r="U122" s="608">
        <f t="shared" si="14"/>
        <v>0.67710709475193609</v>
      </c>
      <c r="V122" s="1295">
        <f t="shared" si="15"/>
        <v>116.29670346818196</v>
      </c>
      <c r="W122" s="730">
        <f t="shared" si="86"/>
        <v>0.5</v>
      </c>
      <c r="X122" s="606">
        <f t="shared" si="16"/>
        <v>53.669159952994768</v>
      </c>
      <c r="Y122" s="606">
        <f t="shared" si="17"/>
        <v>53.669159952994768</v>
      </c>
      <c r="Z122" s="607">
        <f t="shared" si="18"/>
        <v>143.49374522057315</v>
      </c>
      <c r="AA122" s="608">
        <f t="shared" si="19"/>
        <v>89.273946297841974</v>
      </c>
      <c r="AB122" s="811">
        <f t="shared" si="20"/>
        <v>0.6221452103059506</v>
      </c>
      <c r="AC122" s="135" t="str">
        <f t="shared" si="42"/>
        <v>Policies met</v>
      </c>
      <c r="AD122" s="1240">
        <f t="shared" si="43"/>
        <v>0.6221452103059506</v>
      </c>
      <c r="AE122" s="135" t="str">
        <f t="shared" si="44"/>
        <v>No</v>
      </c>
      <c r="AF122" s="1293">
        <f t="shared" si="45"/>
        <v>160.30985723241363</v>
      </c>
      <c r="AG122" s="118">
        <f t="shared" si="46"/>
        <v>54.219798922731172</v>
      </c>
      <c r="AH122" s="118">
        <f t="shared" si="21"/>
        <v>43.943266431081121</v>
      </c>
      <c r="AI122" s="118">
        <f t="shared" si="22"/>
        <v>42.674229116296935</v>
      </c>
      <c r="AJ122" s="118">
        <f t="shared" si="23"/>
        <v>19.47256276230441</v>
      </c>
      <c r="AK122" s="118">
        <f t="shared" si="47"/>
        <v>160.30985723241366</v>
      </c>
      <c r="AL122" s="828">
        <f t="shared" si="24"/>
        <v>0</v>
      </c>
      <c r="AM122" s="730">
        <f t="shared" si="48"/>
        <v>0.33821874623794662</v>
      </c>
      <c r="AN122" s="483">
        <f t="shared" si="49"/>
        <v>0.274114562820508</v>
      </c>
      <c r="AO122" s="483">
        <f t="shared" si="50"/>
        <v>0.26619841008546835</v>
      </c>
      <c r="AP122" s="483">
        <f t="shared" si="51"/>
        <v>0.12146828085607687</v>
      </c>
      <c r="AQ122" s="483">
        <f t="shared" si="52"/>
        <v>0.99999999999999989</v>
      </c>
      <c r="AR122" s="834">
        <f t="shared" si="77"/>
        <v>7.7411401117172653</v>
      </c>
      <c r="AS122" s="835">
        <f t="shared" si="78"/>
        <v>12.538009035377863</v>
      </c>
      <c r="AT122" s="835">
        <f t="shared" si="79"/>
        <v>4.3953068636710819</v>
      </c>
      <c r="AU122" s="835">
        <f t="shared" si="53"/>
        <v>0</v>
      </c>
      <c r="AV122" s="835">
        <f t="shared" si="54"/>
        <v>0</v>
      </c>
      <c r="AW122" s="835">
        <f t="shared" si="55"/>
        <v>0</v>
      </c>
      <c r="AX122" s="1228">
        <f t="shared" si="25"/>
        <v>18.707910951038077</v>
      </c>
      <c r="AY122" s="835">
        <f t="shared" si="80"/>
        <v>2.7047373836449053</v>
      </c>
      <c r="AZ122" s="835">
        <f t="shared" si="81"/>
        <v>3.9313218253647637</v>
      </c>
      <c r="BA122" s="835">
        <f t="shared" si="82"/>
        <v>3.4559439635643048</v>
      </c>
      <c r="BB122" s="835">
        <f t="shared" si="83"/>
        <v>0.7454287883528804</v>
      </c>
      <c r="BC122" s="608">
        <f t="shared" si="56"/>
        <v>54.219798922731137</v>
      </c>
      <c r="BD122" s="840">
        <f t="shared" si="57"/>
        <v>0</v>
      </c>
      <c r="BE122" s="760">
        <f t="shared" si="58"/>
        <v>0.14277330911442879</v>
      </c>
      <c r="BF122" s="705">
        <f t="shared" si="59"/>
        <v>0.23124410795484196</v>
      </c>
      <c r="BG122" s="705">
        <f t="shared" si="60"/>
        <v>8.1064610179297281E-2</v>
      </c>
      <c r="BH122" s="705">
        <f t="shared" si="61"/>
        <v>0</v>
      </c>
      <c r="BI122" s="705">
        <f t="shared" si="62"/>
        <v>0</v>
      </c>
      <c r="BJ122" s="705">
        <f t="shared" si="63"/>
        <v>0</v>
      </c>
      <c r="BK122" s="705">
        <f t="shared" si="64"/>
        <v>0.54491797275143206</v>
      </c>
      <c r="BL122" s="705">
        <f t="shared" si="65"/>
        <v>1</v>
      </c>
      <c r="BM122" s="730">
        <f t="shared" si="93"/>
        <v>0.29028184578274857</v>
      </c>
      <c r="BN122" s="483">
        <f t="shared" si="93"/>
        <v>0.30317187715157518</v>
      </c>
      <c r="BO122" s="483">
        <f t="shared" si="93"/>
        <v>8.2805443243048754E-2</v>
      </c>
      <c r="BP122" s="483">
        <f t="shared" si="93"/>
        <v>0</v>
      </c>
      <c r="BQ122" s="483">
        <f t="shared" si="93"/>
        <v>0</v>
      </c>
      <c r="BR122" s="483">
        <f t="shared" si="93"/>
        <v>0</v>
      </c>
      <c r="BS122" s="483">
        <f t="shared" si="93"/>
        <v>0.32374083382262742</v>
      </c>
      <c r="BT122" s="604">
        <f t="shared" si="85"/>
        <v>0.99999999999999989</v>
      </c>
      <c r="BV122" s="606">
        <f t="shared" si="26"/>
        <v>67.366831439369918</v>
      </c>
      <c r="BW122" s="114">
        <f t="shared" si="67"/>
        <v>0.59668143494868919</v>
      </c>
      <c r="BX122" s="1503">
        <f t="shared" si="27"/>
        <v>18.383718586317492</v>
      </c>
      <c r="BY122" s="606">
        <f t="shared" si="28"/>
        <v>70.710048396163359</v>
      </c>
      <c r="BZ122" s="114">
        <f t="shared" si="68"/>
        <v>0.42280282235683919</v>
      </c>
      <c r="CA122" s="765">
        <f t="shared" si="29"/>
        <v>50.172070130067617</v>
      </c>
      <c r="CB122" s="730">
        <f t="shared" si="30"/>
        <v>0.6221452103059506</v>
      </c>
      <c r="CC122" s="604">
        <f t="shared" si="31"/>
        <v>0.37343557013134793</v>
      </c>
      <c r="CD122" s="114">
        <f t="shared" si="32"/>
        <v>0.6221452103059506</v>
      </c>
      <c r="CE122" s="604">
        <f t="shared" si="33"/>
        <v>0.85</v>
      </c>
      <c r="CG122" s="602">
        <f t="shared" si="69"/>
        <v>8.2964043130557972</v>
      </c>
      <c r="CH122" s="704">
        <f t="shared" si="70"/>
        <v>3.2113474926373686</v>
      </c>
      <c r="CI122" s="704">
        <f t="shared" si="71"/>
        <v>13.284588534342946</v>
      </c>
      <c r="CJ122" s="704">
        <f t="shared" si="72"/>
        <v>18.895077932157168</v>
      </c>
      <c r="CK122" s="704">
        <f t="shared" si="73"/>
        <v>0.25584815888784157</v>
      </c>
      <c r="CL122" s="704">
        <f t="shared" si="74"/>
        <v>43.943266431081128</v>
      </c>
      <c r="CM122" s="727">
        <f t="shared" si="75"/>
        <v>0</v>
      </c>
    </row>
    <row r="123" spans="1:91">
      <c r="A123" s="127">
        <f>'Input data'!A143</f>
        <v>2043</v>
      </c>
      <c r="B123" s="748">
        <f>'Input data'!B143</f>
        <v>72.713999999999999</v>
      </c>
      <c r="C123" s="236">
        <f>'Input data'!C143</f>
        <v>5353.7899999999991</v>
      </c>
      <c r="D123" s="237">
        <f>'Input data'!D143</f>
        <v>17102737.64872111</v>
      </c>
      <c r="E123" s="730">
        <f t="shared" si="34"/>
        <v>0.93950303030302995</v>
      </c>
      <c r="F123" s="483">
        <f t="shared" si="35"/>
        <v>0.3507787878787878</v>
      </c>
      <c r="G123" s="607">
        <f>B123*F123*'Input data'!$C$9</f>
        <v>780.67991564882448</v>
      </c>
      <c r="H123" s="602">
        <f>'Input data'!I143</f>
        <v>424.26313389388866</v>
      </c>
      <c r="I123" s="608">
        <f>'Input data'!K143</f>
        <v>30849.869517960218</v>
      </c>
      <c r="J123" s="608">
        <f t="shared" si="94"/>
        <v>51.262355345127652</v>
      </c>
      <c r="K123" s="609">
        <f t="shared" si="10"/>
        <v>145.90054982844026</v>
      </c>
      <c r="L123" s="483">
        <f t="shared" si="89"/>
        <v>0.57999999999999996</v>
      </c>
      <c r="M123" s="483">
        <f t="shared" si="90"/>
        <v>0.437</v>
      </c>
      <c r="N123" s="483">
        <f t="shared" si="91"/>
        <v>0.71200000000000008</v>
      </c>
      <c r="O123" s="483">
        <f t="shared" si="92"/>
        <v>0.8</v>
      </c>
      <c r="P123" s="483">
        <f t="shared" si="92"/>
        <v>0.23600000000000002</v>
      </c>
      <c r="Q123" s="602">
        <f t="shared" si="41"/>
        <v>21.956594277323916</v>
      </c>
      <c r="R123" s="608">
        <f t="shared" si="11"/>
        <v>8.498893173320921</v>
      </c>
      <c r="S123" s="608">
        <f t="shared" si="12"/>
        <v>35.157920176424213</v>
      </c>
      <c r="T123" s="608">
        <f t="shared" si="13"/>
        <v>50.006188746360976</v>
      </c>
      <c r="U123" s="608">
        <f t="shared" si="14"/>
        <v>0.67710709475193609</v>
      </c>
      <c r="V123" s="1295">
        <f t="shared" si="15"/>
        <v>116.29670346818196</v>
      </c>
      <c r="W123" s="730">
        <f t="shared" si="86"/>
        <v>0.5</v>
      </c>
      <c r="X123" s="606">
        <f t="shared" si="16"/>
        <v>53.669159952994768</v>
      </c>
      <c r="Y123" s="606">
        <f t="shared" si="17"/>
        <v>53.669159952994768</v>
      </c>
      <c r="Z123" s="607">
        <f t="shared" si="18"/>
        <v>143.49374522057315</v>
      </c>
      <c r="AA123" s="608">
        <f t="shared" si="19"/>
        <v>92.231389875445501</v>
      </c>
      <c r="AB123" s="811">
        <f t="shared" si="20"/>
        <v>0.64275547156198976</v>
      </c>
      <c r="AC123" s="135" t="str">
        <f t="shared" si="42"/>
        <v>Policies met</v>
      </c>
      <c r="AD123" s="1240">
        <f t="shared" si="43"/>
        <v>0.64275547156198976</v>
      </c>
      <c r="AE123" s="135" t="str">
        <f t="shared" si="44"/>
        <v>No</v>
      </c>
      <c r="AF123" s="1293">
        <f t="shared" si="45"/>
        <v>151.56568320155466</v>
      </c>
      <c r="AG123" s="118">
        <f t="shared" si="46"/>
        <v>51.262355345127645</v>
      </c>
      <c r="AH123" s="118">
        <f t="shared" si="21"/>
        <v>41.546360989385775</v>
      </c>
      <c r="AI123" s="118">
        <f t="shared" si="22"/>
        <v>40.346543891771638</v>
      </c>
      <c r="AJ123" s="118">
        <f t="shared" si="23"/>
        <v>18.410422975269618</v>
      </c>
      <c r="AK123" s="118">
        <f t="shared" si="47"/>
        <v>151.56568320155469</v>
      </c>
      <c r="AL123" s="828">
        <f t="shared" si="24"/>
        <v>0</v>
      </c>
      <c r="AM123" s="730">
        <f t="shared" si="48"/>
        <v>0.33821874623794668</v>
      </c>
      <c r="AN123" s="483">
        <f t="shared" si="49"/>
        <v>0.274114562820508</v>
      </c>
      <c r="AO123" s="483">
        <f t="shared" si="50"/>
        <v>0.26619841008546835</v>
      </c>
      <c r="AP123" s="483">
        <f t="shared" si="51"/>
        <v>0.12146828085607687</v>
      </c>
      <c r="AQ123" s="483">
        <f t="shared" si="52"/>
        <v>0.99999999999999989</v>
      </c>
      <c r="AR123" s="834">
        <f t="shared" si="77"/>
        <v>7.3188961056235948</v>
      </c>
      <c r="AS123" s="835">
        <f t="shared" si="78"/>
        <v>11.854117633448158</v>
      </c>
      <c r="AT123" s="835">
        <f t="shared" si="79"/>
        <v>4.1555628529253852</v>
      </c>
      <c r="AU123" s="835">
        <f t="shared" si="53"/>
        <v>0</v>
      </c>
      <c r="AV123" s="835">
        <f t="shared" si="54"/>
        <v>0</v>
      </c>
      <c r="AW123" s="835">
        <f t="shared" si="55"/>
        <v>0</v>
      </c>
      <c r="AX123" s="1228">
        <f t="shared" si="25"/>
        <v>17.687479444617814</v>
      </c>
      <c r="AY123" s="835">
        <f t="shared" si="80"/>
        <v>2.5572062536279101</v>
      </c>
      <c r="AZ123" s="835">
        <f t="shared" si="81"/>
        <v>3.7168860894357758</v>
      </c>
      <c r="BA123" s="835">
        <f t="shared" si="82"/>
        <v>3.2674379291880693</v>
      </c>
      <c r="BB123" s="835">
        <f t="shared" si="83"/>
        <v>0.70476903626090492</v>
      </c>
      <c r="BC123" s="608">
        <f t="shared" si="56"/>
        <v>51.262355345127617</v>
      </c>
      <c r="BD123" s="840">
        <f t="shared" si="57"/>
        <v>0</v>
      </c>
      <c r="BE123" s="760">
        <f t="shared" si="58"/>
        <v>0.14277330911442876</v>
      </c>
      <c r="BF123" s="705">
        <f t="shared" si="59"/>
        <v>0.23124410795484193</v>
      </c>
      <c r="BG123" s="705">
        <f t="shared" si="60"/>
        <v>8.1064610179297253E-2</v>
      </c>
      <c r="BH123" s="705">
        <f t="shared" si="61"/>
        <v>0</v>
      </c>
      <c r="BI123" s="705">
        <f t="shared" si="62"/>
        <v>0</v>
      </c>
      <c r="BJ123" s="705">
        <f t="shared" si="63"/>
        <v>0</v>
      </c>
      <c r="BK123" s="705">
        <f t="shared" si="64"/>
        <v>0.54491797275143206</v>
      </c>
      <c r="BL123" s="705">
        <f t="shared" si="65"/>
        <v>1</v>
      </c>
      <c r="BM123" s="730">
        <f t="shared" si="93"/>
        <v>0.29028184578274857</v>
      </c>
      <c r="BN123" s="483">
        <f t="shared" si="93"/>
        <v>0.30317187715157518</v>
      </c>
      <c r="BO123" s="483">
        <f t="shared" si="93"/>
        <v>8.2805443243048754E-2</v>
      </c>
      <c r="BP123" s="483">
        <f t="shared" si="93"/>
        <v>0</v>
      </c>
      <c r="BQ123" s="483">
        <f t="shared" si="93"/>
        <v>0</v>
      </c>
      <c r="BR123" s="483">
        <f t="shared" si="93"/>
        <v>0</v>
      </c>
      <c r="BS123" s="483">
        <f t="shared" si="93"/>
        <v>0.32374083382262742</v>
      </c>
      <c r="BT123" s="604">
        <f t="shared" si="85"/>
        <v>0.99999999999999989</v>
      </c>
      <c r="BV123" s="606">
        <f t="shared" si="26"/>
        <v>65.676832459136079</v>
      </c>
      <c r="BW123" s="114">
        <f t="shared" si="67"/>
        <v>0.59899357316531754</v>
      </c>
      <c r="BX123" s="1503">
        <f t="shared" si="27"/>
        <v>17.10273764872111</v>
      </c>
      <c r="BY123" s="606">
        <f t="shared" si="28"/>
        <v>70.432137511783253</v>
      </c>
      <c r="BZ123" s="114">
        <f t="shared" si="68"/>
        <v>0.41751088915775353</v>
      </c>
      <c r="CA123" s="765">
        <f t="shared" si="29"/>
        <v>50.172070130067617</v>
      </c>
      <c r="CB123" s="730">
        <f t="shared" si="30"/>
        <v>0.64275547156198976</v>
      </c>
      <c r="CC123" s="604">
        <f t="shared" si="31"/>
        <v>0.39031293246177778</v>
      </c>
      <c r="CD123" s="114">
        <f t="shared" si="32"/>
        <v>0.64275547156198976</v>
      </c>
      <c r="CE123" s="604">
        <f t="shared" si="33"/>
        <v>0.85</v>
      </c>
      <c r="CG123" s="602">
        <f t="shared" si="69"/>
        <v>7.8438731687072965</v>
      </c>
      <c r="CH123" s="704">
        <f t="shared" si="70"/>
        <v>3.0361830839480568</v>
      </c>
      <c r="CI123" s="704">
        <f t="shared" si="71"/>
        <v>12.559974614287874</v>
      </c>
      <c r="CJ123" s="704">
        <f t="shared" si="72"/>
        <v>17.864437317675861</v>
      </c>
      <c r="CK123" s="704">
        <f t="shared" si="73"/>
        <v>0.24189280476668654</v>
      </c>
      <c r="CL123" s="704">
        <f t="shared" si="74"/>
        <v>41.546360989385775</v>
      </c>
      <c r="CM123" s="727">
        <f t="shared" si="75"/>
        <v>0</v>
      </c>
    </row>
    <row r="124" spans="1:91">
      <c r="A124" s="127">
        <f>'Input data'!A144</f>
        <v>2044</v>
      </c>
      <c r="B124" s="748">
        <f>'Input data'!B144</f>
        <v>73.165000000000006</v>
      </c>
      <c r="C124" s="236">
        <f>'Input data'!C144</f>
        <v>5526.5000000000018</v>
      </c>
      <c r="D124" s="237">
        <f>'Input data'!D144</f>
        <v>15821756.711124728</v>
      </c>
      <c r="E124" s="730">
        <f t="shared" si="34"/>
        <v>0.94814545454545418</v>
      </c>
      <c r="F124" s="483">
        <f t="shared" si="35"/>
        <v>0.3531318181818181</v>
      </c>
      <c r="G124" s="607">
        <f>B124*F124*'Input data'!$C$9</f>
        <v>790.79128603823585</v>
      </c>
      <c r="H124" s="602">
        <f>'Input data'!I144</f>
        <v>424.26313389388866</v>
      </c>
      <c r="I124" s="608">
        <f>'Input data'!K144</f>
        <v>31041.212191346367</v>
      </c>
      <c r="J124" s="608">
        <f t="shared" si="94"/>
        <v>48.304911767524132</v>
      </c>
      <c r="K124" s="609">
        <f t="shared" si="10"/>
        <v>148.85799340604376</v>
      </c>
      <c r="L124" s="483">
        <f t="shared" si="89"/>
        <v>0.57999999999999996</v>
      </c>
      <c r="M124" s="483">
        <f t="shared" si="90"/>
        <v>0.437</v>
      </c>
      <c r="N124" s="483">
        <f t="shared" si="91"/>
        <v>0.71200000000000008</v>
      </c>
      <c r="O124" s="483">
        <f t="shared" si="92"/>
        <v>0.8</v>
      </c>
      <c r="P124" s="483">
        <f t="shared" si="92"/>
        <v>0.23600000000000002</v>
      </c>
      <c r="Q124" s="602">
        <f t="shared" si="41"/>
        <v>21.956594277323916</v>
      </c>
      <c r="R124" s="608">
        <f t="shared" si="11"/>
        <v>8.498893173320921</v>
      </c>
      <c r="S124" s="608">
        <f t="shared" si="12"/>
        <v>35.157920176424213</v>
      </c>
      <c r="T124" s="608">
        <f t="shared" si="13"/>
        <v>50.006188746360976</v>
      </c>
      <c r="U124" s="608">
        <f t="shared" si="14"/>
        <v>0.67710709475193609</v>
      </c>
      <c r="V124" s="1295">
        <f t="shared" si="15"/>
        <v>116.29670346818196</v>
      </c>
      <c r="W124" s="730">
        <f t="shared" si="86"/>
        <v>0.5</v>
      </c>
      <c r="X124" s="606">
        <f t="shared" si="16"/>
        <v>53.669159952994768</v>
      </c>
      <c r="Y124" s="606">
        <f t="shared" si="17"/>
        <v>53.669159952994768</v>
      </c>
      <c r="Z124" s="607">
        <f t="shared" si="18"/>
        <v>143.49374522057315</v>
      </c>
      <c r="AA124" s="608">
        <f t="shared" si="19"/>
        <v>95.188833453049</v>
      </c>
      <c r="AB124" s="811">
        <f t="shared" si="20"/>
        <v>0.66336573281802869</v>
      </c>
      <c r="AC124" s="135" t="str">
        <f t="shared" si="42"/>
        <v>Policies met</v>
      </c>
      <c r="AD124" s="1240">
        <f t="shared" si="43"/>
        <v>0.66336573281802869</v>
      </c>
      <c r="AE124" s="135" t="str">
        <f t="shared" si="44"/>
        <v>No</v>
      </c>
      <c r="AF124" s="1293">
        <f t="shared" si="45"/>
        <v>142.82150917069578</v>
      </c>
      <c r="AG124" s="118">
        <f t="shared" si="46"/>
        <v>48.304911767524146</v>
      </c>
      <c r="AH124" s="118">
        <f t="shared" si="21"/>
        <v>39.149455547690458</v>
      </c>
      <c r="AI124" s="118">
        <f t="shared" si="22"/>
        <v>38.018858667246363</v>
      </c>
      <c r="AJ124" s="118">
        <f t="shared" si="23"/>
        <v>17.348283188234841</v>
      </c>
      <c r="AK124" s="118">
        <f t="shared" si="47"/>
        <v>142.8215091706958</v>
      </c>
      <c r="AL124" s="828">
        <f t="shared" si="24"/>
        <v>0</v>
      </c>
      <c r="AM124" s="730">
        <f t="shared" si="48"/>
        <v>0.33821874623794673</v>
      </c>
      <c r="AN124" s="483">
        <f t="shared" si="49"/>
        <v>0.274114562820508</v>
      </c>
      <c r="AO124" s="483">
        <f t="shared" si="50"/>
        <v>0.26619841008546835</v>
      </c>
      <c r="AP124" s="483">
        <f t="shared" si="51"/>
        <v>0.1214682808560769</v>
      </c>
      <c r="AQ124" s="483">
        <f t="shared" si="52"/>
        <v>0.99999999999999989</v>
      </c>
      <c r="AR124" s="834">
        <f t="shared" si="77"/>
        <v>6.8966520995299279</v>
      </c>
      <c r="AS124" s="835">
        <f t="shared" si="78"/>
        <v>11.170226231518461</v>
      </c>
      <c r="AT124" s="835">
        <f t="shared" si="79"/>
        <v>3.9158188421796911</v>
      </c>
      <c r="AU124" s="835">
        <f t="shared" si="53"/>
        <v>0</v>
      </c>
      <c r="AV124" s="835">
        <f t="shared" si="54"/>
        <v>0</v>
      </c>
      <c r="AW124" s="835">
        <f t="shared" si="55"/>
        <v>0</v>
      </c>
      <c r="AX124" s="1228">
        <f t="shared" si="25"/>
        <v>16.667047938197559</v>
      </c>
      <c r="AY124" s="835">
        <f t="shared" si="80"/>
        <v>2.4096751236109162</v>
      </c>
      <c r="AZ124" s="835">
        <f t="shared" si="81"/>
        <v>3.5024503535067901</v>
      </c>
      <c r="BA124" s="835">
        <f t="shared" si="82"/>
        <v>3.0789318948118356</v>
      </c>
      <c r="BB124" s="835">
        <f t="shared" si="83"/>
        <v>0.66410928416892989</v>
      </c>
      <c r="BC124" s="608">
        <f t="shared" si="56"/>
        <v>48.304911767524118</v>
      </c>
      <c r="BD124" s="840">
        <f t="shared" si="57"/>
        <v>0</v>
      </c>
      <c r="BE124" s="760">
        <f t="shared" si="58"/>
        <v>0.14277330911442876</v>
      </c>
      <c r="BF124" s="705">
        <f t="shared" si="59"/>
        <v>0.23124410795484193</v>
      </c>
      <c r="BG124" s="705">
        <f t="shared" si="60"/>
        <v>8.1064610179297253E-2</v>
      </c>
      <c r="BH124" s="705">
        <f t="shared" si="61"/>
        <v>0</v>
      </c>
      <c r="BI124" s="705">
        <f t="shared" si="62"/>
        <v>0</v>
      </c>
      <c r="BJ124" s="705">
        <f t="shared" si="63"/>
        <v>0</v>
      </c>
      <c r="BK124" s="705">
        <f t="shared" si="64"/>
        <v>0.54491797275143194</v>
      </c>
      <c r="BL124" s="705">
        <f t="shared" si="65"/>
        <v>0.99999999999999989</v>
      </c>
      <c r="BM124" s="730">
        <f t="shared" si="93"/>
        <v>0.29028184578274857</v>
      </c>
      <c r="BN124" s="483">
        <f t="shared" si="93"/>
        <v>0.30317187715157518</v>
      </c>
      <c r="BO124" s="483">
        <f t="shared" si="93"/>
        <v>8.2805443243048754E-2</v>
      </c>
      <c r="BP124" s="483">
        <f t="shared" si="93"/>
        <v>0</v>
      </c>
      <c r="BQ124" s="483">
        <f t="shared" si="93"/>
        <v>0</v>
      </c>
      <c r="BR124" s="483">
        <f t="shared" si="93"/>
        <v>0</v>
      </c>
      <c r="BS124" s="483">
        <f t="shared" si="93"/>
        <v>0.32374083382262742</v>
      </c>
      <c r="BT124" s="604">
        <f t="shared" si="85"/>
        <v>0.99999999999999989</v>
      </c>
      <c r="BV124" s="606">
        <f t="shared" si="26"/>
        <v>64.033005936569438</v>
      </c>
      <c r="BW124" s="114">
        <f t="shared" si="67"/>
        <v>0.60133606655908911</v>
      </c>
      <c r="BX124" s="1503">
        <f t="shared" si="27"/>
        <v>15.821756711124728</v>
      </c>
      <c r="BY124" s="606">
        <f t="shared" si="28"/>
        <v>70.158774527451826</v>
      </c>
      <c r="BZ124" s="114">
        <f t="shared" si="68"/>
        <v>0.41216400214235493</v>
      </c>
      <c r="CA124" s="765">
        <f t="shared" si="29"/>
        <v>50.172070130067617</v>
      </c>
      <c r="CB124" s="730">
        <f t="shared" si="30"/>
        <v>0.66336573281802869</v>
      </c>
      <c r="CC124" s="604">
        <f t="shared" si="31"/>
        <v>0.40608610199260547</v>
      </c>
      <c r="CD124" s="114">
        <f t="shared" si="32"/>
        <v>0.66336573281802869</v>
      </c>
      <c r="CE124" s="604">
        <f t="shared" si="33"/>
        <v>0.85</v>
      </c>
      <c r="CG124" s="602">
        <f t="shared" si="69"/>
        <v>7.3913420243588011</v>
      </c>
      <c r="CH124" s="704">
        <f t="shared" si="70"/>
        <v>2.8610186752587468</v>
      </c>
      <c r="CI124" s="704">
        <f t="shared" si="71"/>
        <v>11.835360694232808</v>
      </c>
      <c r="CJ124" s="704">
        <f t="shared" si="72"/>
        <v>16.833796703194569</v>
      </c>
      <c r="CK124" s="704">
        <f t="shared" si="73"/>
        <v>0.22793745064553161</v>
      </c>
      <c r="CL124" s="704">
        <f t="shared" si="74"/>
        <v>39.149455547690458</v>
      </c>
      <c r="CM124" s="727">
        <f t="shared" si="75"/>
        <v>0</v>
      </c>
    </row>
    <row r="125" spans="1:91">
      <c r="A125" s="127">
        <f>'Input data'!A145</f>
        <v>2045</v>
      </c>
      <c r="B125" s="748">
        <f>'Input data'!B145</f>
        <v>73.62</v>
      </c>
      <c r="C125" s="236">
        <f>'Input data'!C145</f>
        <v>5709.93</v>
      </c>
      <c r="D125" s="237">
        <f>'Input data'!D145</f>
        <v>14540775.773528345</v>
      </c>
      <c r="E125" s="730">
        <f t="shared" si="34"/>
        <v>0.95678787878787841</v>
      </c>
      <c r="F125" s="483">
        <f t="shared" si="35"/>
        <v>0.3554848484848484</v>
      </c>
      <c r="G125" s="607">
        <f>B125*F125*'Input data'!$C$9</f>
        <v>801.01113926454832</v>
      </c>
      <c r="H125" s="602">
        <f>'Input data'!I145</f>
        <v>424.26313389388866</v>
      </c>
      <c r="I125" s="608">
        <f>'Input data'!K145</f>
        <v>31234.251917268084</v>
      </c>
      <c r="J125" s="608">
        <f t="shared" si="94"/>
        <v>45.347468189920612</v>
      </c>
      <c r="K125" s="609">
        <f t="shared" si="10"/>
        <v>151.81543698364729</v>
      </c>
      <c r="L125" s="483">
        <f t="shared" si="89"/>
        <v>0.57999999999999996</v>
      </c>
      <c r="M125" s="483">
        <f t="shared" si="90"/>
        <v>0.437</v>
      </c>
      <c r="N125" s="483">
        <f t="shared" si="91"/>
        <v>0.71200000000000008</v>
      </c>
      <c r="O125" s="483">
        <f t="shared" si="92"/>
        <v>0.8</v>
      </c>
      <c r="P125" s="483">
        <f t="shared" si="92"/>
        <v>0.23600000000000002</v>
      </c>
      <c r="Q125" s="602">
        <f t="shared" si="41"/>
        <v>21.956594277323916</v>
      </c>
      <c r="R125" s="608">
        <f t="shared" si="11"/>
        <v>8.498893173320921</v>
      </c>
      <c r="S125" s="608">
        <f t="shared" si="12"/>
        <v>35.157920176424213</v>
      </c>
      <c r="T125" s="608">
        <f t="shared" si="13"/>
        <v>50.006188746360976</v>
      </c>
      <c r="U125" s="608">
        <f t="shared" si="14"/>
        <v>0.67710709475193609</v>
      </c>
      <c r="V125" s="1295">
        <f t="shared" si="15"/>
        <v>116.29670346818196</v>
      </c>
      <c r="W125" s="730">
        <f t="shared" si="86"/>
        <v>0.5</v>
      </c>
      <c r="X125" s="606">
        <f t="shared" si="16"/>
        <v>53.669159952994768</v>
      </c>
      <c r="Y125" s="606">
        <f t="shared" si="17"/>
        <v>53.669159952994768</v>
      </c>
      <c r="Z125" s="607">
        <f t="shared" si="18"/>
        <v>143.49374522057315</v>
      </c>
      <c r="AA125" s="608">
        <f t="shared" si="19"/>
        <v>98.146277030652527</v>
      </c>
      <c r="AB125" s="811">
        <f t="shared" si="20"/>
        <v>0.68397599407406773</v>
      </c>
      <c r="AC125" s="135" t="str">
        <f t="shared" si="42"/>
        <v>Policies met</v>
      </c>
      <c r="AD125" s="1240">
        <f t="shared" si="43"/>
        <v>0.68397599407406773</v>
      </c>
      <c r="AE125" s="135" t="str">
        <f t="shared" si="44"/>
        <v>No</v>
      </c>
      <c r="AF125" s="1293">
        <f t="shared" si="45"/>
        <v>134.07733513983686</v>
      </c>
      <c r="AG125" s="118">
        <f t="shared" si="46"/>
        <v>45.347468189920619</v>
      </c>
      <c r="AH125" s="118">
        <f t="shared" si="21"/>
        <v>36.752550105995127</v>
      </c>
      <c r="AI125" s="118">
        <f t="shared" si="22"/>
        <v>35.69117344272108</v>
      </c>
      <c r="AJ125" s="118">
        <f t="shared" si="23"/>
        <v>16.286143401200054</v>
      </c>
      <c r="AK125" s="118">
        <f t="shared" si="47"/>
        <v>134.07733513983689</v>
      </c>
      <c r="AL125" s="828">
        <f t="shared" si="24"/>
        <v>0</v>
      </c>
      <c r="AM125" s="730">
        <f t="shared" si="48"/>
        <v>0.33821874623794662</v>
      </c>
      <c r="AN125" s="483">
        <f t="shared" si="49"/>
        <v>0.274114562820508</v>
      </c>
      <c r="AO125" s="483">
        <f t="shared" si="50"/>
        <v>0.26619841008546835</v>
      </c>
      <c r="AP125" s="483">
        <f t="shared" si="51"/>
        <v>0.12146828085607689</v>
      </c>
      <c r="AQ125" s="483">
        <f t="shared" si="52"/>
        <v>0.99999999999999989</v>
      </c>
      <c r="AR125" s="834">
        <f t="shared" si="77"/>
        <v>6.47440809343626</v>
      </c>
      <c r="AS125" s="835">
        <f t="shared" si="78"/>
        <v>10.48633482958876</v>
      </c>
      <c r="AT125" s="835">
        <f t="shared" si="79"/>
        <v>3.6760748314339962</v>
      </c>
      <c r="AU125" s="835">
        <f t="shared" si="53"/>
        <v>0</v>
      </c>
      <c r="AV125" s="835">
        <f t="shared" si="54"/>
        <v>0</v>
      </c>
      <c r="AW125" s="835">
        <f t="shared" si="55"/>
        <v>0</v>
      </c>
      <c r="AX125" s="1228">
        <f t="shared" si="25"/>
        <v>15.646616431777302</v>
      </c>
      <c r="AY125" s="835">
        <f t="shared" si="80"/>
        <v>2.2621439935939214</v>
      </c>
      <c r="AZ125" s="835">
        <f t="shared" si="81"/>
        <v>3.2880146175778031</v>
      </c>
      <c r="BA125" s="835">
        <f t="shared" si="82"/>
        <v>2.890425860435601</v>
      </c>
      <c r="BB125" s="835">
        <f t="shared" si="83"/>
        <v>0.62344953207695453</v>
      </c>
      <c r="BC125" s="608">
        <f t="shared" si="56"/>
        <v>45.347468189920598</v>
      </c>
      <c r="BD125" s="840">
        <f t="shared" si="57"/>
        <v>0</v>
      </c>
      <c r="BE125" s="760">
        <f t="shared" si="58"/>
        <v>0.14277330911442879</v>
      </c>
      <c r="BF125" s="705">
        <f t="shared" si="59"/>
        <v>0.23124410795484193</v>
      </c>
      <c r="BG125" s="705">
        <f t="shared" si="60"/>
        <v>8.1064610179297267E-2</v>
      </c>
      <c r="BH125" s="705">
        <f t="shared" si="61"/>
        <v>0</v>
      </c>
      <c r="BI125" s="705">
        <f t="shared" si="62"/>
        <v>0</v>
      </c>
      <c r="BJ125" s="705">
        <f t="shared" si="63"/>
        <v>0</v>
      </c>
      <c r="BK125" s="705">
        <f t="shared" si="64"/>
        <v>0.54491797275143206</v>
      </c>
      <c r="BL125" s="705">
        <f t="shared" si="65"/>
        <v>1</v>
      </c>
      <c r="BM125" s="730">
        <f t="shared" si="93"/>
        <v>0.29028184578274857</v>
      </c>
      <c r="BN125" s="483">
        <f t="shared" si="93"/>
        <v>0.30317187715157518</v>
      </c>
      <c r="BO125" s="483">
        <f t="shared" si="93"/>
        <v>8.2805443243048754E-2</v>
      </c>
      <c r="BP125" s="483">
        <f t="shared" si="93"/>
        <v>0</v>
      </c>
      <c r="BQ125" s="483">
        <f t="shared" si="93"/>
        <v>0</v>
      </c>
      <c r="BR125" s="483">
        <f t="shared" si="93"/>
        <v>0</v>
      </c>
      <c r="BS125" s="483">
        <f t="shared" si="93"/>
        <v>0.32374083382262742</v>
      </c>
      <c r="BT125" s="604">
        <f t="shared" si="85"/>
        <v>0.99999999999999989</v>
      </c>
      <c r="BV125" s="606">
        <f t="shared" si="26"/>
        <v>62.466698841367347</v>
      </c>
      <c r="BW125" s="114">
        <f t="shared" si="67"/>
        <v>0.60369988597554669</v>
      </c>
      <c r="BX125" s="1503">
        <f t="shared" si="27"/>
        <v>14.540775773528345</v>
      </c>
      <c r="BY125" s="606">
        <f t="shared" si="28"/>
        <v>69.896560281462811</v>
      </c>
      <c r="BZ125" s="114">
        <f t="shared" si="68"/>
        <v>0.4067806467064316</v>
      </c>
      <c r="CA125" s="765">
        <f t="shared" si="29"/>
        <v>50.172070130067617</v>
      </c>
      <c r="CB125" s="730">
        <f t="shared" si="30"/>
        <v>0.68397599407406773</v>
      </c>
      <c r="CC125" s="604">
        <f t="shared" si="31"/>
        <v>0.42069854454195821</v>
      </c>
      <c r="CD125" s="114">
        <f t="shared" si="32"/>
        <v>0.68397599407406773</v>
      </c>
      <c r="CE125" s="604">
        <f t="shared" si="33"/>
        <v>0.85</v>
      </c>
      <c r="CG125" s="602">
        <f t="shared" si="69"/>
        <v>6.9388108800103039</v>
      </c>
      <c r="CH125" s="704">
        <f t="shared" si="70"/>
        <v>2.6858542665694363</v>
      </c>
      <c r="CI125" s="704">
        <f t="shared" si="71"/>
        <v>11.110746774177739</v>
      </c>
      <c r="CJ125" s="704">
        <f t="shared" si="72"/>
        <v>15.803156088713269</v>
      </c>
      <c r="CK125" s="704">
        <f t="shared" si="73"/>
        <v>0.21398209652437664</v>
      </c>
      <c r="CL125" s="704">
        <f t="shared" si="74"/>
        <v>36.752550105995127</v>
      </c>
      <c r="CM125" s="727">
        <f t="shared" si="75"/>
        <v>0</v>
      </c>
    </row>
    <row r="126" spans="1:91">
      <c r="A126" s="127">
        <f>'Input data'!A146</f>
        <v>2046</v>
      </c>
      <c r="B126" s="748">
        <f>'Input data'!B146</f>
        <v>73.995000000000005</v>
      </c>
      <c r="C126" s="236">
        <f>'Input data'!C146</f>
        <v>5902.43</v>
      </c>
      <c r="D126" s="237">
        <f>'Input data'!D146</f>
        <v>13259794.835931966</v>
      </c>
      <c r="E126" s="730">
        <f t="shared" si="34"/>
        <v>0.96543030303030264</v>
      </c>
      <c r="F126" s="483">
        <f t="shared" si="35"/>
        <v>0.3578378787878787</v>
      </c>
      <c r="G126" s="607">
        <f>B126*F126*'Input data'!$C$9</f>
        <v>810.42034079476002</v>
      </c>
      <c r="H126" s="602">
        <f>'Input data'!I146</f>
        <v>424.26313389388866</v>
      </c>
      <c r="I126" s="608">
        <f>'Input data'!K146</f>
        <v>31393.350592478295</v>
      </c>
      <c r="J126" s="608">
        <f t="shared" si="94"/>
        <v>42.390024612317092</v>
      </c>
      <c r="K126" s="609">
        <f t="shared" si="10"/>
        <v>154.77288056125082</v>
      </c>
      <c r="L126" s="483">
        <f t="shared" si="89"/>
        <v>0.57999999999999996</v>
      </c>
      <c r="M126" s="483">
        <f t="shared" si="90"/>
        <v>0.437</v>
      </c>
      <c r="N126" s="483">
        <f t="shared" si="91"/>
        <v>0.71200000000000008</v>
      </c>
      <c r="O126" s="483">
        <f t="shared" si="92"/>
        <v>0.8</v>
      </c>
      <c r="P126" s="483">
        <f t="shared" si="92"/>
        <v>0.23600000000000002</v>
      </c>
      <c r="Q126" s="602">
        <f t="shared" si="41"/>
        <v>21.956594277323916</v>
      </c>
      <c r="R126" s="608">
        <f t="shared" si="11"/>
        <v>8.498893173320921</v>
      </c>
      <c r="S126" s="608">
        <f t="shared" si="12"/>
        <v>35.157920176424213</v>
      </c>
      <c r="T126" s="608">
        <f t="shared" si="13"/>
        <v>50.006188746360976</v>
      </c>
      <c r="U126" s="608">
        <f t="shared" si="14"/>
        <v>0.67710709475193609</v>
      </c>
      <c r="V126" s="1295">
        <f t="shared" si="15"/>
        <v>116.29670346818196</v>
      </c>
      <c r="W126" s="730">
        <f t="shared" si="86"/>
        <v>0.5</v>
      </c>
      <c r="X126" s="606">
        <f t="shared" si="16"/>
        <v>53.669159952994768</v>
      </c>
      <c r="Y126" s="606">
        <f t="shared" si="17"/>
        <v>53.669159952994768</v>
      </c>
      <c r="Z126" s="607">
        <f t="shared" si="18"/>
        <v>143.49374522057315</v>
      </c>
      <c r="AA126" s="608">
        <f t="shared" si="19"/>
        <v>101.10372060825605</v>
      </c>
      <c r="AB126" s="811">
        <f t="shared" si="20"/>
        <v>0.70458625533010688</v>
      </c>
      <c r="AC126" s="135" t="str">
        <f t="shared" si="42"/>
        <v>Policies met</v>
      </c>
      <c r="AD126" s="1240">
        <f t="shared" si="43"/>
        <v>0.70458625533010688</v>
      </c>
      <c r="AE126" s="135" t="str">
        <f t="shared" si="44"/>
        <v>No</v>
      </c>
      <c r="AF126" s="1293">
        <f t="shared" si="45"/>
        <v>125.3331611089779</v>
      </c>
      <c r="AG126" s="118">
        <f t="shared" si="46"/>
        <v>42.390024612317092</v>
      </c>
      <c r="AH126" s="118">
        <f t="shared" si="21"/>
        <v>34.355644664299781</v>
      </c>
      <c r="AI126" s="118">
        <f t="shared" si="22"/>
        <v>33.363488218195783</v>
      </c>
      <c r="AJ126" s="118">
        <f t="shared" si="23"/>
        <v>15.224003614165264</v>
      </c>
      <c r="AK126" s="118">
        <f t="shared" si="47"/>
        <v>125.33316110897792</v>
      </c>
      <c r="AL126" s="828">
        <f t="shared" si="24"/>
        <v>0</v>
      </c>
      <c r="AM126" s="730">
        <f t="shared" si="48"/>
        <v>0.33821874623794668</v>
      </c>
      <c r="AN126" s="483">
        <f t="shared" si="49"/>
        <v>0.274114562820508</v>
      </c>
      <c r="AO126" s="483">
        <f t="shared" si="50"/>
        <v>0.26619841008546841</v>
      </c>
      <c r="AP126" s="483">
        <f t="shared" si="51"/>
        <v>0.1214682808560769</v>
      </c>
      <c r="AQ126" s="483">
        <f t="shared" si="52"/>
        <v>0.99999999999999989</v>
      </c>
      <c r="AR126" s="834">
        <f t="shared" si="77"/>
        <v>6.0521640873425886</v>
      </c>
      <c r="AS126" s="835">
        <f t="shared" si="78"/>
        <v>9.8024434276590551</v>
      </c>
      <c r="AT126" s="835">
        <f t="shared" si="79"/>
        <v>3.4363308206882999</v>
      </c>
      <c r="AU126" s="835">
        <f t="shared" si="53"/>
        <v>0</v>
      </c>
      <c r="AV126" s="835">
        <f t="shared" si="54"/>
        <v>0</v>
      </c>
      <c r="AW126" s="835">
        <f t="shared" si="55"/>
        <v>0</v>
      </c>
      <c r="AX126" s="1228">
        <f t="shared" si="25"/>
        <v>14.626184925357041</v>
      </c>
      <c r="AY126" s="835">
        <f t="shared" si="80"/>
        <v>2.1146128635769257</v>
      </c>
      <c r="AZ126" s="835">
        <f t="shared" si="81"/>
        <v>3.0735788816488148</v>
      </c>
      <c r="BA126" s="835">
        <f t="shared" si="82"/>
        <v>2.7019198260593651</v>
      </c>
      <c r="BB126" s="835">
        <f t="shared" si="83"/>
        <v>0.58278977998497905</v>
      </c>
      <c r="BC126" s="608">
        <f t="shared" si="56"/>
        <v>42.390024612317063</v>
      </c>
      <c r="BD126" s="840">
        <f t="shared" si="57"/>
        <v>0</v>
      </c>
      <c r="BE126" s="760">
        <f t="shared" si="58"/>
        <v>0.14277330911442879</v>
      </c>
      <c r="BF126" s="705">
        <f t="shared" si="59"/>
        <v>0.23124410795484196</v>
      </c>
      <c r="BG126" s="705">
        <f t="shared" si="60"/>
        <v>8.1064610179297281E-2</v>
      </c>
      <c r="BH126" s="705">
        <f t="shared" si="61"/>
        <v>0</v>
      </c>
      <c r="BI126" s="705">
        <f t="shared" si="62"/>
        <v>0</v>
      </c>
      <c r="BJ126" s="705">
        <f t="shared" si="63"/>
        <v>0</v>
      </c>
      <c r="BK126" s="705">
        <f t="shared" si="64"/>
        <v>0.54491797275143217</v>
      </c>
      <c r="BL126" s="705">
        <f t="shared" si="65"/>
        <v>1.0000000000000002</v>
      </c>
      <c r="BM126" s="730">
        <f t="shared" si="93"/>
        <v>0.29028184578274857</v>
      </c>
      <c r="BN126" s="483">
        <f t="shared" si="93"/>
        <v>0.30317187715157518</v>
      </c>
      <c r="BO126" s="483">
        <f t="shared" si="93"/>
        <v>8.2805443243048754E-2</v>
      </c>
      <c r="BP126" s="483">
        <f t="shared" si="93"/>
        <v>0</v>
      </c>
      <c r="BQ126" s="483">
        <f t="shared" si="93"/>
        <v>0</v>
      </c>
      <c r="BR126" s="483">
        <f t="shared" si="93"/>
        <v>0</v>
      </c>
      <c r="BS126" s="483">
        <f t="shared" si="93"/>
        <v>0.32374083382262742</v>
      </c>
      <c r="BT126" s="604">
        <f t="shared" si="85"/>
        <v>0.99999999999999989</v>
      </c>
      <c r="BV126" s="606">
        <f t="shared" si="26"/>
        <v>60.941022408450195</v>
      </c>
      <c r="BW126" s="114">
        <f t="shared" si="67"/>
        <v>0.60595760819201749</v>
      </c>
      <c r="BX126" s="1503">
        <f t="shared" si="27"/>
        <v>13.259794835931967</v>
      </c>
      <c r="BY126" s="606">
        <f t="shared" si="28"/>
        <v>69.632014427032146</v>
      </c>
      <c r="BZ126" s="114">
        <f t="shared" si="68"/>
        <v>0.40124455501675582</v>
      </c>
      <c r="CA126" s="765">
        <f t="shared" si="29"/>
        <v>50.172070130067617</v>
      </c>
      <c r="CB126" s="730">
        <f t="shared" si="30"/>
        <v>0.70458625533010688</v>
      </c>
      <c r="CC126" s="604">
        <f t="shared" si="31"/>
        <v>0.43440732685961825</v>
      </c>
      <c r="CD126" s="114">
        <f t="shared" si="32"/>
        <v>0.70458625533010688</v>
      </c>
      <c r="CE126" s="604">
        <f t="shared" si="33"/>
        <v>0.85</v>
      </c>
      <c r="CG126" s="602">
        <f t="shared" si="69"/>
        <v>6.486279735661804</v>
      </c>
      <c r="CH126" s="704">
        <f t="shared" si="70"/>
        <v>2.5106898578801244</v>
      </c>
      <c r="CI126" s="704">
        <f t="shared" si="71"/>
        <v>10.386132854122666</v>
      </c>
      <c r="CJ126" s="704">
        <f t="shared" si="72"/>
        <v>14.772515474231964</v>
      </c>
      <c r="CK126" s="704">
        <f t="shared" si="73"/>
        <v>0.20002674240322157</v>
      </c>
      <c r="CL126" s="704">
        <f t="shared" si="74"/>
        <v>34.355644664299781</v>
      </c>
      <c r="CM126" s="727">
        <f t="shared" si="75"/>
        <v>0</v>
      </c>
    </row>
    <row r="127" spans="1:91" s="1" customFormat="1">
      <c r="A127" s="157">
        <f>'Input data'!A147</f>
        <v>2047</v>
      </c>
      <c r="B127" s="749">
        <f>'Input data'!B147</f>
        <v>74.373000000000005</v>
      </c>
      <c r="C127" s="605">
        <f>'Input data'!C147</f>
        <v>6104.119999999999</v>
      </c>
      <c r="D127" s="750">
        <f>'Input data'!D147</f>
        <v>11978813.898335585</v>
      </c>
      <c r="E127" s="729">
        <f t="shared" si="34"/>
        <v>0.97407272727272687</v>
      </c>
      <c r="F127" s="477">
        <f t="shared" si="35"/>
        <v>0.36019090909090901</v>
      </c>
      <c r="G127" s="770">
        <f>B127*F127*'Input data'!$C$9</f>
        <v>819.91662999058281</v>
      </c>
      <c r="H127" s="734">
        <f>'Input data'!I147</f>
        <v>424.26313389388866</v>
      </c>
      <c r="I127" s="740">
        <f>'Input data'!K147</f>
        <v>31553.722057090185</v>
      </c>
      <c r="J127" s="740">
        <f>J97*(1-$C$6)</f>
        <v>39.432581034713571</v>
      </c>
      <c r="K127" s="609">
        <f t="shared" si="10"/>
        <v>157.73032413885434</v>
      </c>
      <c r="L127" s="477">
        <f t="shared" si="89"/>
        <v>0.57999999999999996</v>
      </c>
      <c r="M127" s="477">
        <f t="shared" si="90"/>
        <v>0.437</v>
      </c>
      <c r="N127" s="477">
        <f t="shared" si="91"/>
        <v>0.71200000000000008</v>
      </c>
      <c r="O127" s="477">
        <f t="shared" si="92"/>
        <v>0.8</v>
      </c>
      <c r="P127" s="477">
        <f t="shared" si="92"/>
        <v>0.23600000000000002</v>
      </c>
      <c r="Q127" s="602">
        <f t="shared" si="41"/>
        <v>21.956594277323916</v>
      </c>
      <c r="R127" s="608">
        <f t="shared" si="11"/>
        <v>8.498893173320921</v>
      </c>
      <c r="S127" s="608">
        <f t="shared" si="12"/>
        <v>35.157920176424213</v>
      </c>
      <c r="T127" s="608">
        <f t="shared" si="13"/>
        <v>50.006188746360976</v>
      </c>
      <c r="U127" s="608">
        <f t="shared" si="14"/>
        <v>0.67710709475193609</v>
      </c>
      <c r="V127" s="1295">
        <f t="shared" si="15"/>
        <v>116.29670346818196</v>
      </c>
      <c r="W127" s="730">
        <f t="shared" si="86"/>
        <v>0.5</v>
      </c>
      <c r="X127" s="606">
        <f t="shared" si="16"/>
        <v>53.669159952994768</v>
      </c>
      <c r="Y127" s="606">
        <f t="shared" si="17"/>
        <v>53.669159952994768</v>
      </c>
      <c r="Z127" s="607">
        <f t="shared" si="18"/>
        <v>143.49374522057315</v>
      </c>
      <c r="AA127" s="608">
        <f t="shared" si="19"/>
        <v>104.06116418585958</v>
      </c>
      <c r="AB127" s="811">
        <f t="shared" si="20"/>
        <v>0.72519651658614603</v>
      </c>
      <c r="AC127" s="135" t="str">
        <f t="shared" si="42"/>
        <v>Policies met</v>
      </c>
      <c r="AD127" s="1240">
        <f t="shared" si="43"/>
        <v>0.72519651658614603</v>
      </c>
      <c r="AE127" s="135" t="str">
        <f t="shared" si="44"/>
        <v>No</v>
      </c>
      <c r="AF127" s="1293">
        <f t="shared" si="45"/>
        <v>116.58898707811893</v>
      </c>
      <c r="AG127" s="118">
        <f t="shared" si="46"/>
        <v>39.432581034713564</v>
      </c>
      <c r="AH127" s="118">
        <f t="shared" si="21"/>
        <v>31.958739222604436</v>
      </c>
      <c r="AI127" s="118">
        <f t="shared" si="22"/>
        <v>31.035802993670483</v>
      </c>
      <c r="AJ127" s="118">
        <f t="shared" si="23"/>
        <v>14.161863827130473</v>
      </c>
      <c r="AK127" s="118">
        <f t="shared" si="47"/>
        <v>116.58898707811896</v>
      </c>
      <c r="AL127" s="828">
        <f t="shared" si="24"/>
        <v>0</v>
      </c>
      <c r="AM127" s="730">
        <f t="shared" si="48"/>
        <v>0.33821874623794668</v>
      </c>
      <c r="AN127" s="483">
        <f t="shared" si="49"/>
        <v>0.274114562820508</v>
      </c>
      <c r="AO127" s="483">
        <f t="shared" si="50"/>
        <v>0.26619841008546835</v>
      </c>
      <c r="AP127" s="483">
        <f t="shared" si="51"/>
        <v>0.12146828085607689</v>
      </c>
      <c r="AQ127" s="483">
        <f t="shared" si="52"/>
        <v>0.99999999999999989</v>
      </c>
      <c r="AR127" s="834">
        <f t="shared" si="77"/>
        <v>5.6299200812489172</v>
      </c>
      <c r="AS127" s="835">
        <f t="shared" si="78"/>
        <v>9.1185520257293504</v>
      </c>
      <c r="AT127" s="835">
        <f t="shared" si="79"/>
        <v>3.1965868099426031</v>
      </c>
      <c r="AU127" s="835">
        <f t="shared" si="53"/>
        <v>0</v>
      </c>
      <c r="AV127" s="835">
        <f t="shared" si="54"/>
        <v>0</v>
      </c>
      <c r="AW127" s="835">
        <f t="shared" si="55"/>
        <v>0</v>
      </c>
      <c r="AX127" s="1228">
        <f t="shared" si="25"/>
        <v>13.605753418936775</v>
      </c>
      <c r="AY127" s="835">
        <f t="shared" si="80"/>
        <v>1.9670817335599302</v>
      </c>
      <c r="AZ127" s="835">
        <f t="shared" si="81"/>
        <v>2.8591431457198269</v>
      </c>
      <c r="BA127" s="835">
        <f t="shared" si="82"/>
        <v>2.5134137916831296</v>
      </c>
      <c r="BB127" s="835">
        <f t="shared" si="83"/>
        <v>0.54213002789300357</v>
      </c>
      <c r="BC127" s="608">
        <f t="shared" si="56"/>
        <v>39.432581034713536</v>
      </c>
      <c r="BD127" s="840">
        <f t="shared" si="57"/>
        <v>0</v>
      </c>
      <c r="BE127" s="760">
        <f t="shared" si="58"/>
        <v>0.14277330911442876</v>
      </c>
      <c r="BF127" s="705">
        <f t="shared" si="59"/>
        <v>0.23124410795484196</v>
      </c>
      <c r="BG127" s="705">
        <f t="shared" si="60"/>
        <v>8.1064610179297267E-2</v>
      </c>
      <c r="BH127" s="705">
        <f t="shared" si="61"/>
        <v>0</v>
      </c>
      <c r="BI127" s="705">
        <f t="shared" si="62"/>
        <v>0</v>
      </c>
      <c r="BJ127" s="705">
        <f t="shared" si="63"/>
        <v>0</v>
      </c>
      <c r="BK127" s="705">
        <f t="shared" si="64"/>
        <v>0.54491797275143194</v>
      </c>
      <c r="BL127" s="705">
        <f t="shared" si="65"/>
        <v>1</v>
      </c>
      <c r="BM127" s="730">
        <f t="shared" si="93"/>
        <v>0.29028184578274857</v>
      </c>
      <c r="BN127" s="483">
        <f t="shared" si="93"/>
        <v>0.30317187715157518</v>
      </c>
      <c r="BO127" s="483">
        <f t="shared" si="93"/>
        <v>8.2805443243048754E-2</v>
      </c>
      <c r="BP127" s="483">
        <f t="shared" si="93"/>
        <v>0</v>
      </c>
      <c r="BQ127" s="483">
        <f t="shared" si="93"/>
        <v>0</v>
      </c>
      <c r="BR127" s="483">
        <f t="shared" si="93"/>
        <v>0</v>
      </c>
      <c r="BS127" s="483">
        <f t="shared" si="93"/>
        <v>0.32374083382262742</v>
      </c>
      <c r="BT127" s="604">
        <f t="shared" si="85"/>
        <v>0.99999999999999989</v>
      </c>
      <c r="BV127" s="606">
        <f t="shared" si="26"/>
        <v>59.461761887929043</v>
      </c>
      <c r="BW127" s="114">
        <f t="shared" si="67"/>
        <v>0.60824235919197667</v>
      </c>
      <c r="BX127" s="1503">
        <f t="shared" si="27"/>
        <v>11.978813898335586</v>
      </c>
      <c r="BY127" s="606">
        <f t="shared" si="28"/>
        <v>69.377119537757409</v>
      </c>
      <c r="BZ127" s="114">
        <f t="shared" si="68"/>
        <v>0.39568263978550711</v>
      </c>
      <c r="CA127" s="765">
        <f t="shared" si="29"/>
        <v>50.172070130067617</v>
      </c>
      <c r="CB127" s="730">
        <f t="shared" si="30"/>
        <v>0.72519651658614603</v>
      </c>
      <c r="CC127" s="604">
        <f t="shared" si="31"/>
        <v>0.44733299973319618</v>
      </c>
      <c r="CD127" s="114">
        <f t="shared" si="32"/>
        <v>0.72519651658614603</v>
      </c>
      <c r="CE127" s="604">
        <f t="shared" si="33"/>
        <v>0.85</v>
      </c>
      <c r="CG127" s="602">
        <f t="shared" si="69"/>
        <v>6.0337485913133033</v>
      </c>
      <c r="CH127" s="704">
        <f t="shared" si="70"/>
        <v>2.3355254491908126</v>
      </c>
      <c r="CI127" s="704">
        <f t="shared" si="71"/>
        <v>9.6615189340675922</v>
      </c>
      <c r="CJ127" s="704">
        <f t="shared" si="72"/>
        <v>13.741874859750659</v>
      </c>
      <c r="CK127" s="704">
        <f t="shared" si="73"/>
        <v>0.18607138828206651</v>
      </c>
      <c r="CL127" s="704">
        <f t="shared" si="74"/>
        <v>31.958739222604436</v>
      </c>
      <c r="CM127" s="727">
        <f t="shared" si="75"/>
        <v>0</v>
      </c>
    </row>
    <row r="128" spans="1:91">
      <c r="A128" s="127">
        <f>'Input data'!A148</f>
        <v>2048</v>
      </c>
      <c r="B128" s="748">
        <f>'Input data'!B148</f>
        <v>74.753</v>
      </c>
      <c r="C128" s="236">
        <f>'Input data'!C148</f>
        <v>6308.13</v>
      </c>
      <c r="D128" s="237">
        <f>'Input data'!D148</f>
        <v>10697832.960739207</v>
      </c>
      <c r="E128" s="730">
        <f t="shared" si="34"/>
        <v>0.9827151515151511</v>
      </c>
      <c r="F128" s="483">
        <f t="shared" si="35"/>
        <v>0.36254393939393931</v>
      </c>
      <c r="G128" s="607">
        <f>B128*F128*'Input data'!$C$9</f>
        <v>829.48955862118044</v>
      </c>
      <c r="H128" s="602">
        <f>'Input data'!I148</f>
        <v>424.26313389388866</v>
      </c>
      <c r="I128" s="608">
        <f>'Input data'!K148</f>
        <v>31714.94204796986</v>
      </c>
      <c r="J128" s="608">
        <f>J127</f>
        <v>39.432581034713571</v>
      </c>
      <c r="K128" s="609">
        <f t="shared" si="10"/>
        <v>157.73032413885434</v>
      </c>
      <c r="L128" s="483">
        <f t="shared" si="89"/>
        <v>0.57999999999999996</v>
      </c>
      <c r="M128" s="483">
        <f t="shared" si="90"/>
        <v>0.437</v>
      </c>
      <c r="N128" s="483">
        <f t="shared" si="91"/>
        <v>0.71200000000000008</v>
      </c>
      <c r="O128" s="483">
        <f t="shared" si="92"/>
        <v>0.8</v>
      </c>
      <c r="P128" s="483">
        <f t="shared" si="92"/>
        <v>0.23600000000000002</v>
      </c>
      <c r="Q128" s="602">
        <f t="shared" si="41"/>
        <v>21.956594277323916</v>
      </c>
      <c r="R128" s="608">
        <f t="shared" si="11"/>
        <v>8.498893173320921</v>
      </c>
      <c r="S128" s="608">
        <f t="shared" si="12"/>
        <v>35.157920176424213</v>
      </c>
      <c r="T128" s="608">
        <f t="shared" si="13"/>
        <v>50.006188746360976</v>
      </c>
      <c r="U128" s="608">
        <f t="shared" si="14"/>
        <v>0.67710709475193609</v>
      </c>
      <c r="V128" s="1295">
        <f t="shared" si="15"/>
        <v>116.29670346818196</v>
      </c>
      <c r="W128" s="730">
        <f t="shared" si="86"/>
        <v>0.5</v>
      </c>
      <c r="X128" s="606">
        <f t="shared" si="16"/>
        <v>53.669159952994768</v>
      </c>
      <c r="Y128" s="606">
        <f t="shared" si="17"/>
        <v>53.669159952994768</v>
      </c>
      <c r="Z128" s="607">
        <f t="shared" si="18"/>
        <v>143.49374522057315</v>
      </c>
      <c r="AA128" s="608">
        <f t="shared" si="19"/>
        <v>104.06116418585958</v>
      </c>
      <c r="AB128" s="811">
        <f t="shared" si="20"/>
        <v>0.72519651658614603</v>
      </c>
      <c r="AC128" s="135" t="str">
        <f t="shared" si="42"/>
        <v>Policies met</v>
      </c>
      <c r="AD128" s="1240">
        <f t="shared" si="43"/>
        <v>0.72519651658614603</v>
      </c>
      <c r="AE128" s="135" t="str">
        <f t="shared" si="44"/>
        <v>No</v>
      </c>
      <c r="AF128" s="1293">
        <f t="shared" si="45"/>
        <v>116.58898707811893</v>
      </c>
      <c r="AG128" s="118">
        <f t="shared" si="46"/>
        <v>39.432581034713564</v>
      </c>
      <c r="AH128" s="118">
        <f t="shared" si="21"/>
        <v>31.958739222604436</v>
      </c>
      <c r="AI128" s="118">
        <f t="shared" si="22"/>
        <v>31.035802993670483</v>
      </c>
      <c r="AJ128" s="118">
        <f t="shared" si="23"/>
        <v>14.161863827130473</v>
      </c>
      <c r="AK128" s="118">
        <f t="shared" si="47"/>
        <v>116.58898707811896</v>
      </c>
      <c r="AL128" s="828">
        <f t="shared" si="24"/>
        <v>0</v>
      </c>
      <c r="AM128" s="730">
        <f t="shared" si="48"/>
        <v>0.33821874623794668</v>
      </c>
      <c r="AN128" s="483">
        <f t="shared" si="49"/>
        <v>0.274114562820508</v>
      </c>
      <c r="AO128" s="483">
        <f t="shared" si="50"/>
        <v>0.26619841008546835</v>
      </c>
      <c r="AP128" s="483">
        <f t="shared" si="51"/>
        <v>0.12146828085607689</v>
      </c>
      <c r="AQ128" s="483">
        <f t="shared" si="52"/>
        <v>0.99999999999999989</v>
      </c>
      <c r="AR128" s="834">
        <f t="shared" si="77"/>
        <v>5.6299200812489172</v>
      </c>
      <c r="AS128" s="835">
        <f t="shared" si="78"/>
        <v>9.1185520257293504</v>
      </c>
      <c r="AT128" s="835">
        <f t="shared" si="79"/>
        <v>3.1965868099426031</v>
      </c>
      <c r="AU128" s="835">
        <f t="shared" si="53"/>
        <v>0</v>
      </c>
      <c r="AV128" s="835">
        <f t="shared" si="54"/>
        <v>0</v>
      </c>
      <c r="AW128" s="835">
        <f t="shared" si="55"/>
        <v>0</v>
      </c>
      <c r="AX128" s="1228">
        <f t="shared" si="25"/>
        <v>13.605753418936775</v>
      </c>
      <c r="AY128" s="835">
        <f t="shared" si="80"/>
        <v>1.9670817335599302</v>
      </c>
      <c r="AZ128" s="835">
        <f t="shared" si="81"/>
        <v>2.8591431457198269</v>
      </c>
      <c r="BA128" s="835">
        <f t="shared" si="82"/>
        <v>2.5134137916831296</v>
      </c>
      <c r="BB128" s="835">
        <f t="shared" si="83"/>
        <v>0.54213002789300357</v>
      </c>
      <c r="BC128" s="608">
        <f t="shared" si="56"/>
        <v>39.432581034713536</v>
      </c>
      <c r="BD128" s="840">
        <f t="shared" si="57"/>
        <v>0</v>
      </c>
      <c r="BE128" s="760">
        <f t="shared" si="58"/>
        <v>0.14277330911442876</v>
      </c>
      <c r="BF128" s="705">
        <f t="shared" si="59"/>
        <v>0.23124410795484196</v>
      </c>
      <c r="BG128" s="705">
        <f t="shared" si="60"/>
        <v>8.1064610179297267E-2</v>
      </c>
      <c r="BH128" s="705">
        <f t="shared" si="61"/>
        <v>0</v>
      </c>
      <c r="BI128" s="705">
        <f t="shared" si="62"/>
        <v>0</v>
      </c>
      <c r="BJ128" s="705">
        <f t="shared" si="63"/>
        <v>0</v>
      </c>
      <c r="BK128" s="705">
        <f t="shared" si="64"/>
        <v>0.54491797275143194</v>
      </c>
      <c r="BL128" s="705">
        <f t="shared" si="65"/>
        <v>1</v>
      </c>
      <c r="BM128" s="730">
        <f t="shared" si="93"/>
        <v>0.29028184578274857</v>
      </c>
      <c r="BN128" s="483">
        <f t="shared" si="93"/>
        <v>0.30317187715157518</v>
      </c>
      <c r="BO128" s="483">
        <f t="shared" si="93"/>
        <v>8.2805443243048754E-2</v>
      </c>
      <c r="BP128" s="483">
        <f t="shared" si="93"/>
        <v>0</v>
      </c>
      <c r="BQ128" s="483">
        <f t="shared" si="93"/>
        <v>0</v>
      </c>
      <c r="BR128" s="483">
        <f t="shared" si="93"/>
        <v>0</v>
      </c>
      <c r="BS128" s="483">
        <f t="shared" si="93"/>
        <v>0.32374083382262742</v>
      </c>
      <c r="BT128" s="604">
        <f t="shared" si="85"/>
        <v>0.99999999999999989</v>
      </c>
      <c r="BV128" s="606">
        <f t="shared" si="26"/>
        <v>58.61851550449007</v>
      </c>
      <c r="BW128" s="114">
        <f t="shared" si="67"/>
        <v>0.61879267788203407</v>
      </c>
      <c r="BX128" s="1503">
        <f t="shared" si="27"/>
        <v>10.697832960739207</v>
      </c>
      <c r="BY128" s="606">
        <f t="shared" si="28"/>
        <v>69.773486644656458</v>
      </c>
      <c r="BZ128" s="114">
        <f t="shared" si="68"/>
        <v>0.39700042270129143</v>
      </c>
      <c r="CA128" s="765">
        <f t="shared" si="29"/>
        <v>50.172070130067617</v>
      </c>
      <c r="CB128" s="730">
        <f t="shared" si="30"/>
        <v>0.72519651658614603</v>
      </c>
      <c r="CC128" s="604">
        <f t="shared" si="31"/>
        <v>0.45978556769934609</v>
      </c>
      <c r="CD128" s="114">
        <f t="shared" si="32"/>
        <v>0.72519651658614603</v>
      </c>
      <c r="CE128" s="604">
        <f t="shared" si="33"/>
        <v>0.85</v>
      </c>
      <c r="CG128" s="602">
        <f t="shared" si="69"/>
        <v>6.0337485913133033</v>
      </c>
      <c r="CH128" s="704">
        <f t="shared" si="70"/>
        <v>2.3355254491908126</v>
      </c>
      <c r="CI128" s="704">
        <f t="shared" si="71"/>
        <v>9.6615189340675922</v>
      </c>
      <c r="CJ128" s="704">
        <f t="shared" si="72"/>
        <v>13.741874859750659</v>
      </c>
      <c r="CK128" s="704">
        <f t="shared" si="73"/>
        <v>0.18607138828206651</v>
      </c>
      <c r="CL128" s="704">
        <f t="shared" si="74"/>
        <v>31.958739222604436</v>
      </c>
      <c r="CM128" s="727">
        <f t="shared" si="75"/>
        <v>0</v>
      </c>
    </row>
    <row r="129" spans="1:91">
      <c r="A129" s="127">
        <f>'Input data'!A149</f>
        <v>2049</v>
      </c>
      <c r="B129" s="748">
        <f>'Input data'!B149</f>
        <v>75.134</v>
      </c>
      <c r="C129" s="236">
        <f>'Input data'!C149</f>
        <v>6522.2000000000007</v>
      </c>
      <c r="D129" s="237">
        <f>'Input data'!D149</f>
        <v>9416852.0231428221</v>
      </c>
      <c r="E129" s="730">
        <f t="shared" si="34"/>
        <v>0.99135757575757533</v>
      </c>
      <c r="F129" s="483">
        <f t="shared" si="35"/>
        <v>0.36489696969696961</v>
      </c>
      <c r="G129" s="607">
        <f>B129*F129*'Input data'!$C$9</f>
        <v>839.12839037833646</v>
      </c>
      <c r="H129" s="602">
        <f>'Input data'!I149</f>
        <v>424.26313389388866</v>
      </c>
      <c r="I129" s="608">
        <f>'Input data'!K149</f>
        <v>31876.586301983432</v>
      </c>
      <c r="J129" s="608">
        <f t="shared" ref="J129:J130" si="95">J128</f>
        <v>39.432581034713571</v>
      </c>
      <c r="K129" s="609">
        <f t="shared" si="10"/>
        <v>157.73032413885434</v>
      </c>
      <c r="L129" s="483">
        <f t="shared" si="89"/>
        <v>0.57999999999999996</v>
      </c>
      <c r="M129" s="483">
        <f t="shared" si="90"/>
        <v>0.437</v>
      </c>
      <c r="N129" s="483">
        <f t="shared" si="91"/>
        <v>0.71200000000000008</v>
      </c>
      <c r="O129" s="483">
        <f t="shared" si="92"/>
        <v>0.8</v>
      </c>
      <c r="P129" s="483">
        <f t="shared" si="92"/>
        <v>0.23600000000000002</v>
      </c>
      <c r="Q129" s="602">
        <f t="shared" si="41"/>
        <v>21.956594277323916</v>
      </c>
      <c r="R129" s="608">
        <f t="shared" si="11"/>
        <v>8.498893173320921</v>
      </c>
      <c r="S129" s="608">
        <f t="shared" si="12"/>
        <v>35.157920176424213</v>
      </c>
      <c r="T129" s="608">
        <f t="shared" si="13"/>
        <v>50.006188746360976</v>
      </c>
      <c r="U129" s="608">
        <f t="shared" si="14"/>
        <v>0.67710709475193609</v>
      </c>
      <c r="V129" s="1295">
        <f t="shared" si="15"/>
        <v>116.29670346818196</v>
      </c>
      <c r="W129" s="730">
        <f t="shared" si="86"/>
        <v>0.5</v>
      </c>
      <c r="X129" s="606">
        <f t="shared" si="16"/>
        <v>53.669159952994768</v>
      </c>
      <c r="Y129" s="606">
        <f t="shared" si="17"/>
        <v>53.669159952994768</v>
      </c>
      <c r="Z129" s="607">
        <f t="shared" si="18"/>
        <v>143.49374522057315</v>
      </c>
      <c r="AA129" s="608">
        <f t="shared" si="19"/>
        <v>104.06116418585958</v>
      </c>
      <c r="AB129" s="811">
        <f t="shared" si="20"/>
        <v>0.72519651658614603</v>
      </c>
      <c r="AC129" s="135" t="str">
        <f t="shared" si="42"/>
        <v>Policies met</v>
      </c>
      <c r="AD129" s="1240">
        <f t="shared" si="43"/>
        <v>0.72519651658614603</v>
      </c>
      <c r="AE129" s="135" t="str">
        <f t="shared" si="44"/>
        <v>No</v>
      </c>
      <c r="AF129" s="1293">
        <f t="shared" si="45"/>
        <v>116.58898707811893</v>
      </c>
      <c r="AG129" s="118">
        <f t="shared" si="46"/>
        <v>39.432581034713564</v>
      </c>
      <c r="AH129" s="118">
        <f t="shared" si="21"/>
        <v>31.958739222604436</v>
      </c>
      <c r="AI129" s="118">
        <f t="shared" si="22"/>
        <v>31.035802993670483</v>
      </c>
      <c r="AJ129" s="118">
        <f t="shared" si="23"/>
        <v>14.161863827130473</v>
      </c>
      <c r="AK129" s="118">
        <f t="shared" si="47"/>
        <v>116.58898707811896</v>
      </c>
      <c r="AL129" s="828">
        <f t="shared" si="24"/>
        <v>0</v>
      </c>
      <c r="AM129" s="730">
        <f t="shared" si="48"/>
        <v>0.33821874623794668</v>
      </c>
      <c r="AN129" s="483">
        <f t="shared" si="49"/>
        <v>0.274114562820508</v>
      </c>
      <c r="AO129" s="483">
        <f t="shared" si="50"/>
        <v>0.26619841008546835</v>
      </c>
      <c r="AP129" s="483">
        <f t="shared" si="51"/>
        <v>0.12146828085607689</v>
      </c>
      <c r="AQ129" s="483">
        <f t="shared" si="52"/>
        <v>0.99999999999999989</v>
      </c>
      <c r="AR129" s="834">
        <f t="shared" si="77"/>
        <v>5.6299200812489172</v>
      </c>
      <c r="AS129" s="835">
        <f t="shared" si="78"/>
        <v>9.1185520257293504</v>
      </c>
      <c r="AT129" s="835">
        <f t="shared" si="79"/>
        <v>3.1965868099426031</v>
      </c>
      <c r="AU129" s="835">
        <f t="shared" si="53"/>
        <v>0</v>
      </c>
      <c r="AV129" s="835">
        <f t="shared" si="54"/>
        <v>0</v>
      </c>
      <c r="AW129" s="835">
        <f t="shared" si="55"/>
        <v>0</v>
      </c>
      <c r="AX129" s="1228">
        <f t="shared" si="25"/>
        <v>13.605753418936775</v>
      </c>
      <c r="AY129" s="835">
        <f t="shared" si="80"/>
        <v>1.9670817335599302</v>
      </c>
      <c r="AZ129" s="835">
        <f t="shared" si="81"/>
        <v>2.8591431457198269</v>
      </c>
      <c r="BA129" s="835">
        <f t="shared" si="82"/>
        <v>2.5134137916831296</v>
      </c>
      <c r="BB129" s="835">
        <f t="shared" si="83"/>
        <v>0.54213002789300357</v>
      </c>
      <c r="BC129" s="608">
        <f t="shared" si="56"/>
        <v>39.432581034713536</v>
      </c>
      <c r="BD129" s="840">
        <f t="shared" si="57"/>
        <v>0</v>
      </c>
      <c r="BE129" s="760">
        <f t="shared" si="58"/>
        <v>0.14277330911442876</v>
      </c>
      <c r="BF129" s="705">
        <f t="shared" si="59"/>
        <v>0.23124410795484196</v>
      </c>
      <c r="BG129" s="705">
        <f t="shared" si="60"/>
        <v>8.1064610179297267E-2</v>
      </c>
      <c r="BH129" s="705">
        <f t="shared" si="61"/>
        <v>0</v>
      </c>
      <c r="BI129" s="705">
        <f t="shared" si="62"/>
        <v>0</v>
      </c>
      <c r="BJ129" s="705">
        <f t="shared" si="63"/>
        <v>0</v>
      </c>
      <c r="BK129" s="705">
        <f t="shared" si="64"/>
        <v>0.54491797275143194</v>
      </c>
      <c r="BL129" s="705">
        <f t="shared" si="65"/>
        <v>1</v>
      </c>
      <c r="BM129" s="730">
        <f t="shared" si="93"/>
        <v>0.29028184578274857</v>
      </c>
      <c r="BN129" s="483">
        <f t="shared" si="93"/>
        <v>0.30317187715157518</v>
      </c>
      <c r="BO129" s="483">
        <f t="shared" si="93"/>
        <v>8.2805443243048754E-2</v>
      </c>
      <c r="BP129" s="483">
        <f t="shared" si="93"/>
        <v>0</v>
      </c>
      <c r="BQ129" s="483">
        <f t="shared" si="93"/>
        <v>0</v>
      </c>
      <c r="BR129" s="483">
        <f t="shared" si="93"/>
        <v>0</v>
      </c>
      <c r="BS129" s="483">
        <f t="shared" si="93"/>
        <v>0.32374083382262742</v>
      </c>
      <c r="BT129" s="604">
        <f t="shared" si="85"/>
        <v>0.99999999999999989</v>
      </c>
      <c r="BV129" s="606">
        <f t="shared" si="26"/>
        <v>57.829170705284398</v>
      </c>
      <c r="BW129" s="114">
        <f t="shared" si="67"/>
        <v>0.62975701214482482</v>
      </c>
      <c r="BX129" s="1503">
        <f t="shared" si="27"/>
        <v>9.4168520231428214</v>
      </c>
      <c r="BY129" s="606">
        <f t="shared" si="28"/>
        <v>70.187331042055291</v>
      </c>
      <c r="BZ129" s="114">
        <f t="shared" si="68"/>
        <v>0.39834810071831678</v>
      </c>
      <c r="CA129" s="765">
        <f t="shared" si="29"/>
        <v>50.172070130067617</v>
      </c>
      <c r="CB129" s="730">
        <f t="shared" si="30"/>
        <v>0.72519651658614603</v>
      </c>
      <c r="CC129" s="604">
        <f t="shared" si="31"/>
        <v>0.47155636748080432</v>
      </c>
      <c r="CD129" s="114">
        <f t="shared" si="32"/>
        <v>0.72519651658614603</v>
      </c>
      <c r="CE129" s="604">
        <f t="shared" si="33"/>
        <v>0.85</v>
      </c>
      <c r="CG129" s="602">
        <f t="shared" si="69"/>
        <v>6.0337485913133033</v>
      </c>
      <c r="CH129" s="704">
        <f t="shared" si="70"/>
        <v>2.3355254491908126</v>
      </c>
      <c r="CI129" s="704">
        <f t="shared" si="71"/>
        <v>9.6615189340675922</v>
      </c>
      <c r="CJ129" s="704">
        <f t="shared" si="72"/>
        <v>13.741874859750659</v>
      </c>
      <c r="CK129" s="704">
        <f t="shared" si="73"/>
        <v>0.18607138828206651</v>
      </c>
      <c r="CL129" s="704">
        <f t="shared" si="74"/>
        <v>31.958739222604436</v>
      </c>
      <c r="CM129" s="727">
        <f t="shared" si="75"/>
        <v>0</v>
      </c>
    </row>
    <row r="130" spans="1:91" ht="15" thickBot="1">
      <c r="A130" s="172">
        <f>'Input data'!A150</f>
        <v>2050</v>
      </c>
      <c r="B130" s="751">
        <f>'Input data'!B150</f>
        <v>75.518000000000001</v>
      </c>
      <c r="C130" s="239">
        <f>'Input data'!C150</f>
        <v>6747.1300000000019</v>
      </c>
      <c r="D130" s="240">
        <f>'Input data'!D150</f>
        <v>8135871.0855464395</v>
      </c>
      <c r="E130" s="731">
        <f>C51</f>
        <v>1</v>
      </c>
      <c r="F130" s="732">
        <f>D51</f>
        <v>0.36725000000000002</v>
      </c>
      <c r="G130" s="754">
        <f>B130*F130*'Input data'!$C$9</f>
        <v>848.8558222073508</v>
      </c>
      <c r="H130" s="735">
        <f>'Input data'!I150</f>
        <v>424.26313389388866</v>
      </c>
      <c r="I130" s="739">
        <f>'Input data'!K150</f>
        <v>32039.503345398683</v>
      </c>
      <c r="J130" s="739">
        <f t="shared" si="95"/>
        <v>39.432581034713571</v>
      </c>
      <c r="K130" s="745">
        <f t="shared" si="10"/>
        <v>157.73032413885434</v>
      </c>
      <c r="L130" s="732">
        <f t="shared" si="89"/>
        <v>0.57999999999999996</v>
      </c>
      <c r="M130" s="732">
        <f t="shared" si="90"/>
        <v>0.437</v>
      </c>
      <c r="N130" s="732">
        <f t="shared" si="91"/>
        <v>0.71200000000000008</v>
      </c>
      <c r="O130" s="732">
        <f t="shared" si="92"/>
        <v>0.8</v>
      </c>
      <c r="P130" s="732">
        <f t="shared" si="92"/>
        <v>0.23600000000000002</v>
      </c>
      <c r="Q130" s="735">
        <f t="shared" si="41"/>
        <v>21.956594277323916</v>
      </c>
      <c r="R130" s="739">
        <f t="shared" si="11"/>
        <v>8.498893173320921</v>
      </c>
      <c r="S130" s="739">
        <f t="shared" si="12"/>
        <v>35.157920176424213</v>
      </c>
      <c r="T130" s="739">
        <f t="shared" si="13"/>
        <v>50.006188746360976</v>
      </c>
      <c r="U130" s="739">
        <f t="shared" si="14"/>
        <v>0.67710709475193609</v>
      </c>
      <c r="V130" s="1296">
        <f t="shared" si="15"/>
        <v>116.29670346818196</v>
      </c>
      <c r="W130" s="731">
        <f t="shared" si="86"/>
        <v>0.5</v>
      </c>
      <c r="X130" s="757">
        <f t="shared" si="16"/>
        <v>53.669159952994768</v>
      </c>
      <c r="Y130" s="757">
        <f t="shared" si="17"/>
        <v>53.669159952994768</v>
      </c>
      <c r="Z130" s="754">
        <f t="shared" si="18"/>
        <v>143.49374522057315</v>
      </c>
      <c r="AA130" s="739">
        <f t="shared" si="19"/>
        <v>104.06116418585958</v>
      </c>
      <c r="AB130" s="812">
        <f t="shared" si="20"/>
        <v>0.72519651658614603</v>
      </c>
      <c r="AC130" s="1267" t="str">
        <f t="shared" si="42"/>
        <v>Policies met</v>
      </c>
      <c r="AD130" s="1249">
        <f t="shared" si="43"/>
        <v>0.72519651658614603</v>
      </c>
      <c r="AE130" s="1267" t="str">
        <f t="shared" si="44"/>
        <v>No</v>
      </c>
      <c r="AF130" s="1294">
        <f t="shared" si="45"/>
        <v>116.58898707811893</v>
      </c>
      <c r="AG130" s="121">
        <f t="shared" si="46"/>
        <v>39.432581034713564</v>
      </c>
      <c r="AH130" s="121">
        <f t="shared" si="21"/>
        <v>31.958739222604436</v>
      </c>
      <c r="AI130" s="121">
        <f t="shared" si="22"/>
        <v>31.035802993670483</v>
      </c>
      <c r="AJ130" s="121">
        <f t="shared" si="23"/>
        <v>14.161863827130473</v>
      </c>
      <c r="AK130" s="121">
        <f t="shared" si="47"/>
        <v>116.58898707811896</v>
      </c>
      <c r="AL130" s="829">
        <f t="shared" si="24"/>
        <v>0</v>
      </c>
      <c r="AM130" s="731">
        <f t="shared" si="48"/>
        <v>0.33821874623794668</v>
      </c>
      <c r="AN130" s="732">
        <f t="shared" si="49"/>
        <v>0.274114562820508</v>
      </c>
      <c r="AO130" s="732">
        <f t="shared" si="50"/>
        <v>0.26619841008546835</v>
      </c>
      <c r="AP130" s="732">
        <f t="shared" si="51"/>
        <v>0.12146828085607689</v>
      </c>
      <c r="AQ130" s="732">
        <f t="shared" si="52"/>
        <v>0.99999999999999989</v>
      </c>
      <c r="AR130" s="836">
        <f t="shared" si="77"/>
        <v>5.6299200812489172</v>
      </c>
      <c r="AS130" s="837">
        <f t="shared" si="78"/>
        <v>9.1185520257293504</v>
      </c>
      <c r="AT130" s="837">
        <f t="shared" si="79"/>
        <v>3.1965868099426031</v>
      </c>
      <c r="AU130" s="837">
        <f t="shared" si="53"/>
        <v>0</v>
      </c>
      <c r="AV130" s="837">
        <f t="shared" si="54"/>
        <v>0</v>
      </c>
      <c r="AW130" s="837">
        <f t="shared" si="55"/>
        <v>0</v>
      </c>
      <c r="AX130" s="1357">
        <f t="shared" si="25"/>
        <v>13.605753418936775</v>
      </c>
      <c r="AY130" s="837">
        <f t="shared" si="80"/>
        <v>1.9670817335599302</v>
      </c>
      <c r="AZ130" s="837">
        <f t="shared" si="81"/>
        <v>2.8591431457198269</v>
      </c>
      <c r="BA130" s="837">
        <f t="shared" si="82"/>
        <v>2.5134137916831296</v>
      </c>
      <c r="BB130" s="837">
        <f t="shared" si="83"/>
        <v>0.54213002789300357</v>
      </c>
      <c r="BC130" s="739">
        <f t="shared" si="56"/>
        <v>39.432581034713536</v>
      </c>
      <c r="BD130" s="841">
        <f t="shared" si="57"/>
        <v>0</v>
      </c>
      <c r="BE130" s="768">
        <f t="shared" si="58"/>
        <v>0.14277330911442876</v>
      </c>
      <c r="BF130" s="777">
        <f>AS130/BC130</f>
        <v>0.23124410795484196</v>
      </c>
      <c r="BG130" s="777">
        <f t="shared" si="60"/>
        <v>8.1064610179297267E-2</v>
      </c>
      <c r="BH130" s="777">
        <f t="shared" si="61"/>
        <v>0</v>
      </c>
      <c r="BI130" s="777">
        <f t="shared" si="62"/>
        <v>0</v>
      </c>
      <c r="BJ130" s="777">
        <f t="shared" si="63"/>
        <v>0</v>
      </c>
      <c r="BK130" s="777">
        <f t="shared" si="64"/>
        <v>0.54491797275143194</v>
      </c>
      <c r="BL130" s="777">
        <f t="shared" si="65"/>
        <v>1</v>
      </c>
      <c r="BM130" s="731">
        <f t="shared" si="93"/>
        <v>0.29028184578274857</v>
      </c>
      <c r="BN130" s="732">
        <f t="shared" si="93"/>
        <v>0.30317187715157518</v>
      </c>
      <c r="BO130" s="732">
        <f t="shared" si="93"/>
        <v>8.2805443243048754E-2</v>
      </c>
      <c r="BP130" s="732">
        <f t="shared" si="93"/>
        <v>0</v>
      </c>
      <c r="BQ130" s="732">
        <f t="shared" si="93"/>
        <v>0</v>
      </c>
      <c r="BR130" s="732">
        <f t="shared" si="93"/>
        <v>0</v>
      </c>
      <c r="BS130" s="732">
        <f t="shared" si="93"/>
        <v>0.32374083382262742</v>
      </c>
      <c r="BT130" s="733">
        <f t="shared" si="85"/>
        <v>0.99999999999999989</v>
      </c>
      <c r="BV130" s="757">
        <f t="shared" si="26"/>
        <v>57.09341120670873</v>
      </c>
      <c r="BW130" s="732">
        <f t="shared" si="67"/>
        <v>0.64113279036900128</v>
      </c>
      <c r="BX130" s="769">
        <f t="shared" si="27"/>
        <v>8.1358710855464391</v>
      </c>
      <c r="BY130" s="757">
        <f t="shared" si="28"/>
        <v>70.620266480612941</v>
      </c>
      <c r="BZ130" s="732">
        <f t="shared" si="68"/>
        <v>0.39973001505239486</v>
      </c>
      <c r="CA130" s="766">
        <f t="shared" si="29"/>
        <v>50.172070130067617</v>
      </c>
      <c r="CB130" s="731">
        <f t="shared" si="30"/>
        <v>0.72519651658614603</v>
      </c>
      <c r="CC130" s="733">
        <f t="shared" si="31"/>
        <v>0.48272606133503143</v>
      </c>
      <c r="CD130" s="732">
        <f t="shared" si="32"/>
        <v>0.72519651658614603</v>
      </c>
      <c r="CE130" s="733">
        <f t="shared" si="33"/>
        <v>0.85</v>
      </c>
      <c r="CG130" s="735">
        <f t="shared" si="69"/>
        <v>6.0337485913133033</v>
      </c>
      <c r="CH130" s="739">
        <f t="shared" si="70"/>
        <v>2.3355254491908126</v>
      </c>
      <c r="CI130" s="739">
        <f t="shared" si="71"/>
        <v>9.6615189340675922</v>
      </c>
      <c r="CJ130" s="739">
        <f t="shared" si="72"/>
        <v>13.741874859750659</v>
      </c>
      <c r="CK130" s="739">
        <f t="shared" si="73"/>
        <v>0.18607138828206651</v>
      </c>
      <c r="CL130" s="739">
        <f t="shared" si="74"/>
        <v>31.958739222604436</v>
      </c>
      <c r="CM130" s="736">
        <f t="shared" si="75"/>
        <v>0</v>
      </c>
    </row>
    <row r="131" spans="1:91">
      <c r="AL131" s="608"/>
      <c r="AM131" s="607"/>
      <c r="AN131" s="704"/>
      <c r="AO131" s="704"/>
      <c r="AP131" s="704"/>
      <c r="AS131" s="114"/>
    </row>
    <row r="132" spans="1:91" ht="23.4">
      <c r="A132" s="783" t="s">
        <v>735</v>
      </c>
      <c r="AL132" s="608"/>
      <c r="AM132" s="607"/>
      <c r="AO132" s="704"/>
      <c r="AS132" s="114"/>
    </row>
    <row r="133" spans="1:91" ht="15" thickBot="1">
      <c r="AL133" s="608"/>
      <c r="AM133" s="607"/>
    </row>
    <row r="134" spans="1:91" ht="21.6" customHeight="1" thickBot="1">
      <c r="A134" s="1652" t="s">
        <v>687</v>
      </c>
      <c r="B134" s="1760"/>
      <c r="C134" s="1760"/>
      <c r="D134" s="1761"/>
      <c r="E134" s="1796" t="s">
        <v>689</v>
      </c>
      <c r="F134" s="1797"/>
      <c r="G134" s="1797"/>
      <c r="H134" s="1797"/>
      <c r="I134" s="1798"/>
      <c r="J134" s="1799" t="s">
        <v>690</v>
      </c>
      <c r="K134" s="1800"/>
      <c r="L134" s="1801"/>
      <c r="M134" s="1802" t="s">
        <v>697</v>
      </c>
      <c r="N134" s="1804" t="s">
        <v>695</v>
      </c>
      <c r="O134" s="1805"/>
      <c r="P134" s="1767" t="s">
        <v>674</v>
      </c>
      <c r="Q134" s="1769" t="s">
        <v>680</v>
      </c>
      <c r="R134" s="1769" t="s">
        <v>661</v>
      </c>
      <c r="S134" s="1769" t="s">
        <v>726</v>
      </c>
      <c r="T134" s="1774" t="s">
        <v>728</v>
      </c>
      <c r="U134" s="1769" t="s">
        <v>727</v>
      </c>
      <c r="V134" s="1774" t="s">
        <v>730</v>
      </c>
      <c r="W134" s="1777" t="s">
        <v>698</v>
      </c>
      <c r="X134" s="1386" t="s">
        <v>672</v>
      </c>
      <c r="Y134" s="1387"/>
      <c r="Z134" s="1387"/>
      <c r="AA134" s="1387"/>
      <c r="AB134" s="1387"/>
      <c r="AC134" s="1387"/>
      <c r="AD134" s="1387"/>
      <c r="AE134" s="1256"/>
      <c r="AF134" s="1256"/>
      <c r="AG134" s="1256"/>
      <c r="AH134" s="1256"/>
      <c r="AI134" s="1256"/>
      <c r="AJ134" s="1257"/>
      <c r="AK134" s="1749" t="s">
        <v>855</v>
      </c>
      <c r="AL134" s="1750"/>
      <c r="AM134" s="1750"/>
      <c r="AN134" s="1750"/>
      <c r="AO134" s="1751"/>
    </row>
    <row r="135" spans="1:91" ht="58.95" customHeight="1">
      <c r="A135" s="1790" t="s">
        <v>217</v>
      </c>
      <c r="B135" s="802" t="s">
        <v>218</v>
      </c>
      <c r="C135" s="802" t="s">
        <v>464</v>
      </c>
      <c r="D135" s="592" t="s">
        <v>721</v>
      </c>
      <c r="E135" s="804" t="s">
        <v>551</v>
      </c>
      <c r="F135" s="803" t="s">
        <v>555</v>
      </c>
      <c r="G135" s="803" t="s">
        <v>676</v>
      </c>
      <c r="H135" s="805" t="s">
        <v>679</v>
      </c>
      <c r="I135" s="805" t="s">
        <v>718</v>
      </c>
      <c r="J135" s="582" t="s">
        <v>367</v>
      </c>
      <c r="K135" s="1371" t="s">
        <v>367</v>
      </c>
      <c r="L135" s="806" t="s">
        <v>692</v>
      </c>
      <c r="M135" s="1803"/>
      <c r="N135" s="587" t="s">
        <v>693</v>
      </c>
      <c r="O135" s="639" t="s">
        <v>694</v>
      </c>
      <c r="P135" s="1768"/>
      <c r="Q135" s="1770"/>
      <c r="R135" s="1770"/>
      <c r="S135" s="1770"/>
      <c r="T135" s="1775"/>
      <c r="U135" s="1770"/>
      <c r="V135" s="1775"/>
      <c r="W135" s="1778"/>
      <c r="X135" s="818" t="s">
        <v>549</v>
      </c>
      <c r="Y135" s="819" t="s">
        <v>565</v>
      </c>
      <c r="Z135" s="819" t="s">
        <v>428</v>
      </c>
      <c r="AA135" s="819" t="s">
        <v>429</v>
      </c>
      <c r="AB135" s="819" t="s">
        <v>553</v>
      </c>
      <c r="AC135" s="819" t="s">
        <v>225</v>
      </c>
      <c r="AD135" s="823" t="s">
        <v>708</v>
      </c>
      <c r="AE135" s="1247" t="s">
        <v>549</v>
      </c>
      <c r="AF135" s="819" t="s">
        <v>565</v>
      </c>
      <c r="AG135" s="819" t="s">
        <v>428</v>
      </c>
      <c r="AH135" s="819" t="s">
        <v>429</v>
      </c>
      <c r="AI135" s="819" t="s">
        <v>553</v>
      </c>
      <c r="AJ135" s="820" t="s">
        <v>225</v>
      </c>
      <c r="AK135" s="189" t="s">
        <v>851</v>
      </c>
      <c r="AL135" s="822" t="s">
        <v>569</v>
      </c>
      <c r="AM135" s="822" t="s">
        <v>852</v>
      </c>
      <c r="AN135" s="822" t="s">
        <v>225</v>
      </c>
      <c r="AO135" s="1399" t="s">
        <v>708</v>
      </c>
    </row>
    <row r="136" spans="1:91" ht="61.2" customHeight="1" thickBot="1">
      <c r="A136" s="1806"/>
      <c r="B136" s="524" t="s">
        <v>232</v>
      </c>
      <c r="C136" s="525" t="s">
        <v>558</v>
      </c>
      <c r="D136" s="556" t="s">
        <v>556</v>
      </c>
      <c r="E136" s="1243" t="s">
        <v>688</v>
      </c>
      <c r="F136" s="1244" t="s">
        <v>688</v>
      </c>
      <c r="G136" s="1244" t="str">
        <f>F136</f>
        <v>Gg/GDP ZAR billion</v>
      </c>
      <c r="H136" s="1245" t="str">
        <f>G136</f>
        <v>Gg/GDP ZAR billion</v>
      </c>
      <c r="I136" s="1245" t="s">
        <v>691</v>
      </c>
      <c r="J136" s="807" t="s">
        <v>229</v>
      </c>
      <c r="K136" s="1285" t="s">
        <v>691</v>
      </c>
      <c r="L136" s="1285" t="s">
        <v>691</v>
      </c>
      <c r="M136" s="1286" t="s">
        <v>691</v>
      </c>
      <c r="N136" s="786" t="s">
        <v>229</v>
      </c>
      <c r="O136" s="634" t="s">
        <v>691</v>
      </c>
      <c r="P136" s="1288" t="s">
        <v>691</v>
      </c>
      <c r="Q136" s="1289" t="s">
        <v>691</v>
      </c>
      <c r="R136" s="1289" t="s">
        <v>691</v>
      </c>
      <c r="S136" s="1290" t="s">
        <v>28</v>
      </c>
      <c r="T136" s="1776"/>
      <c r="U136" s="1284" t="s">
        <v>28</v>
      </c>
      <c r="V136" s="1776"/>
      <c r="W136" s="1385" t="s">
        <v>691</v>
      </c>
      <c r="X136" s="191" t="s">
        <v>691</v>
      </c>
      <c r="Y136" s="1254" t="s">
        <v>691</v>
      </c>
      <c r="Z136" s="1254" t="s">
        <v>691</v>
      </c>
      <c r="AA136" s="1254" t="s">
        <v>691</v>
      </c>
      <c r="AB136" s="1254" t="s">
        <v>691</v>
      </c>
      <c r="AC136" s="1254" t="s">
        <v>691</v>
      </c>
      <c r="AD136" s="1255" t="s">
        <v>669</v>
      </c>
      <c r="AE136" s="1248" t="s">
        <v>229</v>
      </c>
      <c r="AF136" s="821" t="s">
        <v>229</v>
      </c>
      <c r="AG136" s="821" t="s">
        <v>229</v>
      </c>
      <c r="AH136" s="821" t="s">
        <v>229</v>
      </c>
      <c r="AI136" s="821" t="s">
        <v>229</v>
      </c>
      <c r="AJ136" s="824" t="s">
        <v>229</v>
      </c>
      <c r="AK136" s="191" t="s">
        <v>691</v>
      </c>
      <c r="AL136" s="1254" t="s">
        <v>691</v>
      </c>
      <c r="AM136" s="1254" t="s">
        <v>691</v>
      </c>
      <c r="AN136" s="1254" t="s">
        <v>691</v>
      </c>
      <c r="AO136" s="1255" t="s">
        <v>669</v>
      </c>
    </row>
    <row r="137" spans="1:91" ht="15" customHeight="1">
      <c r="A137" s="852">
        <f>'Input data'!A117</f>
        <v>2017</v>
      </c>
      <c r="B137" s="853">
        <f>'Input data'!B117</f>
        <v>56.521999999999998</v>
      </c>
      <c r="C137" s="854">
        <f>'Input data'!C117</f>
        <v>3120.54</v>
      </c>
      <c r="D137" s="855">
        <f>'Input data'!D117</f>
        <v>49995051</v>
      </c>
      <c r="E137" s="737">
        <f>'Input data'!J117</f>
        <v>11.504772374209397</v>
      </c>
      <c r="F137" s="738">
        <f>'Input data'!L117/C97</f>
        <v>27.526054267727826</v>
      </c>
      <c r="G137" s="771">
        <f>F137*B11</f>
        <v>23.573842715560573</v>
      </c>
      <c r="H137" s="623">
        <f t="shared" ref="H137:H170" si="96">E137*$B$12+I137*$E$80-G137</f>
        <v>0</v>
      </c>
      <c r="I137" s="1238">
        <f t="shared" ref="I137:I170" si="97">D137/1000/C137</f>
        <v>16.021281893518431</v>
      </c>
      <c r="J137" s="730">
        <f>H17</f>
        <v>6.154773859516615E-2</v>
      </c>
      <c r="K137" s="623">
        <f>(I137)*J137</f>
        <v>0.98607366994174095</v>
      </c>
      <c r="L137" s="608">
        <f t="shared" ref="L137:L170" si="98">(E137)*$C$12*$G$12</f>
        <v>0.96248877021284696</v>
      </c>
      <c r="M137" s="727">
        <f>L137+K137</f>
        <v>1.9485624401545878</v>
      </c>
      <c r="N137" s="730">
        <v>0</v>
      </c>
      <c r="O137" s="1280">
        <f t="shared" ref="O137:O170" si="99">N137*E137*($C$85)*$B$12</f>
        <v>0</v>
      </c>
      <c r="P137" s="1291">
        <f>O137+(K137-I137*$J$137)</f>
        <v>0</v>
      </c>
      <c r="Q137" s="771">
        <f t="shared" ref="Q137:Q170" si="100">E137*$B$12+I137*(1-$H$80)-P137</f>
        <v>23.573842715560573</v>
      </c>
      <c r="R137" s="738">
        <f t="shared" ref="R137:R170" si="101">Q137-G137</f>
        <v>0</v>
      </c>
      <c r="S137" s="1292">
        <f>R137/(Q137-(I137-K137))</f>
        <v>0</v>
      </c>
      <c r="T137" s="135" t="str">
        <f>IF(AND(S137&gt;=0,S137&lt;=0.85),"Policies met","Policies not met")</f>
        <v>Policies met</v>
      </c>
      <c r="U137" s="1240">
        <f>IF(S137&lt;=0,0,IF(S137&gt;=0.85,0.85,S137))</f>
        <v>0</v>
      </c>
      <c r="V137" s="135" t="str">
        <f>IF(AND(S137&gt;=0,S137&lt;=0.85),"No","Yes")</f>
        <v>No</v>
      </c>
      <c r="W137" s="1241">
        <f>($E$137)*(1-U137)+I137</f>
        <v>27.526054267727829</v>
      </c>
      <c r="X137" s="1291">
        <f>Q137-U137*(Q137-(I137-K137))</f>
        <v>23.573842715560573</v>
      </c>
      <c r="Y137" s="759">
        <f>(L137)*(1-U137)+K137</f>
        <v>1.9485624401545878</v>
      </c>
      <c r="Z137" s="738">
        <f t="shared" ref="Z137:Z170" si="102">($C$12*$H$12*$E$137+O137)*(1-U137)</f>
        <v>1.9789482589551808</v>
      </c>
      <c r="AA137" s="738">
        <f t="shared" ref="AA137:AA170" si="103">$F$137*$D$11*(1-U137)</f>
        <v>0</v>
      </c>
      <c r="AB137" s="738">
        <f t="shared" ref="AB137:AB170" si="104">$E$137*$E$12*(1-U137)</f>
        <v>2.4700853057483641E-2</v>
      </c>
      <c r="AC137" s="738">
        <f>SUM(X137:AB137)</f>
        <v>27.526054267727829</v>
      </c>
      <c r="AD137" s="1388">
        <f>AC137-W137</f>
        <v>0</v>
      </c>
      <c r="AE137" s="809">
        <f>X137/AC137</f>
        <v>0.85641924869700925</v>
      </c>
      <c r="AF137" s="728">
        <f>Y137/AC137</f>
        <v>7.0789747822270571E-2</v>
      </c>
      <c r="AG137" s="728">
        <f>Z137/AC137</f>
        <v>7.1893640828694608E-2</v>
      </c>
      <c r="AH137" s="728">
        <f>AB137/AC137</f>
        <v>8.9736265202541149E-4</v>
      </c>
      <c r="AI137" s="728">
        <f>AB137/AC137</f>
        <v>8.9736265202541149E-4</v>
      </c>
      <c r="AJ137" s="825">
        <f>SUM(AE137:AI137)</f>
        <v>1.0008973626520252</v>
      </c>
      <c r="AK137" s="1400">
        <f>(I137-K137)</f>
        <v>15.03520822357669</v>
      </c>
      <c r="AL137" s="608">
        <f>E137*$C$86*$B$12</f>
        <v>5.9608665077198184</v>
      </c>
      <c r="AM137" s="608">
        <f>(E137*($C$85)*$B$12-O137)</f>
        <v>2.5777679842640651</v>
      </c>
      <c r="AN137" s="1401">
        <f>SUM(AK137:AM137)</f>
        <v>23.573842715560573</v>
      </c>
      <c r="AO137" s="1402">
        <f>AN137-X137</f>
        <v>0</v>
      </c>
    </row>
    <row r="138" spans="1:91">
      <c r="A138" s="127">
        <f>'Input data'!A118</f>
        <v>2018</v>
      </c>
      <c r="B138" s="748">
        <f>'Input data'!B118</f>
        <v>57.436</v>
      </c>
      <c r="C138" s="236">
        <f>'Input data'!C118</f>
        <v>3152.24</v>
      </c>
      <c r="D138" s="237">
        <f>'Input data'!D118</f>
        <v>50172070.130067617</v>
      </c>
      <c r="E138" s="602">
        <f>'Input data'!J118</f>
        <v>11.504772374209397</v>
      </c>
      <c r="F138" s="608">
        <f>'Input data'!L118/C98</f>
        <v>27.421095411182346</v>
      </c>
      <c r="G138" s="623">
        <f>$G$137*(1+((($G$150/$G$137)^(1/($A$150-$A$137)))-1))^(A138-$A$137)</f>
        <v>22.34983020519125</v>
      </c>
      <c r="H138" s="623">
        <f t="shared" si="96"/>
        <v>1.1255136340897565</v>
      </c>
      <c r="I138" s="1238">
        <f t="shared" si="97"/>
        <v>15.916323036972953</v>
      </c>
      <c r="J138" s="730">
        <f t="shared" ref="J138:J148" si="105">$J$137*(1+((($J$150/$J$137)^(1/($A$150-$A$137)))-1))^(A138-$A$137)</f>
        <v>6.7388021833337503E-2</v>
      </c>
      <c r="K138" s="623">
        <f>(I138)*J138</f>
        <v>1.0725695243219859</v>
      </c>
      <c r="L138" s="608">
        <f t="shared" si="98"/>
        <v>0.96248877021284696</v>
      </c>
      <c r="M138" s="727">
        <f t="shared" ref="M138:M170" si="106">L138+K138</f>
        <v>2.0350582945348328</v>
      </c>
      <c r="N138" s="730">
        <f>($N$142-$N$137)/($A$102-$A$97)+N137</f>
        <v>0.05</v>
      </c>
      <c r="O138" s="1280">
        <f t="shared" si="99"/>
        <v>0.12888839921320328</v>
      </c>
      <c r="P138" s="779">
        <f t="shared" ref="P138:P170" si="107">O138+(K138-I138*$J$137)</f>
        <v>0.22184423385935692</v>
      </c>
      <c r="Q138" s="623">
        <f t="shared" si="100"/>
        <v>23.253499605421649</v>
      </c>
      <c r="R138" s="608">
        <f t="shared" si="101"/>
        <v>0.90366940023039888</v>
      </c>
      <c r="S138" s="1240">
        <f>R138/(Q138-(I138-K138))</f>
        <v>0.10745501591388418</v>
      </c>
      <c r="T138" s="135" t="str">
        <f t="shared" ref="T138:T170" si="108">IF(AND(S138&gt;=0,S138&lt;=0.85),"Policies met","Policies not met")</f>
        <v>Policies met</v>
      </c>
      <c r="U138" s="1240">
        <f t="shared" ref="U138:U170" si="109">IF(S138&lt;=0,0,IF(S138&gt;=0.85,0.85,S138))</f>
        <v>0.10745501591388418</v>
      </c>
      <c r="V138" s="135" t="str">
        <f t="shared" ref="V138:V170" si="110">IF(AND(S138&gt;=0,S138&lt;=0.85),"No","Yes")</f>
        <v>No</v>
      </c>
      <c r="W138" s="1241">
        <f>($E$137)*(1-U138)+I138</f>
        <v>26.184849912626063</v>
      </c>
      <c r="X138" s="779">
        <f>Q138-U138*(Q138-(I138-K138))</f>
        <v>22.34983020519125</v>
      </c>
      <c r="Y138" s="118">
        <f t="shared" ref="Y138:Y170" si="111">(L138)*(1-U138)+K138</f>
        <v>1.9316340484146766</v>
      </c>
      <c r="Z138" s="608">
        <f t="shared" si="102"/>
        <v>1.8813390365210318</v>
      </c>
      <c r="AA138" s="608">
        <f t="shared" si="103"/>
        <v>0</v>
      </c>
      <c r="AB138" s="608">
        <f t="shared" si="104"/>
        <v>2.2046622499105221E-2</v>
      </c>
      <c r="AC138" s="608">
        <f t="shared" ref="AC138:AC170" si="112">SUM(X138:AB138)</f>
        <v>26.18484991262606</v>
      </c>
      <c r="AD138" s="767">
        <f>AC137-W137</f>
        <v>0</v>
      </c>
      <c r="AE138" s="730">
        <f t="shared" ref="AE138:AE170" si="113">X138/AC138</f>
        <v>0.85354051215754323</v>
      </c>
      <c r="AF138" s="483">
        <f t="shared" ref="AF138:AF170" si="114">Y138/AC138</f>
        <v>7.3769147230561855E-2</v>
      </c>
      <c r="AG138" s="483">
        <f t="shared" ref="AG138:AG170" si="115">Z138/AC138</f>
        <v>7.184837960877026E-2</v>
      </c>
      <c r="AH138" s="483">
        <f t="shared" ref="AH138:AH170" si="116">AB138/AC138</f>
        <v>8.4196100312473323E-4</v>
      </c>
      <c r="AI138" s="483">
        <f t="shared" ref="AI138:AI169" si="117">AB138/AC138</f>
        <v>8.4196100312473323E-4</v>
      </c>
      <c r="AJ138" s="604">
        <f t="shared" ref="AJ138:AJ170" si="118">SUM(AE138:AI138)</f>
        <v>1.0008419610031247</v>
      </c>
      <c r="AK138" s="1400">
        <f>(I138-K138)</f>
        <v>14.843753512650967</v>
      </c>
      <c r="AL138" s="608">
        <f>$AL$177*(1-U138)</f>
        <v>5.320341502272246</v>
      </c>
      <c r="AM138" s="608">
        <f>($AM$177-O138)*(1-U138)</f>
        <v>2.1857351902680353</v>
      </c>
      <c r="AN138" s="1401">
        <f t="shared" ref="AN138:AN170" si="119">SUM(AK138:AM138)</f>
        <v>22.349830205191246</v>
      </c>
      <c r="AO138" s="1402">
        <f t="shared" ref="AO138:AO170" si="120">AN138-X138</f>
        <v>0</v>
      </c>
    </row>
    <row r="139" spans="1:91">
      <c r="A139" s="127">
        <f>'Input data'!A119</f>
        <v>2019</v>
      </c>
      <c r="B139" s="748">
        <f>'Input data'!B119</f>
        <v>58.365000000000002</v>
      </c>
      <c r="C139" s="236">
        <f>'Input data'!C119</f>
        <v>3179.2899999999995</v>
      </c>
      <c r="D139" s="237">
        <f>'Input data'!D119</f>
        <v>49847473.41597119</v>
      </c>
      <c r="E139" s="602">
        <f>'Input data'!J119</f>
        <v>11.504772374209397</v>
      </c>
      <c r="F139" s="608">
        <f>'Input data'!L119/C99</f>
        <v>27.183579093939649</v>
      </c>
      <c r="G139" s="623">
        <f t="shared" ref="G139:G149" si="121">$G$137*(1+((($G$150/$G$137)^(1/($A$150-$A$137)))-1))^(A139-$A$137)</f>
        <v>21.189371466840253</v>
      </c>
      <c r="H139" s="623">
        <f t="shared" si="96"/>
        <v>2.0630746474037913</v>
      </c>
      <c r="I139" s="1238">
        <f t="shared" si="97"/>
        <v>15.678806719730252</v>
      </c>
      <c r="J139" s="730">
        <f t="shared" si="105"/>
        <v>7.3782491286642105E-2</v>
      </c>
      <c r="K139" s="623">
        <f t="shared" ref="K139:K170" si="122">(I139)*J139</f>
        <v>1.156821420183443</v>
      </c>
      <c r="L139" s="608">
        <f t="shared" si="98"/>
        <v>0.96248877021284696</v>
      </c>
      <c r="M139" s="727">
        <f t="shared" si="106"/>
        <v>2.1193101903962899</v>
      </c>
      <c r="N139" s="730">
        <f>($N$142-$N$137)/($A$102-$A$97)+N138</f>
        <v>0.1</v>
      </c>
      <c r="O139" s="1280">
        <f t="shared" si="99"/>
        <v>0.25777679842640655</v>
      </c>
      <c r="P139" s="779">
        <f t="shared" si="107"/>
        <v>0.44960312113975753</v>
      </c>
      <c r="Q139" s="623">
        <f t="shared" si="100"/>
        <v>22.802842993104285</v>
      </c>
      <c r="R139" s="608">
        <f t="shared" si="101"/>
        <v>1.613471526264032</v>
      </c>
      <c r="S139" s="1240">
        <f t="shared" ref="S139:S170" si="123">R139/(Q139-(I139-K139))</f>
        <v>0.19484352780501424</v>
      </c>
      <c r="T139" s="135" t="str">
        <f t="shared" si="108"/>
        <v>Policies met</v>
      </c>
      <c r="U139" s="1240">
        <f t="shared" si="109"/>
        <v>0.19484352780501424</v>
      </c>
      <c r="V139" s="135" t="str">
        <f t="shared" si="110"/>
        <v>No</v>
      </c>
      <c r="W139" s="1241">
        <f t="shared" ref="W139:W170" si="124">($E$137)*(1-U139)+I139</f>
        <v>24.94194865795502</v>
      </c>
      <c r="X139" s="779">
        <f t="shared" ref="X139:X170" si="125">Q139-U139*(Q139-(I139-K139))</f>
        <v>21.189371466840253</v>
      </c>
      <c r="Y139" s="118">
        <f t="shared" si="111"/>
        <v>1.9317754829353091</v>
      </c>
      <c r="Z139" s="608">
        <f t="shared" si="102"/>
        <v>1.800913656471486</v>
      </c>
      <c r="AA139" s="608">
        <f t="shared" si="103"/>
        <v>0</v>
      </c>
      <c r="AB139" s="608">
        <f t="shared" si="104"/>
        <v>1.9888051707970256E-2</v>
      </c>
      <c r="AC139" s="608">
        <f t="shared" si="112"/>
        <v>24.941948657955017</v>
      </c>
      <c r="AD139" s="767">
        <f t="shared" ref="AD139:AD170" si="126">AC138-W138</f>
        <v>0</v>
      </c>
      <c r="AE139" s="730">
        <f t="shared" si="113"/>
        <v>0.8495475536985394</v>
      </c>
      <c r="AF139" s="483">
        <f t="shared" si="114"/>
        <v>7.7450864382209619E-2</v>
      </c>
      <c r="AG139" s="483">
        <f t="shared" si="115"/>
        <v>7.2204208306599182E-2</v>
      </c>
      <c r="AH139" s="483">
        <f t="shared" si="116"/>
        <v>7.973736126518381E-4</v>
      </c>
      <c r="AI139" s="483">
        <f t="shared" si="117"/>
        <v>7.973736126518381E-4</v>
      </c>
      <c r="AJ139" s="604">
        <f t="shared" si="118"/>
        <v>1.0007973736126519</v>
      </c>
      <c r="AK139" s="1400">
        <f t="shared" ref="AK139:AK170" si="127">(I139-K139)</f>
        <v>14.52198529954681</v>
      </c>
      <c r="AL139" s="608">
        <f t="shared" ref="AL139:AL170" si="128">$AL$177*(1-U139)</f>
        <v>4.7994302485809337</v>
      </c>
      <c r="AM139" s="608">
        <f t="shared" ref="AM139:AM170" si="129">($AM$177-O139)*(1-U139)</f>
        <v>1.8679559187125108</v>
      </c>
      <c r="AN139" s="1401">
        <f t="shared" si="119"/>
        <v>21.189371466840253</v>
      </c>
      <c r="AO139" s="1402">
        <f t="shared" si="120"/>
        <v>0</v>
      </c>
    </row>
    <row r="140" spans="1:91">
      <c r="A140" s="127">
        <f>'Input data'!A120</f>
        <v>2020</v>
      </c>
      <c r="B140" s="748">
        <f>'Input data'!B120</f>
        <v>59.308999999999997</v>
      </c>
      <c r="C140" s="236">
        <f>'Input data'!C120</f>
        <v>2948.9199999999987</v>
      </c>
      <c r="D140" s="237">
        <f>'Input data'!D120</f>
        <v>47586944.933914557</v>
      </c>
      <c r="E140" s="602">
        <f>'Input data'!J120</f>
        <v>11.504772374209397</v>
      </c>
      <c r="F140" s="608">
        <f>'Input data'!L120/C100</f>
        <v>27.641847959140343</v>
      </c>
      <c r="G140" s="623">
        <f t="shared" si="121"/>
        <v>20.08916663069127</v>
      </c>
      <c r="H140" s="623">
        <f t="shared" si="96"/>
        <v>3.5933429364317995</v>
      </c>
      <c r="I140" s="1238">
        <f t="shared" si="97"/>
        <v>16.137075584930951</v>
      </c>
      <c r="J140" s="730">
        <f t="shared" si="105"/>
        <v>8.0783733850016193E-2</v>
      </c>
      <c r="K140" s="623">
        <f t="shared" si="122"/>
        <v>1.3036132191706564</v>
      </c>
      <c r="L140" s="608">
        <f t="shared" si="98"/>
        <v>0.96248877021284696</v>
      </c>
      <c r="M140" s="727">
        <f t="shared" si="106"/>
        <v>2.2661019893835035</v>
      </c>
      <c r="N140" s="730">
        <f>($N$142-$N$137)/($A$102-$A$97)+N139</f>
        <v>0.15000000000000002</v>
      </c>
      <c r="O140" s="1280">
        <f t="shared" si="99"/>
        <v>0.38666519763960988</v>
      </c>
      <c r="P140" s="779">
        <f t="shared" si="107"/>
        <v>0.69707790701849826</v>
      </c>
      <c r="Q140" s="623">
        <f t="shared" si="100"/>
        <v>22.98543166010457</v>
      </c>
      <c r="R140" s="608">
        <f t="shared" si="101"/>
        <v>2.8962650294132999</v>
      </c>
      <c r="S140" s="1240">
        <f t="shared" si="123"/>
        <v>0.35528409453439536</v>
      </c>
      <c r="T140" s="135" t="str">
        <f t="shared" si="108"/>
        <v>Policies met</v>
      </c>
      <c r="U140" s="1240">
        <f t="shared" si="109"/>
        <v>0.35528409453439536</v>
      </c>
      <c r="V140" s="135" t="str">
        <f t="shared" si="110"/>
        <v>No</v>
      </c>
      <c r="W140" s="1241">
        <f t="shared" si="124"/>
        <v>23.554385323345038</v>
      </c>
      <c r="X140" s="779">
        <f t="shared" si="125"/>
        <v>20.08916663069127</v>
      </c>
      <c r="Y140" s="118">
        <f t="shared" si="111"/>
        <v>1.9241450381589082</v>
      </c>
      <c r="Z140" s="608">
        <f t="shared" si="102"/>
        <v>1.5251486216501293</v>
      </c>
      <c r="AA140" s="608">
        <f t="shared" si="103"/>
        <v>0</v>
      </c>
      <c r="AB140" s="608">
        <f t="shared" si="104"/>
        <v>1.5925032844728414E-2</v>
      </c>
      <c r="AC140" s="608">
        <f t="shared" si="112"/>
        <v>23.554385323345034</v>
      </c>
      <c r="AD140" s="767">
        <f t="shared" si="126"/>
        <v>0</v>
      </c>
      <c r="AE140" s="730">
        <f t="shared" si="113"/>
        <v>0.85288435061732037</v>
      </c>
      <c r="AF140" s="483">
        <f t="shared" si="114"/>
        <v>8.1689460868752325E-2</v>
      </c>
      <c r="AG140" s="483">
        <f t="shared" si="115"/>
        <v>6.4750092210580257E-2</v>
      </c>
      <c r="AH140" s="483">
        <f t="shared" si="116"/>
        <v>6.7609630334717003E-4</v>
      </c>
      <c r="AI140" s="483">
        <f t="shared" si="117"/>
        <v>6.7609630334717003E-4</v>
      </c>
      <c r="AJ140" s="604">
        <f t="shared" si="118"/>
        <v>1.0006760963033472</v>
      </c>
      <c r="AK140" s="1400">
        <f t="shared" si="127"/>
        <v>14.833462365760294</v>
      </c>
      <c r="AL140" s="608">
        <f t="shared" si="128"/>
        <v>3.8430654478841793</v>
      </c>
      <c r="AM140" s="608">
        <f t="shared" si="129"/>
        <v>1.4126388170467952</v>
      </c>
      <c r="AN140" s="1401">
        <f t="shared" si="119"/>
        <v>20.089166630691267</v>
      </c>
      <c r="AO140" s="1402">
        <f t="shared" si="120"/>
        <v>0</v>
      </c>
    </row>
    <row r="141" spans="1:91">
      <c r="A141" s="127">
        <f>'Input data'!A121</f>
        <v>2021</v>
      </c>
      <c r="B141" s="748">
        <f>'Input data'!B121</f>
        <v>59.991999999999997</v>
      </c>
      <c r="C141" s="236">
        <f>'Input data'!C121</f>
        <v>3014.38</v>
      </c>
      <c r="D141" s="237">
        <f>'Input data'!D121</f>
        <v>47328556.831579238</v>
      </c>
      <c r="E141" s="602">
        <f>'Input data'!J121</f>
        <v>11.504772374209397</v>
      </c>
      <c r="F141" s="608">
        <f>'Input data'!L121/C101</f>
        <v>27.205698213545922</v>
      </c>
      <c r="G141" s="623">
        <f t="shared" si="121"/>
        <v>19.046087164371208</v>
      </c>
      <c r="H141" s="623">
        <f t="shared" si="96"/>
        <v>4.22711668768763</v>
      </c>
      <c r="I141" s="1238">
        <f t="shared" si="97"/>
        <v>15.700925839336527</v>
      </c>
      <c r="J141" s="730">
        <f t="shared" si="105"/>
        <v>8.8449326404511766E-2</v>
      </c>
      <c r="K141" s="623">
        <f t="shared" si="122"/>
        <v>1.3887363144165095</v>
      </c>
      <c r="L141" s="608">
        <f t="shared" si="98"/>
        <v>0.96248877021284696</v>
      </c>
      <c r="M141" s="727">
        <f t="shared" si="106"/>
        <v>2.3512250846293563</v>
      </c>
      <c r="N141" s="730">
        <f>($N$142-$N$137)/($A$102-$A$97)+N140</f>
        <v>0.2</v>
      </c>
      <c r="O141" s="1280">
        <f t="shared" si="99"/>
        <v>0.5155535968528131</v>
      </c>
      <c r="P141" s="779">
        <f t="shared" si="107"/>
        <v>0.93793343200774826</v>
      </c>
      <c r="Q141" s="623">
        <f t="shared" si="100"/>
        <v>22.335270420051089</v>
      </c>
      <c r="R141" s="608">
        <f t="shared" si="101"/>
        <v>3.2891832556798803</v>
      </c>
      <c r="S141" s="1240">
        <f t="shared" si="123"/>
        <v>0.40996511174104849</v>
      </c>
      <c r="T141" s="135" t="str">
        <f t="shared" si="108"/>
        <v>Policies met</v>
      </c>
      <c r="U141" s="1240">
        <f t="shared" si="109"/>
        <v>0.40996511174104849</v>
      </c>
      <c r="V141" s="135" t="str">
        <f t="shared" si="110"/>
        <v>No</v>
      </c>
      <c r="W141" s="1241">
        <f t="shared" si="124"/>
        <v>22.489142921597839</v>
      </c>
      <c r="X141" s="779">
        <f t="shared" si="125"/>
        <v>19.046087164371208</v>
      </c>
      <c r="Y141" s="118">
        <f t="shared" si="111"/>
        <v>1.9566382683995422</v>
      </c>
      <c r="Z141" s="608">
        <f t="shared" si="102"/>
        <v>1.4718431237534166</v>
      </c>
      <c r="AA141" s="608">
        <f t="shared" si="103"/>
        <v>0</v>
      </c>
      <c r="AB141" s="608">
        <f t="shared" si="104"/>
        <v>1.4574365073673139E-2</v>
      </c>
      <c r="AC141" s="608">
        <f t="shared" si="112"/>
        <v>22.489142921597839</v>
      </c>
      <c r="AD141" s="767">
        <f t="shared" si="126"/>
        <v>0</v>
      </c>
      <c r="AE141" s="730">
        <f t="shared" si="113"/>
        <v>0.84690142397912227</v>
      </c>
      <c r="AF141" s="483">
        <f t="shared" si="114"/>
        <v>8.7003683298239473E-2</v>
      </c>
      <c r="AG141" s="483">
        <f t="shared" si="115"/>
        <v>6.5446830449901516E-2</v>
      </c>
      <c r="AH141" s="483">
        <f t="shared" si="116"/>
        <v>6.4806227273678783E-4</v>
      </c>
      <c r="AI141" s="483">
        <f t="shared" si="117"/>
        <v>6.4806227273678783E-4</v>
      </c>
      <c r="AJ141" s="604">
        <f t="shared" si="118"/>
        <v>1.0006480622727367</v>
      </c>
      <c r="AK141" s="1400">
        <f t="shared" si="127"/>
        <v>14.312189524920019</v>
      </c>
      <c r="AL141" s="608">
        <f t="shared" si="128"/>
        <v>3.5171192038089893</v>
      </c>
      <c r="AM141" s="608">
        <f t="shared" si="129"/>
        <v>1.2167784356422</v>
      </c>
      <c r="AN141" s="1401">
        <f t="shared" si="119"/>
        <v>19.046087164371208</v>
      </c>
      <c r="AO141" s="1402">
        <f t="shared" si="120"/>
        <v>0</v>
      </c>
    </row>
    <row r="142" spans="1:91">
      <c r="A142" s="127">
        <f>'Input data'!A122</f>
        <v>2022</v>
      </c>
      <c r="B142" s="749">
        <f>'Input data'!B122</f>
        <v>60.682000000000002</v>
      </c>
      <c r="C142" s="236">
        <f>'Input data'!C122</f>
        <v>3077.2</v>
      </c>
      <c r="D142" s="750">
        <f>'Input data'!D122</f>
        <v>45903210.392984279</v>
      </c>
      <c r="E142" s="734">
        <f>'Input data'!J122</f>
        <v>11.504772374209397</v>
      </c>
      <c r="F142" s="608">
        <f>'Input data'!L122/C102</f>
        <v>26.421973203854616</v>
      </c>
      <c r="G142" s="623">
        <f t="shared" si="121"/>
        <v>18.05716697668425</v>
      </c>
      <c r="H142" s="623">
        <f t="shared" si="96"/>
        <v>4.4805483677102558</v>
      </c>
      <c r="I142" s="1238">
        <f t="shared" si="97"/>
        <v>14.917200829645223</v>
      </c>
      <c r="J142" s="730">
        <f t="shared" si="105"/>
        <v>9.6842309318564565E-2</v>
      </c>
      <c r="K142" s="623">
        <f t="shared" si="122"/>
        <v>1.4446161769116506</v>
      </c>
      <c r="L142" s="608">
        <f t="shared" si="98"/>
        <v>0.96248877021284696</v>
      </c>
      <c r="M142" s="727">
        <f t="shared" si="106"/>
        <v>2.4071049471244974</v>
      </c>
      <c r="N142" s="729">
        <f>$C$26</f>
        <v>0.25</v>
      </c>
      <c r="O142" s="1280">
        <f t="shared" si="99"/>
        <v>0.64444199606601626</v>
      </c>
      <c r="P142" s="779">
        <f t="shared" si="107"/>
        <v>1.1709381957430671</v>
      </c>
      <c r="Q142" s="623">
        <f t="shared" si="100"/>
        <v>21.36677714865144</v>
      </c>
      <c r="R142" s="608">
        <f t="shared" si="101"/>
        <v>3.30961017196719</v>
      </c>
      <c r="S142" s="1240">
        <f t="shared" si="123"/>
        <v>0.41924619569115001</v>
      </c>
      <c r="T142" s="135" t="str">
        <f t="shared" si="108"/>
        <v>Policies met</v>
      </c>
      <c r="U142" s="1240">
        <f t="shared" si="109"/>
        <v>0.41924619569115001</v>
      </c>
      <c r="V142" s="135" t="str">
        <f t="shared" si="110"/>
        <v>No</v>
      </c>
      <c r="W142" s="1241">
        <f t="shared" si="124"/>
        <v>21.598641153674691</v>
      </c>
      <c r="X142" s="779">
        <f t="shared" si="125"/>
        <v>18.05716697668425</v>
      </c>
      <c r="Y142" s="118">
        <f t="shared" si="111"/>
        <v>2.003585191817308</v>
      </c>
      <c r="Z142" s="608">
        <f t="shared" si="102"/>
        <v>1.5235438707903246</v>
      </c>
      <c r="AA142" s="608">
        <f t="shared" si="103"/>
        <v>0</v>
      </c>
      <c r="AB142" s="608">
        <f t="shared" si="104"/>
        <v>1.4345114382807514E-2</v>
      </c>
      <c r="AC142" s="608">
        <f t="shared" si="112"/>
        <v>21.598641153674688</v>
      </c>
      <c r="AD142" s="767">
        <f t="shared" si="126"/>
        <v>0</v>
      </c>
      <c r="AE142" s="730">
        <f t="shared" si="113"/>
        <v>0.83603254705734542</v>
      </c>
      <c r="AF142" s="483">
        <f t="shared" si="114"/>
        <v>9.2764409462695652E-2</v>
      </c>
      <c r="AG142" s="483">
        <f t="shared" si="115"/>
        <v>7.0538876031611658E-2</v>
      </c>
      <c r="AH142" s="483">
        <f t="shared" si="116"/>
        <v>6.6416744834741173E-4</v>
      </c>
      <c r="AI142" s="483">
        <f t="shared" si="117"/>
        <v>6.6416744834741173E-4</v>
      </c>
      <c r="AJ142" s="604">
        <f t="shared" si="118"/>
        <v>1.0006641674483476</v>
      </c>
      <c r="AK142" s="1400">
        <f t="shared" si="127"/>
        <v>13.472584652733573</v>
      </c>
      <c r="AL142" s="608">
        <f t="shared" si="128"/>
        <v>3.4617959013354938</v>
      </c>
      <c r="AM142" s="608">
        <f t="shared" si="129"/>
        <v>1.1227864226151838</v>
      </c>
      <c r="AN142" s="1401">
        <f t="shared" si="119"/>
        <v>18.05716697668425</v>
      </c>
      <c r="AO142" s="1402">
        <f t="shared" si="120"/>
        <v>0</v>
      </c>
    </row>
    <row r="143" spans="1:91">
      <c r="A143" s="127">
        <f>'Input data'!A123</f>
        <v>2023</v>
      </c>
      <c r="B143" s="748">
        <f>'Input data'!B123</f>
        <v>61.381</v>
      </c>
      <c r="C143" s="236">
        <f>'Input data'!C123</f>
        <v>3140.61</v>
      </c>
      <c r="D143" s="237">
        <f>'Input data'!D123</f>
        <v>44745286.877069645</v>
      </c>
      <c r="E143" s="602">
        <f>'Input data'!J123</f>
        <v>11.504772374209397</v>
      </c>
      <c r="F143" s="608">
        <f>'Input data'!L123/C103</f>
        <v>25.752095944174989</v>
      </c>
      <c r="G143" s="623">
        <f t="shared" si="121"/>
        <v>17.119593983262174</v>
      </c>
      <c r="H143" s="623">
        <f t="shared" si="96"/>
        <v>4.7894735319223116</v>
      </c>
      <c r="I143" s="1238">
        <f t="shared" si="97"/>
        <v>14.247323569965593</v>
      </c>
      <c r="J143" s="730">
        <f t="shared" si="105"/>
        <v>0.10603170487993842</v>
      </c>
      <c r="K143" s="623">
        <f t="shared" si="122"/>
        <v>1.5106680080995825</v>
      </c>
      <c r="L143" s="608">
        <f t="shared" si="98"/>
        <v>0.96248877021284696</v>
      </c>
      <c r="M143" s="727">
        <f t="shared" si="106"/>
        <v>2.4731567783124295</v>
      </c>
      <c r="N143" s="730">
        <f>($N$147-$N$142)/($A$107-$A$102)+N142</f>
        <v>0.3</v>
      </c>
      <c r="O143" s="1280">
        <f t="shared" si="99"/>
        <v>0.77333039527921954</v>
      </c>
      <c r="P143" s="779">
        <f t="shared" si="107"/>
        <v>1.4071078566138104</v>
      </c>
      <c r="Q143" s="623">
        <f t="shared" si="100"/>
        <v>20.501959658570676</v>
      </c>
      <c r="R143" s="608">
        <f t="shared" si="101"/>
        <v>3.3823656753085025</v>
      </c>
      <c r="S143" s="1240">
        <f t="shared" si="123"/>
        <v>0.43557414277489337</v>
      </c>
      <c r="T143" s="135" t="str">
        <f t="shared" si="108"/>
        <v>Policies met</v>
      </c>
      <c r="U143" s="1240">
        <f t="shared" si="109"/>
        <v>0.43557414277489337</v>
      </c>
      <c r="V143" s="135" t="str">
        <f t="shared" si="110"/>
        <v>No</v>
      </c>
      <c r="W143" s="1241">
        <f t="shared" si="124"/>
        <v>20.740914579458455</v>
      </c>
      <c r="X143" s="779">
        <f t="shared" si="125"/>
        <v>17.119593983262174</v>
      </c>
      <c r="Y143" s="118">
        <f t="shared" si="111"/>
        <v>2.0539215572965075</v>
      </c>
      <c r="Z143" s="608">
        <f t="shared" si="102"/>
        <v>1.5534572387386143</v>
      </c>
      <c r="AA143" s="608">
        <f t="shared" si="103"/>
        <v>0</v>
      </c>
      <c r="AB143" s="608">
        <f t="shared" si="104"/>
        <v>1.39418001611616E-2</v>
      </c>
      <c r="AC143" s="608">
        <f t="shared" si="112"/>
        <v>20.740914579458458</v>
      </c>
      <c r="AD143" s="767">
        <f t="shared" si="126"/>
        <v>0</v>
      </c>
      <c r="AE143" s="730">
        <f t="shared" si="113"/>
        <v>0.82540207750612915</v>
      </c>
      <c r="AF143" s="483">
        <f t="shared" si="114"/>
        <v>9.9027530798023997E-2</v>
      </c>
      <c r="AG143" s="483">
        <f t="shared" si="115"/>
        <v>7.4898203393457818E-2</v>
      </c>
      <c r="AH143" s="483">
        <f t="shared" si="116"/>
        <v>6.7218830238900771E-4</v>
      </c>
      <c r="AI143" s="483">
        <f t="shared" si="117"/>
        <v>6.7218830238900771E-4</v>
      </c>
      <c r="AJ143" s="604">
        <f t="shared" si="118"/>
        <v>1.000672188302389</v>
      </c>
      <c r="AK143" s="1400">
        <f t="shared" si="127"/>
        <v>12.73665556186601</v>
      </c>
      <c r="AL143" s="608">
        <f t="shared" si="128"/>
        <v>3.3644671884241864</v>
      </c>
      <c r="AM143" s="608">
        <f t="shared" si="129"/>
        <v>1.0184712329719761</v>
      </c>
      <c r="AN143" s="1401">
        <f t="shared" si="119"/>
        <v>17.119593983262174</v>
      </c>
      <c r="AO143" s="1402">
        <f t="shared" si="120"/>
        <v>0</v>
      </c>
    </row>
    <row r="144" spans="1:91">
      <c r="A144" s="127">
        <f>'Input data'!A124</f>
        <v>2024</v>
      </c>
      <c r="B144" s="748">
        <f>'Input data'!B124</f>
        <v>62.088000000000001</v>
      </c>
      <c r="C144" s="236">
        <f>'Input data'!C124</f>
        <v>3201.77</v>
      </c>
      <c r="D144" s="237">
        <f>'Input data'!D124</f>
        <v>43251251.992583826</v>
      </c>
      <c r="E144" s="602">
        <f>'Input data'!J124</f>
        <v>11.504772374209397</v>
      </c>
      <c r="F144" s="608">
        <f>'Input data'!L124/C104</f>
        <v>25.013316708307045</v>
      </c>
      <c r="G144" s="623">
        <f t="shared" si="121"/>
        <v>16.230702110147039</v>
      </c>
      <c r="H144" s="623">
        <f t="shared" si="96"/>
        <v>4.9850563604582412</v>
      </c>
      <c r="I144" s="1238">
        <f t="shared" si="97"/>
        <v>13.508544334097648</v>
      </c>
      <c r="J144" s="730">
        <f t="shared" si="105"/>
        <v>0.11609308492183117</v>
      </c>
      <c r="K144" s="623">
        <f t="shared" si="122"/>
        <v>1.5682485845487195</v>
      </c>
      <c r="L144" s="608">
        <f t="shared" si="98"/>
        <v>0.96248877021284696</v>
      </c>
      <c r="M144" s="727">
        <f t="shared" si="106"/>
        <v>2.5307373547615666</v>
      </c>
      <c r="N144" s="730">
        <f>($N$147-$N$142)/($A$107-$A$102)+N143</f>
        <v>0.35</v>
      </c>
      <c r="O144" s="1280">
        <f t="shared" si="99"/>
        <v>0.90221879449242282</v>
      </c>
      <c r="P144" s="779">
        <f t="shared" si="107"/>
        <v>1.6390470235648875</v>
      </c>
      <c r="Q144" s="623">
        <f t="shared" si="100"/>
        <v>19.576711447040392</v>
      </c>
      <c r="R144" s="608">
        <f t="shared" si="101"/>
        <v>3.3460093368933528</v>
      </c>
      <c r="S144" s="1240">
        <f t="shared" si="123"/>
        <v>0.43816490215331066</v>
      </c>
      <c r="T144" s="135" t="str">
        <f t="shared" si="108"/>
        <v>Policies met</v>
      </c>
      <c r="U144" s="1240">
        <f t="shared" si="109"/>
        <v>0.43816490215331066</v>
      </c>
      <c r="V144" s="135" t="str">
        <f t="shared" si="110"/>
        <v>No</v>
      </c>
      <c r="W144" s="1241">
        <f t="shared" si="124"/>
        <v>19.972329246665474</v>
      </c>
      <c r="X144" s="779">
        <f t="shared" si="125"/>
        <v>16.230702110147039</v>
      </c>
      <c r="Y144" s="118">
        <f t="shared" si="111"/>
        <v>2.109008556937594</v>
      </c>
      <c r="Z144" s="608">
        <f t="shared" si="102"/>
        <v>1.6187407733863919</v>
      </c>
      <c r="AA144" s="608">
        <f t="shared" si="103"/>
        <v>0</v>
      </c>
      <c r="AB144" s="608">
        <f t="shared" si="104"/>
        <v>1.3877806194448016E-2</v>
      </c>
      <c r="AC144" s="608">
        <f t="shared" si="112"/>
        <v>19.97232924666547</v>
      </c>
      <c r="AD144" s="767">
        <f t="shared" si="126"/>
        <v>0</v>
      </c>
      <c r="AE144" s="730">
        <f t="shared" si="113"/>
        <v>0.81265945046729471</v>
      </c>
      <c r="AF144" s="483">
        <f t="shared" si="114"/>
        <v>0.10559652461616158</v>
      </c>
      <c r="AG144" s="483">
        <f t="shared" si="115"/>
        <v>8.1049173253372672E-2</v>
      </c>
      <c r="AH144" s="483">
        <f t="shared" si="116"/>
        <v>6.9485166317118563E-4</v>
      </c>
      <c r="AI144" s="483">
        <f t="shared" si="117"/>
        <v>6.9485166317118563E-4</v>
      </c>
      <c r="AJ144" s="604">
        <f t="shared" si="118"/>
        <v>1.0006948516631715</v>
      </c>
      <c r="AK144" s="1400">
        <f t="shared" si="127"/>
        <v>11.940295749548929</v>
      </c>
      <c r="AL144" s="608">
        <f t="shared" si="128"/>
        <v>3.3490240176158173</v>
      </c>
      <c r="AM144" s="608">
        <f t="shared" si="129"/>
        <v>0.94138234298229151</v>
      </c>
      <c r="AN144" s="1401">
        <f t="shared" si="119"/>
        <v>16.230702110147035</v>
      </c>
      <c r="AO144" s="1402">
        <f t="shared" si="120"/>
        <v>0</v>
      </c>
    </row>
    <row r="145" spans="1:41">
      <c r="A145" s="127">
        <f>'Input data'!A125</f>
        <v>2025</v>
      </c>
      <c r="B145" s="748">
        <f>'Input data'!B125</f>
        <v>62.802999999999997</v>
      </c>
      <c r="C145" s="236">
        <f>'Input data'!C125</f>
        <v>3265.54</v>
      </c>
      <c r="D145" s="237">
        <f>'Input data'!D125</f>
        <v>40955103.194912732</v>
      </c>
      <c r="E145" s="602">
        <f>'Input data'!J125</f>
        <v>11.504772374209397</v>
      </c>
      <c r="F145" s="608">
        <f>'Input data'!L125/C105</f>
        <v>24.046374435403784</v>
      </c>
      <c r="G145" s="623">
        <f t="shared" si="121"/>
        <v>15.387963712567748</v>
      </c>
      <c r="H145" s="623">
        <f t="shared" si="96"/>
        <v>4.9203655953835348</v>
      </c>
      <c r="I145" s="1238">
        <f t="shared" si="97"/>
        <v>12.541602061194389</v>
      </c>
      <c r="J145" s="730">
        <f t="shared" si="105"/>
        <v>0.12710919231119061</v>
      </c>
      <c r="K145" s="623">
        <f t="shared" si="122"/>
        <v>1.5941529082867822</v>
      </c>
      <c r="L145" s="608">
        <f t="shared" si="98"/>
        <v>0.96248877021284696</v>
      </c>
      <c r="M145" s="727">
        <f t="shared" si="106"/>
        <v>2.5566416784996293</v>
      </c>
      <c r="N145" s="730">
        <f>($N$147-$N$142)/($A$107-$A$102)+N144</f>
        <v>0.39999999999999997</v>
      </c>
      <c r="O145" s="1280">
        <f t="shared" si="99"/>
        <v>1.031107193705626</v>
      </c>
      <c r="P145" s="779">
        <f t="shared" si="107"/>
        <v>1.8533528567654189</v>
      </c>
      <c r="Q145" s="623">
        <f t="shared" si="100"/>
        <v>18.454976451185864</v>
      </c>
      <c r="R145" s="608">
        <f t="shared" si="101"/>
        <v>3.0670127386181161</v>
      </c>
      <c r="S145" s="1240">
        <f t="shared" si="123"/>
        <v>0.40852501985860129</v>
      </c>
      <c r="T145" s="135" t="str">
        <f t="shared" si="108"/>
        <v>Policies met</v>
      </c>
      <c r="U145" s="1240">
        <f t="shared" si="109"/>
        <v>0.40852501985860129</v>
      </c>
      <c r="V145" s="135" t="str">
        <f t="shared" si="110"/>
        <v>No</v>
      </c>
      <c r="W145" s="1241">
        <f t="shared" si="124"/>
        <v>19.346387072761203</v>
      </c>
      <c r="X145" s="779">
        <f t="shared" si="125"/>
        <v>15.387963712567748</v>
      </c>
      <c r="Y145" s="118">
        <f t="shared" si="111"/>
        <v>2.1634409345347452</v>
      </c>
      <c r="Z145" s="608">
        <f t="shared" si="102"/>
        <v>1.7803724890870598</v>
      </c>
      <c r="AA145" s="608">
        <f t="shared" si="103"/>
        <v>0</v>
      </c>
      <c r="AB145" s="608">
        <f t="shared" si="104"/>
        <v>1.4609936571650746E-2</v>
      </c>
      <c r="AC145" s="608">
        <f t="shared" si="112"/>
        <v>19.346387072761207</v>
      </c>
      <c r="AD145" s="767">
        <f t="shared" si="126"/>
        <v>0</v>
      </c>
      <c r="AE145" s="730">
        <f t="shared" si="113"/>
        <v>0.7953921140259449</v>
      </c>
      <c r="AF145" s="483">
        <f t="shared" si="114"/>
        <v>0.11182661271058549</v>
      </c>
      <c r="AG145" s="483">
        <f t="shared" si="115"/>
        <v>9.2026096779265806E-2</v>
      </c>
      <c r="AH145" s="483">
        <f t="shared" si="116"/>
        <v>7.551764842036497E-4</v>
      </c>
      <c r="AI145" s="483">
        <f t="shared" si="117"/>
        <v>7.551764842036497E-4</v>
      </c>
      <c r="AJ145" s="604">
        <f t="shared" si="118"/>
        <v>1.0007551764842035</v>
      </c>
      <c r="AK145" s="1400">
        <f t="shared" si="127"/>
        <v>10.947449152907607</v>
      </c>
      <c r="AL145" s="608">
        <f t="shared" si="128"/>
        <v>3.5257033992791085</v>
      </c>
      <c r="AM145" s="608">
        <f t="shared" si="129"/>
        <v>0.91481116038103283</v>
      </c>
      <c r="AN145" s="1401">
        <f t="shared" si="119"/>
        <v>15.387963712567748</v>
      </c>
      <c r="AO145" s="1402">
        <f t="shared" si="120"/>
        <v>0</v>
      </c>
    </row>
    <row r="146" spans="1:41">
      <c r="A146" s="127">
        <f>'Input data'!A126</f>
        <v>2026</v>
      </c>
      <c r="B146" s="748">
        <f>'Input data'!B126</f>
        <v>63.420999999999999</v>
      </c>
      <c r="C146" s="236">
        <f>'Input data'!C126</f>
        <v>3341.28</v>
      </c>
      <c r="D146" s="237">
        <f>'Input data'!D126</f>
        <v>39969673.998818383</v>
      </c>
      <c r="E146" s="602">
        <f>'Input data'!J126</f>
        <v>11.504772374209397</v>
      </c>
      <c r="F146" s="608">
        <f>'Input data'!L126/C106</f>
        <v>23.467156250693375</v>
      </c>
      <c r="G146" s="623">
        <f t="shared" si="121"/>
        <v>14.588982387352599</v>
      </c>
      <c r="H146" s="623">
        <f t="shared" si="96"/>
        <v>5.1757783053103967</v>
      </c>
      <c r="I146" s="1238">
        <f t="shared" si="97"/>
        <v>11.962383876483976</v>
      </c>
      <c r="J146" s="730">
        <f t="shared" si="105"/>
        <v>0.13917062141024203</v>
      </c>
      <c r="K146" s="623">
        <f t="shared" si="122"/>
        <v>1.6648123976381348</v>
      </c>
      <c r="L146" s="608">
        <f t="shared" si="98"/>
        <v>0.96248877021284696</v>
      </c>
      <c r="M146" s="727">
        <f t="shared" si="106"/>
        <v>2.6273011678509817</v>
      </c>
      <c r="N146" s="730">
        <f>($N$147-$N$142)/($A$107-$A$102)+N145</f>
        <v>0.44999999999999996</v>
      </c>
      <c r="O146" s="1280">
        <f t="shared" si="99"/>
        <v>1.1599955929188293</v>
      </c>
      <c r="P146" s="779">
        <f t="shared" si="107"/>
        <v>2.0885503147520978</v>
      </c>
      <c r="Q146" s="623">
        <f t="shared" si="100"/>
        <v>17.676210377910898</v>
      </c>
      <c r="R146" s="623">
        <f t="shared" si="101"/>
        <v>3.0872279905582989</v>
      </c>
      <c r="S146" s="1240">
        <f t="shared" si="123"/>
        <v>0.41840074203244715</v>
      </c>
      <c r="T146" s="135" t="str">
        <f t="shared" si="108"/>
        <v>Policies met</v>
      </c>
      <c r="U146" s="1240">
        <f t="shared" si="109"/>
        <v>0.41840074203244715</v>
      </c>
      <c r="V146" s="135" t="str">
        <f t="shared" si="110"/>
        <v>No</v>
      </c>
      <c r="W146" s="1241">
        <f t="shared" si="124"/>
        <v>18.653550952409763</v>
      </c>
      <c r="X146" s="779">
        <f t="shared" si="125"/>
        <v>14.588982387352599</v>
      </c>
      <c r="Y146" s="118">
        <f t="shared" si="111"/>
        <v>2.224595152196029</v>
      </c>
      <c r="Z146" s="608">
        <f t="shared" si="102"/>
        <v>1.8256074150517363</v>
      </c>
      <c r="AA146" s="608">
        <f t="shared" si="103"/>
        <v>0</v>
      </c>
      <c r="AB146" s="608">
        <f t="shared" si="104"/>
        <v>1.4365997809398045E-2</v>
      </c>
      <c r="AC146" s="608">
        <f t="shared" si="112"/>
        <v>18.653550952409763</v>
      </c>
      <c r="AD146" s="767">
        <f t="shared" si="126"/>
        <v>0</v>
      </c>
      <c r="AE146" s="730">
        <f t="shared" si="113"/>
        <v>0.78210215441408593</v>
      </c>
      <c r="AF146" s="483">
        <f t="shared" si="114"/>
        <v>0.11925853462815583</v>
      </c>
      <c r="AG146" s="483">
        <f t="shared" si="115"/>
        <v>9.7869162804945453E-2</v>
      </c>
      <c r="AH146" s="483">
        <f t="shared" si="116"/>
        <v>7.7014815281281179E-4</v>
      </c>
      <c r="AI146" s="483">
        <f t="shared" si="117"/>
        <v>7.7014815281281179E-4</v>
      </c>
      <c r="AJ146" s="604">
        <f t="shared" si="118"/>
        <v>1.0007701481528128</v>
      </c>
      <c r="AK146" s="1400">
        <f t="shared" si="127"/>
        <v>10.297571478845841</v>
      </c>
      <c r="AL146" s="608">
        <f t="shared" si="128"/>
        <v>3.4668355377334845</v>
      </c>
      <c r="AM146" s="608">
        <f t="shared" si="129"/>
        <v>0.82457537077327214</v>
      </c>
      <c r="AN146" s="1401">
        <f t="shared" si="119"/>
        <v>14.588982387352598</v>
      </c>
      <c r="AO146" s="1402">
        <f t="shared" si="120"/>
        <v>0</v>
      </c>
    </row>
    <row r="147" spans="1:41">
      <c r="A147" s="127">
        <f>'Input data'!A127</f>
        <v>2027</v>
      </c>
      <c r="B147" s="749">
        <f>'Input data'!B127</f>
        <v>64.046000000000006</v>
      </c>
      <c r="C147" s="236">
        <f>'Input data'!C127</f>
        <v>3416.2799999999997</v>
      </c>
      <c r="D147" s="750">
        <f>'Input data'!D127</f>
        <v>38984244.802724026</v>
      </c>
      <c r="E147" s="734">
        <f>'Input data'!J127</f>
        <v>11.504772374209397</v>
      </c>
      <c r="F147" s="608">
        <f>'Input data'!L127/C107</f>
        <v>22.916086670087964</v>
      </c>
      <c r="G147" s="623">
        <f t="shared" si="121"/>
        <v>13.831486158539203</v>
      </c>
      <c r="H147" s="623">
        <f t="shared" si="96"/>
        <v>5.4161220400132315</v>
      </c>
      <c r="I147" s="1238">
        <f t="shared" si="97"/>
        <v>11.411314295878565</v>
      </c>
      <c r="J147" s="730">
        <f t="shared" si="105"/>
        <v>0.15237656310721223</v>
      </c>
      <c r="K147" s="623">
        <f t="shared" si="122"/>
        <v>1.7388168529421733</v>
      </c>
      <c r="L147" s="608">
        <f t="shared" si="98"/>
        <v>0.96248877021284696</v>
      </c>
      <c r="M147" s="727">
        <f t="shared" si="106"/>
        <v>2.7013056231550201</v>
      </c>
      <c r="N147" s="729">
        <f>$C$27</f>
        <v>0.5</v>
      </c>
      <c r="O147" s="1280">
        <f t="shared" si="99"/>
        <v>1.2888839921320325</v>
      </c>
      <c r="P147" s="779">
        <f t="shared" si="107"/>
        <v>2.3253602557641893</v>
      </c>
      <c r="Q147" s="623">
        <f t="shared" si="100"/>
        <v>16.922247942788246</v>
      </c>
      <c r="R147" s="623">
        <f t="shared" si="101"/>
        <v>3.0907617842490431</v>
      </c>
      <c r="S147" s="1240">
        <f t="shared" si="123"/>
        <v>0.42632664176680307</v>
      </c>
      <c r="T147" s="135" t="str">
        <f t="shared" si="108"/>
        <v>Policies met</v>
      </c>
      <c r="U147" s="1240">
        <f t="shared" si="109"/>
        <v>0.42632664176680307</v>
      </c>
      <c r="V147" s="135" t="str">
        <f t="shared" si="110"/>
        <v>No</v>
      </c>
      <c r="W147" s="1241">
        <f t="shared" si="124"/>
        <v>18.011295699499779</v>
      </c>
      <c r="X147" s="779">
        <f t="shared" si="125"/>
        <v>13.831486158539203</v>
      </c>
      <c r="Y147" s="118">
        <f t="shared" si="111"/>
        <v>2.2909710180119172</v>
      </c>
      <c r="Z147" s="608">
        <f t="shared" si="102"/>
        <v>1.8746683016239496</v>
      </c>
      <c r="AA147" s="608">
        <f t="shared" si="103"/>
        <v>0</v>
      </c>
      <c r="AB147" s="608">
        <f t="shared" si="104"/>
        <v>1.4170221324711373E-2</v>
      </c>
      <c r="AC147" s="608">
        <f t="shared" si="112"/>
        <v>18.011295699499779</v>
      </c>
      <c r="AD147" s="767">
        <f t="shared" si="126"/>
        <v>0</v>
      </c>
      <c r="AE147" s="730">
        <f t="shared" si="113"/>
        <v>0.76793398927559331</v>
      </c>
      <c r="AF147" s="483">
        <f t="shared" si="114"/>
        <v>0.127196347016586</v>
      </c>
      <c r="AG147" s="483">
        <f t="shared" si="115"/>
        <v>0.10408292290021168</v>
      </c>
      <c r="AH147" s="483">
        <f t="shared" si="116"/>
        <v>7.8674080760913361E-4</v>
      </c>
      <c r="AI147" s="483">
        <f t="shared" si="117"/>
        <v>7.8674080760913361E-4</v>
      </c>
      <c r="AJ147" s="483">
        <f t="shared" si="118"/>
        <v>1.0007867408076094</v>
      </c>
      <c r="AK147" s="1400">
        <f t="shared" si="127"/>
        <v>9.6724974429363915</v>
      </c>
      <c r="AL147" s="608">
        <f t="shared" si="128"/>
        <v>3.4195903074634173</v>
      </c>
      <c r="AM147" s="608">
        <f t="shared" si="129"/>
        <v>0.7393984081393925</v>
      </c>
      <c r="AN147" s="1401">
        <f t="shared" si="119"/>
        <v>13.831486158539201</v>
      </c>
      <c r="AO147" s="1402">
        <f t="shared" si="120"/>
        <v>0</v>
      </c>
    </row>
    <row r="148" spans="1:41">
      <c r="A148" s="127">
        <f>'Input data'!A128</f>
        <v>2028</v>
      </c>
      <c r="B148" s="748">
        <f>'Input data'!B128</f>
        <v>64.676000000000002</v>
      </c>
      <c r="C148" s="236">
        <f>'Input data'!C128</f>
        <v>3494.8800000000006</v>
      </c>
      <c r="D148" s="237">
        <f>'Input data'!D128</f>
        <v>37998815.60662967</v>
      </c>
      <c r="E148" s="602">
        <f>'Input data'!J128</f>
        <v>11.504772374209397</v>
      </c>
      <c r="F148" s="608">
        <f>'Input data'!L128/C108</f>
        <v>22.377482054264124</v>
      </c>
      <c r="G148" s="623">
        <f t="shared" si="121"/>
        <v>13.113321016804502</v>
      </c>
      <c r="H148" s="623">
        <f t="shared" si="96"/>
        <v>5.6288324620249703</v>
      </c>
      <c r="I148" s="1238">
        <f t="shared" si="97"/>
        <v>10.872709680054728</v>
      </c>
      <c r="J148" s="730">
        <f t="shared" si="105"/>
        <v>0.16683562054324133</v>
      </c>
      <c r="K148" s="623">
        <f t="shared" si="122"/>
        <v>1.8139552664584373</v>
      </c>
      <c r="L148" s="608">
        <f t="shared" si="98"/>
        <v>0.96248877021284696</v>
      </c>
      <c r="M148" s="727">
        <f t="shared" si="106"/>
        <v>2.7764440366712844</v>
      </c>
      <c r="N148" s="730">
        <f>N147</f>
        <v>0.5</v>
      </c>
      <c r="O148" s="1280">
        <f t="shared" si="99"/>
        <v>1.2888839921320325</v>
      </c>
      <c r="P148" s="779">
        <f t="shared" si="107"/>
        <v>2.4336485653813291</v>
      </c>
      <c r="Q148" s="623">
        <f t="shared" si="100"/>
        <v>16.308504913448143</v>
      </c>
      <c r="R148" s="623">
        <f t="shared" si="101"/>
        <v>3.1951838966436412</v>
      </c>
      <c r="S148" s="1240">
        <f t="shared" si="123"/>
        <v>0.4407301874331998</v>
      </c>
      <c r="T148" s="135" t="str">
        <f t="shared" si="108"/>
        <v>Policies met</v>
      </c>
      <c r="U148" s="1240">
        <f t="shared" si="109"/>
        <v>0.4407301874331998</v>
      </c>
      <c r="V148" s="135" t="str">
        <f t="shared" si="110"/>
        <v>No</v>
      </c>
      <c r="W148" s="1241">
        <f t="shared" si="124"/>
        <v>17.306981569402517</v>
      </c>
      <c r="X148" s="779">
        <f t="shared" si="125"/>
        <v>13.113321016804502</v>
      </c>
      <c r="Y148" s="118">
        <f t="shared" si="111"/>
        <v>2.3522461805730264</v>
      </c>
      <c r="Z148" s="608">
        <f t="shared" si="102"/>
        <v>1.8275999305652906</v>
      </c>
      <c r="AA148" s="608">
        <f t="shared" si="103"/>
        <v>0</v>
      </c>
      <c r="AB148" s="608">
        <f t="shared" si="104"/>
        <v>1.3814441459698949E-2</v>
      </c>
      <c r="AC148" s="608">
        <f t="shared" si="112"/>
        <v>17.306981569402517</v>
      </c>
      <c r="AD148" s="767">
        <f t="shared" si="126"/>
        <v>0</v>
      </c>
      <c r="AE148" s="730">
        <f t="shared" si="113"/>
        <v>0.75768966207185995</v>
      </c>
      <c r="AF148" s="483">
        <f t="shared" si="114"/>
        <v>0.1359131383563513</v>
      </c>
      <c r="AG148" s="483">
        <f t="shared" si="115"/>
        <v>0.10559899906499896</v>
      </c>
      <c r="AH148" s="483">
        <f t="shared" si="116"/>
        <v>7.982005067898076E-4</v>
      </c>
      <c r="AI148" s="483">
        <f t="shared" si="117"/>
        <v>7.982005067898076E-4</v>
      </c>
      <c r="AJ148" s="483">
        <f t="shared" si="118"/>
        <v>1.0007982005067899</v>
      </c>
      <c r="AK148" s="1400">
        <f t="shared" si="127"/>
        <v>9.0587544135962901</v>
      </c>
      <c r="AL148" s="608">
        <f t="shared" si="128"/>
        <v>3.3337326945081798</v>
      </c>
      <c r="AM148" s="608">
        <f t="shared" si="129"/>
        <v>0.72083390870003106</v>
      </c>
      <c r="AN148" s="1401">
        <f t="shared" si="119"/>
        <v>13.113321016804502</v>
      </c>
      <c r="AO148" s="1402">
        <f t="shared" si="120"/>
        <v>0</v>
      </c>
    </row>
    <row r="149" spans="1:41">
      <c r="A149" s="127">
        <f>'Input data'!A129</f>
        <v>2029</v>
      </c>
      <c r="B149" s="748">
        <f>'Input data'!B129</f>
        <v>65.313000000000002</v>
      </c>
      <c r="C149" s="236">
        <f>'Input data'!C129</f>
        <v>3576.08</v>
      </c>
      <c r="D149" s="237">
        <f>'Input data'!D129</f>
        <v>37013386.410535313</v>
      </c>
      <c r="E149" s="602">
        <f>'Input data'!J129</f>
        <v>11.504772374209397</v>
      </c>
      <c r="F149" s="608">
        <f>'Input data'!L129/C109</f>
        <v>21.855040380108402</v>
      </c>
      <c r="G149" s="623">
        <f t="shared" si="121"/>
        <v>12.432444794343629</v>
      </c>
      <c r="H149" s="623">
        <f t="shared" si="96"/>
        <v>5.8194221139222773</v>
      </c>
      <c r="I149" s="1238">
        <f t="shared" si="97"/>
        <v>10.350268005899006</v>
      </c>
      <c r="J149" s="730">
        <f>$J$137*(1+((($J$150/$J$137)^(1/($A$150-$A$137)))-1))^(A149-$A$137)</f>
        <v>0.18266670224386344</v>
      </c>
      <c r="K149" s="623">
        <f t="shared" si="122"/>
        <v>1.89064932397774</v>
      </c>
      <c r="L149" s="608">
        <f t="shared" si="98"/>
        <v>0.96248877021284696</v>
      </c>
      <c r="M149" s="727">
        <f t="shared" si="106"/>
        <v>2.8531380941905868</v>
      </c>
      <c r="N149" s="730">
        <f t="shared" ref="N149:N170" si="130">N148</f>
        <v>0.5</v>
      </c>
      <c r="O149" s="1280">
        <f t="shared" si="99"/>
        <v>1.2888839921320325</v>
      </c>
      <c r="P149" s="779">
        <f t="shared" si="107"/>
        <v>2.5424977264927886</v>
      </c>
      <c r="Q149" s="623">
        <f t="shared" si="100"/>
        <v>15.709369181773118</v>
      </c>
      <c r="R149" s="623">
        <f t="shared" si="101"/>
        <v>3.2769243874294887</v>
      </c>
      <c r="S149" s="1240">
        <f t="shared" si="123"/>
        <v>0.45200512590005021</v>
      </c>
      <c r="T149" s="135" t="str">
        <f t="shared" si="108"/>
        <v>Policies met</v>
      </c>
      <c r="U149" s="1240">
        <f t="shared" si="109"/>
        <v>0.45200512590005021</v>
      </c>
      <c r="V149" s="135" t="str">
        <f t="shared" si="110"/>
        <v>No</v>
      </c>
      <c r="W149" s="1241">
        <f t="shared" si="124"/>
        <v>16.654824294652464</v>
      </c>
      <c r="X149" s="779">
        <f t="shared" si="125"/>
        <v>12.432444794343629</v>
      </c>
      <c r="Y149" s="118">
        <f t="shared" si="111"/>
        <v>2.4180882364331446</v>
      </c>
      <c r="Z149" s="608">
        <f t="shared" si="102"/>
        <v>1.7907553230142932</v>
      </c>
      <c r="AA149" s="608">
        <f t="shared" si="103"/>
        <v>0</v>
      </c>
      <c r="AB149" s="608">
        <f t="shared" si="104"/>
        <v>1.353594086139711E-2</v>
      </c>
      <c r="AC149" s="608">
        <f t="shared" si="112"/>
        <v>16.654824294652464</v>
      </c>
      <c r="AD149" s="767">
        <f t="shared" si="126"/>
        <v>0</v>
      </c>
      <c r="AE149" s="730">
        <f t="shared" si="113"/>
        <v>0.74647709122548012</v>
      </c>
      <c r="AF149" s="483">
        <f t="shared" si="114"/>
        <v>0.14518845672899383</v>
      </c>
      <c r="AG149" s="483">
        <f t="shared" si="115"/>
        <v>0.10752171811198689</v>
      </c>
      <c r="AH149" s="483">
        <f t="shared" si="116"/>
        <v>8.127339335391988E-4</v>
      </c>
      <c r="AI149" s="483">
        <f t="shared" si="117"/>
        <v>8.127339335391988E-4</v>
      </c>
      <c r="AJ149" s="483">
        <f t="shared" si="118"/>
        <v>1.0008127339335391</v>
      </c>
      <c r="AK149" s="1400">
        <f t="shared" si="127"/>
        <v>8.4596186819212651</v>
      </c>
      <c r="AL149" s="608">
        <f t="shared" si="128"/>
        <v>3.2665242914245298</v>
      </c>
      <c r="AM149" s="608">
        <f t="shared" si="129"/>
        <v>0.7063018209978339</v>
      </c>
      <c r="AN149" s="1401">
        <f t="shared" si="119"/>
        <v>12.432444794343628</v>
      </c>
      <c r="AO149" s="1402">
        <f t="shared" si="120"/>
        <v>0</v>
      </c>
    </row>
    <row r="150" spans="1:41" s="1343" customFormat="1">
      <c r="A150" s="1123">
        <f>'Input data'!A130</f>
        <v>2030</v>
      </c>
      <c r="B150" s="749">
        <f>'Input data'!B130</f>
        <v>65.956000000000003</v>
      </c>
      <c r="C150" s="605">
        <f>'Input data'!C130</f>
        <v>3660.12</v>
      </c>
      <c r="D150" s="750">
        <f>'Input data'!D130</f>
        <v>36027957.214440949</v>
      </c>
      <c r="E150" s="889">
        <f>'Input data'!J130</f>
        <v>11.504772374209397</v>
      </c>
      <c r="F150" s="484">
        <f>'Input data'!L130/C110</f>
        <v>21.348153797343326</v>
      </c>
      <c r="G150" s="781">
        <f>G137*(1-$C$4)</f>
        <v>11.786921357780287</v>
      </c>
      <c r="H150" s="781">
        <f t="shared" si="96"/>
        <v>5.9892566906139635</v>
      </c>
      <c r="I150" s="119">
        <f t="shared" si="97"/>
        <v>9.8433814231339269</v>
      </c>
      <c r="J150" s="729">
        <v>0.2</v>
      </c>
      <c r="K150" s="1348">
        <f t="shared" si="122"/>
        <v>1.9686762846267856</v>
      </c>
      <c r="L150" s="484">
        <f t="shared" si="98"/>
        <v>0.96248877021284696</v>
      </c>
      <c r="M150" s="119">
        <f t="shared" si="106"/>
        <v>2.9311650548396324</v>
      </c>
      <c r="N150" s="729">
        <f t="shared" si="130"/>
        <v>0.5</v>
      </c>
      <c r="O150" s="1341">
        <f t="shared" si="99"/>
        <v>1.2888839921320325</v>
      </c>
      <c r="P150" s="1342">
        <f t="shared" si="107"/>
        <v>2.6517224100352568</v>
      </c>
      <c r="Q150" s="781">
        <f t="shared" si="100"/>
        <v>15.124455638358993</v>
      </c>
      <c r="R150" s="781">
        <f t="shared" si="101"/>
        <v>3.3375342805787067</v>
      </c>
      <c r="S150" s="1240">
        <f t="shared" si="123"/>
        <v>0.46036539887088651</v>
      </c>
      <c r="T150" s="135" t="str">
        <f t="shared" si="108"/>
        <v>Policies met</v>
      </c>
      <c r="U150" s="1240">
        <f t="shared" si="109"/>
        <v>0.46036539887088651</v>
      </c>
      <c r="V150" s="135" t="str">
        <f t="shared" si="110"/>
        <v>No</v>
      </c>
      <c r="W150" s="1241">
        <f t="shared" si="124"/>
        <v>16.051754674371658</v>
      </c>
      <c r="X150" s="779">
        <f t="shared" si="125"/>
        <v>11.786921357780287</v>
      </c>
      <c r="Y150" s="118">
        <f t="shared" si="111"/>
        <v>2.488068528231846</v>
      </c>
      <c r="Z150" s="608">
        <f t="shared" si="102"/>
        <v>1.7634353533723017</v>
      </c>
      <c r="AA150" s="608">
        <f t="shared" si="103"/>
        <v>0</v>
      </c>
      <c r="AB150" s="608">
        <f t="shared" si="104"/>
        <v>1.3329434987224029E-2</v>
      </c>
      <c r="AC150" s="608">
        <f t="shared" si="112"/>
        <v>16.051754674371658</v>
      </c>
      <c r="AD150" s="767">
        <f t="shared" si="126"/>
        <v>0</v>
      </c>
      <c r="AE150" s="729">
        <f t="shared" si="113"/>
        <v>0.73430734501564288</v>
      </c>
      <c r="AF150" s="477">
        <f t="shared" si="114"/>
        <v>0.15500290022525159</v>
      </c>
      <c r="AG150" s="477">
        <f t="shared" si="115"/>
        <v>0.10985935115167283</v>
      </c>
      <c r="AH150" s="477">
        <f t="shared" si="116"/>
        <v>8.3040360743276854E-4</v>
      </c>
      <c r="AI150" s="477">
        <f t="shared" si="117"/>
        <v>8.3040360743276854E-4</v>
      </c>
      <c r="AJ150" s="477">
        <f t="shared" si="118"/>
        <v>1.0008304036074327</v>
      </c>
      <c r="AK150" s="1400">
        <f t="shared" si="127"/>
        <v>7.8747051385071414</v>
      </c>
      <c r="AL150" s="608">
        <f t="shared" si="128"/>
        <v>3.216689820277276</v>
      </c>
      <c r="AM150" s="608">
        <f t="shared" si="129"/>
        <v>0.69552639899586888</v>
      </c>
      <c r="AN150" s="1401">
        <f t="shared" si="119"/>
        <v>11.786921357780285</v>
      </c>
      <c r="AO150" s="1402">
        <f t="shared" si="120"/>
        <v>0</v>
      </c>
    </row>
    <row r="151" spans="1:41">
      <c r="A151" s="127">
        <f>'Input data'!A131</f>
        <v>2031</v>
      </c>
      <c r="B151" s="748">
        <f>'Input data'!B131</f>
        <v>66.519000000000005</v>
      </c>
      <c r="C151" s="236">
        <f>'Input data'!C131</f>
        <v>3761.03</v>
      </c>
      <c r="D151" s="237">
        <f>'Input data'!D131</f>
        <v>35846430.699385166</v>
      </c>
      <c r="E151" s="602">
        <f>'Input data'!J131</f>
        <v>11.504772374209397</v>
      </c>
      <c r="F151" s="608">
        <f>'Input data'!L131/C111</f>
        <v>21.035786670661476</v>
      </c>
      <c r="G151" s="623">
        <f>$G$150*(1+((($G$160/$G$150)^(1/($A$160-$A$150)))-1))^(A151-$A$150)</f>
        <v>11.373920541494833</v>
      </c>
      <c r="H151" s="623">
        <f t="shared" si="96"/>
        <v>6.1091158704763089</v>
      </c>
      <c r="I151" s="1238">
        <f t="shared" si="97"/>
        <v>9.5310142964520796</v>
      </c>
      <c r="J151" s="730">
        <f t="shared" ref="J151:J170" si="131">J150</f>
        <v>0.2</v>
      </c>
      <c r="K151" s="623">
        <f t="shared" si="122"/>
        <v>1.9062028592904161</v>
      </c>
      <c r="L151" s="608">
        <f t="shared" si="98"/>
        <v>0.96248877021284696</v>
      </c>
      <c r="M151" s="727">
        <f t="shared" si="106"/>
        <v>2.868691629503263</v>
      </c>
      <c r="N151" s="730">
        <f t="shared" si="130"/>
        <v>0.5</v>
      </c>
      <c r="O151" s="1280">
        <f t="shared" si="99"/>
        <v>1.2888839921320325</v>
      </c>
      <c r="P151" s="779">
        <f t="shared" si="107"/>
        <v>2.6084744749576245</v>
      </c>
      <c r="Q151" s="623">
        <f t="shared" si="100"/>
        <v>14.874561937013517</v>
      </c>
      <c r="R151" s="623">
        <f t="shared" si="101"/>
        <v>3.5006413955186844</v>
      </c>
      <c r="S151" s="1240">
        <f t="shared" si="123"/>
        <v>0.48286370621860969</v>
      </c>
      <c r="T151" s="135" t="str">
        <f t="shared" si="108"/>
        <v>Policies met</v>
      </c>
      <c r="U151" s="1240">
        <f t="shared" si="109"/>
        <v>0.48286370621860969</v>
      </c>
      <c r="V151" s="135" t="str">
        <f t="shared" si="110"/>
        <v>No</v>
      </c>
      <c r="W151" s="1241">
        <f t="shared" si="124"/>
        <v>15.480549642849255</v>
      </c>
      <c r="X151" s="779">
        <f t="shared" si="125"/>
        <v>11.373920541494833</v>
      </c>
      <c r="Y151" s="118">
        <f t="shared" si="111"/>
        <v>2.4039407347244959</v>
      </c>
      <c r="Z151" s="608">
        <f t="shared" si="102"/>
        <v>1.6899146590265395</v>
      </c>
      <c r="AA151" s="608">
        <f t="shared" si="103"/>
        <v>0</v>
      </c>
      <c r="AB151" s="608">
        <f t="shared" si="104"/>
        <v>1.2773707603385814E-2</v>
      </c>
      <c r="AC151" s="608">
        <f t="shared" si="112"/>
        <v>15.480549642849256</v>
      </c>
      <c r="AD151" s="767">
        <f t="shared" si="126"/>
        <v>0</v>
      </c>
      <c r="AE151" s="730">
        <f t="shared" si="113"/>
        <v>0.73472330142674558</v>
      </c>
      <c r="AF151" s="483">
        <f t="shared" si="114"/>
        <v>0.15528781536739034</v>
      </c>
      <c r="AG151" s="483">
        <f t="shared" si="115"/>
        <v>0.10916373759423596</v>
      </c>
      <c r="AH151" s="483">
        <f t="shared" si="116"/>
        <v>8.2514561162795781E-4</v>
      </c>
      <c r="AI151" s="483">
        <f t="shared" si="117"/>
        <v>8.2514561162795781E-4</v>
      </c>
      <c r="AJ151" s="483">
        <f t="shared" si="118"/>
        <v>1.0008251456116277</v>
      </c>
      <c r="AK151" s="1400">
        <f t="shared" si="127"/>
        <v>7.6248114371616635</v>
      </c>
      <c r="AL151" s="608">
        <f t="shared" si="128"/>
        <v>3.0825804135278463</v>
      </c>
      <c r="AM151" s="608">
        <f t="shared" si="129"/>
        <v>0.66652869080532196</v>
      </c>
      <c r="AN151" s="1401">
        <f t="shared" si="119"/>
        <v>11.373920541494831</v>
      </c>
      <c r="AO151" s="1402">
        <f t="shared" si="120"/>
        <v>0</v>
      </c>
    </row>
    <row r="152" spans="1:41">
      <c r="A152" s="127">
        <f>'Input data'!A132</f>
        <v>2032</v>
      </c>
      <c r="B152" s="748">
        <f>'Input data'!B132</f>
        <v>67.087000000000003</v>
      </c>
      <c r="C152" s="236">
        <f>'Input data'!C132</f>
        <v>3857.2</v>
      </c>
      <c r="D152" s="237">
        <f>'Input data'!D132</f>
        <v>35664904.184329376</v>
      </c>
      <c r="E152" s="602">
        <f>'Input data'!J132</f>
        <v>11.504772374209397</v>
      </c>
      <c r="F152" s="608">
        <f>'Input data'!L132/C112</f>
        <v>20.751092032077636</v>
      </c>
      <c r="G152" s="623">
        <f t="shared" ref="G152:G159" si="132">$G$150*(1+((($G$160/$G$150)^(1/($A$160-$A$150)))-1))^(A152-$A$150)</f>
        <v>10.975390821526645</v>
      </c>
      <c r="H152" s="623">
        <f t="shared" si="96"/>
        <v>6.2404732630556587</v>
      </c>
      <c r="I152" s="1238">
        <f t="shared" si="97"/>
        <v>9.2463196578682396</v>
      </c>
      <c r="J152" s="730">
        <f t="shared" si="131"/>
        <v>0.2</v>
      </c>
      <c r="K152" s="623">
        <f t="shared" si="122"/>
        <v>1.8492639315736481</v>
      </c>
      <c r="L152" s="608">
        <f t="shared" si="98"/>
        <v>0.96248877021284696</v>
      </c>
      <c r="M152" s="727">
        <f t="shared" si="106"/>
        <v>2.8117527017864949</v>
      </c>
      <c r="N152" s="730">
        <f t="shared" si="130"/>
        <v>0.5</v>
      </c>
      <c r="O152" s="1280">
        <f t="shared" si="99"/>
        <v>1.2888839921320325</v>
      </c>
      <c r="P152" s="779">
        <f t="shared" si="107"/>
        <v>2.5690578584358601</v>
      </c>
      <c r="Q152" s="623">
        <f t="shared" si="100"/>
        <v>14.646806226146444</v>
      </c>
      <c r="R152" s="623">
        <f t="shared" si="101"/>
        <v>3.6714154046197987</v>
      </c>
      <c r="S152" s="1240">
        <f t="shared" si="123"/>
        <v>0.50641955260319971</v>
      </c>
      <c r="T152" s="135" t="str">
        <f t="shared" si="108"/>
        <v>Policies met</v>
      </c>
      <c r="U152" s="1240">
        <f t="shared" si="109"/>
        <v>0.50641955260319971</v>
      </c>
      <c r="V152" s="135" t="str">
        <f t="shared" si="110"/>
        <v>No</v>
      </c>
      <c r="W152" s="1241">
        <f t="shared" si="124"/>
        <v>14.924850353528862</v>
      </c>
      <c r="X152" s="779">
        <f t="shared" si="125"/>
        <v>10.975390821526645</v>
      </c>
      <c r="Y152" s="118">
        <f t="shared" si="111"/>
        <v>2.3243295693897013</v>
      </c>
      <c r="Z152" s="608">
        <f t="shared" si="102"/>
        <v>1.6129381045093198</v>
      </c>
      <c r="AA152" s="608">
        <f t="shared" si="103"/>
        <v>0</v>
      </c>
      <c r="AB152" s="608">
        <f t="shared" si="104"/>
        <v>1.2191858103195398E-2</v>
      </c>
      <c r="AC152" s="608">
        <f t="shared" si="112"/>
        <v>14.924850353528861</v>
      </c>
      <c r="AD152" s="767">
        <f t="shared" si="126"/>
        <v>0</v>
      </c>
      <c r="AE152" s="730">
        <f t="shared" si="113"/>
        <v>0.73537694258566566</v>
      </c>
      <c r="AF152" s="483">
        <f t="shared" si="114"/>
        <v>0.15573553599082701</v>
      </c>
      <c r="AG152" s="483">
        <f t="shared" si="115"/>
        <v>0.10807063831818947</v>
      </c>
      <c r="AH152" s="483">
        <f t="shared" si="116"/>
        <v>8.1688310531788562E-4</v>
      </c>
      <c r="AI152" s="483">
        <f t="shared" si="117"/>
        <v>8.1688310531788562E-4</v>
      </c>
      <c r="AJ152" s="483">
        <f t="shared" si="118"/>
        <v>1.0008168831053179</v>
      </c>
      <c r="AK152" s="1400">
        <f t="shared" si="127"/>
        <v>7.3970557262945915</v>
      </c>
      <c r="AL152" s="608">
        <f t="shared" si="128"/>
        <v>2.9421671577529507</v>
      </c>
      <c r="AM152" s="608">
        <f t="shared" si="129"/>
        <v>0.63616793747910261</v>
      </c>
      <c r="AN152" s="1401">
        <f t="shared" si="119"/>
        <v>10.975390821526645</v>
      </c>
      <c r="AO152" s="1402">
        <f t="shared" si="120"/>
        <v>0</v>
      </c>
    </row>
    <row r="153" spans="1:41">
      <c r="A153" s="127">
        <f>'Input data'!A133</f>
        <v>2033</v>
      </c>
      <c r="B153" s="748">
        <f>'Input data'!B133</f>
        <v>67.659000000000006</v>
      </c>
      <c r="C153" s="236">
        <f>'Input data'!C133</f>
        <v>3964.01</v>
      </c>
      <c r="D153" s="237">
        <f>'Input data'!D133</f>
        <v>35483377.6692736</v>
      </c>
      <c r="E153" s="602">
        <f>'Input data'!J133</f>
        <v>11.504772374209397</v>
      </c>
      <c r="F153" s="608">
        <f>'Input data'!L133/C113</f>
        <v>20.456156873560708</v>
      </c>
      <c r="G153" s="623">
        <f t="shared" si="132"/>
        <v>10.590825146508346</v>
      </c>
      <c r="H153" s="623">
        <f t="shared" si="96"/>
        <v>6.3482563715959568</v>
      </c>
      <c r="I153" s="1238">
        <f t="shared" si="97"/>
        <v>8.9513844993513132</v>
      </c>
      <c r="J153" s="730">
        <f t="shared" si="131"/>
        <v>0.2</v>
      </c>
      <c r="K153" s="623">
        <f t="shared" si="122"/>
        <v>1.7902768998702627</v>
      </c>
      <c r="L153" s="608">
        <f t="shared" si="98"/>
        <v>0.96248877021284696</v>
      </c>
      <c r="M153" s="727">
        <f t="shared" si="106"/>
        <v>2.7527656700831096</v>
      </c>
      <c r="N153" s="730">
        <f t="shared" si="130"/>
        <v>0.5</v>
      </c>
      <c r="O153" s="1280">
        <f t="shared" si="99"/>
        <v>1.2888839921320325</v>
      </c>
      <c r="P153" s="779">
        <f t="shared" si="107"/>
        <v>2.5282234187713986</v>
      </c>
      <c r="Q153" s="623">
        <f t="shared" si="100"/>
        <v>14.410858099332904</v>
      </c>
      <c r="R153" s="623">
        <f t="shared" si="101"/>
        <v>3.8200329528245582</v>
      </c>
      <c r="S153" s="1240">
        <f t="shared" si="123"/>
        <v>0.52691923024145726</v>
      </c>
      <c r="T153" s="135" t="str">
        <f t="shared" si="108"/>
        <v>Policies met</v>
      </c>
      <c r="U153" s="1240">
        <f t="shared" si="109"/>
        <v>0.52691923024145726</v>
      </c>
      <c r="V153" s="135" t="str">
        <f t="shared" si="110"/>
        <v>No</v>
      </c>
      <c r="W153" s="1241">
        <f t="shared" si="124"/>
        <v>14.394071070039111</v>
      </c>
      <c r="X153" s="779">
        <f t="shared" si="125"/>
        <v>10.590825146508346</v>
      </c>
      <c r="Y153" s="118">
        <f t="shared" si="111"/>
        <v>2.2456118281665094</v>
      </c>
      <c r="Z153" s="608">
        <f t="shared" si="102"/>
        <v>1.5459485967861304</v>
      </c>
      <c r="AA153" s="608">
        <f t="shared" si="103"/>
        <v>0</v>
      </c>
      <c r="AB153" s="608">
        <f t="shared" si="104"/>
        <v>1.1685498578127016E-2</v>
      </c>
      <c r="AC153" s="608">
        <f t="shared" si="112"/>
        <v>14.394071070039113</v>
      </c>
      <c r="AD153" s="767">
        <f t="shared" si="126"/>
        <v>0</v>
      </c>
      <c r="AE153" s="730">
        <f t="shared" si="113"/>
        <v>0.7357769108527521</v>
      </c>
      <c r="AF153" s="483">
        <f t="shared" si="114"/>
        <v>0.15600949983084997</v>
      </c>
      <c r="AG153" s="483">
        <f t="shared" si="115"/>
        <v>0.10740176210495324</v>
      </c>
      <c r="AH153" s="483">
        <f t="shared" si="116"/>
        <v>8.1182721144472316E-4</v>
      </c>
      <c r="AI153" s="483">
        <f t="shared" si="117"/>
        <v>8.1182721144472316E-4</v>
      </c>
      <c r="AJ153" s="483">
        <f t="shared" si="118"/>
        <v>1.0008118272114448</v>
      </c>
      <c r="AK153" s="1400">
        <f t="shared" si="127"/>
        <v>7.1611075994810509</v>
      </c>
      <c r="AL153" s="608">
        <f t="shared" si="128"/>
        <v>2.8199713159000082</v>
      </c>
      <c r="AM153" s="608">
        <f t="shared" si="129"/>
        <v>0.60974623112728554</v>
      </c>
      <c r="AN153" s="1401">
        <f t="shared" si="119"/>
        <v>10.590825146508344</v>
      </c>
      <c r="AO153" s="1402">
        <f t="shared" si="120"/>
        <v>0</v>
      </c>
    </row>
    <row r="154" spans="1:41">
      <c r="A154" s="127">
        <f>'Input data'!A134</f>
        <v>2034</v>
      </c>
      <c r="B154" s="748">
        <f>'Input data'!B134</f>
        <v>68.236999999999995</v>
      </c>
      <c r="C154" s="236">
        <f>'Input data'!C134</f>
        <v>4078.22</v>
      </c>
      <c r="D154" s="237">
        <f>'Input data'!D134</f>
        <v>35301851.154217809</v>
      </c>
      <c r="E154" s="602">
        <f>'Input data'!J134</f>
        <v>11.504772374209397</v>
      </c>
      <c r="F154" s="608">
        <f>'Input data'!L134/C114</f>
        <v>20.160963348266169</v>
      </c>
      <c r="G154" s="623">
        <f t="shared" si="132"/>
        <v>10.219734231597197</v>
      </c>
      <c r="H154" s="623">
        <f t="shared" si="96"/>
        <v>6.4423222551423756</v>
      </c>
      <c r="I154" s="1238">
        <f t="shared" si="97"/>
        <v>8.6561909740567717</v>
      </c>
      <c r="J154" s="730">
        <f t="shared" si="131"/>
        <v>0.2</v>
      </c>
      <c r="K154" s="623">
        <f t="shared" si="122"/>
        <v>1.7312381948113544</v>
      </c>
      <c r="L154" s="608">
        <f t="shared" si="98"/>
        <v>0.96248877021284696</v>
      </c>
      <c r="M154" s="727">
        <f t="shared" si="106"/>
        <v>2.6937269650242013</v>
      </c>
      <c r="N154" s="730">
        <f t="shared" si="130"/>
        <v>0.5</v>
      </c>
      <c r="O154" s="1280">
        <f t="shared" si="99"/>
        <v>1.2888839921320325</v>
      </c>
      <c r="P154" s="779">
        <f t="shared" si="107"/>
        <v>2.4873532076423039</v>
      </c>
      <c r="Q154" s="623">
        <f t="shared" si="100"/>
        <v>14.174703279097269</v>
      </c>
      <c r="R154" s="623">
        <f t="shared" si="101"/>
        <v>3.9549690475000716</v>
      </c>
      <c r="S154" s="1240">
        <f t="shared" si="123"/>
        <v>0.54553174589675757</v>
      </c>
      <c r="T154" s="135" t="str">
        <f t="shared" si="108"/>
        <v>Policies met</v>
      </c>
      <c r="U154" s="1240">
        <f t="shared" si="109"/>
        <v>0.54553174589675757</v>
      </c>
      <c r="V154" s="135" t="str">
        <f t="shared" si="110"/>
        <v>No</v>
      </c>
      <c r="W154" s="1241">
        <f t="shared" si="124"/>
        <v>13.884744788818931</v>
      </c>
      <c r="X154" s="779">
        <f t="shared" si="125"/>
        <v>10.219734231597197</v>
      </c>
      <c r="Y154" s="118">
        <f t="shared" si="111"/>
        <v>2.1686587858039639</v>
      </c>
      <c r="Z154" s="608">
        <f t="shared" si="102"/>
        <v>1.4851260178538745</v>
      </c>
      <c r="AA154" s="608">
        <f t="shared" si="103"/>
        <v>0</v>
      </c>
      <c r="AB154" s="608">
        <f t="shared" si="104"/>
        <v>1.1225753563895328E-2</v>
      </c>
      <c r="AC154" s="608">
        <f t="shared" si="112"/>
        <v>13.88474478881893</v>
      </c>
      <c r="AD154" s="767">
        <f t="shared" si="126"/>
        <v>0</v>
      </c>
      <c r="AE154" s="730">
        <f t="shared" si="113"/>
        <v>0.73604048090440366</v>
      </c>
      <c r="AF154" s="483">
        <f t="shared" si="114"/>
        <v>0.15619003581184551</v>
      </c>
      <c r="AG154" s="483">
        <f t="shared" si="115"/>
        <v>0.10696098779214241</v>
      </c>
      <c r="AH154" s="483">
        <f t="shared" si="116"/>
        <v>8.0849549160854381E-4</v>
      </c>
      <c r="AI154" s="483">
        <f t="shared" si="117"/>
        <v>8.0849549160854381E-4</v>
      </c>
      <c r="AJ154" s="483">
        <f t="shared" si="118"/>
        <v>1.0008084954916088</v>
      </c>
      <c r="AK154" s="1400">
        <f t="shared" si="127"/>
        <v>6.9249527792454177</v>
      </c>
      <c r="AL154" s="608">
        <f t="shared" si="128"/>
        <v>2.7090245947059177</v>
      </c>
      <c r="AM154" s="608">
        <f t="shared" si="129"/>
        <v>0.58575685764586205</v>
      </c>
      <c r="AN154" s="1401">
        <f t="shared" si="119"/>
        <v>10.219734231597197</v>
      </c>
      <c r="AO154" s="1402">
        <f t="shared" si="120"/>
        <v>0</v>
      </c>
    </row>
    <row r="155" spans="1:41">
      <c r="A155" s="127">
        <f>'Input data'!A135</f>
        <v>2035</v>
      </c>
      <c r="B155" s="748">
        <f>'Input data'!B135</f>
        <v>68.819000000000003</v>
      </c>
      <c r="C155" s="236">
        <f>'Input data'!C135</f>
        <v>4200.2899999999991</v>
      </c>
      <c r="D155" s="237">
        <f>'Input data'!D135</f>
        <v>35120324.639162026</v>
      </c>
      <c r="E155" s="602">
        <f>'Input data'!J135</f>
        <v>11.504772374209397</v>
      </c>
      <c r="F155" s="608">
        <f>'Input data'!L135/C115</f>
        <v>19.866177096064803</v>
      </c>
      <c r="G155" s="623">
        <f t="shared" si="132"/>
        <v>9.8616459359555186</v>
      </c>
      <c r="H155" s="623">
        <f t="shared" si="96"/>
        <v>6.5237677257746256</v>
      </c>
      <c r="I155" s="1238">
        <f t="shared" si="97"/>
        <v>8.3614047218554042</v>
      </c>
      <c r="J155" s="730">
        <f t="shared" si="131"/>
        <v>0.2</v>
      </c>
      <c r="K155" s="623">
        <f t="shared" si="122"/>
        <v>1.6722809443710809</v>
      </c>
      <c r="L155" s="608">
        <f t="shared" si="98"/>
        <v>0.96248877021284696</v>
      </c>
      <c r="M155" s="727">
        <f t="shared" si="106"/>
        <v>2.6347697145839279</v>
      </c>
      <c r="N155" s="730">
        <f t="shared" si="130"/>
        <v>0.5</v>
      </c>
      <c r="O155" s="1280">
        <f t="shared" si="99"/>
        <v>1.2888839921320325</v>
      </c>
      <c r="P155" s="779">
        <f t="shared" si="107"/>
        <v>2.4465393843939687</v>
      </c>
      <c r="Q155" s="623">
        <f t="shared" si="100"/>
        <v>13.938874277336176</v>
      </c>
      <c r="R155" s="623">
        <f t="shared" si="101"/>
        <v>4.0772283413806569</v>
      </c>
      <c r="S155" s="1240">
        <f t="shared" si="123"/>
        <v>0.56239567712902327</v>
      </c>
      <c r="T155" s="135" t="str">
        <f t="shared" si="108"/>
        <v>Policies met</v>
      </c>
      <c r="U155" s="1240">
        <f t="shared" si="109"/>
        <v>0.56239567712902327</v>
      </c>
      <c r="V155" s="135" t="str">
        <f t="shared" si="110"/>
        <v>No</v>
      </c>
      <c r="W155" s="1241">
        <f t="shared" si="124"/>
        <v>13.395942846456027</v>
      </c>
      <c r="X155" s="779">
        <f t="shared" si="125"/>
        <v>9.8616459359555186</v>
      </c>
      <c r="Y155" s="118">
        <f t="shared" si="111"/>
        <v>2.0934701909309927</v>
      </c>
      <c r="Z155" s="608">
        <f t="shared" si="102"/>
        <v>1.4300175194929596</v>
      </c>
      <c r="AA155" s="608">
        <f t="shared" si="103"/>
        <v>0</v>
      </c>
      <c r="AB155" s="608">
        <f t="shared" si="104"/>
        <v>1.0809200076555624E-2</v>
      </c>
      <c r="AC155" s="608">
        <f t="shared" si="112"/>
        <v>13.395942846456029</v>
      </c>
      <c r="AD155" s="767">
        <f t="shared" si="126"/>
        <v>0</v>
      </c>
      <c r="AE155" s="730">
        <f t="shared" si="113"/>
        <v>0.73616661768338854</v>
      </c>
      <c r="AF155" s="483">
        <f t="shared" si="114"/>
        <v>0.15627643495693413</v>
      </c>
      <c r="AG155" s="483">
        <f t="shared" si="115"/>
        <v>0.10675004632998107</v>
      </c>
      <c r="AH155" s="483">
        <f t="shared" si="116"/>
        <v>8.0690102969611119E-4</v>
      </c>
      <c r="AI155" s="483">
        <f t="shared" si="117"/>
        <v>8.0690102969611119E-4</v>
      </c>
      <c r="AJ155" s="483">
        <f t="shared" si="118"/>
        <v>1.000806901029696</v>
      </c>
      <c r="AK155" s="1400">
        <f t="shared" si="127"/>
        <v>6.6891237774843235</v>
      </c>
      <c r="AL155" s="608">
        <f t="shared" si="128"/>
        <v>2.6085009518350151</v>
      </c>
      <c r="AM155" s="608">
        <f t="shared" si="129"/>
        <v>0.56402120663617938</v>
      </c>
      <c r="AN155" s="1401">
        <f t="shared" si="119"/>
        <v>9.8616459359555169</v>
      </c>
      <c r="AO155" s="1402">
        <f t="shared" si="120"/>
        <v>0</v>
      </c>
    </row>
    <row r="156" spans="1:41">
      <c r="A156" s="127">
        <f>'Input data'!A136</f>
        <v>2036</v>
      </c>
      <c r="B156" s="748">
        <f>'Input data'!B136</f>
        <v>69.322999999999993</v>
      </c>
      <c r="C156" s="236">
        <f>'Input data'!C136</f>
        <v>4325.9699999999993</v>
      </c>
      <c r="D156" s="237">
        <f>'Input data'!D136</f>
        <v>32285395.803631678</v>
      </c>
      <c r="E156" s="602">
        <f>'Input data'!J136</f>
        <v>11.504772374209397</v>
      </c>
      <c r="F156" s="608">
        <f>'Input data'!L136/C116</f>
        <v>18.967929955892046</v>
      </c>
      <c r="G156" s="623">
        <f t="shared" si="132"/>
        <v>9.5161046620435386</v>
      </c>
      <c r="H156" s="623">
        <f t="shared" si="96"/>
        <v>6.0263469396910576</v>
      </c>
      <c r="I156" s="1238">
        <f t="shared" si="97"/>
        <v>7.4631575816826476</v>
      </c>
      <c r="J156" s="730">
        <f t="shared" si="131"/>
        <v>0.2</v>
      </c>
      <c r="K156" s="623">
        <f t="shared" si="122"/>
        <v>1.4926315163365296</v>
      </c>
      <c r="L156" s="608">
        <f t="shared" si="98"/>
        <v>0.96248877021284696</v>
      </c>
      <c r="M156" s="727">
        <f t="shared" si="106"/>
        <v>2.4551202865493766</v>
      </c>
      <c r="N156" s="730">
        <f t="shared" si="130"/>
        <v>0.5</v>
      </c>
      <c r="O156" s="1280">
        <f t="shared" si="99"/>
        <v>1.2888839921320325</v>
      </c>
      <c r="P156" s="779">
        <f t="shared" si="107"/>
        <v>2.3221750365366258</v>
      </c>
      <c r="Q156" s="623">
        <f t="shared" si="100"/>
        <v>13.22027656519797</v>
      </c>
      <c r="R156" s="623">
        <f t="shared" si="101"/>
        <v>3.7041719031544318</v>
      </c>
      <c r="S156" s="1240">
        <f t="shared" si="123"/>
        <v>0.51093784582381507</v>
      </c>
      <c r="T156" s="135" t="str">
        <f t="shared" si="108"/>
        <v>Policies met</v>
      </c>
      <c r="U156" s="1240">
        <f t="shared" si="109"/>
        <v>0.51093784582381507</v>
      </c>
      <c r="V156" s="135" t="str">
        <f t="shared" si="110"/>
        <v>No</v>
      </c>
      <c r="W156" s="1241">
        <f t="shared" si="124"/>
        <v>13.089706342320156</v>
      </c>
      <c r="X156" s="779">
        <f t="shared" si="125"/>
        <v>9.5161046620435386</v>
      </c>
      <c r="Y156" s="118">
        <f t="shared" si="111"/>
        <v>1.9633483476672116</v>
      </c>
      <c r="Z156" s="608">
        <f t="shared" si="102"/>
        <v>1.5981730802031242</v>
      </c>
      <c r="AA156" s="608">
        <f t="shared" si="103"/>
        <v>0</v>
      </c>
      <c r="AB156" s="608">
        <f t="shared" si="104"/>
        <v>1.2080252406282353E-2</v>
      </c>
      <c r="AC156" s="608">
        <f t="shared" si="112"/>
        <v>13.089706342320156</v>
      </c>
      <c r="AD156" s="767">
        <f t="shared" si="126"/>
        <v>0</v>
      </c>
      <c r="AE156" s="730">
        <f t="shared" si="113"/>
        <v>0.72699145520760433</v>
      </c>
      <c r="AF156" s="483">
        <f t="shared" si="114"/>
        <v>0.14999177951911236</v>
      </c>
      <c r="AG156" s="483">
        <f t="shared" si="115"/>
        <v>0.12209388342319735</v>
      </c>
      <c r="AH156" s="483">
        <f t="shared" si="116"/>
        <v>9.2288185008596025E-4</v>
      </c>
      <c r="AI156" s="483">
        <f t="shared" si="117"/>
        <v>9.2288185008596025E-4</v>
      </c>
      <c r="AJ156" s="483">
        <f t="shared" si="118"/>
        <v>1.0009228818500859</v>
      </c>
      <c r="AK156" s="1400">
        <f t="shared" si="127"/>
        <v>5.9705260653461183</v>
      </c>
      <c r="AL156" s="608">
        <f t="shared" si="128"/>
        <v>2.9152342150221267</v>
      </c>
      <c r="AM156" s="608">
        <f t="shared" si="129"/>
        <v>0.63034438167529283</v>
      </c>
      <c r="AN156" s="1401">
        <f t="shared" si="119"/>
        <v>9.5161046620435386</v>
      </c>
      <c r="AO156" s="1402">
        <f t="shared" si="120"/>
        <v>0</v>
      </c>
    </row>
    <row r="157" spans="1:41">
      <c r="A157" s="127">
        <f>'Input data'!A137</f>
        <v>2037</v>
      </c>
      <c r="B157" s="749">
        <f>'Input data'!B137</f>
        <v>69.83</v>
      </c>
      <c r="C157" s="605">
        <f>'Input data'!C137</f>
        <v>4457.0000000000018</v>
      </c>
      <c r="D157" s="750">
        <f>'Input data'!D137</f>
        <v>29450466.968101323</v>
      </c>
      <c r="E157" s="734">
        <f>'Input data'!J137</f>
        <v>11.504772374209397</v>
      </c>
      <c r="F157" s="608">
        <f>'Input data'!L137/C117</f>
        <v>18.112460722448418</v>
      </c>
      <c r="G157" s="623">
        <f t="shared" si="132"/>
        <v>9.1826707759603341</v>
      </c>
      <c r="H157" s="623">
        <f t="shared" si="96"/>
        <v>5.5569637890868293</v>
      </c>
      <c r="I157" s="1238">
        <f t="shared" si="97"/>
        <v>6.6076883482390194</v>
      </c>
      <c r="J157" s="730">
        <f t="shared" si="131"/>
        <v>0.2</v>
      </c>
      <c r="K157" s="623">
        <f t="shared" si="122"/>
        <v>1.3215376696478041</v>
      </c>
      <c r="L157" s="608">
        <f t="shared" si="98"/>
        <v>0.96248877021284696</v>
      </c>
      <c r="M157" s="727">
        <f t="shared" si="106"/>
        <v>2.2840264398606509</v>
      </c>
      <c r="N157" s="730">
        <f t="shared" si="130"/>
        <v>0.5</v>
      </c>
      <c r="O157" s="1280">
        <f t="shared" si="99"/>
        <v>1.2888839921320325</v>
      </c>
      <c r="P157" s="779">
        <f t="shared" si="107"/>
        <v>2.203733386604096</v>
      </c>
      <c r="Q157" s="623">
        <f t="shared" si="100"/>
        <v>12.535901178443067</v>
      </c>
      <c r="R157" s="623">
        <f t="shared" si="101"/>
        <v>3.3532304024827333</v>
      </c>
      <c r="S157" s="1240">
        <f t="shared" si="123"/>
        <v>0.46253045571033874</v>
      </c>
      <c r="T157" s="135" t="str">
        <f t="shared" si="108"/>
        <v>Policies met</v>
      </c>
      <c r="U157" s="1240">
        <f t="shared" si="109"/>
        <v>0.46253045571033874</v>
      </c>
      <c r="V157" s="135" t="str">
        <f t="shared" si="110"/>
        <v>No</v>
      </c>
      <c r="W157" s="1241">
        <f t="shared" si="124"/>
        <v>12.791153113361629</v>
      </c>
      <c r="X157" s="779">
        <f t="shared" si="125"/>
        <v>9.1826707759603341</v>
      </c>
      <c r="Y157" s="118">
        <f t="shared" si="111"/>
        <v>1.8388460703580196</v>
      </c>
      <c r="Z157" s="608">
        <f t="shared" si="102"/>
        <v>1.7563603108069028</v>
      </c>
      <c r="AA157" s="608">
        <f t="shared" si="103"/>
        <v>0</v>
      </c>
      <c r="AB157" s="608">
        <f t="shared" si="104"/>
        <v>1.327595623637162E-2</v>
      </c>
      <c r="AC157" s="608">
        <f t="shared" si="112"/>
        <v>12.791153113361629</v>
      </c>
      <c r="AD157" s="767">
        <f t="shared" si="126"/>
        <v>0</v>
      </c>
      <c r="AE157" s="730">
        <f t="shared" si="113"/>
        <v>0.71789233500520944</v>
      </c>
      <c r="AF157" s="483">
        <f t="shared" si="114"/>
        <v>0.1437592102964636</v>
      </c>
      <c r="AG157" s="483">
        <f t="shared" si="115"/>
        <v>0.13731055325826802</v>
      </c>
      <c r="AH157" s="483">
        <f t="shared" si="116"/>
        <v>1.0379014400588769E-3</v>
      </c>
      <c r="AI157" s="483">
        <f t="shared" si="117"/>
        <v>1.0379014400588769E-3</v>
      </c>
      <c r="AJ157" s="604">
        <f t="shared" si="118"/>
        <v>1.0010379014400588</v>
      </c>
      <c r="AK157" s="1400">
        <f t="shared" si="127"/>
        <v>5.2861506785912153</v>
      </c>
      <c r="AL157" s="608">
        <f t="shared" si="128"/>
        <v>3.2037842054756758</v>
      </c>
      <c r="AM157" s="608">
        <f t="shared" si="129"/>
        <v>0.69273589189344298</v>
      </c>
      <c r="AN157" s="1401">
        <f t="shared" si="119"/>
        <v>9.1826707759603341</v>
      </c>
      <c r="AO157" s="1402">
        <f t="shared" si="120"/>
        <v>0</v>
      </c>
    </row>
    <row r="158" spans="1:41">
      <c r="A158" s="127">
        <f>'Input data'!A138</f>
        <v>2038</v>
      </c>
      <c r="B158" s="748">
        <f>'Input data'!B138</f>
        <v>70.341999999999999</v>
      </c>
      <c r="C158" s="236">
        <f>'Input data'!C138</f>
        <v>4590.03</v>
      </c>
      <c r="D158" s="237">
        <f>'Input data'!D138</f>
        <v>26615538.132570967</v>
      </c>
      <c r="E158" s="602">
        <f>'Input data'!J138</f>
        <v>11.504772374209397</v>
      </c>
      <c r="F158" s="608">
        <f>'Input data'!L138/C118</f>
        <v>17.303326660907082</v>
      </c>
      <c r="G158" s="623">
        <f t="shared" si="132"/>
        <v>8.86092004809543</v>
      </c>
      <c r="H158" s="623">
        <f t="shared" si="96"/>
        <v>5.1193808271185901</v>
      </c>
      <c r="I158" s="1238">
        <f t="shared" si="97"/>
        <v>5.7985542866976836</v>
      </c>
      <c r="J158" s="730">
        <f t="shared" si="131"/>
        <v>0.2</v>
      </c>
      <c r="K158" s="623">
        <f t="shared" si="122"/>
        <v>1.1597108573395367</v>
      </c>
      <c r="L158" s="608">
        <f t="shared" si="98"/>
        <v>0.96248877021284696</v>
      </c>
      <c r="M158" s="727">
        <f t="shared" si="106"/>
        <v>2.1221996275523836</v>
      </c>
      <c r="N158" s="730">
        <f t="shared" si="130"/>
        <v>0.5</v>
      </c>
      <c r="O158" s="1280">
        <f t="shared" si="99"/>
        <v>1.2888839921320325</v>
      </c>
      <c r="P158" s="779">
        <f t="shared" si="107"/>
        <v>2.0917069460040203</v>
      </c>
      <c r="Q158" s="623">
        <f t="shared" si="100"/>
        <v>11.88859392921</v>
      </c>
      <c r="R158" s="608">
        <f t="shared" si="101"/>
        <v>3.0276738811145698</v>
      </c>
      <c r="S158" s="1240">
        <f t="shared" si="123"/>
        <v>0.41762456255238573</v>
      </c>
      <c r="T158" s="135" t="str">
        <f t="shared" si="108"/>
        <v>Policies met</v>
      </c>
      <c r="U158" s="1240">
        <f t="shared" si="109"/>
        <v>0.41762456255238573</v>
      </c>
      <c r="V158" s="135" t="str">
        <f t="shared" si="110"/>
        <v>No</v>
      </c>
      <c r="W158" s="1241">
        <f t="shared" si="124"/>
        <v>12.498651130863109</v>
      </c>
      <c r="X158" s="779">
        <f t="shared" si="125"/>
        <v>8.86092004809543</v>
      </c>
      <c r="Y158" s="118">
        <f t="shared" si="111"/>
        <v>1.7202406759306597</v>
      </c>
      <c r="Z158" s="608">
        <f t="shared" si="102"/>
        <v>1.9031052367323378</v>
      </c>
      <c r="AA158" s="608">
        <f t="shared" si="103"/>
        <v>0</v>
      </c>
      <c r="AB158" s="608">
        <f t="shared" si="104"/>
        <v>1.4385170104681275E-2</v>
      </c>
      <c r="AC158" s="608">
        <f t="shared" si="112"/>
        <v>12.498651130863109</v>
      </c>
      <c r="AD158" s="767">
        <f t="shared" si="126"/>
        <v>0</v>
      </c>
      <c r="AE158" s="730">
        <f t="shared" si="113"/>
        <v>0.70895010632107536</v>
      </c>
      <c r="AF158" s="483">
        <f t="shared" si="114"/>
        <v>0.1376341061062856</v>
      </c>
      <c r="AG158" s="483">
        <f t="shared" si="115"/>
        <v>0.15226484976710575</v>
      </c>
      <c r="AH158" s="483">
        <f t="shared" si="116"/>
        <v>1.1509378055332511E-3</v>
      </c>
      <c r="AI158" s="483">
        <f t="shared" si="117"/>
        <v>1.1509378055332511E-3</v>
      </c>
      <c r="AJ158" s="604">
        <f t="shared" si="118"/>
        <v>1.0011509378055332</v>
      </c>
      <c r="AK158" s="1400">
        <f t="shared" si="127"/>
        <v>4.6388434293581469</v>
      </c>
      <c r="AL158" s="608">
        <f t="shared" si="128"/>
        <v>3.4714622400001618</v>
      </c>
      <c r="AM158" s="608">
        <f t="shared" si="129"/>
        <v>0.75061437873711978</v>
      </c>
      <c r="AN158" s="1401">
        <f t="shared" si="119"/>
        <v>8.8609200480954282</v>
      </c>
      <c r="AO158" s="1402">
        <f t="shared" si="120"/>
        <v>0</v>
      </c>
    </row>
    <row r="159" spans="1:41">
      <c r="A159" s="127">
        <f>'Input data'!A139</f>
        <v>2039</v>
      </c>
      <c r="B159" s="748">
        <f>'Input data'!B139</f>
        <v>70.856999999999999</v>
      </c>
      <c r="C159" s="236">
        <f>'Input data'!C139</f>
        <v>4728.5300000000007</v>
      </c>
      <c r="D159" s="237">
        <f>'Input data'!D139</f>
        <v>23780609.297040608</v>
      </c>
      <c r="E159" s="602">
        <f>'Input data'!J139</f>
        <v>11.504772374209397</v>
      </c>
      <c r="F159" s="608">
        <f>'Input data'!L139/C119</f>
        <v>16.533948311982996</v>
      </c>
      <c r="G159" s="623">
        <f t="shared" si="132"/>
        <v>8.5504431133793126</v>
      </c>
      <c r="H159" s="623">
        <f t="shared" si="96"/>
        <v>4.7078329104109837</v>
      </c>
      <c r="I159" s="1238">
        <f t="shared" si="97"/>
        <v>5.0291759377736005</v>
      </c>
      <c r="J159" s="730">
        <f t="shared" si="131"/>
        <v>0.2</v>
      </c>
      <c r="K159" s="623">
        <f t="shared" si="122"/>
        <v>1.0058351875547202</v>
      </c>
      <c r="L159" s="608">
        <f t="shared" si="98"/>
        <v>0.96248877021284696</v>
      </c>
      <c r="M159" s="727">
        <f t="shared" si="106"/>
        <v>1.9683239577675673</v>
      </c>
      <c r="N159" s="730">
        <f t="shared" si="130"/>
        <v>0.5</v>
      </c>
      <c r="O159" s="1280">
        <f t="shared" si="99"/>
        <v>1.2888839921320325</v>
      </c>
      <c r="P159" s="779">
        <f t="shared" si="107"/>
        <v>1.9851847737195636</v>
      </c>
      <c r="Q159" s="623">
        <f t="shared" si="100"/>
        <v>11.273091250070733</v>
      </c>
      <c r="R159" s="608">
        <f t="shared" si="101"/>
        <v>2.7226481366914204</v>
      </c>
      <c r="S159" s="1240">
        <f t="shared" si="123"/>
        <v>0.37555059815466163</v>
      </c>
      <c r="T159" s="135" t="str">
        <f t="shared" si="108"/>
        <v>Policies met</v>
      </c>
      <c r="U159" s="1240">
        <f t="shared" si="109"/>
        <v>0.37555059815466163</v>
      </c>
      <c r="V159" s="135" t="str">
        <f t="shared" si="110"/>
        <v>No</v>
      </c>
      <c r="W159" s="1241">
        <f t="shared" si="124"/>
        <v>12.213324165215433</v>
      </c>
      <c r="X159" s="779">
        <f t="shared" si="125"/>
        <v>8.5504431133793126</v>
      </c>
      <c r="Y159" s="118">
        <f t="shared" si="111"/>
        <v>1.6068607243969879</v>
      </c>
      <c r="Z159" s="608">
        <f t="shared" si="102"/>
        <v>2.0405958945223159</v>
      </c>
      <c r="AA159" s="608">
        <f t="shared" si="103"/>
        <v>0</v>
      </c>
      <c r="AB159" s="608">
        <f t="shared" si="104"/>
        <v>1.5424432916815257E-2</v>
      </c>
      <c r="AC159" s="608">
        <f t="shared" si="112"/>
        <v>12.213324165215431</v>
      </c>
      <c r="AD159" s="767">
        <f t="shared" si="126"/>
        <v>0</v>
      </c>
      <c r="AE159" s="730">
        <f t="shared" si="113"/>
        <v>0.70009139180401758</v>
      </c>
      <c r="AF159" s="483">
        <f t="shared" si="114"/>
        <v>0.13156620610901837</v>
      </c>
      <c r="AG159" s="483">
        <f t="shared" si="115"/>
        <v>0.16707948359662014</v>
      </c>
      <c r="AH159" s="483">
        <f t="shared" si="116"/>
        <v>1.2629184903439584E-3</v>
      </c>
      <c r="AI159" s="483">
        <f t="shared" si="117"/>
        <v>1.2629184903439584E-3</v>
      </c>
      <c r="AJ159" s="604">
        <f t="shared" si="118"/>
        <v>1.0012629184903439</v>
      </c>
      <c r="AK159" s="1400">
        <f t="shared" si="127"/>
        <v>4.02334075021888</v>
      </c>
      <c r="AL159" s="608">
        <f t="shared" si="128"/>
        <v>3.7222595252255517</v>
      </c>
      <c r="AM159" s="608">
        <f t="shared" si="129"/>
        <v>0.80484283793487954</v>
      </c>
      <c r="AN159" s="1401">
        <f t="shared" si="119"/>
        <v>8.5504431133793108</v>
      </c>
      <c r="AO159" s="1402">
        <f t="shared" si="120"/>
        <v>0</v>
      </c>
    </row>
    <row r="160" spans="1:41" s="1" customFormat="1">
      <c r="A160" s="157">
        <f>'Input data'!A140</f>
        <v>2040</v>
      </c>
      <c r="B160" s="749">
        <f>'Input data'!B140</f>
        <v>71.375</v>
      </c>
      <c r="C160" s="605">
        <f>'Input data'!C140</f>
        <v>4875.51</v>
      </c>
      <c r="D160" s="750">
        <f>'Input data'!D140</f>
        <v>20945680.461510252</v>
      </c>
      <c r="E160" s="734">
        <f>'Input data'!J140</f>
        <v>11.504772374209397</v>
      </c>
      <c r="F160" s="740">
        <f>'Input data'!L140/C120</f>
        <v>15.800872774272213</v>
      </c>
      <c r="G160" s="781">
        <f>G137*(1-$C$5)</f>
        <v>8.2508449504462007</v>
      </c>
      <c r="H160" s="781">
        <f t="shared" si="96"/>
        <v>4.3194746771988441</v>
      </c>
      <c r="I160" s="1340">
        <f t="shared" si="97"/>
        <v>4.296100400062814</v>
      </c>
      <c r="J160" s="729">
        <f t="shared" si="131"/>
        <v>0.2</v>
      </c>
      <c r="K160" s="781">
        <f t="shared" si="122"/>
        <v>0.85922008001256289</v>
      </c>
      <c r="L160" s="740">
        <f t="shared" si="98"/>
        <v>0.96248877021284696</v>
      </c>
      <c r="M160" s="1059">
        <f t="shared" si="106"/>
        <v>1.8217088502254097</v>
      </c>
      <c r="N160" s="729">
        <f t="shared" si="130"/>
        <v>0.5</v>
      </c>
      <c r="O160" s="1341">
        <f t="shared" si="99"/>
        <v>1.2888839921320325</v>
      </c>
      <c r="P160" s="1342">
        <f t="shared" si="107"/>
        <v>1.8836888077429406</v>
      </c>
      <c r="Q160" s="781">
        <f t="shared" si="100"/>
        <v>10.686630819902105</v>
      </c>
      <c r="R160" s="740">
        <f t="shared" si="101"/>
        <v>2.4357858694559038</v>
      </c>
      <c r="S160" s="1240">
        <f t="shared" si="123"/>
        <v>0.33598202717537362</v>
      </c>
      <c r="T160" s="135" t="str">
        <f t="shared" si="108"/>
        <v>Policies met</v>
      </c>
      <c r="U160" s="1240">
        <f t="shared" si="109"/>
        <v>0.33598202717537362</v>
      </c>
      <c r="V160" s="135" t="str">
        <f t="shared" si="110"/>
        <v>No</v>
      </c>
      <c r="W160" s="1241">
        <f t="shared" si="124"/>
        <v>11.935476029794103</v>
      </c>
      <c r="X160" s="779">
        <f t="shared" si="125"/>
        <v>8.2508449504462007</v>
      </c>
      <c r="Y160" s="118">
        <f t="shared" si="111"/>
        <v>1.4983299220757651</v>
      </c>
      <c r="Z160" s="608">
        <f t="shared" si="102"/>
        <v>2.1698993468978669</v>
      </c>
      <c r="AA160" s="608">
        <f t="shared" si="103"/>
        <v>0</v>
      </c>
      <c r="AB160" s="608">
        <f t="shared" si="104"/>
        <v>1.6401810374269261E-2</v>
      </c>
      <c r="AC160" s="608">
        <f t="shared" si="112"/>
        <v>11.935476029794103</v>
      </c>
      <c r="AD160" s="767">
        <f t="shared" si="126"/>
        <v>0</v>
      </c>
      <c r="AE160" s="729">
        <f t="shared" si="113"/>
        <v>0.69128746351213066</v>
      </c>
      <c r="AF160" s="477">
        <f t="shared" si="114"/>
        <v>0.12553583270039148</v>
      </c>
      <c r="AG160" s="477">
        <f t="shared" si="115"/>
        <v>0.18180249715061425</v>
      </c>
      <c r="AH160" s="477">
        <f t="shared" si="116"/>
        <v>1.3742066368635827E-3</v>
      </c>
      <c r="AI160" s="477">
        <f t="shared" si="117"/>
        <v>1.3742066368635827E-3</v>
      </c>
      <c r="AJ160" s="1344">
        <f t="shared" si="118"/>
        <v>1.0013742066368636</v>
      </c>
      <c r="AK160" s="1400">
        <f t="shared" si="127"/>
        <v>3.4368803200502511</v>
      </c>
      <c r="AL160" s="608">
        <f t="shared" si="128"/>
        <v>3.9581224947343241</v>
      </c>
      <c r="AM160" s="608">
        <f t="shared" si="129"/>
        <v>0.85584213566162393</v>
      </c>
      <c r="AN160" s="1401">
        <f t="shared" si="119"/>
        <v>8.2508449504461989</v>
      </c>
      <c r="AO160" s="1402">
        <f t="shared" si="120"/>
        <v>0</v>
      </c>
    </row>
    <row r="161" spans="1:41">
      <c r="A161" s="127">
        <f>'Input data'!A141</f>
        <v>2041</v>
      </c>
      <c r="B161" s="748">
        <f>'Input data'!B141</f>
        <v>71.819000000000003</v>
      </c>
      <c r="C161" s="236">
        <f>'Input data'!C141</f>
        <v>5028.54</v>
      </c>
      <c r="D161" s="237">
        <f>'Input data'!D141</f>
        <v>19664699.523913871</v>
      </c>
      <c r="E161" s="602">
        <f>'Input data'!J141</f>
        <v>11.504772374209397</v>
      </c>
      <c r="F161" s="608">
        <f>'Input data'!L141/C121</f>
        <v>15.415390470896282</v>
      </c>
      <c r="G161" s="623">
        <f>$G$160*(1+((($G$170/$G$160)^(1/($A$170-$A$160)))-1))^(A161-$A$160)</f>
        <v>7.8017965534882725</v>
      </c>
      <c r="H161" s="623">
        <f t="shared" si="96"/>
        <v>4.4067663348220867</v>
      </c>
      <c r="I161" s="1238">
        <f t="shared" si="97"/>
        <v>3.9106180966868855</v>
      </c>
      <c r="J161" s="730">
        <f t="shared" si="131"/>
        <v>0.2</v>
      </c>
      <c r="K161" s="623">
        <f t="shared" si="122"/>
        <v>0.78212361933737717</v>
      </c>
      <c r="L161" s="608">
        <f t="shared" si="98"/>
        <v>0.96248877021284696</v>
      </c>
      <c r="M161" s="727">
        <f t="shared" si="106"/>
        <v>1.7446123895502241</v>
      </c>
      <c r="N161" s="730">
        <f t="shared" si="130"/>
        <v>0.5</v>
      </c>
      <c r="O161" s="1280">
        <f t="shared" si="99"/>
        <v>1.2888839921320325</v>
      </c>
      <c r="P161" s="779">
        <f t="shared" si="107"/>
        <v>1.8303179111089991</v>
      </c>
      <c r="Q161" s="623">
        <f t="shared" si="100"/>
        <v>10.37824497720136</v>
      </c>
      <c r="R161" s="608">
        <f t="shared" si="101"/>
        <v>2.5764484237130878</v>
      </c>
      <c r="S161" s="1240">
        <f t="shared" si="123"/>
        <v>0.35538442650760704</v>
      </c>
      <c r="T161" s="135" t="str">
        <f t="shared" si="108"/>
        <v>Policies met</v>
      </c>
      <c r="U161" s="1240">
        <f t="shared" si="109"/>
        <v>0.35538442650760704</v>
      </c>
      <c r="V161" s="135" t="str">
        <f t="shared" si="110"/>
        <v>No</v>
      </c>
      <c r="W161" s="1241">
        <f t="shared" si="124"/>
        <v>11.326773538587315</v>
      </c>
      <c r="X161" s="779">
        <f t="shared" si="125"/>
        <v>7.8017965534882725</v>
      </c>
      <c r="Y161" s="118">
        <f t="shared" si="111"/>
        <v>1.4025588699281195</v>
      </c>
      <c r="Z161" s="608">
        <f t="shared" si="102"/>
        <v>2.1064955606115214</v>
      </c>
      <c r="AA161" s="608">
        <f t="shared" si="103"/>
        <v>0</v>
      </c>
      <c r="AB161" s="608">
        <f t="shared" si="104"/>
        <v>1.5922554559401145E-2</v>
      </c>
      <c r="AC161" s="608">
        <f t="shared" si="112"/>
        <v>11.326773538587313</v>
      </c>
      <c r="AD161" s="767">
        <f t="shared" si="126"/>
        <v>0</v>
      </c>
      <c r="AE161" s="730">
        <f t="shared" si="113"/>
        <v>0.6887924903689141</v>
      </c>
      <c r="AF161" s="483">
        <f t="shared" si="114"/>
        <v>0.12382686606649047</v>
      </c>
      <c r="AG161" s="483">
        <f t="shared" si="115"/>
        <v>0.18597489862715538</v>
      </c>
      <c r="AH161" s="483">
        <f t="shared" si="116"/>
        <v>1.4057449374402363E-3</v>
      </c>
      <c r="AI161" s="483">
        <f t="shared" si="117"/>
        <v>1.4057449374402363E-3</v>
      </c>
      <c r="AJ161" s="604">
        <f t="shared" si="118"/>
        <v>1.0014057449374405</v>
      </c>
      <c r="AK161" s="1400">
        <f t="shared" si="127"/>
        <v>3.1284944773495083</v>
      </c>
      <c r="AL161" s="608">
        <f t="shared" si="128"/>
        <v>3.8424673823854083</v>
      </c>
      <c r="AM161" s="608">
        <f t="shared" si="129"/>
        <v>0.83083469375335506</v>
      </c>
      <c r="AN161" s="1401">
        <f t="shared" si="119"/>
        <v>7.8017965534882716</v>
      </c>
      <c r="AO161" s="1402">
        <f t="shared" si="120"/>
        <v>0</v>
      </c>
    </row>
    <row r="162" spans="1:41">
      <c r="A162" s="127">
        <f>'Input data'!A142</f>
        <v>2042</v>
      </c>
      <c r="B162" s="748">
        <f>'Input data'!B142</f>
        <v>72.265000000000001</v>
      </c>
      <c r="C162" s="236">
        <f>'Input data'!C142</f>
        <v>5188.1000000000004</v>
      </c>
      <c r="D162" s="237">
        <f>'Input data'!D142</f>
        <v>18383718.586317491</v>
      </c>
      <c r="E162" s="602">
        <f>'Input data'!J142</f>
        <v>11.504772374209397</v>
      </c>
      <c r="F162" s="608">
        <f>'Input data'!L142/C122</f>
        <v>15.04821189663909</v>
      </c>
      <c r="G162" s="623">
        <f t="shared" ref="G162:G169" si="133">$G$160*(1+((($G$170/$G$160)^(1/($A$170-$A$160)))-1))^(A162-$A$160)</f>
        <v>7.3771874065734053</v>
      </c>
      <c r="H162" s="623">
        <f t="shared" si="96"/>
        <v>4.486795918385889</v>
      </c>
      <c r="I162" s="1238">
        <f t="shared" si="97"/>
        <v>3.5434395224296926</v>
      </c>
      <c r="J162" s="730">
        <f t="shared" si="131"/>
        <v>0.2</v>
      </c>
      <c r="K162" s="623">
        <f t="shared" si="122"/>
        <v>0.70868790448593855</v>
      </c>
      <c r="L162" s="608">
        <f t="shared" si="98"/>
        <v>0.96248877021284696</v>
      </c>
      <c r="M162" s="727">
        <f t="shared" si="106"/>
        <v>1.6711766746987855</v>
      </c>
      <c r="N162" s="730">
        <f t="shared" si="130"/>
        <v>0.5</v>
      </c>
      <c r="O162" s="1280">
        <f t="shared" si="99"/>
        <v>1.2888839921320325</v>
      </c>
      <c r="P162" s="779">
        <f t="shared" si="107"/>
        <v>1.7794812071636881</v>
      </c>
      <c r="Q162" s="623">
        <f t="shared" si="100"/>
        <v>10.084502117795607</v>
      </c>
      <c r="R162" s="608">
        <f t="shared" si="101"/>
        <v>2.7073147112222014</v>
      </c>
      <c r="S162" s="1240">
        <f t="shared" si="123"/>
        <v>0.37343557013134793</v>
      </c>
      <c r="T162" s="135" t="str">
        <f t="shared" si="108"/>
        <v>Policies met</v>
      </c>
      <c r="U162" s="1240">
        <f t="shared" si="109"/>
        <v>0.37343557013134793</v>
      </c>
      <c r="V162" s="135" t="str">
        <f t="shared" si="110"/>
        <v>No</v>
      </c>
      <c r="W162" s="1241">
        <f t="shared" si="124"/>
        <v>10.751920665844823</v>
      </c>
      <c r="X162" s="779">
        <f t="shared" si="125"/>
        <v>7.3771874065734053</v>
      </c>
      <c r="Y162" s="118">
        <f t="shared" si="111"/>
        <v>1.3117491320493311</v>
      </c>
      <c r="Z162" s="608">
        <f t="shared" si="102"/>
        <v>2.0475074513088538</v>
      </c>
      <c r="AA162" s="608">
        <f t="shared" si="103"/>
        <v>0</v>
      </c>
      <c r="AB162" s="608">
        <f t="shared" si="104"/>
        <v>1.547667591323159E-2</v>
      </c>
      <c r="AC162" s="608">
        <f t="shared" si="112"/>
        <v>10.751920665844821</v>
      </c>
      <c r="AD162" s="767">
        <f t="shared" si="126"/>
        <v>0</v>
      </c>
      <c r="AE162" s="730">
        <f t="shared" si="113"/>
        <v>0.68612740326555877</v>
      </c>
      <c r="AF162" s="483">
        <f t="shared" si="114"/>
        <v>0.12200137750423605</v>
      </c>
      <c r="AG162" s="483">
        <f t="shared" si="115"/>
        <v>0.19043178562627286</v>
      </c>
      <c r="AH162" s="483">
        <f t="shared" si="116"/>
        <v>1.4394336039323377E-3</v>
      </c>
      <c r="AI162" s="483">
        <f t="shared" si="117"/>
        <v>1.4394336039323377E-3</v>
      </c>
      <c r="AJ162" s="604">
        <f t="shared" si="118"/>
        <v>1.0014394336039323</v>
      </c>
      <c r="AK162" s="1400">
        <f t="shared" si="127"/>
        <v>2.8347516179437542</v>
      </c>
      <c r="AL162" s="608">
        <f t="shared" si="128"/>
        <v>3.7348669249326116</v>
      </c>
      <c r="AM162" s="608">
        <f t="shared" si="129"/>
        <v>0.80756886369703929</v>
      </c>
      <c r="AN162" s="1401">
        <f t="shared" si="119"/>
        <v>7.3771874065734053</v>
      </c>
      <c r="AO162" s="1402">
        <f t="shared" si="120"/>
        <v>0</v>
      </c>
    </row>
    <row r="163" spans="1:41">
      <c r="A163" s="127">
        <f>'Input data'!A143</f>
        <v>2043</v>
      </c>
      <c r="B163" s="748">
        <f>'Input data'!B143</f>
        <v>72.713999999999999</v>
      </c>
      <c r="C163" s="236">
        <f>'Input data'!C143</f>
        <v>5353.7899999999991</v>
      </c>
      <c r="D163" s="237">
        <f>'Input data'!D143</f>
        <v>17102737.64872111</v>
      </c>
      <c r="E163" s="602">
        <f>'Input data'!J143</f>
        <v>11.504772374209397</v>
      </c>
      <c r="F163" s="608">
        <f>'Input data'!L143/C123</f>
        <v>14.699282739524643</v>
      </c>
      <c r="G163" s="623">
        <f t="shared" si="133"/>
        <v>6.9756874148906327</v>
      </c>
      <c r="H163" s="623">
        <f t="shared" si="96"/>
        <v>4.5608425535045267</v>
      </c>
      <c r="I163" s="1238">
        <f t="shared" si="97"/>
        <v>3.1945103653152467</v>
      </c>
      <c r="J163" s="730">
        <f t="shared" si="131"/>
        <v>0.2</v>
      </c>
      <c r="K163" s="623">
        <f t="shared" si="122"/>
        <v>0.63890207306304936</v>
      </c>
      <c r="L163" s="608">
        <f t="shared" si="98"/>
        <v>0.96248877021284696</v>
      </c>
      <c r="M163" s="727">
        <f t="shared" si="106"/>
        <v>1.6013908432758963</v>
      </c>
      <c r="N163" s="730">
        <f t="shared" si="130"/>
        <v>0.5</v>
      </c>
      <c r="O163" s="1280">
        <f t="shared" si="99"/>
        <v>1.2888839921320325</v>
      </c>
      <c r="P163" s="779">
        <f t="shared" si="107"/>
        <v>1.7311711762911104</v>
      </c>
      <c r="Q163" s="623">
        <f t="shared" si="100"/>
        <v>9.8053587921040481</v>
      </c>
      <c r="R163" s="608">
        <f t="shared" si="101"/>
        <v>2.8296713772134154</v>
      </c>
      <c r="S163" s="1240">
        <f t="shared" si="123"/>
        <v>0.39031293246177778</v>
      </c>
      <c r="T163" s="135" t="str">
        <f t="shared" si="108"/>
        <v>Policies met</v>
      </c>
      <c r="U163" s="1240">
        <f t="shared" si="109"/>
        <v>0.39031293246177778</v>
      </c>
      <c r="V163" s="135" t="str">
        <f t="shared" si="110"/>
        <v>No</v>
      </c>
      <c r="W163" s="1241">
        <f t="shared" si="124"/>
        <v>10.208821296841723</v>
      </c>
      <c r="X163" s="779">
        <f t="shared" si="125"/>
        <v>6.9756874148906327</v>
      </c>
      <c r="Y163" s="118">
        <f t="shared" si="111"/>
        <v>1.2257190289125899</v>
      </c>
      <c r="Z163" s="608">
        <f t="shared" si="102"/>
        <v>1.9923550623721906</v>
      </c>
      <c r="AA163" s="608">
        <f t="shared" si="103"/>
        <v>0</v>
      </c>
      <c r="AB163" s="608">
        <f t="shared" si="104"/>
        <v>1.5059790666309731E-2</v>
      </c>
      <c r="AC163" s="608">
        <f t="shared" si="112"/>
        <v>10.208821296841723</v>
      </c>
      <c r="AD163" s="767">
        <f t="shared" si="126"/>
        <v>0</v>
      </c>
      <c r="AE163" s="730">
        <f t="shared" si="113"/>
        <v>0.68329998263841518</v>
      </c>
      <c r="AF163" s="483">
        <f t="shared" si="114"/>
        <v>0.12006469633196415</v>
      </c>
      <c r="AG163" s="483">
        <f t="shared" si="115"/>
        <v>0.1951601467437343</v>
      </c>
      <c r="AH163" s="483">
        <f t="shared" si="116"/>
        <v>1.4751742858863384E-3</v>
      </c>
      <c r="AI163" s="483">
        <f t="shared" si="117"/>
        <v>1.4751742858863384E-3</v>
      </c>
      <c r="AJ163" s="604">
        <f t="shared" si="118"/>
        <v>1.0014751742858863</v>
      </c>
      <c r="AK163" s="1400">
        <f t="shared" si="127"/>
        <v>2.5556082922521974</v>
      </c>
      <c r="AL163" s="608">
        <f t="shared" si="128"/>
        <v>3.6342632210784998</v>
      </c>
      <c r="AM163" s="608">
        <f t="shared" si="129"/>
        <v>0.78581590155993597</v>
      </c>
      <c r="AN163" s="1401">
        <f t="shared" si="119"/>
        <v>6.9756874148906327</v>
      </c>
      <c r="AO163" s="1402">
        <f t="shared" si="120"/>
        <v>0</v>
      </c>
    </row>
    <row r="164" spans="1:41">
      <c r="A164" s="127">
        <f>'Input data'!A144</f>
        <v>2044</v>
      </c>
      <c r="B164" s="748">
        <f>'Input data'!B144</f>
        <v>73.165000000000006</v>
      </c>
      <c r="C164" s="236">
        <f>'Input data'!C144</f>
        <v>5526.5000000000018</v>
      </c>
      <c r="D164" s="237">
        <f>'Input data'!D144</f>
        <v>15821756.711124728</v>
      </c>
      <c r="E164" s="602">
        <f>'Input data'!J144</f>
        <v>11.504772374209397</v>
      </c>
      <c r="F164" s="608">
        <f>'Input data'!L144/C124</f>
        <v>14.367661492299458</v>
      </c>
      <c r="G164" s="623">
        <f t="shared" si="133"/>
        <v>6.5960388734201203</v>
      </c>
      <c r="H164" s="623">
        <f t="shared" si="96"/>
        <v>4.6292803855866733</v>
      </c>
      <c r="I164" s="1238">
        <f t="shared" si="97"/>
        <v>2.8628891180900613</v>
      </c>
      <c r="J164" s="730">
        <f t="shared" si="131"/>
        <v>0.2</v>
      </c>
      <c r="K164" s="623">
        <f t="shared" si="122"/>
        <v>0.57257782361801224</v>
      </c>
      <c r="L164" s="608">
        <f t="shared" si="98"/>
        <v>0.96248877021284696</v>
      </c>
      <c r="M164" s="727">
        <f t="shared" si="106"/>
        <v>1.5350665938308592</v>
      </c>
      <c r="N164" s="730">
        <f t="shared" si="130"/>
        <v>0.5</v>
      </c>
      <c r="O164" s="1280">
        <f t="shared" si="99"/>
        <v>1.2888839921320325</v>
      </c>
      <c r="P164" s="779">
        <f t="shared" si="107"/>
        <v>1.6852574646828919</v>
      </c>
      <c r="Q164" s="623">
        <f t="shared" si="100"/>
        <v>9.5400617943239023</v>
      </c>
      <c r="R164" s="608">
        <f t="shared" si="101"/>
        <v>2.944022920903782</v>
      </c>
      <c r="S164" s="1240">
        <f t="shared" si="123"/>
        <v>0.40608610199260547</v>
      </c>
      <c r="T164" s="135" t="str">
        <f t="shared" si="108"/>
        <v>Policies met</v>
      </c>
      <c r="U164" s="1240">
        <f t="shared" si="109"/>
        <v>0.40608610199260547</v>
      </c>
      <c r="V164" s="135" t="str">
        <f t="shared" si="110"/>
        <v>No</v>
      </c>
      <c r="W164" s="1241">
        <f t="shared" si="124"/>
        <v>9.6957333245445518</v>
      </c>
      <c r="X164" s="779">
        <f t="shared" si="125"/>
        <v>6.5960388734201203</v>
      </c>
      <c r="Y164" s="118">
        <f t="shared" si="111"/>
        <v>1.1442132809234677</v>
      </c>
      <c r="Z164" s="608">
        <f t="shared" si="102"/>
        <v>1.9408109902774859</v>
      </c>
      <c r="AA164" s="608">
        <f t="shared" si="103"/>
        <v>0</v>
      </c>
      <c r="AB164" s="608">
        <f t="shared" si="104"/>
        <v>1.467017992347798E-2</v>
      </c>
      <c r="AC164" s="608">
        <f t="shared" si="112"/>
        <v>9.6957333245445518</v>
      </c>
      <c r="AD164" s="767">
        <f t="shared" si="126"/>
        <v>0</v>
      </c>
      <c r="AE164" s="730">
        <f t="shared" si="113"/>
        <v>0.68030324810217113</v>
      </c>
      <c r="AF164" s="483">
        <f t="shared" si="114"/>
        <v>0.11801204123744978</v>
      </c>
      <c r="AG164" s="483">
        <f t="shared" si="115"/>
        <v>0.20017165543985851</v>
      </c>
      <c r="AH164" s="483">
        <f t="shared" si="116"/>
        <v>1.5130552205206303E-3</v>
      </c>
      <c r="AI164" s="483">
        <f t="shared" si="117"/>
        <v>1.5130552205206303E-3</v>
      </c>
      <c r="AJ164" s="604">
        <f t="shared" si="118"/>
        <v>1.0015130552205207</v>
      </c>
      <c r="AK164" s="1400">
        <f t="shared" si="127"/>
        <v>2.290311294472049</v>
      </c>
      <c r="AL164" s="608">
        <f t="shared" si="128"/>
        <v>3.5402414631016024</v>
      </c>
      <c r="AM164" s="608">
        <f t="shared" si="129"/>
        <v>0.76548611584646753</v>
      </c>
      <c r="AN164" s="1401">
        <f t="shared" si="119"/>
        <v>6.5960388734201185</v>
      </c>
      <c r="AO164" s="1402">
        <f t="shared" si="120"/>
        <v>0</v>
      </c>
    </row>
    <row r="165" spans="1:41">
      <c r="A165" s="127">
        <f>'Input data'!A145</f>
        <v>2045</v>
      </c>
      <c r="B165" s="748">
        <f>'Input data'!B145</f>
        <v>73.62</v>
      </c>
      <c r="C165" s="236">
        <f>'Input data'!C145</f>
        <v>5709.93</v>
      </c>
      <c r="D165" s="237">
        <f>'Input data'!D145</f>
        <v>14540775.773528345</v>
      </c>
      <c r="E165" s="602">
        <f>'Input data'!J145</f>
        <v>11.504772374209397</v>
      </c>
      <c r="F165" s="608">
        <f>'Input data'!L145/C125</f>
        <v>14.051349262810195</v>
      </c>
      <c r="G165" s="623">
        <f t="shared" si="133"/>
        <v>6.237052527152481</v>
      </c>
      <c r="H165" s="623">
        <f t="shared" si="96"/>
        <v>4.6914228047801059</v>
      </c>
      <c r="I165" s="1238">
        <f t="shared" si="97"/>
        <v>2.546576888600796</v>
      </c>
      <c r="J165" s="730">
        <f t="shared" si="131"/>
        <v>0.2</v>
      </c>
      <c r="K165" s="623">
        <f t="shared" si="122"/>
        <v>0.50931537772015922</v>
      </c>
      <c r="L165" s="608">
        <f t="shared" si="98"/>
        <v>0.96248877021284696</v>
      </c>
      <c r="M165" s="727">
        <f t="shared" si="106"/>
        <v>1.4718041479330062</v>
      </c>
      <c r="N165" s="730">
        <f t="shared" si="130"/>
        <v>0.5</v>
      </c>
      <c r="O165" s="1280">
        <f t="shared" si="99"/>
        <v>1.2888839921320325</v>
      </c>
      <c r="P165" s="779">
        <f t="shared" si="107"/>
        <v>1.6414633212000984</v>
      </c>
      <c r="Q165" s="623">
        <f t="shared" si="100"/>
        <v>9.2870120107324894</v>
      </c>
      <c r="R165" s="608">
        <f t="shared" si="101"/>
        <v>3.0499594835800083</v>
      </c>
      <c r="S165" s="1240">
        <f t="shared" si="123"/>
        <v>0.42069854454195821</v>
      </c>
      <c r="T165" s="135" t="str">
        <f t="shared" si="108"/>
        <v>Policies met</v>
      </c>
      <c r="U165" s="1240">
        <f t="shared" si="109"/>
        <v>0.42069854454195821</v>
      </c>
      <c r="V165" s="135" t="str">
        <f t="shared" si="110"/>
        <v>No</v>
      </c>
      <c r="W165" s="1241">
        <f t="shared" si="124"/>
        <v>9.2113082696937703</v>
      </c>
      <c r="X165" s="779">
        <f t="shared" si="125"/>
        <v>6.237052527152481</v>
      </c>
      <c r="Y165" s="118">
        <f t="shared" si="111"/>
        <v>1.0668865231664824</v>
      </c>
      <c r="Z165" s="608">
        <f t="shared" si="102"/>
        <v>1.893059979247552</v>
      </c>
      <c r="AA165" s="608">
        <f t="shared" si="103"/>
        <v>0</v>
      </c>
      <c r="AB165" s="608">
        <f t="shared" si="104"/>
        <v>1.4309240127255495E-2</v>
      </c>
      <c r="AC165" s="608">
        <f t="shared" si="112"/>
        <v>9.2113082696937703</v>
      </c>
      <c r="AD165" s="767">
        <f t="shared" si="126"/>
        <v>0</v>
      </c>
      <c r="AE165" s="730">
        <f t="shared" si="113"/>
        <v>0.67710821791439535</v>
      </c>
      <c r="AF165" s="483">
        <f t="shared" si="114"/>
        <v>0.11582356077221494</v>
      </c>
      <c r="AG165" s="483">
        <f t="shared" si="115"/>
        <v>0.2055147785549562</v>
      </c>
      <c r="AH165" s="483">
        <f t="shared" si="116"/>
        <v>1.5534427584336188E-3</v>
      </c>
      <c r="AI165" s="483">
        <f t="shared" si="117"/>
        <v>1.5534427584336188E-3</v>
      </c>
      <c r="AJ165" s="604">
        <f t="shared" si="118"/>
        <v>1.0015534427584336</v>
      </c>
      <c r="AK165" s="1400">
        <f t="shared" si="127"/>
        <v>2.0372615108806369</v>
      </c>
      <c r="AL165" s="608">
        <f t="shared" si="128"/>
        <v>3.4531386437131855</v>
      </c>
      <c r="AM165" s="608">
        <f t="shared" si="129"/>
        <v>0.74665237255865768</v>
      </c>
      <c r="AN165" s="1401">
        <f t="shared" si="119"/>
        <v>6.2370525271524802</v>
      </c>
      <c r="AO165" s="1402">
        <f t="shared" si="120"/>
        <v>0</v>
      </c>
    </row>
    <row r="166" spans="1:41">
      <c r="A166" s="127">
        <f>'Input data'!A146</f>
        <v>2046</v>
      </c>
      <c r="B166" s="748">
        <f>'Input data'!B146</f>
        <v>73.995000000000005</v>
      </c>
      <c r="C166" s="236">
        <f>'Input data'!C146</f>
        <v>5902.43</v>
      </c>
      <c r="D166" s="237">
        <f>'Input data'!D146</f>
        <v>13259794.835931966</v>
      </c>
      <c r="E166" s="602">
        <f>'Input data'!J146</f>
        <v>11.504772374209397</v>
      </c>
      <c r="F166" s="608">
        <f>'Input data'!L146/C126</f>
        <v>13.751269975355362</v>
      </c>
      <c r="G166" s="623">
        <f t="shared" si="133"/>
        <v>5.8976038457287983</v>
      </c>
      <c r="H166" s="623">
        <f t="shared" si="96"/>
        <v>4.7492614002910498</v>
      </c>
      <c r="I166" s="1238">
        <f t="shared" si="97"/>
        <v>2.2464976011459625</v>
      </c>
      <c r="J166" s="730">
        <f t="shared" si="131"/>
        <v>0.2</v>
      </c>
      <c r="K166" s="623">
        <f t="shared" si="122"/>
        <v>0.44929952022919251</v>
      </c>
      <c r="L166" s="608">
        <f t="shared" si="98"/>
        <v>0.96248877021284696</v>
      </c>
      <c r="M166" s="727">
        <f t="shared" si="106"/>
        <v>1.4117882904420394</v>
      </c>
      <c r="N166" s="730">
        <f t="shared" si="130"/>
        <v>0.5</v>
      </c>
      <c r="O166" s="1280">
        <f t="shared" si="99"/>
        <v>1.2888839921320325</v>
      </c>
      <c r="P166" s="779">
        <f t="shared" si="107"/>
        <v>1.5999166652512256</v>
      </c>
      <c r="Q166" s="623">
        <f t="shared" si="100"/>
        <v>9.046948580768623</v>
      </c>
      <c r="R166" s="608">
        <f t="shared" si="101"/>
        <v>3.1493447350398247</v>
      </c>
      <c r="S166" s="1240">
        <f t="shared" si="123"/>
        <v>0.43440732685961825</v>
      </c>
      <c r="T166" s="135" t="str">
        <f t="shared" si="108"/>
        <v>Policies met</v>
      </c>
      <c r="U166" s="1240">
        <f t="shared" si="109"/>
        <v>0.43440732685961825</v>
      </c>
      <c r="V166" s="135" t="str">
        <f t="shared" si="110"/>
        <v>No</v>
      </c>
      <c r="W166" s="1241">
        <f t="shared" si="124"/>
        <v>8.7535125621466712</v>
      </c>
      <c r="X166" s="779">
        <f t="shared" si="125"/>
        <v>5.8976038457287983</v>
      </c>
      <c r="Y166" s="118">
        <f t="shared" si="111"/>
        <v>0.99367611664147526</v>
      </c>
      <c r="Z166" s="608">
        <f t="shared" si="102"/>
        <v>1.8482619782667682</v>
      </c>
      <c r="AA166" s="608">
        <f t="shared" si="103"/>
        <v>0</v>
      </c>
      <c r="AB166" s="608">
        <f t="shared" si="104"/>
        <v>1.3970621509629945E-2</v>
      </c>
      <c r="AC166" s="608">
        <f t="shared" si="112"/>
        <v>8.7535125621466712</v>
      </c>
      <c r="AD166" s="767">
        <f t="shared" si="126"/>
        <v>0</v>
      </c>
      <c r="AE166" s="730">
        <f t="shared" si="113"/>
        <v>0.67374140424863882</v>
      </c>
      <c r="AF166" s="483">
        <f t="shared" si="114"/>
        <v>0.11351741481910785</v>
      </c>
      <c r="AG166" s="483">
        <f t="shared" si="115"/>
        <v>0.21114517916605455</v>
      </c>
      <c r="AH166" s="483">
        <f t="shared" si="116"/>
        <v>1.5960017661988542E-3</v>
      </c>
      <c r="AI166" s="483">
        <f t="shared" si="117"/>
        <v>1.5960017661988542E-3</v>
      </c>
      <c r="AJ166" s="604">
        <f t="shared" si="118"/>
        <v>1.0015960017661989</v>
      </c>
      <c r="AK166" s="1400">
        <f t="shared" si="127"/>
        <v>1.79719808091677</v>
      </c>
      <c r="AL166" s="608">
        <f t="shared" si="128"/>
        <v>3.371422422334224</v>
      </c>
      <c r="AM166" s="608">
        <f t="shared" si="129"/>
        <v>0.72898334247780305</v>
      </c>
      <c r="AN166" s="1401">
        <f t="shared" si="119"/>
        <v>5.8976038457287965</v>
      </c>
      <c r="AO166" s="1402">
        <f t="shared" si="120"/>
        <v>0</v>
      </c>
    </row>
    <row r="167" spans="1:41">
      <c r="A167" s="127">
        <f>'Input data'!A147</f>
        <v>2047</v>
      </c>
      <c r="B167" s="749">
        <f>'Input data'!B147</f>
        <v>74.373000000000005</v>
      </c>
      <c r="C167" s="605">
        <f>'Input data'!C147</f>
        <v>6104.119999999999</v>
      </c>
      <c r="D167" s="750">
        <f>'Input data'!D147</f>
        <v>11978813.898335585</v>
      </c>
      <c r="E167" s="734">
        <f>'Input data'!J147</f>
        <v>11.504772374209397</v>
      </c>
      <c r="F167" s="608">
        <f>'Input data'!L147/C127</f>
        <v>13.467186923454101</v>
      </c>
      <c r="G167" s="623">
        <f t="shared" si="133"/>
        <v>5.5766295008316487</v>
      </c>
      <c r="H167" s="623">
        <f t="shared" si="96"/>
        <v>4.8036373627046771</v>
      </c>
      <c r="I167" s="1238">
        <f t="shared" si="97"/>
        <v>1.9624145492447049</v>
      </c>
      <c r="J167" s="730">
        <f t="shared" si="131"/>
        <v>0.2</v>
      </c>
      <c r="K167" s="623">
        <f t="shared" si="122"/>
        <v>0.39248290984894102</v>
      </c>
      <c r="L167" s="608">
        <f t="shared" si="98"/>
        <v>0.96248877021284696</v>
      </c>
      <c r="M167" s="727">
        <f t="shared" si="106"/>
        <v>1.3549716800617879</v>
      </c>
      <c r="N167" s="730">
        <f t="shared" si="130"/>
        <v>0.5</v>
      </c>
      <c r="O167" s="1280">
        <f t="shared" si="99"/>
        <v>1.2888839921320325</v>
      </c>
      <c r="P167" s="779">
        <f t="shared" si="107"/>
        <v>1.5605847242887096</v>
      </c>
      <c r="Q167" s="623">
        <f t="shared" si="100"/>
        <v>8.8196821392476163</v>
      </c>
      <c r="R167" s="608">
        <f t="shared" si="101"/>
        <v>3.2430526384159677</v>
      </c>
      <c r="S167" s="1240">
        <f t="shared" si="123"/>
        <v>0.44733299973319618</v>
      </c>
      <c r="T167" s="135" t="str">
        <f t="shared" si="108"/>
        <v>Policies met</v>
      </c>
      <c r="U167" s="1240">
        <f t="shared" si="109"/>
        <v>0.44733299973319618</v>
      </c>
      <c r="V167" s="135" t="str">
        <f t="shared" si="110"/>
        <v>No</v>
      </c>
      <c r="W167" s="1241">
        <f t="shared" si="124"/>
        <v>8.3207225860514065</v>
      </c>
      <c r="X167" s="779">
        <f t="shared" si="125"/>
        <v>5.5766295008316487</v>
      </c>
      <c r="Y167" s="118">
        <f t="shared" si="111"/>
        <v>0.92441869127296017</v>
      </c>
      <c r="Z167" s="608">
        <f t="shared" si="102"/>
        <v>1.8060230475834871</v>
      </c>
      <c r="AA167" s="608">
        <f t="shared" si="103"/>
        <v>0</v>
      </c>
      <c r="AB167" s="608">
        <f t="shared" si="104"/>
        <v>1.3651346363310593E-2</v>
      </c>
      <c r="AC167" s="608">
        <f t="shared" si="112"/>
        <v>8.3207225860514065</v>
      </c>
      <c r="AD167" s="767">
        <f t="shared" si="126"/>
        <v>0</v>
      </c>
      <c r="AE167" s="730">
        <f t="shared" si="113"/>
        <v>0.67020976161134516</v>
      </c>
      <c r="AF167" s="483">
        <f t="shared" si="114"/>
        <v>0.11109836696426174</v>
      </c>
      <c r="AG167" s="483">
        <f t="shared" si="115"/>
        <v>0.21705122709066715</v>
      </c>
      <c r="AH167" s="483">
        <f t="shared" si="116"/>
        <v>1.6406443337259283E-3</v>
      </c>
      <c r="AI167" s="483">
        <f t="shared" si="117"/>
        <v>1.6406443337259283E-3</v>
      </c>
      <c r="AJ167" s="604">
        <f t="shared" si="118"/>
        <v>1.001640644333726</v>
      </c>
      <c r="AK167" s="1400">
        <f t="shared" si="127"/>
        <v>1.5699316393957639</v>
      </c>
      <c r="AL167" s="608">
        <f t="shared" si="128"/>
        <v>3.2943742118123707</v>
      </c>
      <c r="AM167" s="608">
        <f t="shared" si="129"/>
        <v>0.71232364962351324</v>
      </c>
      <c r="AN167" s="1401">
        <f t="shared" si="119"/>
        <v>5.5766295008316487</v>
      </c>
      <c r="AO167" s="1402">
        <f t="shared" si="120"/>
        <v>0</v>
      </c>
    </row>
    <row r="168" spans="1:41">
      <c r="A168" s="127">
        <f>'Input data'!A148</f>
        <v>2048</v>
      </c>
      <c r="B168" s="748">
        <f>'Input data'!B148</f>
        <v>74.753</v>
      </c>
      <c r="C168" s="236">
        <f>'Input data'!C148</f>
        <v>6308.13</v>
      </c>
      <c r="D168" s="237">
        <f>'Input data'!D148</f>
        <v>10697832.960739207</v>
      </c>
      <c r="E168" s="602">
        <f>'Input data'!J148</f>
        <v>11.504772374209397</v>
      </c>
      <c r="F168" s="608">
        <f>'Input data'!L148/C128</f>
        <v>13.200652605076423</v>
      </c>
      <c r="G168" s="623">
        <f t="shared" si="133"/>
        <v>5.2731240352924704</v>
      </c>
      <c r="H168" s="623">
        <f t="shared" si="96"/>
        <v>4.857013094420326</v>
      </c>
      <c r="I168" s="1238">
        <f t="shared" si="97"/>
        <v>1.6958802308670249</v>
      </c>
      <c r="J168" s="730">
        <f t="shared" si="131"/>
        <v>0.2</v>
      </c>
      <c r="K168" s="623">
        <f t="shared" si="122"/>
        <v>0.33917604617340502</v>
      </c>
      <c r="L168" s="608">
        <f t="shared" si="98"/>
        <v>0.96248877021284696</v>
      </c>
      <c r="M168" s="727">
        <f t="shared" si="106"/>
        <v>1.3016648163862521</v>
      </c>
      <c r="N168" s="730">
        <f t="shared" si="130"/>
        <v>0.5</v>
      </c>
      <c r="O168" s="1280">
        <f t="shared" si="99"/>
        <v>1.2888839921320325</v>
      </c>
      <c r="P168" s="779">
        <f t="shared" si="107"/>
        <v>1.5236824451673239</v>
      </c>
      <c r="Q168" s="623">
        <f t="shared" si="100"/>
        <v>8.6064546845454721</v>
      </c>
      <c r="R168" s="608">
        <f t="shared" si="101"/>
        <v>3.3333306492530017</v>
      </c>
      <c r="S168" s="1240">
        <f t="shared" si="123"/>
        <v>0.45978556769934609</v>
      </c>
      <c r="T168" s="135" t="str">
        <f t="shared" si="108"/>
        <v>Policies met</v>
      </c>
      <c r="U168" s="1240">
        <f t="shared" si="109"/>
        <v>0.45978556769934609</v>
      </c>
      <c r="V168" s="135" t="str">
        <f t="shared" si="110"/>
        <v>No</v>
      </c>
      <c r="W168" s="1241">
        <f t="shared" si="124"/>
        <v>7.9109243077488003</v>
      </c>
      <c r="X168" s="779">
        <f t="shared" si="125"/>
        <v>5.2731240352924704</v>
      </c>
      <c r="Y168" s="118">
        <f t="shared" si="111"/>
        <v>0.85912637076969267</v>
      </c>
      <c r="Z168" s="608">
        <f t="shared" si="102"/>
        <v>1.765330144374847</v>
      </c>
      <c r="AA168" s="608">
        <f t="shared" si="103"/>
        <v>0</v>
      </c>
      <c r="AB168" s="608">
        <f t="shared" si="104"/>
        <v>1.3343757311790397E-2</v>
      </c>
      <c r="AC168" s="608">
        <f t="shared" si="112"/>
        <v>7.9109243077488003</v>
      </c>
      <c r="AD168" s="767">
        <f t="shared" si="126"/>
        <v>0</v>
      </c>
      <c r="AE168" s="730">
        <f t="shared" si="113"/>
        <v>0.66656231688722034</v>
      </c>
      <c r="AF168" s="483">
        <f t="shared" si="114"/>
        <v>0.10859999885578137</v>
      </c>
      <c r="AG168" s="483">
        <f t="shared" si="115"/>
        <v>0.22315093353196352</v>
      </c>
      <c r="AH168" s="483">
        <f t="shared" si="116"/>
        <v>1.6867507250347602E-3</v>
      </c>
      <c r="AI168" s="483">
        <f t="shared" si="117"/>
        <v>1.6867507250347602E-3</v>
      </c>
      <c r="AJ168" s="604">
        <f t="shared" si="118"/>
        <v>1.0016867507250347</v>
      </c>
      <c r="AK168" s="1400">
        <f t="shared" si="127"/>
        <v>1.3567041846936199</v>
      </c>
      <c r="AL168" s="608">
        <f t="shared" si="128"/>
        <v>3.2201461164878431</v>
      </c>
      <c r="AM168" s="608">
        <f t="shared" si="129"/>
        <v>0.69627373411100646</v>
      </c>
      <c r="AN168" s="1401">
        <f t="shared" si="119"/>
        <v>5.2731240352924695</v>
      </c>
      <c r="AO168" s="1402">
        <f t="shared" si="120"/>
        <v>0</v>
      </c>
    </row>
    <row r="169" spans="1:41">
      <c r="A169" s="127">
        <f>'Input data'!A149</f>
        <v>2049</v>
      </c>
      <c r="B169" s="748">
        <f>'Input data'!B149</f>
        <v>75.134</v>
      </c>
      <c r="C169" s="236">
        <f>'Input data'!C149</f>
        <v>6522.2000000000007</v>
      </c>
      <c r="D169" s="237">
        <f>'Input data'!D149</f>
        <v>9416852.0231428221</v>
      </c>
      <c r="E169" s="602">
        <f>'Input data'!J149</f>
        <v>11.504772374209397</v>
      </c>
      <c r="F169" s="608">
        <f>'Input data'!L149/C129</f>
        <v>12.948587654811467</v>
      </c>
      <c r="G169" s="623">
        <f t="shared" si="133"/>
        <v>4.9861367134812236</v>
      </c>
      <c r="H169" s="623">
        <f t="shared" si="96"/>
        <v>4.9074494936345294</v>
      </c>
      <c r="I169" s="1238">
        <f t="shared" si="97"/>
        <v>1.4438152806020701</v>
      </c>
      <c r="J169" s="730">
        <f t="shared" si="131"/>
        <v>0.2</v>
      </c>
      <c r="K169" s="623">
        <f t="shared" si="122"/>
        <v>0.28876305612041403</v>
      </c>
      <c r="L169" s="608">
        <f t="shared" si="98"/>
        <v>0.96248877021284696</v>
      </c>
      <c r="M169" s="727">
        <f t="shared" si="106"/>
        <v>1.251251826333261</v>
      </c>
      <c r="N169" s="730">
        <f t="shared" si="130"/>
        <v>0.5</v>
      </c>
      <c r="O169" s="1280">
        <f t="shared" si="99"/>
        <v>1.2888839921320325</v>
      </c>
      <c r="P169" s="779">
        <f t="shared" si="107"/>
        <v>1.4887834827822439</v>
      </c>
      <c r="Q169" s="623">
        <f t="shared" si="100"/>
        <v>8.4048027243335088</v>
      </c>
      <c r="R169" s="608">
        <f t="shared" si="101"/>
        <v>3.4186660108522853</v>
      </c>
      <c r="S169" s="1240">
        <f t="shared" si="123"/>
        <v>0.47155636748080432</v>
      </c>
      <c r="T169" s="135" t="str">
        <f t="shared" si="108"/>
        <v>Policies met</v>
      </c>
      <c r="U169" s="1240">
        <f t="shared" si="109"/>
        <v>0.47155636748080432</v>
      </c>
      <c r="V169" s="135" t="str">
        <f t="shared" si="110"/>
        <v>No</v>
      </c>
      <c r="W169" s="1241">
        <f t="shared" si="124"/>
        <v>7.5234389853357753</v>
      </c>
      <c r="X169" s="779">
        <f t="shared" si="125"/>
        <v>4.9861367134812236</v>
      </c>
      <c r="Y169" s="118">
        <f t="shared" si="111"/>
        <v>0.79738411811062426</v>
      </c>
      <c r="Z169" s="608">
        <f t="shared" si="102"/>
        <v>1.7268651452279076</v>
      </c>
      <c r="AA169" s="608">
        <f t="shared" si="103"/>
        <v>0</v>
      </c>
      <c r="AB169" s="608">
        <f t="shared" si="104"/>
        <v>1.3053008516019536E-2</v>
      </c>
      <c r="AC169" s="608">
        <f t="shared" si="112"/>
        <v>7.5234389853357744</v>
      </c>
      <c r="AD169" s="767">
        <f t="shared" si="126"/>
        <v>0</v>
      </c>
      <c r="AE169" s="730">
        <f t="shared" si="113"/>
        <v>0.66274701279559722</v>
      </c>
      <c r="AF169" s="483">
        <f t="shared" si="114"/>
        <v>0.10598665313360506</v>
      </c>
      <c r="AG169" s="483">
        <f t="shared" si="115"/>
        <v>0.22953135508825248</v>
      </c>
      <c r="AH169" s="483">
        <f t="shared" si="116"/>
        <v>1.7349789825453039E-3</v>
      </c>
      <c r="AI169" s="483">
        <f t="shared" si="117"/>
        <v>1.7349789825453039E-3</v>
      </c>
      <c r="AJ169" s="604">
        <f t="shared" si="118"/>
        <v>1.0017349789825456</v>
      </c>
      <c r="AK169" s="1400">
        <f t="shared" si="127"/>
        <v>1.1550522244816561</v>
      </c>
      <c r="AL169" s="608">
        <f t="shared" si="128"/>
        <v>3.149981950301473</v>
      </c>
      <c r="AM169" s="608">
        <f t="shared" si="129"/>
        <v>0.68110253869809367</v>
      </c>
      <c r="AN169" s="1401">
        <f t="shared" si="119"/>
        <v>4.9861367134812227</v>
      </c>
      <c r="AO169" s="1402">
        <f t="shared" si="120"/>
        <v>0</v>
      </c>
    </row>
    <row r="170" spans="1:41" ht="15" thickBot="1">
      <c r="A170" s="172">
        <f>'Input data'!A150</f>
        <v>2050</v>
      </c>
      <c r="B170" s="751">
        <f>'Input data'!B150</f>
        <v>75.518000000000001</v>
      </c>
      <c r="C170" s="239">
        <f>'Input data'!C150</f>
        <v>6747.1300000000019</v>
      </c>
      <c r="D170" s="240">
        <f>'Input data'!D150</f>
        <v>8135871.0855464395</v>
      </c>
      <c r="E170" s="735">
        <f>'Input data'!J150</f>
        <v>11.504772374209397</v>
      </c>
      <c r="F170" s="739">
        <f>'Input data'!L150/C130</f>
        <v>12.710599308853674</v>
      </c>
      <c r="G170" s="769">
        <f>G137*(1-$C$6)</f>
        <v>4.7147685431121138</v>
      </c>
      <c r="H170" s="769">
        <f t="shared" si="96"/>
        <v>4.9554769625515513</v>
      </c>
      <c r="I170" s="1239">
        <f t="shared" si="97"/>
        <v>1.2058269346442765</v>
      </c>
      <c r="J170" s="731">
        <f t="shared" si="131"/>
        <v>0.2</v>
      </c>
      <c r="K170" s="769">
        <f t="shared" si="122"/>
        <v>0.24116538692885531</v>
      </c>
      <c r="L170" s="739">
        <f t="shared" si="98"/>
        <v>0.96248877021284696</v>
      </c>
      <c r="M170" s="736">
        <f t="shared" si="106"/>
        <v>1.2036541571417023</v>
      </c>
      <c r="N170" s="731">
        <f t="shared" si="130"/>
        <v>0.5</v>
      </c>
      <c r="O170" s="1281">
        <f t="shared" si="99"/>
        <v>1.2888839921320325</v>
      </c>
      <c r="P170" s="780">
        <f t="shared" si="107"/>
        <v>1.4558334580963914</v>
      </c>
      <c r="Q170" s="769">
        <f t="shared" si="100"/>
        <v>8.2144120475672739</v>
      </c>
      <c r="R170" s="739">
        <f t="shared" si="101"/>
        <v>3.4996435044551601</v>
      </c>
      <c r="S170" s="1249">
        <f t="shared" si="123"/>
        <v>0.48272606133503143</v>
      </c>
      <c r="T170" s="1267" t="str">
        <f t="shared" si="108"/>
        <v>Policies met</v>
      </c>
      <c r="U170" s="1249">
        <f t="shared" si="109"/>
        <v>0.48272606133503143</v>
      </c>
      <c r="V170" s="1267" t="str">
        <f t="shared" si="110"/>
        <v>No</v>
      </c>
      <c r="W170" s="1242">
        <f t="shared" si="124"/>
        <v>7.1569458540954924</v>
      </c>
      <c r="X170" s="780">
        <f t="shared" si="125"/>
        <v>4.7147685431121138</v>
      </c>
      <c r="Y170" s="121">
        <f t="shared" si="111"/>
        <v>0.73903574401765648</v>
      </c>
      <c r="Z170" s="739">
        <f t="shared" si="102"/>
        <v>1.6903644594162932</v>
      </c>
      <c r="AA170" s="739">
        <f t="shared" si="103"/>
        <v>0</v>
      </c>
      <c r="AB170" s="739">
        <f t="shared" si="104"/>
        <v>1.2777107549429192E-2</v>
      </c>
      <c r="AC170" s="739">
        <f t="shared" si="112"/>
        <v>7.1569458540954933</v>
      </c>
      <c r="AD170" s="767">
        <f t="shared" si="126"/>
        <v>0</v>
      </c>
      <c r="AE170" s="731">
        <f t="shared" si="113"/>
        <v>0.65876822868711982</v>
      </c>
      <c r="AF170" s="732">
        <f t="shared" si="114"/>
        <v>0.10326132949500386</v>
      </c>
      <c r="AG170" s="732">
        <f t="shared" si="115"/>
        <v>0.23618516806984063</v>
      </c>
      <c r="AH170" s="732">
        <f t="shared" si="116"/>
        <v>1.7852737480356395E-3</v>
      </c>
      <c r="AI170" s="732">
        <f>AB170/AC170</f>
        <v>1.7852737480356395E-3</v>
      </c>
      <c r="AJ170" s="733">
        <f t="shared" si="118"/>
        <v>1.0017852737480355</v>
      </c>
      <c r="AK170" s="1403">
        <f t="shared" si="127"/>
        <v>0.96466154771542123</v>
      </c>
      <c r="AL170" s="739">
        <f t="shared" si="128"/>
        <v>3.0834008963043265</v>
      </c>
      <c r="AM170" s="739">
        <f t="shared" si="129"/>
        <v>0.66670609909236478</v>
      </c>
      <c r="AN170" s="1404">
        <f t="shared" si="119"/>
        <v>4.7147685431121129</v>
      </c>
      <c r="AO170" s="1405">
        <f t="shared" si="120"/>
        <v>0</v>
      </c>
    </row>
    <row r="172" spans="1:41" ht="23.4">
      <c r="A172" s="783" t="s">
        <v>738</v>
      </c>
    </row>
    <row r="173" spans="1:41" ht="24" thickBot="1">
      <c r="A173" s="783"/>
    </row>
    <row r="174" spans="1:41" ht="21.6" customHeight="1" thickBot="1">
      <c r="A174" s="1793" t="s">
        <v>687</v>
      </c>
      <c r="B174" s="1794"/>
      <c r="C174" s="1794"/>
      <c r="D174" s="1795"/>
      <c r="E174" s="1796" t="s">
        <v>689</v>
      </c>
      <c r="F174" s="1797"/>
      <c r="G174" s="1797"/>
      <c r="H174" s="1797"/>
      <c r="I174" s="1798"/>
      <c r="J174" s="1799" t="s">
        <v>690</v>
      </c>
      <c r="K174" s="1800"/>
      <c r="L174" s="1801"/>
      <c r="M174" s="1802" t="s">
        <v>697</v>
      </c>
      <c r="N174" s="1804" t="s">
        <v>695</v>
      </c>
      <c r="O174" s="1805"/>
      <c r="P174" s="1791" t="s">
        <v>674</v>
      </c>
      <c r="Q174" s="1787" t="s">
        <v>680</v>
      </c>
      <c r="R174" s="1787" t="s">
        <v>661</v>
      </c>
      <c r="S174" s="1787" t="s">
        <v>726</v>
      </c>
      <c r="T174" s="1771" t="s">
        <v>728</v>
      </c>
      <c r="U174" s="1787" t="s">
        <v>727</v>
      </c>
      <c r="V174" s="1771" t="s">
        <v>730</v>
      </c>
      <c r="W174" s="1822" t="s">
        <v>729</v>
      </c>
      <c r="X174" s="1266" t="s">
        <v>672</v>
      </c>
      <c r="Y174" s="1256"/>
      <c r="Z174" s="1256"/>
      <c r="AA174" s="1256"/>
      <c r="AB174" s="1256"/>
      <c r="AC174" s="1256"/>
      <c r="AD174" s="1256"/>
      <c r="AE174" s="1256"/>
      <c r="AF174" s="1256"/>
      <c r="AG174" s="1256"/>
      <c r="AH174" s="1256"/>
      <c r="AI174" s="1256"/>
      <c r="AJ174" s="1256"/>
      <c r="AK174" s="1746" t="s">
        <v>850</v>
      </c>
      <c r="AL174" s="1747"/>
      <c r="AM174" s="1747"/>
      <c r="AN174" s="1747"/>
      <c r="AO174" s="1748"/>
    </row>
    <row r="175" spans="1:41" ht="58.95" customHeight="1">
      <c r="A175" s="1789" t="s">
        <v>217</v>
      </c>
      <c r="B175" s="802" t="s">
        <v>218</v>
      </c>
      <c r="C175" s="802" t="s">
        <v>464</v>
      </c>
      <c r="D175" s="535" t="s">
        <v>722</v>
      </c>
      <c r="E175" s="804" t="s">
        <v>551</v>
      </c>
      <c r="F175" s="803" t="s">
        <v>555</v>
      </c>
      <c r="G175" s="803" t="s">
        <v>676</v>
      </c>
      <c r="H175" s="805" t="s">
        <v>679</v>
      </c>
      <c r="I175" s="805" t="s">
        <v>718</v>
      </c>
      <c r="J175" s="582" t="s">
        <v>367</v>
      </c>
      <c r="K175" s="1273" t="s">
        <v>367</v>
      </c>
      <c r="L175" s="806" t="s">
        <v>692</v>
      </c>
      <c r="M175" s="1803"/>
      <c r="N175" s="587" t="s">
        <v>693</v>
      </c>
      <c r="O175" s="639" t="s">
        <v>694</v>
      </c>
      <c r="P175" s="1792"/>
      <c r="Q175" s="1788"/>
      <c r="R175" s="1788"/>
      <c r="S175" s="1788"/>
      <c r="T175" s="1772"/>
      <c r="U175" s="1788"/>
      <c r="V175" s="1772"/>
      <c r="W175" s="1823"/>
      <c r="X175" s="818" t="s">
        <v>549</v>
      </c>
      <c r="Y175" s="819" t="s">
        <v>565</v>
      </c>
      <c r="Z175" s="819" t="s">
        <v>428</v>
      </c>
      <c r="AA175" s="819" t="s">
        <v>429</v>
      </c>
      <c r="AB175" s="819" t="s">
        <v>553</v>
      </c>
      <c r="AC175" s="819" t="s">
        <v>225</v>
      </c>
      <c r="AD175" s="823" t="s">
        <v>708</v>
      </c>
      <c r="AE175" s="1247" t="s">
        <v>549</v>
      </c>
      <c r="AF175" s="819" t="s">
        <v>565</v>
      </c>
      <c r="AG175" s="819" t="s">
        <v>428</v>
      </c>
      <c r="AH175" s="819" t="s">
        <v>429</v>
      </c>
      <c r="AI175" s="819" t="s">
        <v>553</v>
      </c>
      <c r="AJ175" s="831" t="s">
        <v>225</v>
      </c>
      <c r="AK175" s="189" t="s">
        <v>851</v>
      </c>
      <c r="AL175" s="822" t="s">
        <v>569</v>
      </c>
      <c r="AM175" s="822" t="s">
        <v>852</v>
      </c>
      <c r="AN175" s="822" t="s">
        <v>225</v>
      </c>
      <c r="AO175" s="1399" t="s">
        <v>708</v>
      </c>
    </row>
    <row r="176" spans="1:41" ht="61.2" customHeight="1" thickBot="1">
      <c r="A176" s="1790"/>
      <c r="B176" s="1303" t="s">
        <v>232</v>
      </c>
      <c r="C176" s="1304" t="s">
        <v>558</v>
      </c>
      <c r="D176" s="1305" t="s">
        <v>556</v>
      </c>
      <c r="E176" s="1306" t="s">
        <v>688</v>
      </c>
      <c r="F176" s="1307" t="s">
        <v>688</v>
      </c>
      <c r="G176" s="1307" t="str">
        <f>F176</f>
        <v>Gg/GDP ZAR billion</v>
      </c>
      <c r="H176" s="1308" t="str">
        <f>G176</f>
        <v>Gg/GDP ZAR billion</v>
      </c>
      <c r="I176" s="1308" t="s">
        <v>691</v>
      </c>
      <c r="J176" s="807" t="s">
        <v>229</v>
      </c>
      <c r="K176" s="1285" t="s">
        <v>691</v>
      </c>
      <c r="L176" s="1285" t="s">
        <v>691</v>
      </c>
      <c r="M176" s="1286" t="s">
        <v>691</v>
      </c>
      <c r="N176" s="786" t="s">
        <v>229</v>
      </c>
      <c r="O176" s="634" t="s">
        <v>691</v>
      </c>
      <c r="P176" s="1288" t="s">
        <v>691</v>
      </c>
      <c r="Q176" s="1289" t="s">
        <v>691</v>
      </c>
      <c r="R176" s="1289" t="s">
        <v>691</v>
      </c>
      <c r="S176" s="1290" t="s">
        <v>28</v>
      </c>
      <c r="T176" s="1773"/>
      <c r="U176" s="1284" t="s">
        <v>28</v>
      </c>
      <c r="V176" s="1773"/>
      <c r="W176" s="1253" t="s">
        <v>691</v>
      </c>
      <c r="X176" s="191" t="s">
        <v>691</v>
      </c>
      <c r="Y176" s="1254" t="s">
        <v>691</v>
      </c>
      <c r="Z176" s="1254" t="s">
        <v>691</v>
      </c>
      <c r="AA176" s="1254" t="s">
        <v>691</v>
      </c>
      <c r="AB176" s="1254" t="s">
        <v>691</v>
      </c>
      <c r="AC176" s="1254" t="s">
        <v>691</v>
      </c>
      <c r="AD176" s="1255" t="s">
        <v>669</v>
      </c>
      <c r="AE176" s="1248" t="s">
        <v>229</v>
      </c>
      <c r="AF176" s="821" t="s">
        <v>229</v>
      </c>
      <c r="AG176" s="821" t="s">
        <v>229</v>
      </c>
      <c r="AH176" s="821" t="s">
        <v>229</v>
      </c>
      <c r="AI176" s="821" t="s">
        <v>229</v>
      </c>
      <c r="AJ176" s="1389" t="s">
        <v>229</v>
      </c>
      <c r="AK176" s="191" t="s">
        <v>691</v>
      </c>
      <c r="AL176" s="1254" t="s">
        <v>691</v>
      </c>
      <c r="AM176" s="1254" t="s">
        <v>691</v>
      </c>
      <c r="AN176" s="1254" t="s">
        <v>691</v>
      </c>
      <c r="AO176" s="1255" t="s">
        <v>669</v>
      </c>
    </row>
    <row r="177" spans="1:41" ht="15" customHeight="1">
      <c r="A177" s="852">
        <f>'Input data'!A117</f>
        <v>2017</v>
      </c>
      <c r="B177" s="853">
        <f>'Input data'!B117</f>
        <v>56.521999999999998</v>
      </c>
      <c r="C177" s="854">
        <f>'Input data'!C117</f>
        <v>3120.54</v>
      </c>
      <c r="D177" s="116">
        <f>'Input data'!E117</f>
        <v>49995051</v>
      </c>
      <c r="E177" s="738">
        <f>'Input data'!J117</f>
        <v>11.504772374209397</v>
      </c>
      <c r="F177" s="738">
        <f>'Input data'!L117/C97</f>
        <v>27.526054267727826</v>
      </c>
      <c r="G177" s="771">
        <f>F137*B11</f>
        <v>23.573842715560573</v>
      </c>
      <c r="H177" s="771">
        <f t="shared" ref="H177:H210" si="134">E177*$B$12+I177*$E$80-G177</f>
        <v>0</v>
      </c>
      <c r="I177" s="1309">
        <f t="shared" ref="I177:I210" si="135">D177/1000/C177</f>
        <v>16.021281893518431</v>
      </c>
      <c r="J177" s="730">
        <f>H17</f>
        <v>6.154773859516615E-2</v>
      </c>
      <c r="K177" s="771">
        <f>(I177)*J177</f>
        <v>0.98607366994174095</v>
      </c>
      <c r="L177" s="738">
        <f t="shared" ref="L177:L210" si="136">(E177)*$C$12*$G$12</f>
        <v>0.96248877021284696</v>
      </c>
      <c r="M177" s="1310">
        <f>L177+K177</f>
        <v>1.9485624401545878</v>
      </c>
      <c r="N177" s="730">
        <v>0</v>
      </c>
      <c r="O177" s="1280">
        <f t="shared" ref="O177:O210" si="137">N177*E177*($C$85)*$B$12</f>
        <v>0</v>
      </c>
      <c r="P177" s="1291">
        <f>O177+(K177-I177*$J$137)</f>
        <v>0</v>
      </c>
      <c r="Q177" s="771">
        <f t="shared" ref="Q177:Q210" si="138">E177*$B$12+I177*(1-$H$80)-P177</f>
        <v>23.573842715560573</v>
      </c>
      <c r="R177" s="738">
        <f t="shared" ref="R177:R210" si="139">Q177-G177</f>
        <v>0</v>
      </c>
      <c r="S177" s="1292">
        <f>R177/(Q177-(I177-K177))</f>
        <v>0</v>
      </c>
      <c r="T177" s="135" t="str">
        <f>IF(AND(S177&gt;=0,S177&lt;=0.85),"Policies met","Policies not met")</f>
        <v>Policies met</v>
      </c>
      <c r="U177" s="1240">
        <f>IF(S177&lt;=0,0,IF(S177&gt;=0.85,0.85,S177))</f>
        <v>0</v>
      </c>
      <c r="V177" s="135" t="str">
        <f>IF(AND(S177&gt;=0,S177&lt;=0.85),"No","Yes")</f>
        <v>No</v>
      </c>
      <c r="W177" s="1241">
        <f t="shared" ref="W177:W210" si="140">($E$137)*(1-U177)+I177</f>
        <v>27.526054267727829</v>
      </c>
      <c r="X177" s="623">
        <f>Q177-R177</f>
        <v>23.573842715560573</v>
      </c>
      <c r="Y177" s="118">
        <f>(L177)*(1-U177)+K177</f>
        <v>1.9485624401545878</v>
      </c>
      <c r="Z177" s="608">
        <f t="shared" ref="Z177:Z210" si="141">($C$12*$H$12*$E$177+O177)*(1-U177)</f>
        <v>1.9789482589551808</v>
      </c>
      <c r="AA177" s="608">
        <f t="shared" ref="AA177:AA210" si="142">$F$137*$D$11*(1-U177)</f>
        <v>0</v>
      </c>
      <c r="AB177" s="608">
        <f t="shared" ref="AB177:AB210" si="143">$E$137*$E$12*(1-U177)</f>
        <v>2.4700853057483641E-2</v>
      </c>
      <c r="AC177" s="608">
        <f>SUM(X177:AB177)</f>
        <v>27.526054267727829</v>
      </c>
      <c r="AD177" s="609">
        <f t="shared" ref="AD177:AD195" si="144">AC177-W177</f>
        <v>0</v>
      </c>
      <c r="AE177" s="809">
        <f>X177/AC177</f>
        <v>0.85641924869700925</v>
      </c>
      <c r="AF177" s="728">
        <f>Y177/AC177</f>
        <v>7.0789747822270571E-2</v>
      </c>
      <c r="AG177" s="728">
        <f>Z177/AC177</f>
        <v>7.1893640828694608E-2</v>
      </c>
      <c r="AH177" s="728">
        <f>AB177/AC177</f>
        <v>8.9736265202541149E-4</v>
      </c>
      <c r="AI177" s="728">
        <f>AB177/AC177</f>
        <v>8.9736265202541149E-4</v>
      </c>
      <c r="AJ177" s="825">
        <f>SUM(AE177:AI177)</f>
        <v>1.0008973626520252</v>
      </c>
      <c r="AK177" s="1400">
        <f>(I177-K177)</f>
        <v>15.03520822357669</v>
      </c>
      <c r="AL177" s="608">
        <f>E177*C86*B12</f>
        <v>5.9608665077198184</v>
      </c>
      <c r="AM177" s="608">
        <f>(E177*($C$85)*$B$12-O177)</f>
        <v>2.5777679842640651</v>
      </c>
      <c r="AN177" s="1401">
        <f>SUM(AK177:AM177)</f>
        <v>23.573842715560573</v>
      </c>
      <c r="AO177" s="1402">
        <f>AN177-X177</f>
        <v>0</v>
      </c>
    </row>
    <row r="178" spans="1:41">
      <c r="A178" s="127">
        <f>'Input data'!A118</f>
        <v>2018</v>
      </c>
      <c r="B178" s="748">
        <f>'Input data'!B118</f>
        <v>57.436</v>
      </c>
      <c r="C178" s="236">
        <f>'Input data'!C118</f>
        <v>3152.24</v>
      </c>
      <c r="D178" s="130">
        <f>'Input data'!E118</f>
        <v>50172070.130067617</v>
      </c>
      <c r="E178" s="608">
        <f>'Input data'!J118</f>
        <v>11.504772374209397</v>
      </c>
      <c r="F178" s="608">
        <f>'Input data'!L118/C98</f>
        <v>27.421095411182346</v>
      </c>
      <c r="G178" s="623">
        <f>$G$137*(1+((($G$150/$G$137)^(1/($A$150-$A$137)))-1))^(A178-$A$137)</f>
        <v>22.34983020519125</v>
      </c>
      <c r="H178" s="623">
        <f t="shared" si="134"/>
        <v>1.1255136340897565</v>
      </c>
      <c r="I178" s="1238">
        <f t="shared" si="135"/>
        <v>15.916323036972953</v>
      </c>
      <c r="J178" s="730">
        <f t="shared" ref="J178:J188" si="145">$J$137*(1+((($J$150/$J$137)^(1/($A$150-$A$137)))-1))^(A178-$A$137)</f>
        <v>6.7388021833337503E-2</v>
      </c>
      <c r="K178" s="623">
        <f>(I178)*J178</f>
        <v>1.0725695243219859</v>
      </c>
      <c r="L178" s="608">
        <f t="shared" si="136"/>
        <v>0.96248877021284696</v>
      </c>
      <c r="M178" s="727">
        <f t="shared" ref="M178:M210" si="146">L178+K178</f>
        <v>2.0350582945348328</v>
      </c>
      <c r="N178" s="730">
        <f>($N$142-$N$137)/($A$102-$A$97)+N177</f>
        <v>0.05</v>
      </c>
      <c r="O178" s="1280">
        <f t="shared" si="137"/>
        <v>0.12888839921320328</v>
      </c>
      <c r="P178" s="779">
        <f t="shared" ref="P178:P210" si="147">O178+(K178-I178*$J$137)</f>
        <v>0.22184423385935692</v>
      </c>
      <c r="Q178" s="623">
        <f t="shared" si="138"/>
        <v>23.253499605421649</v>
      </c>
      <c r="R178" s="608">
        <f t="shared" si="139"/>
        <v>0.90366940023039888</v>
      </c>
      <c r="S178" s="1240">
        <f>R178/(Q178-(I178-K178))</f>
        <v>0.10745501591388418</v>
      </c>
      <c r="T178" s="135" t="str">
        <f t="shared" ref="T178:T210" si="148">IF(AND(S178&gt;=0,S178&lt;=0.85),"Policies met","Policies not met")</f>
        <v>Policies met</v>
      </c>
      <c r="U178" s="1240">
        <f t="shared" ref="U178:U210" si="149">IF(S178&lt;=0,0,IF(S178&gt;=0.85,0.85,S178))</f>
        <v>0.10745501591388418</v>
      </c>
      <c r="V178" s="135" t="str">
        <f t="shared" ref="V178:V210" si="150">IF(AND(S178&gt;=0,S178&lt;=0.85),"No","Yes")</f>
        <v>No</v>
      </c>
      <c r="W178" s="1241">
        <f t="shared" si="140"/>
        <v>26.184849912626063</v>
      </c>
      <c r="X178" s="623">
        <f>Q178-U178*(Q178-(I178-K178))</f>
        <v>22.34983020519125</v>
      </c>
      <c r="Y178" s="118">
        <f t="shared" ref="Y178:Y210" si="151">(L178)*(1-U178)+K178</f>
        <v>1.9316340484146766</v>
      </c>
      <c r="Z178" s="608">
        <f t="shared" si="141"/>
        <v>1.8813390365210318</v>
      </c>
      <c r="AA178" s="608">
        <f t="shared" si="142"/>
        <v>0</v>
      </c>
      <c r="AB178" s="608">
        <f t="shared" si="143"/>
        <v>2.2046622499105221E-2</v>
      </c>
      <c r="AC178" s="608">
        <f t="shared" ref="AC178:AC210" si="152">SUM(X178:AB178)</f>
        <v>26.18484991262606</v>
      </c>
      <c r="AD178" s="767">
        <f t="shared" si="144"/>
        <v>0</v>
      </c>
      <c r="AE178" s="730">
        <f t="shared" ref="AE178:AE210" si="153">X178/AC178</f>
        <v>0.85354051215754323</v>
      </c>
      <c r="AF178" s="483">
        <f t="shared" ref="AF178:AF210" si="154">Y178/AC178</f>
        <v>7.3769147230561855E-2</v>
      </c>
      <c r="AG178" s="483">
        <f t="shared" ref="AG178:AG210" si="155">Z178/AC178</f>
        <v>7.184837960877026E-2</v>
      </c>
      <c r="AH178" s="483">
        <f t="shared" ref="AH178:AH210" si="156">AB178/AC178</f>
        <v>8.4196100312473323E-4</v>
      </c>
      <c r="AI178" s="483">
        <f t="shared" ref="AI178:AI209" si="157">AB178/AC178</f>
        <v>8.4196100312473323E-4</v>
      </c>
      <c r="AJ178" s="604">
        <f t="shared" ref="AJ178:AJ210" si="158">SUM(AE178:AI178)</f>
        <v>1.0008419610031247</v>
      </c>
      <c r="AK178" s="1400">
        <f>(I178-K178)</f>
        <v>14.843753512650967</v>
      </c>
      <c r="AL178" s="608">
        <f>$AL$177*(1-U178)</f>
        <v>5.320341502272246</v>
      </c>
      <c r="AM178" s="608">
        <f>($AM$177-O178)*(1-U178)</f>
        <v>2.1857351902680353</v>
      </c>
      <c r="AN178" s="1401">
        <f t="shared" ref="AN178:AN210" si="159">SUM(AK178:AM178)</f>
        <v>22.349830205191246</v>
      </c>
      <c r="AO178" s="1402">
        <f t="shared" ref="AO178:AO210" si="160">AN178-X178</f>
        <v>0</v>
      </c>
    </row>
    <row r="179" spans="1:41">
      <c r="A179" s="127">
        <f>'Input data'!A119</f>
        <v>2019</v>
      </c>
      <c r="B179" s="748">
        <f>'Input data'!B119</f>
        <v>58.365000000000002</v>
      </c>
      <c r="C179" s="236">
        <f>'Input data'!C119</f>
        <v>3179.2899999999995</v>
      </c>
      <c r="D179" s="130">
        <f>'Input data'!E119</f>
        <v>50172070.130067617</v>
      </c>
      <c r="E179" s="608">
        <f>'Input data'!J119</f>
        <v>11.504772374209397</v>
      </c>
      <c r="F179" s="608">
        <f>'Input data'!L119/C99</f>
        <v>27.183579093939649</v>
      </c>
      <c r="G179" s="623">
        <f t="shared" ref="G179:G189" si="161">$G$137*(1+((($G$150/$G$137)^(1/($A$150-$A$137)))-1))^(A179-$A$137)</f>
        <v>21.189371466840253</v>
      </c>
      <c r="H179" s="623">
        <f t="shared" si="134"/>
        <v>2.1588880272428064</v>
      </c>
      <c r="I179" s="1238">
        <f t="shared" si="135"/>
        <v>15.780903953419671</v>
      </c>
      <c r="J179" s="730">
        <f t="shared" si="145"/>
        <v>7.3782491286642105E-2</v>
      </c>
      <c r="K179" s="623">
        <f t="shared" ref="K179:K210" si="162">(I179)*J179</f>
        <v>1.1643544084385229</v>
      </c>
      <c r="L179" s="608">
        <f t="shared" si="136"/>
        <v>0.96248877021284696</v>
      </c>
      <c r="M179" s="727">
        <f t="shared" si="146"/>
        <v>2.1268431786513697</v>
      </c>
      <c r="N179" s="730">
        <f>($N$142-$N$137)/($A$102-$A$97)+N178</f>
        <v>0.1</v>
      </c>
      <c r="O179" s="1280">
        <f t="shared" si="137"/>
        <v>0.25777679842640655</v>
      </c>
      <c r="P179" s="779">
        <f t="shared" si="147"/>
        <v>0.45085225554443153</v>
      </c>
      <c r="Q179" s="623">
        <f t="shared" si="138"/>
        <v>22.897407238538626</v>
      </c>
      <c r="R179" s="608">
        <f t="shared" si="139"/>
        <v>1.7080357716983734</v>
      </c>
      <c r="S179" s="1240">
        <f t="shared" ref="S179:S210" si="163">R179/(Q179-(I179-K179))</f>
        <v>0.20626314747894148</v>
      </c>
      <c r="T179" s="135" t="str">
        <f t="shared" si="148"/>
        <v>Policies met</v>
      </c>
      <c r="U179" s="1240">
        <f t="shared" si="149"/>
        <v>0.20626314747894148</v>
      </c>
      <c r="V179" s="135" t="str">
        <f t="shared" si="150"/>
        <v>No</v>
      </c>
      <c r="W179" s="1241">
        <f t="shared" si="140"/>
        <v>24.912665766695863</v>
      </c>
      <c r="X179" s="623">
        <f t="shared" ref="X179:X210" si="164">Q179-U179*(Q179-(I179-K179))</f>
        <v>21.189371466840253</v>
      </c>
      <c r="Y179" s="118">
        <f t="shared" si="151"/>
        <v>1.9283172154941324</v>
      </c>
      <c r="Z179" s="608">
        <f t="shared" si="141"/>
        <v>1.7753711070010452</v>
      </c>
      <c r="AA179" s="608">
        <f t="shared" si="142"/>
        <v>0</v>
      </c>
      <c r="AB179" s="608">
        <f t="shared" si="143"/>
        <v>1.9605977360432229E-2</v>
      </c>
      <c r="AC179" s="608">
        <f t="shared" si="152"/>
        <v>24.912665766695863</v>
      </c>
      <c r="AD179" s="767">
        <f t="shared" si="144"/>
        <v>0</v>
      </c>
      <c r="AE179" s="730">
        <f t="shared" si="153"/>
        <v>0.85054613044128569</v>
      </c>
      <c r="AF179" s="483">
        <f t="shared" si="154"/>
        <v>7.7403086187266851E-2</v>
      </c>
      <c r="AG179" s="483">
        <f t="shared" si="155"/>
        <v>7.1263795036114699E-2</v>
      </c>
      <c r="AH179" s="483">
        <f t="shared" si="156"/>
        <v>7.8698833533271241E-4</v>
      </c>
      <c r="AI179" s="483">
        <f t="shared" si="157"/>
        <v>7.8698833533271241E-4</v>
      </c>
      <c r="AJ179" s="604">
        <f t="shared" si="158"/>
        <v>1.0007869883353326</v>
      </c>
      <c r="AK179" s="1400">
        <f t="shared" ref="AK179:AK210" si="165">(I179-K179)</f>
        <v>14.616549544981147</v>
      </c>
      <c r="AL179" s="608">
        <f t="shared" ref="AL179:AL210" si="166">$AL$177*(1-U179)</f>
        <v>4.731359420135723</v>
      </c>
      <c r="AM179" s="608">
        <f t="shared" ref="AM179:AM210" si="167">($AM$177-O179)*(1-U179)</f>
        <v>1.8414625017233812</v>
      </c>
      <c r="AN179" s="1401">
        <f t="shared" si="159"/>
        <v>21.189371466840253</v>
      </c>
      <c r="AO179" s="1402">
        <f t="shared" si="160"/>
        <v>0</v>
      </c>
    </row>
    <row r="180" spans="1:41">
      <c r="A180" s="127">
        <f>'Input data'!A120</f>
        <v>2020</v>
      </c>
      <c r="B180" s="748">
        <f>'Input data'!B120</f>
        <v>59.308999999999997</v>
      </c>
      <c r="C180" s="236">
        <f>'Input data'!C120</f>
        <v>2948.9199999999987</v>
      </c>
      <c r="D180" s="130">
        <f>'Input data'!E120</f>
        <v>50172070.130067617</v>
      </c>
      <c r="E180" s="608">
        <f>'Input data'!J120</f>
        <v>11.504772374209397</v>
      </c>
      <c r="F180" s="608">
        <f>'Input data'!L120/C100</f>
        <v>27.641847959140343</v>
      </c>
      <c r="G180" s="623">
        <f t="shared" si="161"/>
        <v>20.08916663069127</v>
      </c>
      <c r="H180" s="623">
        <f t="shared" si="134"/>
        <v>4.4160226247056222</v>
      </c>
      <c r="I180" s="1238">
        <f t="shared" si="135"/>
        <v>17.013710148144959</v>
      </c>
      <c r="J180" s="730">
        <f t="shared" si="145"/>
        <v>8.0783733850016193E-2</v>
      </c>
      <c r="K180" s="623">
        <f t="shared" si="162"/>
        <v>1.3744310324090618</v>
      </c>
      <c r="L180" s="608">
        <f t="shared" si="136"/>
        <v>0.96248877021284696</v>
      </c>
      <c r="M180" s="727">
        <f t="shared" si="146"/>
        <v>2.3369198026219089</v>
      </c>
      <c r="N180" s="730">
        <f>($N$142-$N$137)/($A$102-$A$97)+N179</f>
        <v>0.15000000000000002</v>
      </c>
      <c r="O180" s="1280">
        <f t="shared" si="137"/>
        <v>0.38666519763960988</v>
      </c>
      <c r="P180" s="779">
        <f t="shared" si="147"/>
        <v>0.7139408453167202</v>
      </c>
      <c r="Q180" s="623">
        <f t="shared" si="138"/>
        <v>23.791248410080172</v>
      </c>
      <c r="R180" s="608">
        <f t="shared" si="139"/>
        <v>3.7020817793889016</v>
      </c>
      <c r="S180" s="1240">
        <f t="shared" si="163"/>
        <v>0.4541334303058962</v>
      </c>
      <c r="T180" s="135" t="str">
        <f t="shared" si="148"/>
        <v>Policies met</v>
      </c>
      <c r="U180" s="1240">
        <f t="shared" si="149"/>
        <v>0.4541334303058962</v>
      </c>
      <c r="V180" s="135" t="str">
        <f t="shared" si="150"/>
        <v>No</v>
      </c>
      <c r="W180" s="1241">
        <f t="shared" si="140"/>
        <v>23.293780779166134</v>
      </c>
      <c r="X180" s="623">
        <f t="shared" si="164"/>
        <v>20.08916663069127</v>
      </c>
      <c r="Y180" s="118">
        <f t="shared" si="151"/>
        <v>1.8998214757742451</v>
      </c>
      <c r="Z180" s="608">
        <f t="shared" si="141"/>
        <v>1.2913093027736102</v>
      </c>
      <c r="AA180" s="608">
        <f t="shared" si="142"/>
        <v>0</v>
      </c>
      <c r="AB180" s="608">
        <f t="shared" si="143"/>
        <v>1.3483369927006713E-2</v>
      </c>
      <c r="AC180" s="608">
        <f t="shared" si="152"/>
        <v>23.293780779166131</v>
      </c>
      <c r="AD180" s="767">
        <f t="shared" si="144"/>
        <v>0</v>
      </c>
      <c r="AE180" s="730">
        <f t="shared" si="153"/>
        <v>0.86242619097106576</v>
      </c>
      <c r="AF180" s="483">
        <f t="shared" si="154"/>
        <v>8.1559172114877898E-2</v>
      </c>
      <c r="AG180" s="483">
        <f t="shared" si="155"/>
        <v>5.5435797005892337E-2</v>
      </c>
      <c r="AH180" s="483">
        <f t="shared" si="156"/>
        <v>5.7883990816407903E-4</v>
      </c>
      <c r="AI180" s="483">
        <f t="shared" si="157"/>
        <v>5.7883990816407903E-4</v>
      </c>
      <c r="AJ180" s="604">
        <f t="shared" si="158"/>
        <v>1.0005788399081641</v>
      </c>
      <c r="AK180" s="1400">
        <f t="shared" si="165"/>
        <v>15.639279115735897</v>
      </c>
      <c r="AL180" s="608">
        <f t="shared" si="166"/>
        <v>3.2538377529734896</v>
      </c>
      <c r="AM180" s="608">
        <f t="shared" si="167"/>
        <v>1.1960497619818833</v>
      </c>
      <c r="AN180" s="1401">
        <f t="shared" si="159"/>
        <v>20.08916663069127</v>
      </c>
      <c r="AO180" s="1402">
        <f t="shared" si="160"/>
        <v>0</v>
      </c>
    </row>
    <row r="181" spans="1:41">
      <c r="A181" s="127">
        <f>'Input data'!A121</f>
        <v>2021</v>
      </c>
      <c r="B181" s="748">
        <f>'Input data'!B121</f>
        <v>59.991999999999997</v>
      </c>
      <c r="C181" s="236">
        <f>'Input data'!C121</f>
        <v>3014.38</v>
      </c>
      <c r="D181" s="130">
        <f>'Input data'!E121</f>
        <v>50172070.130067617</v>
      </c>
      <c r="E181" s="608">
        <f>'Input data'!J121</f>
        <v>11.504772374209397</v>
      </c>
      <c r="F181" s="608">
        <f>'Input data'!L121/C101</f>
        <v>27.205698213545922</v>
      </c>
      <c r="G181" s="623">
        <f t="shared" si="161"/>
        <v>19.046087164371208</v>
      </c>
      <c r="H181" s="623">
        <f t="shared" si="134"/>
        <v>5.1123738501227365</v>
      </c>
      <c r="I181" s="1238">
        <f t="shared" si="135"/>
        <v>16.644241976813678</v>
      </c>
      <c r="J181" s="730">
        <f t="shared" si="145"/>
        <v>8.8449326404511766E-2</v>
      </c>
      <c r="K181" s="623">
        <f t="shared" si="162"/>
        <v>1.4721719913628692</v>
      </c>
      <c r="L181" s="608">
        <f t="shared" si="136"/>
        <v>0.96248877021284696</v>
      </c>
      <c r="M181" s="727">
        <f t="shared" si="146"/>
        <v>2.4346607615757163</v>
      </c>
      <c r="N181" s="730">
        <f>($N$142-$N$137)/($A$102-$A$97)+N180</f>
        <v>0.2</v>
      </c>
      <c r="O181" s="1280">
        <f t="shared" si="137"/>
        <v>0.5155535968528131</v>
      </c>
      <c r="P181" s="779">
        <f t="shared" si="147"/>
        <v>0.96331013391206266</v>
      </c>
      <c r="Q181" s="623">
        <f t="shared" si="138"/>
        <v>23.195150880581881</v>
      </c>
      <c r="R181" s="608">
        <f t="shared" si="139"/>
        <v>4.1490637162106729</v>
      </c>
      <c r="S181" s="1240">
        <f t="shared" si="163"/>
        <v>0.51714095500752022</v>
      </c>
      <c r="T181" s="135" t="str">
        <f t="shared" si="148"/>
        <v>Policies met</v>
      </c>
      <c r="U181" s="1240">
        <f t="shared" si="149"/>
        <v>0.51714095500752022</v>
      </c>
      <c r="V181" s="135" t="str">
        <f t="shared" si="150"/>
        <v>No</v>
      </c>
      <c r="W181" s="1241">
        <f t="shared" si="140"/>
        <v>22.199425378280292</v>
      </c>
      <c r="X181" s="623">
        <f t="shared" si="164"/>
        <v>19.046087164371208</v>
      </c>
      <c r="Y181" s="118">
        <f t="shared" si="151"/>
        <v>1.9369183997638308</v>
      </c>
      <c r="Z181" s="608">
        <f t="shared" si="141"/>
        <v>1.2044927838274164</v>
      </c>
      <c r="AA181" s="608">
        <f t="shared" si="142"/>
        <v>0</v>
      </c>
      <c r="AB181" s="608">
        <f t="shared" si="143"/>
        <v>1.1927030317836125E-2</v>
      </c>
      <c r="AC181" s="608">
        <f t="shared" si="152"/>
        <v>22.199425378280289</v>
      </c>
      <c r="AD181" s="767">
        <f t="shared" si="144"/>
        <v>0</v>
      </c>
      <c r="AE181" s="730">
        <f t="shared" si="153"/>
        <v>0.85795406141483832</v>
      </c>
      <c r="AF181" s="483">
        <f t="shared" si="154"/>
        <v>8.7250834954444079E-2</v>
      </c>
      <c r="AG181" s="483">
        <f t="shared" si="155"/>
        <v>5.4257836106239084E-2</v>
      </c>
      <c r="AH181" s="483">
        <f t="shared" si="156"/>
        <v>5.3726752447860304E-4</v>
      </c>
      <c r="AI181" s="483">
        <f t="shared" si="157"/>
        <v>5.3726752447860304E-4</v>
      </c>
      <c r="AJ181" s="604">
        <f t="shared" si="158"/>
        <v>1.0005372675244788</v>
      </c>
      <c r="AK181" s="1400">
        <f t="shared" si="165"/>
        <v>15.172069985450809</v>
      </c>
      <c r="AL181" s="608">
        <f t="shared" si="166"/>
        <v>2.8782583092452496</v>
      </c>
      <c r="AM181" s="608">
        <f t="shared" si="167"/>
        <v>0.99575886967514882</v>
      </c>
      <c r="AN181" s="1401">
        <f t="shared" si="159"/>
        <v>19.046087164371208</v>
      </c>
      <c r="AO181" s="1402">
        <f t="shared" si="160"/>
        <v>0</v>
      </c>
    </row>
    <row r="182" spans="1:41">
      <c r="A182" s="127">
        <f>'Input data'!A122</f>
        <v>2022</v>
      </c>
      <c r="B182" s="749">
        <f>'Input data'!B122</f>
        <v>60.682000000000002</v>
      </c>
      <c r="C182" s="605">
        <f>'Input data'!C122</f>
        <v>3077.2</v>
      </c>
      <c r="D182" s="130">
        <f>'Input data'!E122</f>
        <v>50172070.130067617</v>
      </c>
      <c r="E182" s="608">
        <f>'Input data'!J122</f>
        <v>11.504772374209397</v>
      </c>
      <c r="F182" s="608">
        <f>'Input data'!L122/C102</f>
        <v>26.421973203854616</v>
      </c>
      <c r="G182" s="623">
        <f t="shared" si="161"/>
        <v>18.05716697668425</v>
      </c>
      <c r="H182" s="623">
        <f t="shared" si="134"/>
        <v>5.7824205482269271</v>
      </c>
      <c r="I182" s="1238">
        <f t="shared" si="135"/>
        <v>16.304455391286758</v>
      </c>
      <c r="J182" s="730">
        <f t="shared" si="145"/>
        <v>9.6842309318564565E-2</v>
      </c>
      <c r="K182" s="623">
        <f t="shared" si="162"/>
        <v>1.5789611122737299</v>
      </c>
      <c r="L182" s="608">
        <f t="shared" si="136"/>
        <v>0.96248877021284696</v>
      </c>
      <c r="M182" s="727">
        <f t="shared" si="146"/>
        <v>2.5414498824865768</v>
      </c>
      <c r="N182" s="729">
        <f>$C$26</f>
        <v>0.25</v>
      </c>
      <c r="O182" s="1280">
        <f t="shared" si="137"/>
        <v>0.64444199606601626</v>
      </c>
      <c r="P182" s="779">
        <f t="shared" si="147"/>
        <v>1.2199007499802814</v>
      </c>
      <c r="Q182" s="623">
        <f t="shared" si="138"/>
        <v>22.619686774930898</v>
      </c>
      <c r="R182" s="608">
        <f t="shared" si="139"/>
        <v>4.5625197982466474</v>
      </c>
      <c r="S182" s="1240">
        <f t="shared" si="163"/>
        <v>0.57795902501819563</v>
      </c>
      <c r="T182" s="135" t="str">
        <f t="shared" si="148"/>
        <v>Policies met</v>
      </c>
      <c r="U182" s="1240">
        <f t="shared" si="149"/>
        <v>0.57795902501819563</v>
      </c>
      <c r="V182" s="135" t="str">
        <f t="shared" si="150"/>
        <v>No</v>
      </c>
      <c r="W182" s="1241">
        <f t="shared" si="140"/>
        <v>21.159940741041822</v>
      </c>
      <c r="X182" s="623">
        <f t="shared" si="164"/>
        <v>18.05716697668425</v>
      </c>
      <c r="Y182" s="118">
        <f t="shared" si="151"/>
        <v>1.9851708112633977</v>
      </c>
      <c r="Z182" s="608">
        <f t="shared" si="141"/>
        <v>1.1071781809869106</v>
      </c>
      <c r="AA182" s="608">
        <f t="shared" si="142"/>
        <v>0</v>
      </c>
      <c r="AB182" s="608">
        <f t="shared" si="143"/>
        <v>1.042477210726268E-2</v>
      </c>
      <c r="AC182" s="608">
        <f t="shared" si="152"/>
        <v>21.159940741041822</v>
      </c>
      <c r="AD182" s="767">
        <f t="shared" si="144"/>
        <v>0</v>
      </c>
      <c r="AE182" s="730">
        <f t="shared" si="153"/>
        <v>0.85336566853708473</v>
      </c>
      <c r="AF182" s="483">
        <f t="shared" si="154"/>
        <v>9.3817408827282789E-2</v>
      </c>
      <c r="AG182" s="483">
        <f t="shared" si="155"/>
        <v>5.2324257167669079E-2</v>
      </c>
      <c r="AH182" s="483">
        <f t="shared" si="156"/>
        <v>4.9266546796337626E-4</v>
      </c>
      <c r="AI182" s="483">
        <f t="shared" si="157"/>
        <v>4.9266546796337626E-4</v>
      </c>
      <c r="AJ182" s="604">
        <f t="shared" si="158"/>
        <v>1.0004926654679633</v>
      </c>
      <c r="AK182" s="1400">
        <f t="shared" si="165"/>
        <v>14.725494279013029</v>
      </c>
      <c r="AL182" s="608">
        <f t="shared" si="166"/>
        <v>2.5157299126544554</v>
      </c>
      <c r="AM182" s="608">
        <f t="shared" si="167"/>
        <v>0.81594278501676487</v>
      </c>
      <c r="AN182" s="1401">
        <f t="shared" si="159"/>
        <v>18.05716697668425</v>
      </c>
      <c r="AO182" s="1402">
        <f t="shared" si="160"/>
        <v>0</v>
      </c>
    </row>
    <row r="183" spans="1:41">
      <c r="A183" s="127">
        <f>'Input data'!A123</f>
        <v>2023</v>
      </c>
      <c r="B183" s="748">
        <f>'Input data'!B123</f>
        <v>61.381</v>
      </c>
      <c r="C183" s="236">
        <f>'Input data'!C123</f>
        <v>3140.61</v>
      </c>
      <c r="D183" s="130">
        <f>'Input data'!E123</f>
        <v>50172070.130067617</v>
      </c>
      <c r="E183" s="608">
        <f>'Input data'!J123</f>
        <v>11.504772374209397</v>
      </c>
      <c r="F183" s="608">
        <f>'Input data'!L123/C103</f>
        <v>25.752095944174989</v>
      </c>
      <c r="G183" s="623">
        <f t="shared" si="161"/>
        <v>17.119593983262174</v>
      </c>
      <c r="H183" s="623">
        <f t="shared" si="134"/>
        <v>6.411062018213137</v>
      </c>
      <c r="I183" s="1238">
        <f t="shared" si="135"/>
        <v>15.975262808838924</v>
      </c>
      <c r="J183" s="730">
        <f t="shared" si="145"/>
        <v>0.10603170487993842</v>
      </c>
      <c r="K183" s="623">
        <f t="shared" si="162"/>
        <v>1.6938843515262649</v>
      </c>
      <c r="L183" s="608">
        <f t="shared" si="136"/>
        <v>0.96248877021284696</v>
      </c>
      <c r="M183" s="727">
        <f t="shared" si="146"/>
        <v>2.656373121739112</v>
      </c>
      <c r="N183" s="730">
        <f>($N$147-$N$142)/($A$107-$A$102)+N182</f>
        <v>0.3</v>
      </c>
      <c r="O183" s="1280">
        <f t="shared" si="137"/>
        <v>0.77333039527921954</v>
      </c>
      <c r="P183" s="779">
        <f t="shared" si="147"/>
        <v>1.4839734474579866</v>
      </c>
      <c r="Q183" s="623">
        <f t="shared" si="138"/>
        <v>22.046682554017323</v>
      </c>
      <c r="R183" s="608">
        <f t="shared" si="139"/>
        <v>4.9270885707551493</v>
      </c>
      <c r="S183" s="1240">
        <f t="shared" si="163"/>
        <v>0.63450040196700619</v>
      </c>
      <c r="T183" s="135" t="str">
        <f t="shared" si="148"/>
        <v>Policies met</v>
      </c>
      <c r="U183" s="1240">
        <f t="shared" si="149"/>
        <v>0.63450040196700619</v>
      </c>
      <c r="V183" s="135" t="str">
        <f t="shared" si="150"/>
        <v>No</v>
      </c>
      <c r="W183" s="1241">
        <f t="shared" si="140"/>
        <v>20.180252487073549</v>
      </c>
      <c r="X183" s="623">
        <f t="shared" si="164"/>
        <v>17.119593983262174</v>
      </c>
      <c r="Y183" s="118">
        <f t="shared" si="151"/>
        <v>2.045673610150331</v>
      </c>
      <c r="Z183" s="608">
        <f t="shared" si="141"/>
        <v>1.0059567417974624</v>
      </c>
      <c r="AA183" s="608">
        <f t="shared" si="142"/>
        <v>0</v>
      </c>
      <c r="AB183" s="608">
        <f t="shared" si="143"/>
        <v>9.0281518635823167E-3</v>
      </c>
      <c r="AC183" s="608">
        <f t="shared" si="152"/>
        <v>20.180252487073549</v>
      </c>
      <c r="AD183" s="767">
        <f t="shared" si="144"/>
        <v>0</v>
      </c>
      <c r="AE183" s="730">
        <f t="shared" si="153"/>
        <v>0.8483339836420839</v>
      </c>
      <c r="AF183" s="483">
        <f t="shared" si="154"/>
        <v>0.10137007014459735</v>
      </c>
      <c r="AG183" s="483">
        <f t="shared" si="155"/>
        <v>4.9848570648054452E-2</v>
      </c>
      <c r="AH183" s="483">
        <f t="shared" si="156"/>
        <v>4.473755652643739E-4</v>
      </c>
      <c r="AI183" s="483">
        <f t="shared" si="157"/>
        <v>4.473755652643739E-4</v>
      </c>
      <c r="AJ183" s="604">
        <f t="shared" si="158"/>
        <v>1.0004473755652643</v>
      </c>
      <c r="AK183" s="1400">
        <f t="shared" si="165"/>
        <v>14.281378457312659</v>
      </c>
      <c r="AL183" s="608">
        <f t="shared" si="166"/>
        <v>2.1786943124999292</v>
      </c>
      <c r="AM183" s="608">
        <f t="shared" si="167"/>
        <v>0.65952121344958547</v>
      </c>
      <c r="AN183" s="1401">
        <f t="shared" si="159"/>
        <v>17.119593983262174</v>
      </c>
      <c r="AO183" s="1402">
        <f t="shared" si="160"/>
        <v>0</v>
      </c>
    </row>
    <row r="184" spans="1:41">
      <c r="A184" s="127">
        <f>'Input data'!A124</f>
        <v>2024</v>
      </c>
      <c r="B184" s="748">
        <f>'Input data'!B124</f>
        <v>62.088000000000001</v>
      </c>
      <c r="C184" s="236">
        <f>'Input data'!C124</f>
        <v>3201.77</v>
      </c>
      <c r="D184" s="130">
        <f>'Input data'!E124</f>
        <v>50172070.130067617</v>
      </c>
      <c r="E184" s="608">
        <f>'Input data'!J124</f>
        <v>11.504772374209397</v>
      </c>
      <c r="F184" s="608">
        <f>'Input data'!L124/C104</f>
        <v>25.013316708307045</v>
      </c>
      <c r="G184" s="623">
        <f t="shared" si="161"/>
        <v>16.230702110147039</v>
      </c>
      <c r="H184" s="623">
        <f t="shared" si="134"/>
        <v>7.0135772822899902</v>
      </c>
      <c r="I184" s="1238">
        <f t="shared" si="135"/>
        <v>15.670104389155878</v>
      </c>
      <c r="J184" s="730">
        <f t="shared" si="145"/>
        <v>0.11609308492183117</v>
      </c>
      <c r="K184" s="623">
        <f t="shared" si="162"/>
        <v>1.8191907595842325</v>
      </c>
      <c r="L184" s="608">
        <f t="shared" si="136"/>
        <v>0.96248877021284696</v>
      </c>
      <c r="M184" s="727">
        <f t="shared" si="146"/>
        <v>2.7816795297970796</v>
      </c>
      <c r="N184" s="730">
        <f>($N$147-$N$142)/($A$107-$A$102)+N183</f>
        <v>0.35</v>
      </c>
      <c r="O184" s="1280">
        <f t="shared" si="137"/>
        <v>0.90221879449242282</v>
      </c>
      <c r="P184" s="779">
        <f t="shared" si="147"/>
        <v>1.7569500653739236</v>
      </c>
      <c r="Q184" s="623">
        <f t="shared" si="138"/>
        <v>21.487329327063105</v>
      </c>
      <c r="R184" s="608">
        <f t="shared" si="139"/>
        <v>5.2566272169160655</v>
      </c>
      <c r="S184" s="1240">
        <f t="shared" si="163"/>
        <v>0.68836315689870742</v>
      </c>
      <c r="T184" s="135" t="str">
        <f t="shared" si="148"/>
        <v>Policies met</v>
      </c>
      <c r="U184" s="1240">
        <f t="shared" si="149"/>
        <v>0.68836315689870742</v>
      </c>
      <c r="V184" s="135" t="str">
        <f t="shared" si="150"/>
        <v>No</v>
      </c>
      <c r="W184" s="1241">
        <f t="shared" si="140"/>
        <v>19.255415332453456</v>
      </c>
      <c r="X184" s="623">
        <f t="shared" si="164"/>
        <v>16.230702110147039</v>
      </c>
      <c r="Y184" s="118">
        <f t="shared" si="151"/>
        <v>2.1191377214538094</v>
      </c>
      <c r="Z184" s="608">
        <f t="shared" si="141"/>
        <v>0.89787780498386438</v>
      </c>
      <c r="AA184" s="608">
        <f t="shared" si="142"/>
        <v>0</v>
      </c>
      <c r="AB184" s="608">
        <f t="shared" si="143"/>
        <v>7.6976958687431122E-3</v>
      </c>
      <c r="AC184" s="608">
        <f t="shared" si="152"/>
        <v>19.255415332453456</v>
      </c>
      <c r="AD184" s="767">
        <f t="shared" si="144"/>
        <v>0</v>
      </c>
      <c r="AE184" s="730">
        <f t="shared" si="153"/>
        <v>0.84291623057288689</v>
      </c>
      <c r="AF184" s="483">
        <f t="shared" si="154"/>
        <v>0.11005411645845795</v>
      </c>
      <c r="AG184" s="483">
        <f t="shared" si="155"/>
        <v>4.6629885124864767E-2</v>
      </c>
      <c r="AH184" s="483">
        <f t="shared" si="156"/>
        <v>3.9976784379037848E-4</v>
      </c>
      <c r="AI184" s="483">
        <f t="shared" si="157"/>
        <v>3.9976784379037848E-4</v>
      </c>
      <c r="AJ184" s="604">
        <f t="shared" si="158"/>
        <v>1.0003997678437904</v>
      </c>
      <c r="AK184" s="1400">
        <f t="shared" si="165"/>
        <v>13.850913629571645</v>
      </c>
      <c r="AL184" s="608">
        <f t="shared" si="166"/>
        <v>1.8576256206140309</v>
      </c>
      <c r="AM184" s="608">
        <f t="shared" si="167"/>
        <v>0.52216285996136313</v>
      </c>
      <c r="AN184" s="1401">
        <f t="shared" si="159"/>
        <v>16.230702110147039</v>
      </c>
      <c r="AO184" s="1402">
        <f t="shared" si="160"/>
        <v>0</v>
      </c>
    </row>
    <row r="185" spans="1:41">
      <c r="A185" s="127">
        <f>'Input data'!A125</f>
        <v>2025</v>
      </c>
      <c r="B185" s="748">
        <f>'Input data'!B125</f>
        <v>62.802999999999997</v>
      </c>
      <c r="C185" s="236">
        <f>'Input data'!C125</f>
        <v>3265.54</v>
      </c>
      <c r="D185" s="130">
        <f>'Input data'!E125</f>
        <v>50172070.130067617</v>
      </c>
      <c r="E185" s="608">
        <f>'Input data'!J125</f>
        <v>11.504772374209397</v>
      </c>
      <c r="F185" s="608">
        <f>'Input data'!L125/C105</f>
        <v>24.046374435403784</v>
      </c>
      <c r="G185" s="623">
        <f t="shared" si="161"/>
        <v>15.387963712567748</v>
      </c>
      <c r="H185" s="623">
        <f t="shared" si="134"/>
        <v>7.5691414375381836</v>
      </c>
      <c r="I185" s="1238">
        <f t="shared" si="135"/>
        <v>15.364096023955492</v>
      </c>
      <c r="J185" s="730">
        <f t="shared" si="145"/>
        <v>0.12710919231119061</v>
      </c>
      <c r="K185" s="623">
        <f t="shared" si="162"/>
        <v>1.9529178361965576</v>
      </c>
      <c r="L185" s="608">
        <f t="shared" si="136"/>
        <v>0.96248877021284696</v>
      </c>
      <c r="M185" s="727">
        <f t="shared" si="146"/>
        <v>2.9154066064094044</v>
      </c>
      <c r="N185" s="730">
        <f>($N$147-$N$142)/($A$107-$A$102)+N184</f>
        <v>0.39999999999999997</v>
      </c>
      <c r="O185" s="1280">
        <f t="shared" si="137"/>
        <v>1.031107193705626</v>
      </c>
      <c r="P185" s="779">
        <f t="shared" si="147"/>
        <v>2.0383996640687396</v>
      </c>
      <c r="Q185" s="623">
        <f t="shared" si="138"/>
        <v>20.91870548603719</v>
      </c>
      <c r="R185" s="608">
        <f t="shared" si="139"/>
        <v>5.5307417734694422</v>
      </c>
      <c r="S185" s="1240">
        <f t="shared" si="163"/>
        <v>0.73669286220748598</v>
      </c>
      <c r="T185" s="135" t="str">
        <f t="shared" si="148"/>
        <v>Policies met</v>
      </c>
      <c r="U185" s="1240">
        <f t="shared" si="149"/>
        <v>0.73669286220748598</v>
      </c>
      <c r="V185" s="135" t="str">
        <f t="shared" si="150"/>
        <v>No</v>
      </c>
      <c r="W185" s="1241">
        <f t="shared" si="140"/>
        <v>18.393384708762955</v>
      </c>
      <c r="X185" s="623">
        <f t="shared" si="164"/>
        <v>15.387963712567748</v>
      </c>
      <c r="Y185" s="118">
        <f t="shared" si="151"/>
        <v>2.2063479994387389</v>
      </c>
      <c r="Z185" s="608">
        <f t="shared" si="141"/>
        <v>0.79256908583686725</v>
      </c>
      <c r="AA185" s="608">
        <f t="shared" si="142"/>
        <v>0</v>
      </c>
      <c r="AB185" s="608">
        <f t="shared" si="143"/>
        <v>6.5039109195994867E-3</v>
      </c>
      <c r="AC185" s="608">
        <f t="shared" si="152"/>
        <v>18.393384708762952</v>
      </c>
      <c r="AD185" s="767">
        <f t="shared" si="144"/>
        <v>0</v>
      </c>
      <c r="AE185" s="730">
        <f t="shared" si="153"/>
        <v>0.83660315685326991</v>
      </c>
      <c r="AF185" s="483">
        <f t="shared" si="154"/>
        <v>0.11995334379036794</v>
      </c>
      <c r="AG185" s="483">
        <f t="shared" si="155"/>
        <v>4.3089898807981357E-2</v>
      </c>
      <c r="AH185" s="483">
        <f t="shared" si="156"/>
        <v>3.5360054838090251E-4</v>
      </c>
      <c r="AI185" s="483">
        <f t="shared" si="157"/>
        <v>3.5360054838090251E-4</v>
      </c>
      <c r="AJ185" s="604">
        <f t="shared" si="158"/>
        <v>1.0003536005483809</v>
      </c>
      <c r="AK185" s="1400">
        <f t="shared" si="165"/>
        <v>13.411178187758935</v>
      </c>
      <c r="AL185" s="608">
        <f t="shared" si="166"/>
        <v>1.5695386989109641</v>
      </c>
      <c r="AM185" s="608">
        <f t="shared" si="167"/>
        <v>0.40724682589784961</v>
      </c>
      <c r="AN185" s="1401">
        <f t="shared" si="159"/>
        <v>15.38796371256775</v>
      </c>
      <c r="AO185" s="1402">
        <f t="shared" si="160"/>
        <v>0</v>
      </c>
    </row>
    <row r="186" spans="1:41">
      <c r="A186" s="127">
        <f>'Input data'!A126</f>
        <v>2026</v>
      </c>
      <c r="B186" s="748">
        <f>'Input data'!B126</f>
        <v>63.420999999999999</v>
      </c>
      <c r="C186" s="236">
        <f>'Input data'!C126</f>
        <v>3341.28</v>
      </c>
      <c r="D186" s="130">
        <f>'Input data'!E126</f>
        <v>50172070.130067617</v>
      </c>
      <c r="E186" s="608">
        <f>'Input data'!J126</f>
        <v>11.504772374209397</v>
      </c>
      <c r="F186" s="608">
        <f>'Input data'!L126/C106</f>
        <v>23.467156250693375</v>
      </c>
      <c r="G186" s="623">
        <f t="shared" si="161"/>
        <v>14.588982387352599</v>
      </c>
      <c r="H186" s="623">
        <f t="shared" si="134"/>
        <v>8.0412854526068731</v>
      </c>
      <c r="I186" s="1238">
        <f t="shared" si="135"/>
        <v>15.01582331623438</v>
      </c>
      <c r="J186" s="730">
        <f t="shared" si="145"/>
        <v>0.13917062141024203</v>
      </c>
      <c r="K186" s="623">
        <f t="shared" si="162"/>
        <v>2.0897614619067397</v>
      </c>
      <c r="L186" s="608">
        <f t="shared" si="136"/>
        <v>0.96248877021284696</v>
      </c>
      <c r="M186" s="727">
        <f t="shared" si="146"/>
        <v>3.0522502321195866</v>
      </c>
      <c r="N186" s="730">
        <f>($N$147-$N$142)/($A$107-$A$102)+N185</f>
        <v>0.44999999999999996</v>
      </c>
      <c r="O186" s="1280">
        <f t="shared" si="137"/>
        <v>1.1599955929188293</v>
      </c>
      <c r="P186" s="779">
        <f t="shared" si="147"/>
        <v>2.3255670865667746</v>
      </c>
      <c r="Q186" s="623">
        <f t="shared" si="138"/>
        <v>20.304700753392698</v>
      </c>
      <c r="R186" s="608">
        <f t="shared" si="139"/>
        <v>5.7157183660400985</v>
      </c>
      <c r="S186" s="1240">
        <f t="shared" si="163"/>
        <v>0.7746304493589371</v>
      </c>
      <c r="T186" s="135" t="str">
        <f t="shared" si="148"/>
        <v>Policies met</v>
      </c>
      <c r="U186" s="1240">
        <f t="shared" si="149"/>
        <v>0.7746304493589371</v>
      </c>
      <c r="V186" s="135" t="str">
        <f t="shared" si="150"/>
        <v>No</v>
      </c>
      <c r="W186" s="1241">
        <f t="shared" si="140"/>
        <v>17.608648696437665</v>
      </c>
      <c r="X186" s="623">
        <f t="shared" si="164"/>
        <v>14.588982387352599</v>
      </c>
      <c r="Y186" s="118">
        <f t="shared" si="151"/>
        <v>2.3066771235466783</v>
      </c>
      <c r="Z186" s="608">
        <f t="shared" si="141"/>
        <v>0.70742236538437264</v>
      </c>
      <c r="AA186" s="608">
        <f t="shared" si="142"/>
        <v>0</v>
      </c>
      <c r="AB186" s="608">
        <f t="shared" si="143"/>
        <v>5.5668201540160127E-3</v>
      </c>
      <c r="AC186" s="608">
        <f t="shared" si="152"/>
        <v>17.608648696437665</v>
      </c>
      <c r="AD186" s="767">
        <f t="shared" si="144"/>
        <v>0</v>
      </c>
      <c r="AE186" s="730">
        <f t="shared" si="153"/>
        <v>0.8285123202159197</v>
      </c>
      <c r="AF186" s="483">
        <f t="shared" si="154"/>
        <v>0.13099682794020037</v>
      </c>
      <c r="AG186" s="483">
        <f t="shared" si="155"/>
        <v>4.0174710597042487E-2</v>
      </c>
      <c r="AH186" s="483">
        <f t="shared" si="156"/>
        <v>3.1614124683753921E-4</v>
      </c>
      <c r="AI186" s="483">
        <f t="shared" si="157"/>
        <v>3.1614124683753921E-4</v>
      </c>
      <c r="AJ186" s="604">
        <f t="shared" si="158"/>
        <v>1.0003161412468375</v>
      </c>
      <c r="AK186" s="1400">
        <f t="shared" si="165"/>
        <v>12.92606185432764</v>
      </c>
      <c r="AL186" s="608">
        <f t="shared" si="166"/>
        <v>1.3433978062761773</v>
      </c>
      <c r="AM186" s="608">
        <f t="shared" si="167"/>
        <v>0.31952272674878096</v>
      </c>
      <c r="AN186" s="1401">
        <f t="shared" si="159"/>
        <v>14.588982387352599</v>
      </c>
      <c r="AO186" s="1402">
        <f t="shared" si="160"/>
        <v>0</v>
      </c>
    </row>
    <row r="187" spans="1:41">
      <c r="A187" s="127">
        <f>'Input data'!A127</f>
        <v>2027</v>
      </c>
      <c r="B187" s="749">
        <f>'Input data'!B127</f>
        <v>64.046000000000006</v>
      </c>
      <c r="C187" s="605">
        <f>'Input data'!C127</f>
        <v>3416.2799999999997</v>
      </c>
      <c r="D187" s="130">
        <f>'Input data'!E127</f>
        <v>50172070.130067617</v>
      </c>
      <c r="E187" s="608">
        <f>'Input data'!J127</f>
        <v>11.504772374209397</v>
      </c>
      <c r="F187" s="608">
        <f>'Input data'!L127/C107</f>
        <v>22.916086670087964</v>
      </c>
      <c r="G187" s="623">
        <f t="shared" si="161"/>
        <v>13.831486158539203</v>
      </c>
      <c r="H187" s="623">
        <f t="shared" si="134"/>
        <v>8.4894181336144179</v>
      </c>
      <c r="I187" s="1238">
        <f t="shared" si="135"/>
        <v>14.686170375398861</v>
      </c>
      <c r="J187" s="730">
        <f t="shared" si="145"/>
        <v>0.15237656310721223</v>
      </c>
      <c r="K187" s="623">
        <f t="shared" si="162"/>
        <v>2.2378281670102353</v>
      </c>
      <c r="L187" s="608">
        <f t="shared" si="136"/>
        <v>0.96248877021284696</v>
      </c>
      <c r="M187" s="727">
        <f t="shared" si="146"/>
        <v>3.2003169372230822</v>
      </c>
      <c r="N187" s="729">
        <f>$C$27</f>
        <v>0.5</v>
      </c>
      <c r="O187" s="1280">
        <f t="shared" si="137"/>
        <v>1.2888839921320325</v>
      </c>
      <c r="P187" s="779">
        <f t="shared" si="147"/>
        <v>2.6228115839131458</v>
      </c>
      <c r="Q187" s="623">
        <f t="shared" si="138"/>
        <v>19.698092708240473</v>
      </c>
      <c r="R187" s="608">
        <f t="shared" si="139"/>
        <v>5.8666065497012703</v>
      </c>
      <c r="S187" s="1240">
        <f t="shared" si="163"/>
        <v>0.80921495847631686</v>
      </c>
      <c r="T187" s="135" t="str">
        <f t="shared" si="148"/>
        <v>Policies met</v>
      </c>
      <c r="U187" s="1240">
        <f t="shared" si="149"/>
        <v>0.80921495847631686</v>
      </c>
      <c r="V187" s="135" t="str">
        <f t="shared" si="150"/>
        <v>No</v>
      </c>
      <c r="W187" s="1241">
        <f t="shared" si="140"/>
        <v>16.881108850532925</v>
      </c>
      <c r="X187" s="623">
        <f t="shared" si="164"/>
        <v>13.831486158539203</v>
      </c>
      <c r="Y187" s="118">
        <f t="shared" si="151"/>
        <v>2.4214566270013722</v>
      </c>
      <c r="Z187" s="608">
        <f t="shared" si="141"/>
        <v>0.62345351171610497</v>
      </c>
      <c r="AA187" s="608">
        <f t="shared" si="142"/>
        <v>0</v>
      </c>
      <c r="AB187" s="608">
        <f t="shared" si="143"/>
        <v>4.7125532762424122E-3</v>
      </c>
      <c r="AC187" s="608">
        <f t="shared" si="152"/>
        <v>16.881108850532922</v>
      </c>
      <c r="AD187" s="767">
        <f t="shared" si="144"/>
        <v>0</v>
      </c>
      <c r="AE187" s="730">
        <f t="shared" si="153"/>
        <v>0.81934701570877888</v>
      </c>
      <c r="AF187" s="483">
        <f t="shared" si="154"/>
        <v>0.14344179925863867</v>
      </c>
      <c r="AG187" s="483">
        <f t="shared" si="155"/>
        <v>3.6932023674287433E-2</v>
      </c>
      <c r="AH187" s="483">
        <f t="shared" si="156"/>
        <v>2.7916135829511227E-4</v>
      </c>
      <c r="AI187" s="483">
        <f t="shared" si="157"/>
        <v>2.7916135829511227E-4</v>
      </c>
      <c r="AJ187" s="604">
        <f t="shared" si="158"/>
        <v>1.0002791613582951</v>
      </c>
      <c r="AK187" s="1400">
        <f t="shared" si="165"/>
        <v>12.448342208388626</v>
      </c>
      <c r="AL187" s="608">
        <f t="shared" si="166"/>
        <v>1.1372441641924578</v>
      </c>
      <c r="AM187" s="608">
        <f t="shared" si="167"/>
        <v>0.24589978595812031</v>
      </c>
      <c r="AN187" s="1401">
        <f t="shared" si="159"/>
        <v>13.831486158539203</v>
      </c>
      <c r="AO187" s="1402">
        <f t="shared" si="160"/>
        <v>0</v>
      </c>
    </row>
    <row r="188" spans="1:41">
      <c r="A188" s="127">
        <f>'Input data'!A128</f>
        <v>2028</v>
      </c>
      <c r="B188" s="748">
        <f>'Input data'!B128</f>
        <v>64.676000000000002</v>
      </c>
      <c r="C188" s="236">
        <f>'Input data'!C128</f>
        <v>3494.8800000000006</v>
      </c>
      <c r="D188" s="130">
        <f>'Input data'!E128</f>
        <v>50172070.130067617</v>
      </c>
      <c r="E188" s="608">
        <f>'Input data'!J128</f>
        <v>11.504772374209397</v>
      </c>
      <c r="F188" s="608">
        <f>'Input data'!L128/C108</f>
        <v>22.377482054264124</v>
      </c>
      <c r="G188" s="623">
        <f t="shared" si="161"/>
        <v>13.113321016804502</v>
      </c>
      <c r="H188" s="623">
        <f t="shared" si="134"/>
        <v>8.8976194407415399</v>
      </c>
      <c r="I188" s="1238">
        <f t="shared" si="135"/>
        <v>14.355877778369388</v>
      </c>
      <c r="J188" s="730">
        <f t="shared" si="145"/>
        <v>0.16683562054324133</v>
      </c>
      <c r="K188" s="623">
        <f t="shared" si="162"/>
        <v>2.3950717775971855</v>
      </c>
      <c r="L188" s="608">
        <f t="shared" si="136"/>
        <v>0.96248877021284696</v>
      </c>
      <c r="M188" s="727">
        <f t="shared" si="146"/>
        <v>3.3575605478100323</v>
      </c>
      <c r="N188" s="730">
        <f>N187</f>
        <v>0.5</v>
      </c>
      <c r="O188" s="1280">
        <f t="shared" si="137"/>
        <v>1.2888839921320325</v>
      </c>
      <c r="P188" s="779">
        <f t="shared" si="147"/>
        <v>2.8003839569219844</v>
      </c>
      <c r="Q188" s="623">
        <f t="shared" si="138"/>
        <v>19.210556500624058</v>
      </c>
      <c r="R188" s="608">
        <f t="shared" si="139"/>
        <v>6.0972354838195564</v>
      </c>
      <c r="S188" s="1240">
        <f t="shared" si="163"/>
        <v>0.84102694071253192</v>
      </c>
      <c r="T188" s="135" t="str">
        <f t="shared" si="148"/>
        <v>Policies met</v>
      </c>
      <c r="U188" s="1240">
        <f t="shared" si="149"/>
        <v>0.84102694071253192</v>
      </c>
      <c r="V188" s="135" t="str">
        <f t="shared" si="150"/>
        <v>No</v>
      </c>
      <c r="W188" s="1241">
        <f t="shared" si="140"/>
        <v>16.184826639103402</v>
      </c>
      <c r="X188" s="623">
        <f t="shared" si="164"/>
        <v>13.113321016804502</v>
      </c>
      <c r="Y188" s="118">
        <f t="shared" si="151"/>
        <v>2.5480815619277548</v>
      </c>
      <c r="Z188" s="608">
        <f t="shared" si="141"/>
        <v>0.51949729019358781</v>
      </c>
      <c r="AA188" s="608">
        <f t="shared" si="142"/>
        <v>0</v>
      </c>
      <c r="AB188" s="608">
        <f t="shared" si="143"/>
        <v>3.9267701775583842E-3</v>
      </c>
      <c r="AC188" s="608">
        <f t="shared" si="152"/>
        <v>16.184826639103402</v>
      </c>
      <c r="AD188" s="767">
        <f t="shared" si="144"/>
        <v>0</v>
      </c>
      <c r="AE188" s="730">
        <f t="shared" si="153"/>
        <v>0.81022313733790763</v>
      </c>
      <c r="AF188" s="483">
        <f t="shared" si="154"/>
        <v>0.15743644456292502</v>
      </c>
      <c r="AG188" s="483">
        <f t="shared" si="155"/>
        <v>3.2097797633399094E-2</v>
      </c>
      <c r="AH188" s="483">
        <f t="shared" si="156"/>
        <v>2.4262046576829552E-4</v>
      </c>
      <c r="AI188" s="483">
        <f t="shared" si="157"/>
        <v>2.4262046576829552E-4</v>
      </c>
      <c r="AJ188" s="604">
        <f t="shared" si="158"/>
        <v>1.0002426204657686</v>
      </c>
      <c r="AK188" s="1400">
        <f t="shared" si="165"/>
        <v>11.960806000772202</v>
      </c>
      <c r="AL188" s="608">
        <f t="shared" si="166"/>
        <v>0.94761718473642553</v>
      </c>
      <c r="AM188" s="608">
        <f t="shared" si="167"/>
        <v>0.20489783129587413</v>
      </c>
      <c r="AN188" s="1401">
        <f t="shared" si="159"/>
        <v>13.113321016804502</v>
      </c>
      <c r="AO188" s="1402">
        <f t="shared" si="160"/>
        <v>0</v>
      </c>
    </row>
    <row r="189" spans="1:41">
      <c r="A189" s="127">
        <f>'Input data'!A129</f>
        <v>2029</v>
      </c>
      <c r="B189" s="748">
        <f>'Input data'!B129</f>
        <v>65.313000000000002</v>
      </c>
      <c r="C189" s="236">
        <f>'Input data'!C129</f>
        <v>3576.08</v>
      </c>
      <c r="D189" s="130">
        <f>'Input data'!E129</f>
        <v>50172070.130067617</v>
      </c>
      <c r="E189" s="608">
        <f>'Input data'!J129</f>
        <v>11.504772374209397</v>
      </c>
      <c r="F189" s="608">
        <f>'Input data'!L129/C109</f>
        <v>21.855040380108402</v>
      </c>
      <c r="G189" s="623">
        <f t="shared" si="161"/>
        <v>12.432444794343629</v>
      </c>
      <c r="H189" s="623">
        <f t="shared" si="134"/>
        <v>9.2725877292625558</v>
      </c>
      <c r="I189" s="1238">
        <f t="shared" si="135"/>
        <v>14.029907085430867</v>
      </c>
      <c r="J189" s="730">
        <f>$J$137*(1+((($J$150/$J$137)^(1/($A$150-$A$137)))-1))^(A189-$A$137)</f>
        <v>0.18266670224386344</v>
      </c>
      <c r="K189" s="623">
        <f t="shared" si="162"/>
        <v>2.5627968600834703</v>
      </c>
      <c r="L189" s="608">
        <f t="shared" si="136"/>
        <v>0.96248877021284696</v>
      </c>
      <c r="M189" s="727">
        <f t="shared" si="146"/>
        <v>3.5252856302963171</v>
      </c>
      <c r="N189" s="730">
        <f t="shared" ref="N189:N210" si="168">N188</f>
        <v>0.5</v>
      </c>
      <c r="O189" s="1280">
        <f t="shared" si="137"/>
        <v>1.2888839921320325</v>
      </c>
      <c r="P189" s="779">
        <f t="shared" si="147"/>
        <v>2.9881717984069347</v>
      </c>
      <c r="Q189" s="623">
        <f t="shared" si="138"/>
        <v>18.71686072519925</v>
      </c>
      <c r="R189" s="608">
        <f t="shared" si="139"/>
        <v>6.2844159308556211</v>
      </c>
      <c r="S189" s="1240">
        <f t="shared" si="163"/>
        <v>0.86684582193332604</v>
      </c>
      <c r="T189" s="135" t="str">
        <f t="shared" si="148"/>
        <v>Policies not met</v>
      </c>
      <c r="U189" s="1240">
        <f t="shared" si="149"/>
        <v>0.85</v>
      </c>
      <c r="V189" s="135" t="str">
        <f t="shared" si="150"/>
        <v>Yes</v>
      </c>
      <c r="W189" s="1241">
        <f t="shared" si="140"/>
        <v>15.755622941562278</v>
      </c>
      <c r="X189" s="623">
        <f t="shared" si="164"/>
        <v>12.554572800325175</v>
      </c>
      <c r="Y189" s="118">
        <f t="shared" si="151"/>
        <v>2.7071701756153974</v>
      </c>
      <c r="Z189" s="608">
        <f t="shared" si="141"/>
        <v>0.49017483766308212</v>
      </c>
      <c r="AA189" s="608">
        <f t="shared" si="142"/>
        <v>0</v>
      </c>
      <c r="AB189" s="608">
        <f t="shared" si="143"/>
        <v>3.7051279586225467E-3</v>
      </c>
      <c r="AC189" s="608">
        <f t="shared" si="152"/>
        <v>15.755622941562278</v>
      </c>
      <c r="AD189" s="767">
        <f t="shared" si="144"/>
        <v>0</v>
      </c>
      <c r="AE189" s="730">
        <f t="shared" si="153"/>
        <v>0.79683125490437157</v>
      </c>
      <c r="AF189" s="483">
        <f t="shared" si="154"/>
        <v>0.17182247795953937</v>
      </c>
      <c r="AG189" s="483">
        <f t="shared" si="155"/>
        <v>3.1111104872282372E-2</v>
      </c>
      <c r="AH189" s="483">
        <f t="shared" si="156"/>
        <v>2.3516226380669898E-4</v>
      </c>
      <c r="AI189" s="483">
        <f t="shared" si="157"/>
        <v>2.3516226380669898E-4</v>
      </c>
      <c r="AJ189" s="604">
        <f t="shared" si="158"/>
        <v>1.0002351622638066</v>
      </c>
      <c r="AK189" s="1400">
        <f t="shared" si="165"/>
        <v>11.467110225347398</v>
      </c>
      <c r="AL189" s="608">
        <f t="shared" si="166"/>
        <v>0.89412997615797285</v>
      </c>
      <c r="AM189" s="608">
        <f t="shared" si="167"/>
        <v>0.19333259881980491</v>
      </c>
      <c r="AN189" s="1401">
        <f t="shared" si="159"/>
        <v>12.554572800325175</v>
      </c>
      <c r="AO189" s="1402">
        <f t="shared" si="160"/>
        <v>0</v>
      </c>
    </row>
    <row r="190" spans="1:41">
      <c r="A190" s="127">
        <f>'Input data'!A130</f>
        <v>2030</v>
      </c>
      <c r="B190" s="749">
        <f>'Input data'!B130</f>
        <v>65.956000000000003</v>
      </c>
      <c r="C190" s="605">
        <f>'Input data'!C130</f>
        <v>3660.12</v>
      </c>
      <c r="D190" s="130">
        <f>'Input data'!E130</f>
        <v>50172070.130067617</v>
      </c>
      <c r="E190" s="608">
        <f>'Input data'!J130</f>
        <v>11.504772374209397</v>
      </c>
      <c r="F190" s="608">
        <f>'Input data'!L130/C110</f>
        <v>21.348153797343326</v>
      </c>
      <c r="G190" s="781">
        <f>G177*(1-$C$4)</f>
        <v>11.786921357780287</v>
      </c>
      <c r="H190" s="623">
        <f t="shared" si="134"/>
        <v>9.6157975557318167</v>
      </c>
      <c r="I190" s="1238">
        <f t="shared" si="135"/>
        <v>13.707766447566641</v>
      </c>
      <c r="J190" s="729">
        <v>0.2</v>
      </c>
      <c r="K190" s="623">
        <f t="shared" si="162"/>
        <v>2.7415532895133286</v>
      </c>
      <c r="L190" s="608">
        <f t="shared" si="136"/>
        <v>0.96248877021284696</v>
      </c>
      <c r="M190" s="727">
        <f t="shared" si="146"/>
        <v>3.7040420597261754</v>
      </c>
      <c r="N190" s="730">
        <f t="shared" si="168"/>
        <v>0.5</v>
      </c>
      <c r="O190" s="1280">
        <f t="shared" si="137"/>
        <v>1.2888839921320325</v>
      </c>
      <c r="P190" s="779">
        <f t="shared" si="147"/>
        <v>3.1867552556069398</v>
      </c>
      <c r="Q190" s="623">
        <f t="shared" si="138"/>
        <v>18.215963657905164</v>
      </c>
      <c r="R190" s="608">
        <f t="shared" si="139"/>
        <v>6.4290423001248769</v>
      </c>
      <c r="S190" s="1240">
        <f t="shared" si="163"/>
        <v>0.8867949731864917</v>
      </c>
      <c r="T190" s="135" t="str">
        <f t="shared" si="148"/>
        <v>Policies not met</v>
      </c>
      <c r="U190" s="1240">
        <f t="shared" si="149"/>
        <v>0.85</v>
      </c>
      <c r="V190" s="135" t="str">
        <f t="shared" si="150"/>
        <v>Yes</v>
      </c>
      <c r="W190" s="1241">
        <f t="shared" si="140"/>
        <v>15.433482303698051</v>
      </c>
      <c r="X190" s="623">
        <f t="shared" si="164"/>
        <v>12.05367573303109</v>
      </c>
      <c r="Y190" s="118">
        <f t="shared" si="151"/>
        <v>2.8859266050452557</v>
      </c>
      <c r="Z190" s="608">
        <f t="shared" si="141"/>
        <v>0.49017483766308212</v>
      </c>
      <c r="AA190" s="608">
        <f t="shared" si="142"/>
        <v>0</v>
      </c>
      <c r="AB190" s="608">
        <f t="shared" si="143"/>
        <v>3.7051279586225467E-3</v>
      </c>
      <c r="AC190" s="608">
        <f t="shared" si="152"/>
        <v>15.433482303698051</v>
      </c>
      <c r="AD190" s="767">
        <f t="shared" si="144"/>
        <v>0</v>
      </c>
      <c r="AE190" s="730">
        <f t="shared" si="153"/>
        <v>0.78100816755677249</v>
      </c>
      <c r="AF190" s="483">
        <f t="shared" si="154"/>
        <v>0.18699127962545123</v>
      </c>
      <c r="AG190" s="483">
        <f t="shared" si="155"/>
        <v>3.1760482049189263E-2</v>
      </c>
      <c r="AH190" s="483">
        <f t="shared" si="156"/>
        <v>2.4007076858699301E-4</v>
      </c>
      <c r="AI190" s="483">
        <f t="shared" si="157"/>
        <v>2.4007076858699301E-4</v>
      </c>
      <c r="AJ190" s="604">
        <f t="shared" si="158"/>
        <v>1.000240070768587</v>
      </c>
      <c r="AK190" s="1400">
        <f t="shared" si="165"/>
        <v>10.966213158053312</v>
      </c>
      <c r="AL190" s="608">
        <f t="shared" si="166"/>
        <v>0.89412997615797285</v>
      </c>
      <c r="AM190" s="608">
        <f t="shared" si="167"/>
        <v>0.19333259881980491</v>
      </c>
      <c r="AN190" s="1401">
        <f t="shared" si="159"/>
        <v>12.05367573303109</v>
      </c>
      <c r="AO190" s="1402">
        <f t="shared" si="160"/>
        <v>0</v>
      </c>
    </row>
    <row r="191" spans="1:41">
      <c r="A191" s="127">
        <f>'Input data'!A131</f>
        <v>2031</v>
      </c>
      <c r="B191" s="748">
        <f>'Input data'!B131</f>
        <v>66.519000000000005</v>
      </c>
      <c r="C191" s="236">
        <f>'Input data'!C131</f>
        <v>3761.03</v>
      </c>
      <c r="D191" s="130">
        <f>'Input data'!E131</f>
        <v>50172070.130067617</v>
      </c>
      <c r="E191" s="608">
        <f>'Input data'!J131</f>
        <v>11.504772374209397</v>
      </c>
      <c r="F191" s="608">
        <f>'Input data'!L131/C111</f>
        <v>21.035786670661476</v>
      </c>
      <c r="G191" s="623">
        <f>$G$150*(1+((($G$160/$G$150)^(1/($A$160-$A$150)))-1))^(A191-$A$150)</f>
        <v>11.373920541494833</v>
      </c>
      <c r="H191" s="623">
        <f t="shared" si="134"/>
        <v>9.6836496337789661</v>
      </c>
      <c r="I191" s="1238">
        <f t="shared" si="135"/>
        <v>13.339981369483256</v>
      </c>
      <c r="J191" s="730">
        <f t="shared" ref="J191:J210" si="169">J190</f>
        <v>0.2</v>
      </c>
      <c r="K191" s="623">
        <f t="shared" si="162"/>
        <v>2.6679962738966516</v>
      </c>
      <c r="L191" s="608">
        <f t="shared" si="136"/>
        <v>0.96248877021284696</v>
      </c>
      <c r="M191" s="727">
        <f t="shared" si="146"/>
        <v>3.6304850441094985</v>
      </c>
      <c r="N191" s="730">
        <f t="shared" si="168"/>
        <v>0.5</v>
      </c>
      <c r="O191" s="1280">
        <f t="shared" si="137"/>
        <v>1.2888839921320325</v>
      </c>
      <c r="P191" s="779">
        <f t="shared" si="147"/>
        <v>3.1358345798353424</v>
      </c>
      <c r="Q191" s="623">
        <f t="shared" si="138"/>
        <v>17.921735595438456</v>
      </c>
      <c r="R191" s="608">
        <f t="shared" si="139"/>
        <v>6.5478150539436228</v>
      </c>
      <c r="S191" s="1240">
        <f t="shared" si="163"/>
        <v>0.90317798579101827</v>
      </c>
      <c r="T191" s="135" t="str">
        <f t="shared" si="148"/>
        <v>Policies not met</v>
      </c>
      <c r="U191" s="1240">
        <f t="shared" si="149"/>
        <v>0.85</v>
      </c>
      <c r="V191" s="135" t="str">
        <f t="shared" si="150"/>
        <v>Yes</v>
      </c>
      <c r="W191" s="1241">
        <f t="shared" si="140"/>
        <v>15.065697225614667</v>
      </c>
      <c r="X191" s="623">
        <f t="shared" si="164"/>
        <v>11.759447670564382</v>
      </c>
      <c r="Y191" s="118">
        <f t="shared" si="151"/>
        <v>2.8123695894285787</v>
      </c>
      <c r="Z191" s="608">
        <f t="shared" si="141"/>
        <v>0.49017483766308212</v>
      </c>
      <c r="AA191" s="608">
        <f t="shared" si="142"/>
        <v>0</v>
      </c>
      <c r="AB191" s="608">
        <f t="shared" si="143"/>
        <v>3.7051279586225467E-3</v>
      </c>
      <c r="AC191" s="608">
        <f t="shared" si="152"/>
        <v>15.065697225614667</v>
      </c>
      <c r="AD191" s="767">
        <f t="shared" si="144"/>
        <v>0</v>
      </c>
      <c r="AE191" s="730">
        <f t="shared" si="153"/>
        <v>0.780544537332862</v>
      </c>
      <c r="AF191" s="483">
        <f t="shared" si="154"/>
        <v>0.18667370964066593</v>
      </c>
      <c r="AG191" s="483">
        <f t="shared" si="155"/>
        <v>3.2535821629926819E-2</v>
      </c>
      <c r="AH191" s="483">
        <f t="shared" si="156"/>
        <v>2.4593139654519909E-4</v>
      </c>
      <c r="AI191" s="483">
        <f t="shared" si="157"/>
        <v>2.4593139654519909E-4</v>
      </c>
      <c r="AJ191" s="604">
        <f t="shared" si="158"/>
        <v>1.0002459313965453</v>
      </c>
      <c r="AK191" s="1400">
        <f t="shared" si="165"/>
        <v>10.671985095586605</v>
      </c>
      <c r="AL191" s="608">
        <f t="shared" si="166"/>
        <v>0.89412997615797285</v>
      </c>
      <c r="AM191" s="608">
        <f t="shared" si="167"/>
        <v>0.19333259881980491</v>
      </c>
      <c r="AN191" s="1401">
        <f t="shared" si="159"/>
        <v>11.759447670564382</v>
      </c>
      <c r="AO191" s="1402">
        <f t="shared" si="160"/>
        <v>0</v>
      </c>
    </row>
    <row r="192" spans="1:41">
      <c r="A192" s="127">
        <f>'Input data'!A132</f>
        <v>2032</v>
      </c>
      <c r="B192" s="748">
        <f>'Input data'!B132</f>
        <v>67.087000000000003</v>
      </c>
      <c r="C192" s="236">
        <f>'Input data'!C132</f>
        <v>3857.2</v>
      </c>
      <c r="D192" s="130">
        <f>'Input data'!E132</f>
        <v>50172070.130067617</v>
      </c>
      <c r="E192" s="608">
        <f>'Input data'!J132</f>
        <v>11.504772374209397</v>
      </c>
      <c r="F192" s="608">
        <f>'Input data'!L132/C112</f>
        <v>20.751092032077636</v>
      </c>
      <c r="G192" s="623">
        <f t="shared" ref="G192:G199" si="170">$G$150*(1+((($G$160/$G$150)^(1/($A$160-$A$150)))-1))^(A192-$A$150)</f>
        <v>10.975390821526645</v>
      </c>
      <c r="H192" s="623">
        <f t="shared" si="134"/>
        <v>9.7700498181612403</v>
      </c>
      <c r="I192" s="1238">
        <f t="shared" si="135"/>
        <v>13.007381035483672</v>
      </c>
      <c r="J192" s="730">
        <f t="shared" si="169"/>
        <v>0.2</v>
      </c>
      <c r="K192" s="623">
        <f t="shared" si="162"/>
        <v>2.6014762070967343</v>
      </c>
      <c r="L192" s="608">
        <f t="shared" si="136"/>
        <v>0.96248877021284696</v>
      </c>
      <c r="M192" s="727">
        <f t="shared" si="146"/>
        <v>3.5639649773095812</v>
      </c>
      <c r="N192" s="730">
        <f t="shared" si="168"/>
        <v>0.5</v>
      </c>
      <c r="O192" s="1280">
        <f t="shared" si="137"/>
        <v>1.2888839921320325</v>
      </c>
      <c r="P192" s="779">
        <f t="shared" si="147"/>
        <v>3.0897853114490959</v>
      </c>
      <c r="Q192" s="623">
        <f t="shared" si="138"/>
        <v>17.65565532823879</v>
      </c>
      <c r="R192" s="608">
        <f t="shared" si="139"/>
        <v>6.6802645067121453</v>
      </c>
      <c r="S192" s="1240">
        <f t="shared" si="163"/>
        <v>0.92144750455186775</v>
      </c>
      <c r="T192" s="135" t="str">
        <f t="shared" si="148"/>
        <v>Policies not met</v>
      </c>
      <c r="U192" s="1240">
        <f t="shared" si="149"/>
        <v>0.85</v>
      </c>
      <c r="V192" s="135" t="str">
        <f t="shared" si="150"/>
        <v>Yes</v>
      </c>
      <c r="W192" s="1241">
        <f t="shared" si="140"/>
        <v>14.733096891615082</v>
      </c>
      <c r="X192" s="623">
        <f t="shared" si="164"/>
        <v>11.493367403364715</v>
      </c>
      <c r="Y192" s="118">
        <f t="shared" si="151"/>
        <v>2.7458495226286614</v>
      </c>
      <c r="Z192" s="608">
        <f t="shared" si="141"/>
        <v>0.49017483766308212</v>
      </c>
      <c r="AA192" s="608">
        <f t="shared" si="142"/>
        <v>0</v>
      </c>
      <c r="AB192" s="608">
        <f t="shared" si="143"/>
        <v>3.7051279586225467E-3</v>
      </c>
      <c r="AC192" s="608">
        <f t="shared" si="152"/>
        <v>14.733096891615082</v>
      </c>
      <c r="AD192" s="767">
        <f t="shared" si="144"/>
        <v>0</v>
      </c>
      <c r="AE192" s="730">
        <f t="shared" si="153"/>
        <v>0.7801053293761907</v>
      </c>
      <c r="AF192" s="483">
        <f t="shared" si="154"/>
        <v>0.18637286802826789</v>
      </c>
      <c r="AG192" s="483">
        <f t="shared" si="155"/>
        <v>3.3270319286507311E-2</v>
      </c>
      <c r="AH192" s="483">
        <f t="shared" si="156"/>
        <v>2.5148330903404384E-4</v>
      </c>
      <c r="AI192" s="483">
        <f t="shared" si="157"/>
        <v>2.5148330903404384E-4</v>
      </c>
      <c r="AJ192" s="604">
        <f t="shared" si="158"/>
        <v>1.0002514833090339</v>
      </c>
      <c r="AK192" s="1400">
        <f t="shared" si="165"/>
        <v>10.405904828386937</v>
      </c>
      <c r="AL192" s="608">
        <f t="shared" si="166"/>
        <v>0.89412997615797285</v>
      </c>
      <c r="AM192" s="608">
        <f t="shared" si="167"/>
        <v>0.19333259881980491</v>
      </c>
      <c r="AN192" s="1401">
        <f t="shared" si="159"/>
        <v>11.493367403364715</v>
      </c>
      <c r="AO192" s="1402">
        <f t="shared" si="160"/>
        <v>0</v>
      </c>
    </row>
    <row r="193" spans="1:41">
      <c r="A193" s="127">
        <f>'Input data'!A133</f>
        <v>2033</v>
      </c>
      <c r="B193" s="748">
        <f>'Input data'!B133</f>
        <v>67.659000000000006</v>
      </c>
      <c r="C193" s="236">
        <f>'Input data'!C133</f>
        <v>3964.01</v>
      </c>
      <c r="D193" s="130">
        <f>'Input data'!E133</f>
        <v>50172070.130067617</v>
      </c>
      <c r="E193" s="608">
        <f>'Input data'!J133</f>
        <v>11.504772374209397</v>
      </c>
      <c r="F193" s="608">
        <f>'Input data'!L133/C113</f>
        <v>20.456156873560708</v>
      </c>
      <c r="G193" s="623">
        <f t="shared" si="170"/>
        <v>10.590825146508346</v>
      </c>
      <c r="H193" s="623">
        <f t="shared" si="134"/>
        <v>9.8257038696881107</v>
      </c>
      <c r="I193" s="1238">
        <f t="shared" si="135"/>
        <v>12.656897972020154</v>
      </c>
      <c r="J193" s="730">
        <f t="shared" si="169"/>
        <v>0.2</v>
      </c>
      <c r="K193" s="623">
        <f t="shared" si="162"/>
        <v>2.5313795944040312</v>
      </c>
      <c r="L193" s="608">
        <f t="shared" si="136"/>
        <v>0.96248877021284696</v>
      </c>
      <c r="M193" s="727">
        <f t="shared" si="146"/>
        <v>3.493868364616878</v>
      </c>
      <c r="N193" s="730">
        <f t="shared" si="168"/>
        <v>0.5</v>
      </c>
      <c r="O193" s="1280">
        <f t="shared" si="137"/>
        <v>1.2888839921320325</v>
      </c>
      <c r="P193" s="779">
        <f t="shared" si="147"/>
        <v>3.0412601387284788</v>
      </c>
      <c r="Q193" s="623">
        <f t="shared" si="138"/>
        <v>17.375268877467978</v>
      </c>
      <c r="R193" s="608">
        <f t="shared" si="139"/>
        <v>6.7844437309596319</v>
      </c>
      <c r="S193" s="1240">
        <f t="shared" si="163"/>
        <v>0.93581754725190458</v>
      </c>
      <c r="T193" s="135" t="str">
        <f t="shared" si="148"/>
        <v>Policies not met</v>
      </c>
      <c r="U193" s="1240">
        <f t="shared" si="149"/>
        <v>0.85</v>
      </c>
      <c r="V193" s="135" t="str">
        <f t="shared" si="150"/>
        <v>Yes</v>
      </c>
      <c r="W193" s="1241">
        <f t="shared" si="140"/>
        <v>14.382613828151564</v>
      </c>
      <c r="X193" s="623">
        <f t="shared" si="164"/>
        <v>11.212980952593902</v>
      </c>
      <c r="Y193" s="118">
        <f t="shared" si="151"/>
        <v>2.6757529099359583</v>
      </c>
      <c r="Z193" s="608">
        <f t="shared" si="141"/>
        <v>0.49017483766308212</v>
      </c>
      <c r="AA193" s="608">
        <f t="shared" si="142"/>
        <v>0</v>
      </c>
      <c r="AB193" s="608">
        <f t="shared" si="143"/>
        <v>3.7051279586225467E-3</v>
      </c>
      <c r="AC193" s="608">
        <f t="shared" si="152"/>
        <v>14.382613828151566</v>
      </c>
      <c r="AD193" s="767">
        <f t="shared" si="144"/>
        <v>0</v>
      </c>
      <c r="AE193" s="730">
        <f t="shared" si="153"/>
        <v>0.77962052562701523</v>
      </c>
      <c r="AF193" s="483">
        <f t="shared" si="154"/>
        <v>0.18604079494219741</v>
      </c>
      <c r="AG193" s="483">
        <f t="shared" si="155"/>
        <v>3.4081067844820158E-2</v>
      </c>
      <c r="AH193" s="483">
        <f t="shared" si="156"/>
        <v>2.5761158596710544E-4</v>
      </c>
      <c r="AI193" s="483">
        <f t="shared" si="157"/>
        <v>2.5761158596710544E-4</v>
      </c>
      <c r="AJ193" s="604">
        <f t="shared" si="158"/>
        <v>1.0002576115859669</v>
      </c>
      <c r="AK193" s="1400">
        <f t="shared" si="165"/>
        <v>10.125518377616123</v>
      </c>
      <c r="AL193" s="608">
        <f t="shared" si="166"/>
        <v>0.89412997615797285</v>
      </c>
      <c r="AM193" s="608">
        <f t="shared" si="167"/>
        <v>0.19333259881980491</v>
      </c>
      <c r="AN193" s="1401">
        <f t="shared" si="159"/>
        <v>11.212980952593901</v>
      </c>
      <c r="AO193" s="1402">
        <f t="shared" si="160"/>
        <v>0</v>
      </c>
    </row>
    <row r="194" spans="1:41">
      <c r="A194" s="127">
        <f>'Input data'!A134</f>
        <v>2034</v>
      </c>
      <c r="B194" s="748">
        <f>'Input data'!B134</f>
        <v>68.236999999999995</v>
      </c>
      <c r="C194" s="236">
        <f>'Input data'!C134</f>
        <v>4078.22</v>
      </c>
      <c r="D194" s="130">
        <f>'Input data'!E134</f>
        <v>50172070.130067617</v>
      </c>
      <c r="E194" s="608">
        <f>'Input data'!J134</f>
        <v>11.504772374209397</v>
      </c>
      <c r="F194" s="608">
        <f>'Input data'!L134/C114</f>
        <v>20.160963348266169</v>
      </c>
      <c r="G194" s="623">
        <f t="shared" si="170"/>
        <v>10.219734231597197</v>
      </c>
      <c r="H194" s="623">
        <f t="shared" si="134"/>
        <v>9.8641559535380772</v>
      </c>
      <c r="I194" s="1238">
        <f t="shared" si="135"/>
        <v>12.302443254671797</v>
      </c>
      <c r="J194" s="730">
        <f t="shared" si="169"/>
        <v>0.2</v>
      </c>
      <c r="K194" s="623">
        <f t="shared" si="162"/>
        <v>2.4604886509343595</v>
      </c>
      <c r="L194" s="608">
        <f t="shared" si="136"/>
        <v>0.96248877021284696</v>
      </c>
      <c r="M194" s="727">
        <f t="shared" si="146"/>
        <v>3.4229774211472064</v>
      </c>
      <c r="N194" s="730">
        <f t="shared" si="168"/>
        <v>0.5</v>
      </c>
      <c r="O194" s="1280">
        <f t="shared" si="137"/>
        <v>1.2888839921320325</v>
      </c>
      <c r="P194" s="779">
        <f t="shared" si="147"/>
        <v>2.9921850815459869</v>
      </c>
      <c r="Q194" s="623">
        <f t="shared" si="138"/>
        <v>17.091705103589288</v>
      </c>
      <c r="R194" s="608">
        <f t="shared" si="139"/>
        <v>6.8719708719920902</v>
      </c>
      <c r="S194" s="1240">
        <f t="shared" si="163"/>
        <v>0.94789067184208897</v>
      </c>
      <c r="T194" s="135" t="str">
        <f t="shared" si="148"/>
        <v>Policies not met</v>
      </c>
      <c r="U194" s="1240">
        <f t="shared" si="149"/>
        <v>0.85</v>
      </c>
      <c r="V194" s="135" t="str">
        <f t="shared" si="150"/>
        <v>Yes</v>
      </c>
      <c r="W194" s="1241">
        <f t="shared" si="140"/>
        <v>14.028159110803207</v>
      </c>
      <c r="X194" s="623">
        <f t="shared" si="164"/>
        <v>10.929417178715216</v>
      </c>
      <c r="Y194" s="118">
        <f t="shared" si="151"/>
        <v>2.6048619664662866</v>
      </c>
      <c r="Z194" s="608">
        <f t="shared" si="141"/>
        <v>0.49017483766308212</v>
      </c>
      <c r="AA194" s="608">
        <f t="shared" si="142"/>
        <v>0</v>
      </c>
      <c r="AB194" s="608">
        <f t="shared" si="143"/>
        <v>3.7051279586225467E-3</v>
      </c>
      <c r="AC194" s="608">
        <f t="shared" si="152"/>
        <v>14.028159110803207</v>
      </c>
      <c r="AD194" s="767">
        <f t="shared" si="144"/>
        <v>0</v>
      </c>
      <c r="AE194" s="730">
        <f t="shared" si="153"/>
        <v>0.77910558986306166</v>
      </c>
      <c r="AF194" s="483">
        <f t="shared" si="154"/>
        <v>0.18568808251257002</v>
      </c>
      <c r="AG194" s="483">
        <f t="shared" si="155"/>
        <v>3.4942206870578925E-2</v>
      </c>
      <c r="AH194" s="483">
        <f t="shared" si="156"/>
        <v>2.6412075378936894E-4</v>
      </c>
      <c r="AI194" s="483">
        <f t="shared" si="157"/>
        <v>2.6412075378936894E-4</v>
      </c>
      <c r="AJ194" s="604">
        <f t="shared" si="158"/>
        <v>1.0002641207537892</v>
      </c>
      <c r="AK194" s="1400">
        <f t="shared" si="165"/>
        <v>9.8419546037374381</v>
      </c>
      <c r="AL194" s="608">
        <f t="shared" si="166"/>
        <v>0.89412997615797285</v>
      </c>
      <c r="AM194" s="608">
        <f t="shared" si="167"/>
        <v>0.19333259881980491</v>
      </c>
      <c r="AN194" s="1401">
        <f t="shared" si="159"/>
        <v>10.929417178715216</v>
      </c>
      <c r="AO194" s="1402">
        <f t="shared" si="160"/>
        <v>0</v>
      </c>
    </row>
    <row r="195" spans="1:41">
      <c r="A195" s="127">
        <f>'Input data'!A135</f>
        <v>2035</v>
      </c>
      <c r="B195" s="748">
        <f>'Input data'!B135</f>
        <v>68.819000000000003</v>
      </c>
      <c r="C195" s="236">
        <f>'Input data'!C135</f>
        <v>4200.2899999999991</v>
      </c>
      <c r="D195" s="130">
        <f>'Input data'!E135</f>
        <v>50172070.130067617</v>
      </c>
      <c r="E195" s="608">
        <f>'Input data'!J135</f>
        <v>11.504772374209397</v>
      </c>
      <c r="F195" s="608">
        <f>'Input data'!L135/C115</f>
        <v>19.866177096064803</v>
      </c>
      <c r="G195" s="623">
        <f t="shared" si="170"/>
        <v>9.8616459359555186</v>
      </c>
      <c r="H195" s="623">
        <f t="shared" si="134"/>
        <v>9.8867128067167407</v>
      </c>
      <c r="I195" s="1238">
        <f t="shared" si="135"/>
        <v>11.944906216015472</v>
      </c>
      <c r="J195" s="730">
        <f t="shared" si="169"/>
        <v>0.2</v>
      </c>
      <c r="K195" s="623">
        <f t="shared" si="162"/>
        <v>2.3889812432030944</v>
      </c>
      <c r="L195" s="608">
        <f t="shared" si="136"/>
        <v>0.96248877021284696</v>
      </c>
      <c r="M195" s="727">
        <f t="shared" si="146"/>
        <v>3.3514700134159412</v>
      </c>
      <c r="N195" s="730">
        <f t="shared" si="168"/>
        <v>0.5</v>
      </c>
      <c r="O195" s="1280">
        <f t="shared" si="137"/>
        <v>1.2888839921320325</v>
      </c>
      <c r="P195" s="779">
        <f t="shared" si="147"/>
        <v>2.9426832700080316</v>
      </c>
      <c r="Q195" s="623">
        <f t="shared" si="138"/>
        <v>16.805675472664227</v>
      </c>
      <c r="R195" s="608">
        <f t="shared" si="139"/>
        <v>6.9440295367087082</v>
      </c>
      <c r="S195" s="1240">
        <f t="shared" si="163"/>
        <v>0.95783014006490452</v>
      </c>
      <c r="T195" s="135" t="str">
        <f t="shared" si="148"/>
        <v>Policies not met</v>
      </c>
      <c r="U195" s="1240">
        <f t="shared" si="149"/>
        <v>0.85</v>
      </c>
      <c r="V195" s="135" t="str">
        <f t="shared" si="150"/>
        <v>Yes</v>
      </c>
      <c r="W195" s="1241">
        <f t="shared" si="140"/>
        <v>13.670622072146882</v>
      </c>
      <c r="X195" s="623">
        <f t="shared" si="164"/>
        <v>10.643387547790155</v>
      </c>
      <c r="Y195" s="118">
        <f t="shared" si="151"/>
        <v>2.5333545587350215</v>
      </c>
      <c r="Z195" s="608">
        <f t="shared" si="141"/>
        <v>0.49017483766308212</v>
      </c>
      <c r="AA195" s="608">
        <f t="shared" si="142"/>
        <v>0</v>
      </c>
      <c r="AB195" s="608">
        <f t="shared" si="143"/>
        <v>3.7051279586225467E-3</v>
      </c>
      <c r="AC195" s="608">
        <f t="shared" si="152"/>
        <v>13.670622072146882</v>
      </c>
      <c r="AD195" s="767">
        <f t="shared" si="144"/>
        <v>0</v>
      </c>
      <c r="AE195" s="730">
        <f t="shared" si="153"/>
        <v>0.77855912420221562</v>
      </c>
      <c r="AF195" s="483">
        <f t="shared" si="154"/>
        <v>0.18531377324054535</v>
      </c>
      <c r="AG195" s="483">
        <f t="shared" si="155"/>
        <v>3.5856074074477239E-2</v>
      </c>
      <c r="AH195" s="483">
        <f t="shared" si="156"/>
        <v>2.7102848276169779E-4</v>
      </c>
      <c r="AI195" s="483">
        <f t="shared" si="157"/>
        <v>2.7102848276169779E-4</v>
      </c>
      <c r="AJ195" s="604">
        <f t="shared" si="158"/>
        <v>1.0002710284827616</v>
      </c>
      <c r="AK195" s="1400">
        <f t="shared" si="165"/>
        <v>9.5559249728123774</v>
      </c>
      <c r="AL195" s="608">
        <f t="shared" si="166"/>
        <v>0.89412997615797285</v>
      </c>
      <c r="AM195" s="608">
        <f t="shared" si="167"/>
        <v>0.19333259881980491</v>
      </c>
      <c r="AN195" s="1401">
        <f t="shared" si="159"/>
        <v>10.643387547790155</v>
      </c>
      <c r="AO195" s="1402">
        <f t="shared" si="160"/>
        <v>0</v>
      </c>
    </row>
    <row r="196" spans="1:41">
      <c r="A196" s="127">
        <f>'Input data'!A136</f>
        <v>2036</v>
      </c>
      <c r="B196" s="748">
        <f>'Input data'!B136</f>
        <v>69.322999999999993</v>
      </c>
      <c r="C196" s="236">
        <f>'Input data'!C136</f>
        <v>4325.9699999999993</v>
      </c>
      <c r="D196" s="130">
        <f>'Input data'!E136</f>
        <v>50172070.130067617</v>
      </c>
      <c r="E196" s="608">
        <f>'Input data'!J136</f>
        <v>11.504772374209397</v>
      </c>
      <c r="F196" s="608">
        <f>'Input data'!L136/C116</f>
        <v>18.967929955892046</v>
      </c>
      <c r="G196" s="623">
        <f t="shared" si="170"/>
        <v>9.5161046620435386</v>
      </c>
      <c r="H196" s="623">
        <f t="shared" si="134"/>
        <v>9.9065841976136966</v>
      </c>
      <c r="I196" s="1238">
        <f t="shared" si="135"/>
        <v>11.597877500321921</v>
      </c>
      <c r="J196" s="730">
        <f t="shared" si="169"/>
        <v>0.2</v>
      </c>
      <c r="K196" s="623">
        <f t="shared" si="162"/>
        <v>2.3195755000643845</v>
      </c>
      <c r="L196" s="608">
        <f t="shared" si="136"/>
        <v>0.96248877021284696</v>
      </c>
      <c r="M196" s="727">
        <f t="shared" si="146"/>
        <v>3.2820642702772314</v>
      </c>
      <c r="N196" s="730">
        <f t="shared" si="168"/>
        <v>0.5</v>
      </c>
      <c r="O196" s="1280">
        <f t="shared" si="137"/>
        <v>1.2888839921320325</v>
      </c>
      <c r="P196" s="779">
        <f t="shared" si="147"/>
        <v>2.8946363595478442</v>
      </c>
      <c r="Q196" s="623">
        <f t="shared" si="138"/>
        <v>16.528052500109389</v>
      </c>
      <c r="R196" s="608">
        <f t="shared" si="139"/>
        <v>7.0119478380658506</v>
      </c>
      <c r="S196" s="1240">
        <f t="shared" si="163"/>
        <v>0.96719850403253715</v>
      </c>
      <c r="T196" s="135" t="str">
        <f t="shared" si="148"/>
        <v>Policies not met</v>
      </c>
      <c r="U196" s="1240">
        <f t="shared" si="149"/>
        <v>0.85</v>
      </c>
      <c r="V196" s="135" t="str">
        <f t="shared" si="150"/>
        <v>Yes</v>
      </c>
      <c r="W196" s="1241">
        <f t="shared" si="140"/>
        <v>13.323593356453332</v>
      </c>
      <c r="X196" s="623">
        <f t="shared" si="164"/>
        <v>10.365764575235314</v>
      </c>
      <c r="Y196" s="118">
        <f t="shared" si="151"/>
        <v>2.4639488155963116</v>
      </c>
      <c r="Z196" s="608">
        <f t="shared" si="141"/>
        <v>0.49017483766308212</v>
      </c>
      <c r="AA196" s="608">
        <f t="shared" si="142"/>
        <v>0</v>
      </c>
      <c r="AB196" s="608">
        <f t="shared" si="143"/>
        <v>3.7051279586225467E-3</v>
      </c>
      <c r="AC196" s="608">
        <f t="shared" si="152"/>
        <v>13.32359335645333</v>
      </c>
      <c r="AD196" s="767">
        <f>AC196-W196</f>
        <v>0</v>
      </c>
      <c r="AE196" s="730">
        <f t="shared" si="153"/>
        <v>0.77800067128396855</v>
      </c>
      <c r="AF196" s="483">
        <f t="shared" si="154"/>
        <v>0.18493125312946371</v>
      </c>
      <c r="AG196" s="483">
        <f t="shared" si="155"/>
        <v>3.6789987847059606E-2</v>
      </c>
      <c r="AH196" s="483">
        <f t="shared" si="156"/>
        <v>2.7808773950819767E-4</v>
      </c>
      <c r="AI196" s="483">
        <f t="shared" si="157"/>
        <v>2.7808773950819767E-4</v>
      </c>
      <c r="AJ196" s="604">
        <f t="shared" si="158"/>
        <v>1.0002780877395081</v>
      </c>
      <c r="AK196" s="1400">
        <f t="shared" si="165"/>
        <v>9.2783020002575363</v>
      </c>
      <c r="AL196" s="608">
        <f t="shared" si="166"/>
        <v>0.89412997615797285</v>
      </c>
      <c r="AM196" s="608">
        <f t="shared" si="167"/>
        <v>0.19333259881980491</v>
      </c>
      <c r="AN196" s="1401">
        <f t="shared" si="159"/>
        <v>10.365764575235314</v>
      </c>
      <c r="AO196" s="1402">
        <f t="shared" si="160"/>
        <v>0</v>
      </c>
    </row>
    <row r="197" spans="1:41">
      <c r="A197" s="127">
        <f>'Input data'!A137</f>
        <v>2037</v>
      </c>
      <c r="B197" s="749">
        <f>'Input data'!B137</f>
        <v>69.83</v>
      </c>
      <c r="C197" s="605">
        <f>'Input data'!C137</f>
        <v>4457.0000000000018</v>
      </c>
      <c r="D197" s="130">
        <f>'Input data'!E137</f>
        <v>50172070.130067617</v>
      </c>
      <c r="E197" s="608">
        <f>'Input data'!J137</f>
        <v>11.504772374209397</v>
      </c>
      <c r="F197" s="608">
        <f>'Input data'!L137/C117</f>
        <v>18.112460722448418</v>
      </c>
      <c r="G197" s="623">
        <f t="shared" si="170"/>
        <v>9.1826707759603341</v>
      </c>
      <c r="H197" s="623">
        <f t="shared" si="134"/>
        <v>9.9200410489658548</v>
      </c>
      <c r="I197" s="1238">
        <f t="shared" si="135"/>
        <v>11.256914994406012</v>
      </c>
      <c r="J197" s="730">
        <f t="shared" si="169"/>
        <v>0.2</v>
      </c>
      <c r="K197" s="623">
        <f t="shared" si="162"/>
        <v>2.2513829988812026</v>
      </c>
      <c r="L197" s="608">
        <f t="shared" si="136"/>
        <v>0.96248877021284696</v>
      </c>
      <c r="M197" s="727">
        <f t="shared" si="146"/>
        <v>3.2138717690940495</v>
      </c>
      <c r="N197" s="730">
        <f t="shared" si="168"/>
        <v>0.5</v>
      </c>
      <c r="O197" s="1280">
        <f t="shared" si="137"/>
        <v>1.2888839921320325</v>
      </c>
      <c r="P197" s="779">
        <f t="shared" si="147"/>
        <v>2.8474293295495281</v>
      </c>
      <c r="Q197" s="623">
        <f t="shared" si="138"/>
        <v>16.255282495376662</v>
      </c>
      <c r="R197" s="608">
        <f t="shared" si="139"/>
        <v>7.0726117194163276</v>
      </c>
      <c r="S197" s="1240">
        <f t="shared" si="163"/>
        <v>0.97556622390809933</v>
      </c>
      <c r="T197" s="135" t="str">
        <f t="shared" si="148"/>
        <v>Policies not met</v>
      </c>
      <c r="U197" s="1240">
        <f t="shared" si="149"/>
        <v>0.85</v>
      </c>
      <c r="V197" s="135" t="str">
        <f t="shared" si="150"/>
        <v>Yes</v>
      </c>
      <c r="W197" s="1241">
        <f t="shared" si="140"/>
        <v>12.982630850537422</v>
      </c>
      <c r="X197" s="623">
        <f t="shared" si="164"/>
        <v>10.092994570502587</v>
      </c>
      <c r="Y197" s="118">
        <f t="shared" si="151"/>
        <v>2.3957563144131298</v>
      </c>
      <c r="Z197" s="608">
        <f t="shared" si="141"/>
        <v>0.49017483766308212</v>
      </c>
      <c r="AA197" s="608">
        <f t="shared" si="142"/>
        <v>0</v>
      </c>
      <c r="AB197" s="608">
        <f t="shared" si="143"/>
        <v>3.7051279586225467E-3</v>
      </c>
      <c r="AC197" s="608">
        <f t="shared" si="152"/>
        <v>12.982630850537422</v>
      </c>
      <c r="AD197" s="767">
        <f t="shared" ref="AD197:AD210" si="171">AC197-W197</f>
        <v>0</v>
      </c>
      <c r="AE197" s="730">
        <f t="shared" si="153"/>
        <v>0.77742290346989129</v>
      </c>
      <c r="AF197" s="483">
        <f t="shared" si="154"/>
        <v>0.18453550301123722</v>
      </c>
      <c r="AG197" s="483">
        <f t="shared" si="155"/>
        <v>3.7756202368088673E-2</v>
      </c>
      <c r="AH197" s="483">
        <f t="shared" si="156"/>
        <v>2.8539115078275306E-4</v>
      </c>
      <c r="AI197" s="483">
        <f t="shared" si="157"/>
        <v>2.8539115078275306E-4</v>
      </c>
      <c r="AJ197" s="604">
        <f t="shared" si="158"/>
        <v>1.0002853911507827</v>
      </c>
      <c r="AK197" s="1400">
        <f t="shared" si="165"/>
        <v>9.0055319955248088</v>
      </c>
      <c r="AL197" s="608">
        <f t="shared" si="166"/>
        <v>0.89412997615797285</v>
      </c>
      <c r="AM197" s="608">
        <f t="shared" si="167"/>
        <v>0.19333259881980491</v>
      </c>
      <c r="AN197" s="1401">
        <f t="shared" si="159"/>
        <v>10.092994570502587</v>
      </c>
      <c r="AO197" s="1402">
        <f t="shared" si="160"/>
        <v>0</v>
      </c>
    </row>
    <row r="198" spans="1:41">
      <c r="A198" s="127">
        <f>'Input data'!A138</f>
        <v>2038</v>
      </c>
      <c r="B198" s="748">
        <f>'Input data'!B138</f>
        <v>70.341999999999999</v>
      </c>
      <c r="C198" s="236">
        <f>'Input data'!C138</f>
        <v>4590.03</v>
      </c>
      <c r="D198" s="130">
        <f>'Input data'!E138</f>
        <v>50172070.130067617</v>
      </c>
      <c r="E198" s="608">
        <f>'Input data'!J138</f>
        <v>11.504772374209397</v>
      </c>
      <c r="F198" s="608">
        <f>'Input data'!L138/C118</f>
        <v>17.303326660907082</v>
      </c>
      <c r="G198" s="623">
        <f t="shared" si="170"/>
        <v>8.86092004809543</v>
      </c>
      <c r="H198" s="623">
        <f t="shared" si="134"/>
        <v>9.9356196586526018</v>
      </c>
      <c r="I198" s="1238">
        <f t="shared" si="135"/>
        <v>10.930662790889738</v>
      </c>
      <c r="J198" s="730">
        <f t="shared" si="169"/>
        <v>0.2</v>
      </c>
      <c r="K198" s="623">
        <f t="shared" si="162"/>
        <v>2.1861325581779476</v>
      </c>
      <c r="L198" s="608">
        <f t="shared" si="136"/>
        <v>0.96248877021284696</v>
      </c>
      <c r="M198" s="727">
        <f t="shared" si="146"/>
        <v>3.1486213283907944</v>
      </c>
      <c r="N198" s="730">
        <f t="shared" si="168"/>
        <v>0.5</v>
      </c>
      <c r="O198" s="1280">
        <f t="shared" si="137"/>
        <v>1.2888839921320325</v>
      </c>
      <c r="P198" s="779">
        <f t="shared" si="147"/>
        <v>2.8022589741843893</v>
      </c>
      <c r="Q198" s="623">
        <f t="shared" si="138"/>
        <v>15.994280732563642</v>
      </c>
      <c r="R198" s="608">
        <f t="shared" si="139"/>
        <v>7.1333606844682116</v>
      </c>
      <c r="S198" s="1240">
        <f t="shared" si="163"/>
        <v>0.98394567987049786</v>
      </c>
      <c r="T198" s="135" t="str">
        <f t="shared" si="148"/>
        <v>Policies not met</v>
      </c>
      <c r="U198" s="1240">
        <f t="shared" si="149"/>
        <v>0.85</v>
      </c>
      <c r="V198" s="135" t="str">
        <f t="shared" si="150"/>
        <v>Yes</v>
      </c>
      <c r="W198" s="1241">
        <f t="shared" si="140"/>
        <v>12.656378647021148</v>
      </c>
      <c r="X198" s="623">
        <f t="shared" si="164"/>
        <v>9.8319928076895682</v>
      </c>
      <c r="Y198" s="118">
        <f t="shared" si="151"/>
        <v>2.3305058737098747</v>
      </c>
      <c r="Z198" s="608">
        <f t="shared" si="141"/>
        <v>0.49017483766308212</v>
      </c>
      <c r="AA198" s="608">
        <f t="shared" si="142"/>
        <v>0</v>
      </c>
      <c r="AB198" s="608">
        <f t="shared" si="143"/>
        <v>3.7051279586225467E-3</v>
      </c>
      <c r="AC198" s="608">
        <f t="shared" si="152"/>
        <v>12.656378647021148</v>
      </c>
      <c r="AD198" s="767">
        <f t="shared" si="171"/>
        <v>0</v>
      </c>
      <c r="AE198" s="730">
        <f t="shared" si="153"/>
        <v>0.77684091807759426</v>
      </c>
      <c r="AF198" s="483">
        <f t="shared" si="154"/>
        <v>0.18413686400401677</v>
      </c>
      <c r="AG198" s="483">
        <f t="shared" si="155"/>
        <v>3.8729470043032531E-2</v>
      </c>
      <c r="AH198" s="483">
        <f t="shared" si="156"/>
        <v>2.9274787535647881E-4</v>
      </c>
      <c r="AI198" s="483">
        <f t="shared" si="157"/>
        <v>2.9274787535647881E-4</v>
      </c>
      <c r="AJ198" s="604">
        <f t="shared" si="158"/>
        <v>1.0002927478753565</v>
      </c>
      <c r="AK198" s="1400">
        <f t="shared" si="165"/>
        <v>8.7445302327117904</v>
      </c>
      <c r="AL198" s="608">
        <f t="shared" si="166"/>
        <v>0.89412997615797285</v>
      </c>
      <c r="AM198" s="608">
        <f t="shared" si="167"/>
        <v>0.19333259881980491</v>
      </c>
      <c r="AN198" s="1401">
        <f t="shared" si="159"/>
        <v>9.8319928076895682</v>
      </c>
      <c r="AO198" s="1402">
        <f t="shared" si="160"/>
        <v>0</v>
      </c>
    </row>
    <row r="199" spans="1:41">
      <c r="A199" s="127">
        <f>'Input data'!A139</f>
        <v>2039</v>
      </c>
      <c r="B199" s="748">
        <f>'Input data'!B139</f>
        <v>70.856999999999999</v>
      </c>
      <c r="C199" s="236">
        <f>'Input data'!C139</f>
        <v>4728.5300000000007</v>
      </c>
      <c r="D199" s="130">
        <f>'Input data'!E139</f>
        <v>50172070.130067617</v>
      </c>
      <c r="E199" s="608">
        <f>'Input data'!J139</f>
        <v>11.504772374209397</v>
      </c>
      <c r="F199" s="608">
        <f>'Input data'!L139/C119</f>
        <v>16.533948311982996</v>
      </c>
      <c r="G199" s="623">
        <f t="shared" si="170"/>
        <v>8.5504431133793126</v>
      </c>
      <c r="H199" s="623">
        <f t="shared" si="134"/>
        <v>9.9456396073191762</v>
      </c>
      <c r="I199" s="1238">
        <f t="shared" si="135"/>
        <v>10.61050054246618</v>
      </c>
      <c r="J199" s="730">
        <f t="shared" si="169"/>
        <v>0.2</v>
      </c>
      <c r="K199" s="623">
        <f t="shared" si="162"/>
        <v>2.1221001084932363</v>
      </c>
      <c r="L199" s="608">
        <f t="shared" si="136"/>
        <v>0.96248877021284696</v>
      </c>
      <c r="M199" s="727">
        <f t="shared" si="146"/>
        <v>3.0845888787060831</v>
      </c>
      <c r="N199" s="730">
        <f t="shared" si="168"/>
        <v>0.5</v>
      </c>
      <c r="O199" s="1280">
        <f t="shared" si="137"/>
        <v>1.2888839921320325</v>
      </c>
      <c r="P199" s="779">
        <f t="shared" si="147"/>
        <v>2.7579317868736917</v>
      </c>
      <c r="Q199" s="623">
        <f t="shared" si="138"/>
        <v>15.738150933824798</v>
      </c>
      <c r="R199" s="608">
        <f t="shared" si="139"/>
        <v>7.1877078204454854</v>
      </c>
      <c r="S199" s="1240">
        <f t="shared" si="163"/>
        <v>0.99144209453723475</v>
      </c>
      <c r="T199" s="135" t="str">
        <f t="shared" si="148"/>
        <v>Policies not met</v>
      </c>
      <c r="U199" s="1240">
        <f t="shared" si="149"/>
        <v>0.85</v>
      </c>
      <c r="V199" s="135" t="str">
        <f t="shared" si="150"/>
        <v>Yes</v>
      </c>
      <c r="W199" s="1241">
        <f t="shared" si="140"/>
        <v>12.336216398597591</v>
      </c>
      <c r="X199" s="623">
        <f t="shared" si="164"/>
        <v>9.5758630089507228</v>
      </c>
      <c r="Y199" s="118">
        <f t="shared" si="151"/>
        <v>2.2664734240251634</v>
      </c>
      <c r="Z199" s="608">
        <f t="shared" si="141"/>
        <v>0.49017483766308212</v>
      </c>
      <c r="AA199" s="608">
        <f t="shared" si="142"/>
        <v>0</v>
      </c>
      <c r="AB199" s="608">
        <f t="shared" si="143"/>
        <v>3.7051279586225467E-3</v>
      </c>
      <c r="AC199" s="608">
        <f t="shared" si="152"/>
        <v>12.336216398597591</v>
      </c>
      <c r="AD199" s="767">
        <f t="shared" si="171"/>
        <v>0</v>
      </c>
      <c r="AE199" s="730">
        <f t="shared" si="153"/>
        <v>0.77623986962804326</v>
      </c>
      <c r="AF199" s="483">
        <f t="shared" si="154"/>
        <v>0.18372516748999485</v>
      </c>
      <c r="AG199" s="483">
        <f t="shared" si="155"/>
        <v>3.9734617310929005E-2</v>
      </c>
      <c r="AH199" s="483">
        <f t="shared" si="156"/>
        <v>3.003455710329266E-4</v>
      </c>
      <c r="AI199" s="483">
        <f t="shared" si="157"/>
        <v>3.003455710329266E-4</v>
      </c>
      <c r="AJ199" s="604">
        <f t="shared" si="158"/>
        <v>1.0003003455710329</v>
      </c>
      <c r="AK199" s="1400">
        <f t="shared" si="165"/>
        <v>8.4884004339729451</v>
      </c>
      <c r="AL199" s="608">
        <f t="shared" si="166"/>
        <v>0.89412997615797285</v>
      </c>
      <c r="AM199" s="608">
        <f t="shared" si="167"/>
        <v>0.19333259881980491</v>
      </c>
      <c r="AN199" s="1401">
        <f t="shared" si="159"/>
        <v>9.5758630089507228</v>
      </c>
      <c r="AO199" s="1402">
        <f t="shared" si="160"/>
        <v>0</v>
      </c>
    </row>
    <row r="200" spans="1:41">
      <c r="A200" s="127">
        <f>'Input data'!A140</f>
        <v>2040</v>
      </c>
      <c r="B200" s="748">
        <f>'Input data'!B140</f>
        <v>71.375</v>
      </c>
      <c r="C200" s="236">
        <f>'Input data'!C140</f>
        <v>4875.51</v>
      </c>
      <c r="D200" s="130">
        <f>'Input data'!E140</f>
        <v>50172070.130067617</v>
      </c>
      <c r="E200" s="608">
        <f>'Input data'!J140</f>
        <v>11.504772374209397</v>
      </c>
      <c r="F200" s="608">
        <f>'Input data'!L140/C120</f>
        <v>15.800872774272213</v>
      </c>
      <c r="G200" s="781">
        <f>G177*(1-$C$5)</f>
        <v>8.2508449504462007</v>
      </c>
      <c r="H200" s="623">
        <f t="shared" si="134"/>
        <v>9.9450546631196062</v>
      </c>
      <c r="I200" s="1238">
        <f t="shared" si="135"/>
        <v>10.290630135117683</v>
      </c>
      <c r="J200" s="729">
        <f t="shared" si="169"/>
        <v>0.2</v>
      </c>
      <c r="K200" s="623">
        <f t="shared" si="162"/>
        <v>2.0581260270235364</v>
      </c>
      <c r="L200" s="608">
        <f t="shared" si="136"/>
        <v>0.96248877021284696</v>
      </c>
      <c r="M200" s="727">
        <f t="shared" si="146"/>
        <v>3.0206147972363833</v>
      </c>
      <c r="N200" s="730">
        <f t="shared" si="168"/>
        <v>0.5</v>
      </c>
      <c r="O200" s="1280">
        <f t="shared" si="137"/>
        <v>1.2888839921320325</v>
      </c>
      <c r="P200" s="779">
        <f t="shared" si="147"/>
        <v>2.7136450056198065</v>
      </c>
      <c r="Q200" s="623">
        <f t="shared" si="138"/>
        <v>15.482254607946</v>
      </c>
      <c r="R200" s="608">
        <f t="shared" si="139"/>
        <v>7.2314096574997997</v>
      </c>
      <c r="S200" s="1240">
        <f t="shared" si="163"/>
        <v>0.99747014157901992</v>
      </c>
      <c r="T200" s="135" t="str">
        <f t="shared" si="148"/>
        <v>Policies not met</v>
      </c>
      <c r="U200" s="1240">
        <f t="shared" si="149"/>
        <v>0.85</v>
      </c>
      <c r="V200" s="135" t="str">
        <f t="shared" si="150"/>
        <v>Yes</v>
      </c>
      <c r="W200" s="1241">
        <f t="shared" si="140"/>
        <v>12.016345991249093</v>
      </c>
      <c r="X200" s="623">
        <f t="shared" si="164"/>
        <v>9.3199666830719252</v>
      </c>
      <c r="Y200" s="118">
        <f t="shared" si="151"/>
        <v>2.2024993425554635</v>
      </c>
      <c r="Z200" s="608">
        <f t="shared" si="141"/>
        <v>0.49017483766308212</v>
      </c>
      <c r="AA200" s="608">
        <f t="shared" si="142"/>
        <v>0</v>
      </c>
      <c r="AB200" s="608">
        <f t="shared" si="143"/>
        <v>3.7051279586225467E-3</v>
      </c>
      <c r="AC200" s="608">
        <f t="shared" si="152"/>
        <v>12.016345991249093</v>
      </c>
      <c r="AD200" s="767">
        <f t="shared" si="171"/>
        <v>0</v>
      </c>
      <c r="AE200" s="730">
        <f t="shared" si="153"/>
        <v>0.7756073842962905</v>
      </c>
      <c r="AF200" s="483">
        <f t="shared" si="154"/>
        <v>0.18329193784528461</v>
      </c>
      <c r="AG200" s="483">
        <f t="shared" si="155"/>
        <v>4.079233720633977E-2</v>
      </c>
      <c r="AH200" s="483">
        <f t="shared" si="156"/>
        <v>3.0834065208515193E-4</v>
      </c>
      <c r="AI200" s="483">
        <f t="shared" si="157"/>
        <v>3.0834065208515193E-4</v>
      </c>
      <c r="AJ200" s="604">
        <f t="shared" si="158"/>
        <v>1.0003083406520852</v>
      </c>
      <c r="AK200" s="1400">
        <f t="shared" si="165"/>
        <v>8.2325041080941457</v>
      </c>
      <c r="AL200" s="608">
        <f t="shared" si="166"/>
        <v>0.89412997615797285</v>
      </c>
      <c r="AM200" s="608">
        <f t="shared" si="167"/>
        <v>0.19333259881980491</v>
      </c>
      <c r="AN200" s="1401">
        <f t="shared" si="159"/>
        <v>9.3199666830719234</v>
      </c>
      <c r="AO200" s="1402">
        <f t="shared" si="160"/>
        <v>0</v>
      </c>
    </row>
    <row r="201" spans="1:41">
      <c r="A201" s="127">
        <f>'Input data'!A141</f>
        <v>2041</v>
      </c>
      <c r="B201" s="748">
        <f>'Input data'!B141</f>
        <v>71.819000000000003</v>
      </c>
      <c r="C201" s="236">
        <f>'Input data'!C141</f>
        <v>5028.54</v>
      </c>
      <c r="D201" s="130">
        <f>'Input data'!E141</f>
        <v>50172070.130067617</v>
      </c>
      <c r="E201" s="608">
        <f>'Input data'!J141</f>
        <v>11.504772374209397</v>
      </c>
      <c r="F201" s="608">
        <f>'Input data'!L141/C121</f>
        <v>15.415390470896282</v>
      </c>
      <c r="G201" s="623">
        <f>$G$160*(1+((($G$170/$G$160)^(1/($A$170-$A$160)))-1))^(A201-$A$160)</f>
        <v>7.8017965534882725</v>
      </c>
      <c r="H201" s="623">
        <f t="shared" si="134"/>
        <v>10.100210343393229</v>
      </c>
      <c r="I201" s="1238">
        <f t="shared" si="135"/>
        <v>9.9774626690983101</v>
      </c>
      <c r="J201" s="730">
        <f t="shared" si="169"/>
        <v>0.2</v>
      </c>
      <c r="K201" s="623">
        <f t="shared" si="162"/>
        <v>1.9954925338196621</v>
      </c>
      <c r="L201" s="608">
        <f t="shared" si="136"/>
        <v>0.96248877021284696</v>
      </c>
      <c r="M201" s="727">
        <f t="shared" si="146"/>
        <v>2.9579813040325091</v>
      </c>
      <c r="N201" s="730">
        <f t="shared" si="168"/>
        <v>0.5</v>
      </c>
      <c r="O201" s="1280">
        <f t="shared" si="137"/>
        <v>1.2888839921320325</v>
      </c>
      <c r="P201" s="779">
        <f t="shared" si="147"/>
        <v>2.670286261751003</v>
      </c>
      <c r="Q201" s="623">
        <f t="shared" si="138"/>
        <v>15.2317206351305</v>
      </c>
      <c r="R201" s="608">
        <f t="shared" si="139"/>
        <v>7.4299240816422278</v>
      </c>
      <c r="S201" s="1240">
        <f t="shared" si="163"/>
        <v>1.0248523837881121</v>
      </c>
      <c r="T201" s="135" t="str">
        <f t="shared" si="148"/>
        <v>Policies not met</v>
      </c>
      <c r="U201" s="1240">
        <f t="shared" si="149"/>
        <v>0.85</v>
      </c>
      <c r="V201" s="135" t="str">
        <f t="shared" si="150"/>
        <v>Yes</v>
      </c>
      <c r="W201" s="1241">
        <f t="shared" si="140"/>
        <v>11.70317852522972</v>
      </c>
      <c r="X201" s="623">
        <f t="shared" si="164"/>
        <v>9.0694327102564252</v>
      </c>
      <c r="Y201" s="118">
        <f t="shared" si="151"/>
        <v>2.139865849351589</v>
      </c>
      <c r="Z201" s="608">
        <f t="shared" si="141"/>
        <v>0.49017483766308212</v>
      </c>
      <c r="AA201" s="608">
        <f t="shared" si="142"/>
        <v>0</v>
      </c>
      <c r="AB201" s="608">
        <f t="shared" si="143"/>
        <v>3.7051279586225467E-3</v>
      </c>
      <c r="AC201" s="608">
        <f t="shared" si="152"/>
        <v>11.703178525229719</v>
      </c>
      <c r="AD201" s="767">
        <f t="shared" si="171"/>
        <v>0</v>
      </c>
      <c r="AE201" s="730">
        <f t="shared" si="153"/>
        <v>0.77495465789097695</v>
      </c>
      <c r="AF201" s="483">
        <f t="shared" si="154"/>
        <v>0.18284484379508226</v>
      </c>
      <c r="AG201" s="483">
        <f t="shared" si="155"/>
        <v>4.1883906718705774E-2</v>
      </c>
      <c r="AH201" s="483">
        <f t="shared" si="156"/>
        <v>3.1659159523500643E-4</v>
      </c>
      <c r="AI201" s="483">
        <f t="shared" si="157"/>
        <v>3.1659159523500643E-4</v>
      </c>
      <c r="AJ201" s="604">
        <f t="shared" si="158"/>
        <v>1.000316591595235</v>
      </c>
      <c r="AK201" s="1400">
        <f t="shared" si="165"/>
        <v>7.9819701352786483</v>
      </c>
      <c r="AL201" s="608">
        <f t="shared" si="166"/>
        <v>0.89412997615797285</v>
      </c>
      <c r="AM201" s="608">
        <f t="shared" si="167"/>
        <v>0.19333259881980491</v>
      </c>
      <c r="AN201" s="1401">
        <f t="shared" si="159"/>
        <v>9.0694327102564252</v>
      </c>
      <c r="AO201" s="1402">
        <f t="shared" si="160"/>
        <v>0</v>
      </c>
    </row>
    <row r="202" spans="1:41">
      <c r="A202" s="127">
        <f>'Input data'!A142</f>
        <v>2042</v>
      </c>
      <c r="B202" s="748">
        <f>'Input data'!B142</f>
        <v>72.265000000000001</v>
      </c>
      <c r="C202" s="236">
        <f>'Input data'!C142</f>
        <v>5188.1000000000004</v>
      </c>
      <c r="D202" s="130">
        <f>'Input data'!E142</f>
        <v>50172070.130067617</v>
      </c>
      <c r="E202" s="608">
        <f>'Input data'!J142</f>
        <v>11.504772374209397</v>
      </c>
      <c r="F202" s="608">
        <f>'Input data'!L142/C122</f>
        <v>15.04821189663909</v>
      </c>
      <c r="G202" s="623">
        <f t="shared" ref="G202:G209" si="172">$G$160*(1+((($G$170/$G$160)^(1/($A$170-$A$160)))-1))^(A202-$A$160)</f>
        <v>7.3771874065734053</v>
      </c>
      <c r="H202" s="623">
        <f t="shared" si="134"/>
        <v>10.236848999969538</v>
      </c>
      <c r="I202" s="1238">
        <f t="shared" si="135"/>
        <v>9.6706058345189199</v>
      </c>
      <c r="J202" s="730">
        <f t="shared" si="169"/>
        <v>0.2</v>
      </c>
      <c r="K202" s="623">
        <f t="shared" si="162"/>
        <v>1.9341211669037841</v>
      </c>
      <c r="L202" s="608">
        <f t="shared" si="136"/>
        <v>0.96248877021284696</v>
      </c>
      <c r="M202" s="727">
        <f t="shared" si="146"/>
        <v>2.8966099371166312</v>
      </c>
      <c r="N202" s="730">
        <f t="shared" si="168"/>
        <v>0.5</v>
      </c>
      <c r="O202" s="1280">
        <f t="shared" si="137"/>
        <v>1.2888839921320325</v>
      </c>
      <c r="P202" s="779">
        <f t="shared" si="147"/>
        <v>2.6278012390759575</v>
      </c>
      <c r="Q202" s="623">
        <f t="shared" si="138"/>
        <v>14.986235167466987</v>
      </c>
      <c r="R202" s="608">
        <f t="shared" si="139"/>
        <v>7.6090477608935814</v>
      </c>
      <c r="S202" s="1240">
        <f t="shared" si="163"/>
        <v>1.0495599484491325</v>
      </c>
      <c r="T202" s="135" t="str">
        <f t="shared" si="148"/>
        <v>Policies not met</v>
      </c>
      <c r="U202" s="1240">
        <f t="shared" si="149"/>
        <v>0.85</v>
      </c>
      <c r="V202" s="135" t="str">
        <f t="shared" si="150"/>
        <v>Yes</v>
      </c>
      <c r="W202" s="1241">
        <f t="shared" si="140"/>
        <v>11.39632169065033</v>
      </c>
      <c r="X202" s="623">
        <f t="shared" si="164"/>
        <v>8.8239472425929133</v>
      </c>
      <c r="Y202" s="118">
        <f t="shared" si="151"/>
        <v>2.078494482435711</v>
      </c>
      <c r="Z202" s="608">
        <f t="shared" si="141"/>
        <v>0.49017483766308212</v>
      </c>
      <c r="AA202" s="608">
        <f t="shared" si="142"/>
        <v>0</v>
      </c>
      <c r="AB202" s="608">
        <f t="shared" si="143"/>
        <v>3.7051279586225467E-3</v>
      </c>
      <c r="AC202" s="608">
        <f t="shared" si="152"/>
        <v>11.396321690650328</v>
      </c>
      <c r="AD202" s="767">
        <f t="shared" si="171"/>
        <v>0</v>
      </c>
      <c r="AE202" s="730">
        <f t="shared" si="153"/>
        <v>0.77428028815930838</v>
      </c>
      <c r="AF202" s="483">
        <f t="shared" si="154"/>
        <v>0.18238292484678906</v>
      </c>
      <c r="AG202" s="483">
        <f t="shared" si="155"/>
        <v>4.3011670867910572E-2</v>
      </c>
      <c r="AH202" s="483">
        <f t="shared" si="156"/>
        <v>3.2511612599197474E-4</v>
      </c>
      <c r="AI202" s="483">
        <f t="shared" si="157"/>
        <v>3.2511612599197474E-4</v>
      </c>
      <c r="AJ202" s="604">
        <f t="shared" si="158"/>
        <v>1.0003251161259921</v>
      </c>
      <c r="AK202" s="1400">
        <f t="shared" si="165"/>
        <v>7.7364846676151355</v>
      </c>
      <c r="AL202" s="608">
        <f t="shared" si="166"/>
        <v>0.89412997615797285</v>
      </c>
      <c r="AM202" s="608">
        <f t="shared" si="167"/>
        <v>0.19333259881980491</v>
      </c>
      <c r="AN202" s="1401">
        <f t="shared" si="159"/>
        <v>8.8239472425929133</v>
      </c>
      <c r="AO202" s="1402">
        <f t="shared" si="160"/>
        <v>0</v>
      </c>
    </row>
    <row r="203" spans="1:41">
      <c r="A203" s="127">
        <f>'Input data'!A143</f>
        <v>2043</v>
      </c>
      <c r="B203" s="748">
        <f>'Input data'!B143</f>
        <v>72.713999999999999</v>
      </c>
      <c r="C203" s="236">
        <f>'Input data'!C143</f>
        <v>5353.7899999999991</v>
      </c>
      <c r="D203" s="130">
        <f>'Input data'!E143</f>
        <v>50172070.130067617</v>
      </c>
      <c r="E203" s="608">
        <f>'Input data'!J143</f>
        <v>11.504772374209397</v>
      </c>
      <c r="F203" s="608">
        <f>'Input data'!L143/C123</f>
        <v>14.699282739524643</v>
      </c>
      <c r="G203" s="623">
        <f t="shared" si="172"/>
        <v>6.9756874148906327</v>
      </c>
      <c r="H203" s="623">
        <f t="shared" si="134"/>
        <v>10.357481915576621</v>
      </c>
      <c r="I203" s="1238">
        <f t="shared" si="135"/>
        <v>9.3713182866843159</v>
      </c>
      <c r="J203" s="730">
        <f t="shared" si="169"/>
        <v>0.2</v>
      </c>
      <c r="K203" s="623">
        <f t="shared" si="162"/>
        <v>1.8742636573368632</v>
      </c>
      <c r="L203" s="608">
        <f t="shared" si="136"/>
        <v>0.96248877021284696</v>
      </c>
      <c r="M203" s="727">
        <f t="shared" si="146"/>
        <v>2.83675242754971</v>
      </c>
      <c r="N203" s="730">
        <f t="shared" si="168"/>
        <v>0.5</v>
      </c>
      <c r="O203" s="1280">
        <f t="shared" si="137"/>
        <v>1.2888839921320325</v>
      </c>
      <c r="P203" s="779">
        <f t="shared" si="147"/>
        <v>2.5863642012679491</v>
      </c>
      <c r="Q203" s="623">
        <f t="shared" si="138"/>
        <v>14.746805129199304</v>
      </c>
      <c r="R203" s="608">
        <f t="shared" si="139"/>
        <v>7.7711177143086712</v>
      </c>
      <c r="S203" s="1240">
        <f t="shared" si="163"/>
        <v>1.0719151941115042</v>
      </c>
      <c r="T203" s="135" t="str">
        <f t="shared" si="148"/>
        <v>Policies not met</v>
      </c>
      <c r="U203" s="1240">
        <f t="shared" si="149"/>
        <v>0.85</v>
      </c>
      <c r="V203" s="135" t="str">
        <f t="shared" si="150"/>
        <v>Yes</v>
      </c>
      <c r="W203" s="1241">
        <f t="shared" si="140"/>
        <v>11.097034142815726</v>
      </c>
      <c r="X203" s="623">
        <f t="shared" si="164"/>
        <v>8.5845172043252305</v>
      </c>
      <c r="Y203" s="118">
        <f t="shared" si="151"/>
        <v>2.0186369728687903</v>
      </c>
      <c r="Z203" s="608">
        <f t="shared" si="141"/>
        <v>0.49017483766308212</v>
      </c>
      <c r="AA203" s="608">
        <f t="shared" si="142"/>
        <v>0</v>
      </c>
      <c r="AB203" s="608">
        <f t="shared" si="143"/>
        <v>3.7051279586225467E-3</v>
      </c>
      <c r="AC203" s="608">
        <f t="shared" si="152"/>
        <v>11.097034142815726</v>
      </c>
      <c r="AD203" s="767">
        <f t="shared" si="171"/>
        <v>0</v>
      </c>
      <c r="AE203" s="730">
        <f t="shared" si="153"/>
        <v>0.77358662628634778</v>
      </c>
      <c r="AF203" s="483">
        <f t="shared" si="154"/>
        <v>0.18190779147738909</v>
      </c>
      <c r="AG203" s="483">
        <f t="shared" si="155"/>
        <v>4.4171697712620243E-2</v>
      </c>
      <c r="AH203" s="483">
        <f t="shared" si="156"/>
        <v>3.3388452364285684E-4</v>
      </c>
      <c r="AI203" s="483">
        <f t="shared" si="157"/>
        <v>3.3388452364285684E-4</v>
      </c>
      <c r="AJ203" s="604">
        <f t="shared" si="158"/>
        <v>1.0003338845236427</v>
      </c>
      <c r="AK203" s="1400">
        <f t="shared" si="165"/>
        <v>7.4970546293474527</v>
      </c>
      <c r="AL203" s="608">
        <f t="shared" si="166"/>
        <v>0.89412997615797285</v>
      </c>
      <c r="AM203" s="608">
        <f t="shared" si="167"/>
        <v>0.19333259881980491</v>
      </c>
      <c r="AN203" s="1401">
        <f t="shared" si="159"/>
        <v>8.5845172043252305</v>
      </c>
      <c r="AO203" s="1402">
        <f t="shared" si="160"/>
        <v>0</v>
      </c>
    </row>
    <row r="204" spans="1:41">
      <c r="A204" s="127">
        <f>'Input data'!A144</f>
        <v>2044</v>
      </c>
      <c r="B204" s="748">
        <f>'Input data'!B144</f>
        <v>73.165000000000006</v>
      </c>
      <c r="C204" s="236">
        <f>'Input data'!C144</f>
        <v>5526.5000000000018</v>
      </c>
      <c r="D204" s="130">
        <f>'Input data'!E144</f>
        <v>50172070.130067617</v>
      </c>
      <c r="E204" s="608">
        <f>'Input data'!J144</f>
        <v>11.504772374209397</v>
      </c>
      <c r="F204" s="608">
        <f>'Input data'!L144/C124</f>
        <v>14.367661492299458</v>
      </c>
      <c r="G204" s="623">
        <f t="shared" si="172"/>
        <v>6.5960388734201203</v>
      </c>
      <c r="H204" s="623">
        <f t="shared" si="134"/>
        <v>10.46229030288908</v>
      </c>
      <c r="I204" s="1238">
        <f t="shared" si="135"/>
        <v>9.0784529322478242</v>
      </c>
      <c r="J204" s="730">
        <f t="shared" si="169"/>
        <v>0.2</v>
      </c>
      <c r="K204" s="623">
        <f t="shared" si="162"/>
        <v>1.8156905864495649</v>
      </c>
      <c r="L204" s="608">
        <f t="shared" si="136"/>
        <v>0.96248877021284696</v>
      </c>
      <c r="M204" s="727">
        <f t="shared" si="146"/>
        <v>2.7781793566624118</v>
      </c>
      <c r="N204" s="730">
        <f t="shared" si="168"/>
        <v>0.5</v>
      </c>
      <c r="O204" s="1280">
        <f t="shared" si="137"/>
        <v>1.2888839921320325</v>
      </c>
      <c r="P204" s="779">
        <f t="shared" si="147"/>
        <v>2.5458163306590889</v>
      </c>
      <c r="Q204" s="623">
        <f t="shared" si="138"/>
        <v>14.512512845650111</v>
      </c>
      <c r="R204" s="608">
        <f t="shared" si="139"/>
        <v>7.9164739722299906</v>
      </c>
      <c r="S204" s="1240">
        <f t="shared" si="163"/>
        <v>1.0919650231262117</v>
      </c>
      <c r="T204" s="135" t="str">
        <f t="shared" si="148"/>
        <v>Policies not met</v>
      </c>
      <c r="U204" s="1240">
        <f t="shared" si="149"/>
        <v>0.85</v>
      </c>
      <c r="V204" s="135" t="str">
        <f t="shared" si="150"/>
        <v>Yes</v>
      </c>
      <c r="W204" s="1241">
        <f t="shared" si="140"/>
        <v>10.804168788379235</v>
      </c>
      <c r="X204" s="623">
        <f t="shared" si="164"/>
        <v>8.3502249207760375</v>
      </c>
      <c r="Y204" s="118">
        <f t="shared" si="151"/>
        <v>1.9600639019814921</v>
      </c>
      <c r="Z204" s="608">
        <f t="shared" si="141"/>
        <v>0.49017483766308212</v>
      </c>
      <c r="AA204" s="608">
        <f t="shared" si="142"/>
        <v>0</v>
      </c>
      <c r="AB204" s="608">
        <f t="shared" si="143"/>
        <v>3.7051279586225467E-3</v>
      </c>
      <c r="AC204" s="608">
        <f t="shared" si="152"/>
        <v>10.804168788379235</v>
      </c>
      <c r="AD204" s="767">
        <f t="shared" si="171"/>
        <v>0</v>
      </c>
      <c r="AE204" s="730">
        <f t="shared" si="153"/>
        <v>0.77287064690782936</v>
      </c>
      <c r="AF204" s="483">
        <f t="shared" si="154"/>
        <v>0.18141737142145548</v>
      </c>
      <c r="AG204" s="483">
        <f t="shared" si="155"/>
        <v>4.5369046639692004E-2</v>
      </c>
      <c r="AH204" s="483">
        <f t="shared" si="156"/>
        <v>3.429350310231838E-4</v>
      </c>
      <c r="AI204" s="483">
        <f t="shared" si="157"/>
        <v>3.429350310231838E-4</v>
      </c>
      <c r="AJ204" s="604">
        <f t="shared" si="158"/>
        <v>1.0003429350310231</v>
      </c>
      <c r="AK204" s="1400">
        <f t="shared" si="165"/>
        <v>7.2627623457982597</v>
      </c>
      <c r="AL204" s="608">
        <f t="shared" si="166"/>
        <v>0.89412997615797285</v>
      </c>
      <c r="AM204" s="608">
        <f t="shared" si="167"/>
        <v>0.19333259881980491</v>
      </c>
      <c r="AN204" s="1401">
        <f t="shared" si="159"/>
        <v>8.3502249207760375</v>
      </c>
      <c r="AO204" s="1402">
        <f t="shared" si="160"/>
        <v>0</v>
      </c>
    </row>
    <row r="205" spans="1:41">
      <c r="A205" s="127">
        <f>'Input data'!A145</f>
        <v>2045</v>
      </c>
      <c r="B205" s="748">
        <f>'Input data'!B145</f>
        <v>73.62</v>
      </c>
      <c r="C205" s="236">
        <f>'Input data'!C145</f>
        <v>5709.93</v>
      </c>
      <c r="D205" s="130">
        <f>'Input data'!E145</f>
        <v>50172070.130067617</v>
      </c>
      <c r="E205" s="608">
        <f>'Input data'!J145</f>
        <v>11.504772374209397</v>
      </c>
      <c r="F205" s="608">
        <f>'Input data'!L145/C125</f>
        <v>14.051349262810195</v>
      </c>
      <c r="G205" s="623">
        <f t="shared" si="172"/>
        <v>6.237052527152481</v>
      </c>
      <c r="H205" s="623">
        <f t="shared" si="134"/>
        <v>10.547583697413739</v>
      </c>
      <c r="I205" s="1238">
        <f t="shared" si="135"/>
        <v>8.7868100186985849</v>
      </c>
      <c r="J205" s="730">
        <f t="shared" si="169"/>
        <v>0.2</v>
      </c>
      <c r="K205" s="623">
        <f t="shared" si="162"/>
        <v>1.7573620037397171</v>
      </c>
      <c r="L205" s="608">
        <f t="shared" si="136"/>
        <v>0.96248877021284696</v>
      </c>
      <c r="M205" s="727">
        <f t="shared" si="146"/>
        <v>2.7198507739525639</v>
      </c>
      <c r="N205" s="730">
        <f t="shared" si="168"/>
        <v>0.5</v>
      </c>
      <c r="O205" s="1280">
        <f t="shared" si="137"/>
        <v>1.2888839921320325</v>
      </c>
      <c r="P205" s="779">
        <f t="shared" si="147"/>
        <v>2.5054377097555021</v>
      </c>
      <c r="Q205" s="623">
        <f t="shared" si="138"/>
        <v>14.279198514810719</v>
      </c>
      <c r="R205" s="608">
        <f t="shared" si="139"/>
        <v>8.0421459876582375</v>
      </c>
      <c r="S205" s="1240">
        <f t="shared" si="163"/>
        <v>1.1092996907717829</v>
      </c>
      <c r="T205" s="135" t="str">
        <f t="shared" si="148"/>
        <v>Policies not met</v>
      </c>
      <c r="U205" s="1240">
        <f t="shared" si="149"/>
        <v>0.85</v>
      </c>
      <c r="V205" s="135" t="str">
        <f t="shared" si="150"/>
        <v>Yes</v>
      </c>
      <c r="W205" s="1241">
        <f t="shared" si="140"/>
        <v>10.512525874829995</v>
      </c>
      <c r="X205" s="623">
        <f t="shared" si="164"/>
        <v>8.116910589936646</v>
      </c>
      <c r="Y205" s="118">
        <f t="shared" si="151"/>
        <v>1.9017353192716442</v>
      </c>
      <c r="Z205" s="608">
        <f t="shared" si="141"/>
        <v>0.49017483766308212</v>
      </c>
      <c r="AA205" s="608">
        <f t="shared" si="142"/>
        <v>0</v>
      </c>
      <c r="AB205" s="608">
        <f t="shared" si="143"/>
        <v>3.7051279586225467E-3</v>
      </c>
      <c r="AC205" s="608">
        <f t="shared" si="152"/>
        <v>10.512525874829995</v>
      </c>
      <c r="AD205" s="767">
        <f t="shared" si="171"/>
        <v>0</v>
      </c>
      <c r="AE205" s="730">
        <f t="shared" si="153"/>
        <v>0.77211801298590477</v>
      </c>
      <c r="AF205" s="483">
        <f t="shared" si="154"/>
        <v>0.1809018443250584</v>
      </c>
      <c r="AG205" s="483">
        <f t="shared" si="155"/>
        <v>4.6627693810171865E-2</v>
      </c>
      <c r="AH205" s="483">
        <f t="shared" si="156"/>
        <v>3.5244887886494403E-4</v>
      </c>
      <c r="AI205" s="483">
        <f t="shared" si="157"/>
        <v>3.5244887886494403E-4</v>
      </c>
      <c r="AJ205" s="604">
        <f t="shared" si="158"/>
        <v>1.0003524488788649</v>
      </c>
      <c r="AK205" s="1400">
        <f t="shared" si="165"/>
        <v>7.0294480149588683</v>
      </c>
      <c r="AL205" s="608">
        <f t="shared" si="166"/>
        <v>0.89412997615797285</v>
      </c>
      <c r="AM205" s="608">
        <f t="shared" si="167"/>
        <v>0.19333259881980491</v>
      </c>
      <c r="AN205" s="1401">
        <f t="shared" si="159"/>
        <v>8.116910589936646</v>
      </c>
      <c r="AO205" s="1402">
        <f t="shared" si="160"/>
        <v>0</v>
      </c>
    </row>
    <row r="206" spans="1:41">
      <c r="A206" s="127">
        <f>'Input data'!A146</f>
        <v>2046</v>
      </c>
      <c r="B206" s="748">
        <f>'Input data'!B146</f>
        <v>73.995000000000005</v>
      </c>
      <c r="C206" s="236">
        <f>'Input data'!C146</f>
        <v>5902.43</v>
      </c>
      <c r="D206" s="130">
        <f>'Input data'!E146</f>
        <v>50172070.130067617</v>
      </c>
      <c r="E206" s="608">
        <f>'Input data'!J146</f>
        <v>11.504772374209397</v>
      </c>
      <c r="F206" s="608">
        <f>'Input data'!L146/C126</f>
        <v>13.751269975355362</v>
      </c>
      <c r="G206" s="623">
        <f t="shared" si="172"/>
        <v>5.8976038457287983</v>
      </c>
      <c r="H206" s="623">
        <f t="shared" si="134"/>
        <v>10.618099865699257</v>
      </c>
      <c r="I206" s="1238">
        <f t="shared" si="135"/>
        <v>8.5002397538077723</v>
      </c>
      <c r="J206" s="730">
        <f t="shared" si="169"/>
        <v>0.2</v>
      </c>
      <c r="K206" s="623">
        <f t="shared" si="162"/>
        <v>1.7000479507615545</v>
      </c>
      <c r="L206" s="608">
        <f t="shared" si="136"/>
        <v>0.96248877021284696</v>
      </c>
      <c r="M206" s="727">
        <f t="shared" si="146"/>
        <v>2.6625367209744013</v>
      </c>
      <c r="N206" s="730">
        <f t="shared" si="168"/>
        <v>0.5</v>
      </c>
      <c r="O206" s="1280">
        <f t="shared" si="137"/>
        <v>1.2888839921320325</v>
      </c>
      <c r="P206" s="779">
        <f t="shared" si="147"/>
        <v>2.4657614085299864</v>
      </c>
      <c r="Q206" s="623">
        <f t="shared" si="138"/>
        <v>14.049942302898071</v>
      </c>
      <c r="R206" s="608">
        <f t="shared" si="139"/>
        <v>8.1523384571692716</v>
      </c>
      <c r="S206" s="1240">
        <f t="shared" si="163"/>
        <v>1.1244991751558708</v>
      </c>
      <c r="T206" s="135" t="str">
        <f t="shared" si="148"/>
        <v>Policies not met</v>
      </c>
      <c r="U206" s="1240">
        <f t="shared" si="149"/>
        <v>0.85</v>
      </c>
      <c r="V206" s="135" t="str">
        <f t="shared" si="150"/>
        <v>Yes</v>
      </c>
      <c r="W206" s="1241">
        <f t="shared" si="140"/>
        <v>10.225955609939183</v>
      </c>
      <c r="X206" s="623">
        <f t="shared" si="164"/>
        <v>7.8876543780239956</v>
      </c>
      <c r="Y206" s="118">
        <f t="shared" si="151"/>
        <v>1.8444212662934816</v>
      </c>
      <c r="Z206" s="608">
        <f t="shared" si="141"/>
        <v>0.49017483766308212</v>
      </c>
      <c r="AA206" s="608">
        <f t="shared" si="142"/>
        <v>0</v>
      </c>
      <c r="AB206" s="608">
        <f t="shared" si="143"/>
        <v>3.7051279586225467E-3</v>
      </c>
      <c r="AC206" s="608">
        <f t="shared" si="152"/>
        <v>10.225955609939183</v>
      </c>
      <c r="AD206" s="767">
        <f t="shared" si="171"/>
        <v>0</v>
      </c>
      <c r="AE206" s="730">
        <f t="shared" si="153"/>
        <v>0.77133665340357427</v>
      </c>
      <c r="AF206" s="483">
        <f t="shared" si="154"/>
        <v>0.18036664118713605</v>
      </c>
      <c r="AG206" s="483">
        <f t="shared" si="155"/>
        <v>4.7934379569050112E-2</v>
      </c>
      <c r="AH206" s="483">
        <f t="shared" si="156"/>
        <v>3.6232584023945146E-4</v>
      </c>
      <c r="AI206" s="483">
        <f t="shared" si="157"/>
        <v>3.6232584023945146E-4</v>
      </c>
      <c r="AJ206" s="604">
        <f t="shared" si="158"/>
        <v>1.0003623258402394</v>
      </c>
      <c r="AK206" s="1400">
        <f t="shared" si="165"/>
        <v>6.8001918030462178</v>
      </c>
      <c r="AL206" s="608">
        <f t="shared" si="166"/>
        <v>0.89412997615797285</v>
      </c>
      <c r="AM206" s="608">
        <f t="shared" si="167"/>
        <v>0.19333259881980491</v>
      </c>
      <c r="AN206" s="1401">
        <f t="shared" si="159"/>
        <v>7.8876543780239956</v>
      </c>
      <c r="AO206" s="1402">
        <f t="shared" si="160"/>
        <v>0</v>
      </c>
    </row>
    <row r="207" spans="1:41">
      <c r="A207" s="127">
        <f>'Input data'!A147</f>
        <v>2047</v>
      </c>
      <c r="B207" s="749">
        <f>'Input data'!B147</f>
        <v>74.373000000000005</v>
      </c>
      <c r="C207" s="605">
        <f>'Input data'!C147</f>
        <v>6104.119999999999</v>
      </c>
      <c r="D207" s="130">
        <f>'Input data'!E147</f>
        <v>50172070.130067617</v>
      </c>
      <c r="E207" s="608">
        <f>'Input data'!J147</f>
        <v>11.504772374209397</v>
      </c>
      <c r="F207" s="608">
        <f>'Input data'!L147/C127</f>
        <v>13.467186923454101</v>
      </c>
      <c r="G207" s="623">
        <f t="shared" si="172"/>
        <v>5.5766295008316487</v>
      </c>
      <c r="H207" s="623">
        <f t="shared" si="134"/>
        <v>10.675498938342637</v>
      </c>
      <c r="I207" s="1238">
        <f t="shared" si="135"/>
        <v>8.2193780807172239</v>
      </c>
      <c r="J207" s="730">
        <f t="shared" si="169"/>
        <v>0.2</v>
      </c>
      <c r="K207" s="623">
        <f t="shared" si="162"/>
        <v>1.6438756161434449</v>
      </c>
      <c r="L207" s="608">
        <f t="shared" si="136"/>
        <v>0.96248877021284696</v>
      </c>
      <c r="M207" s="727">
        <f t="shared" si="146"/>
        <v>2.606364386356292</v>
      </c>
      <c r="N207" s="730">
        <f t="shared" si="168"/>
        <v>0.5</v>
      </c>
      <c r="O207" s="1280">
        <f t="shared" si="137"/>
        <v>1.2888839921320325</v>
      </c>
      <c r="P207" s="779">
        <f t="shared" si="147"/>
        <v>2.4268754747486554</v>
      </c>
      <c r="Q207" s="623">
        <f t="shared" si="138"/>
        <v>13.82525296442563</v>
      </c>
      <c r="R207" s="608">
        <f t="shared" si="139"/>
        <v>8.2486234635939812</v>
      </c>
      <c r="S207" s="1240">
        <f t="shared" si="163"/>
        <v>1.1377803227521475</v>
      </c>
      <c r="T207" s="135" t="str">
        <f t="shared" si="148"/>
        <v>Policies not met</v>
      </c>
      <c r="U207" s="1240">
        <f t="shared" si="149"/>
        <v>0.85</v>
      </c>
      <c r="V207" s="135" t="str">
        <f t="shared" si="150"/>
        <v>Yes</v>
      </c>
      <c r="W207" s="1241">
        <f t="shared" si="140"/>
        <v>9.9450939368486342</v>
      </c>
      <c r="X207" s="623">
        <f t="shared" si="164"/>
        <v>7.6629650395515565</v>
      </c>
      <c r="Y207" s="118">
        <f t="shared" si="151"/>
        <v>1.788248931675372</v>
      </c>
      <c r="Z207" s="608">
        <f t="shared" si="141"/>
        <v>0.49017483766308212</v>
      </c>
      <c r="AA207" s="608">
        <f t="shared" si="142"/>
        <v>0</v>
      </c>
      <c r="AB207" s="608">
        <f t="shared" si="143"/>
        <v>3.7051279586225467E-3</v>
      </c>
      <c r="AC207" s="608">
        <f t="shared" si="152"/>
        <v>9.9450939368486342</v>
      </c>
      <c r="AD207" s="767">
        <f t="shared" si="171"/>
        <v>0</v>
      </c>
      <c r="AE207" s="730">
        <f t="shared" si="153"/>
        <v>0.7705271652747977</v>
      </c>
      <c r="AF207" s="483">
        <f t="shared" si="154"/>
        <v>0.17981217100921884</v>
      </c>
      <c r="AG207" s="483">
        <f t="shared" si="155"/>
        <v>4.9288105348797434E-2</v>
      </c>
      <c r="AH207" s="483">
        <f t="shared" si="156"/>
        <v>3.7255836718588244E-4</v>
      </c>
      <c r="AI207" s="483">
        <f t="shared" si="157"/>
        <v>3.7255836718588244E-4</v>
      </c>
      <c r="AJ207" s="604">
        <f t="shared" si="158"/>
        <v>1.0003725583671859</v>
      </c>
      <c r="AK207" s="1400">
        <f t="shared" si="165"/>
        <v>6.5755024645737787</v>
      </c>
      <c r="AL207" s="608">
        <f t="shared" si="166"/>
        <v>0.89412997615797285</v>
      </c>
      <c r="AM207" s="608">
        <f t="shared" si="167"/>
        <v>0.19333259881980491</v>
      </c>
      <c r="AN207" s="1401">
        <f t="shared" si="159"/>
        <v>7.6629650395515565</v>
      </c>
      <c r="AO207" s="1402">
        <f t="shared" si="160"/>
        <v>0</v>
      </c>
    </row>
    <row r="208" spans="1:41">
      <c r="A208" s="127">
        <f>'Input data'!A148</f>
        <v>2048</v>
      </c>
      <c r="B208" s="748">
        <f>'Input data'!B148</f>
        <v>74.753</v>
      </c>
      <c r="C208" s="236">
        <f>'Input data'!C148</f>
        <v>6308.13</v>
      </c>
      <c r="D208" s="130">
        <f>'Input data'!E148</f>
        <v>50172070.130067617</v>
      </c>
      <c r="E208" s="608">
        <f>'Input data'!J148</f>
        <v>11.504772374209397</v>
      </c>
      <c r="F208" s="608">
        <f>'Input data'!L148/C128</f>
        <v>13.200652605076423</v>
      </c>
      <c r="G208" s="623">
        <f t="shared" si="172"/>
        <v>5.2731240352924704</v>
      </c>
      <c r="H208" s="623">
        <f t="shared" si="134"/>
        <v>10.729543803011778</v>
      </c>
      <c r="I208" s="1238">
        <f t="shared" si="135"/>
        <v>7.9535567799122111</v>
      </c>
      <c r="J208" s="730">
        <f t="shared" si="169"/>
        <v>0.2</v>
      </c>
      <c r="K208" s="623">
        <f t="shared" si="162"/>
        <v>1.5907113559824424</v>
      </c>
      <c r="L208" s="608">
        <f t="shared" si="136"/>
        <v>0.96248877021284696</v>
      </c>
      <c r="M208" s="727">
        <f t="shared" si="146"/>
        <v>2.5532001261952892</v>
      </c>
      <c r="N208" s="730">
        <f t="shared" si="168"/>
        <v>0.5</v>
      </c>
      <c r="O208" s="1280">
        <f t="shared" si="137"/>
        <v>1.2888839921320325</v>
      </c>
      <c r="P208" s="779">
        <f t="shared" si="147"/>
        <v>2.3900719145226268</v>
      </c>
      <c r="Q208" s="623">
        <f t="shared" si="138"/>
        <v>13.612595923781621</v>
      </c>
      <c r="R208" s="608">
        <f t="shared" si="139"/>
        <v>8.3394718884891503</v>
      </c>
      <c r="S208" s="1240">
        <f t="shared" si="163"/>
        <v>1.1503115712271155</v>
      </c>
      <c r="T208" s="135" t="str">
        <f t="shared" si="148"/>
        <v>Policies not met</v>
      </c>
      <c r="U208" s="1240">
        <f t="shared" si="149"/>
        <v>0.85</v>
      </c>
      <c r="V208" s="135" t="str">
        <f t="shared" si="150"/>
        <v>Yes</v>
      </c>
      <c r="W208" s="1241">
        <f t="shared" si="140"/>
        <v>9.6792726360436205</v>
      </c>
      <c r="X208" s="623">
        <f t="shared" si="164"/>
        <v>7.4503079989075465</v>
      </c>
      <c r="Y208" s="118">
        <f t="shared" si="151"/>
        <v>1.7350846715143695</v>
      </c>
      <c r="Z208" s="608">
        <f t="shared" si="141"/>
        <v>0.49017483766308212</v>
      </c>
      <c r="AA208" s="608">
        <f t="shared" si="142"/>
        <v>0</v>
      </c>
      <c r="AB208" s="608">
        <f t="shared" si="143"/>
        <v>3.7051279586225467E-3</v>
      </c>
      <c r="AC208" s="608">
        <f t="shared" si="152"/>
        <v>9.6792726360436205</v>
      </c>
      <c r="AD208" s="767">
        <f t="shared" si="171"/>
        <v>0</v>
      </c>
      <c r="AE208" s="730">
        <f t="shared" si="153"/>
        <v>0.76971775453086544</v>
      </c>
      <c r="AF208" s="483">
        <f t="shared" si="154"/>
        <v>0.17925775383712936</v>
      </c>
      <c r="AG208" s="483">
        <f t="shared" si="155"/>
        <v>5.0641701716074392E-2</v>
      </c>
      <c r="AH208" s="483">
        <f t="shared" si="156"/>
        <v>3.8278991593081201E-4</v>
      </c>
      <c r="AI208" s="483">
        <f t="shared" si="157"/>
        <v>3.8278991593081201E-4</v>
      </c>
      <c r="AJ208" s="604">
        <f t="shared" si="158"/>
        <v>1.0003827899159308</v>
      </c>
      <c r="AK208" s="1400">
        <f t="shared" si="165"/>
        <v>6.3628454239297687</v>
      </c>
      <c r="AL208" s="608">
        <f t="shared" si="166"/>
        <v>0.89412997615797285</v>
      </c>
      <c r="AM208" s="608">
        <f t="shared" si="167"/>
        <v>0.19333259881980491</v>
      </c>
      <c r="AN208" s="1401">
        <f t="shared" si="159"/>
        <v>7.4503079989075465</v>
      </c>
      <c r="AO208" s="1402">
        <f t="shared" si="160"/>
        <v>0</v>
      </c>
    </row>
    <row r="209" spans="1:41">
      <c r="A209" s="127">
        <f>'Input data'!A149</f>
        <v>2049</v>
      </c>
      <c r="B209" s="748">
        <f>'Input data'!B149</f>
        <v>75.134</v>
      </c>
      <c r="C209" s="236">
        <f>'Input data'!C149</f>
        <v>6522.2000000000007</v>
      </c>
      <c r="D209" s="130">
        <f>'Input data'!E149</f>
        <v>50172070.130067617</v>
      </c>
      <c r="E209" s="608">
        <f>'Input data'!J149</f>
        <v>11.504772374209397</v>
      </c>
      <c r="F209" s="608">
        <f>'Input data'!L149/C129</f>
        <v>12.948587654811467</v>
      </c>
      <c r="G209" s="623">
        <f t="shared" si="172"/>
        <v>4.9861367134812236</v>
      </c>
      <c r="H209" s="623">
        <f t="shared" si="134"/>
        <v>10.771548508766049</v>
      </c>
      <c r="I209" s="1238">
        <f t="shared" si="135"/>
        <v>7.6925071494384731</v>
      </c>
      <c r="J209" s="730">
        <f t="shared" si="169"/>
        <v>0.2</v>
      </c>
      <c r="K209" s="623">
        <f t="shared" si="162"/>
        <v>1.5385014298876947</v>
      </c>
      <c r="L209" s="608">
        <f t="shared" si="136"/>
        <v>0.96248877021284696</v>
      </c>
      <c r="M209" s="727">
        <f t="shared" si="146"/>
        <v>2.5009902001005417</v>
      </c>
      <c r="N209" s="730">
        <f t="shared" si="168"/>
        <v>0.5</v>
      </c>
      <c r="O209" s="1280">
        <f t="shared" si="137"/>
        <v>1.2888839921320325</v>
      </c>
      <c r="P209" s="779">
        <f t="shared" si="147"/>
        <v>2.3539290028446413</v>
      </c>
      <c r="Q209" s="623">
        <f t="shared" si="138"/>
        <v>13.403756219402631</v>
      </c>
      <c r="R209" s="608">
        <f t="shared" si="139"/>
        <v>8.4176195059214081</v>
      </c>
      <c r="S209" s="1240">
        <f t="shared" si="163"/>
        <v>1.1610909239005427</v>
      </c>
      <c r="T209" s="135" t="str">
        <f t="shared" si="148"/>
        <v>Policies not met</v>
      </c>
      <c r="U209" s="1240">
        <f t="shared" si="149"/>
        <v>0.85</v>
      </c>
      <c r="V209" s="135" t="str">
        <f t="shared" si="150"/>
        <v>Yes</v>
      </c>
      <c r="W209" s="1241">
        <f t="shared" si="140"/>
        <v>9.4182230055698835</v>
      </c>
      <c r="X209" s="623">
        <f t="shared" si="164"/>
        <v>7.2414682945285564</v>
      </c>
      <c r="Y209" s="118">
        <f t="shared" si="151"/>
        <v>1.6828747454196218</v>
      </c>
      <c r="Z209" s="608">
        <f t="shared" si="141"/>
        <v>0.49017483766308212</v>
      </c>
      <c r="AA209" s="608">
        <f t="shared" si="142"/>
        <v>0</v>
      </c>
      <c r="AB209" s="608">
        <f t="shared" si="143"/>
        <v>3.7051279586225467E-3</v>
      </c>
      <c r="AC209" s="608">
        <f t="shared" si="152"/>
        <v>9.4182230055698835</v>
      </c>
      <c r="AD209" s="767">
        <f t="shared" si="171"/>
        <v>0</v>
      </c>
      <c r="AE209" s="730">
        <f t="shared" si="153"/>
        <v>0.76887840628173632</v>
      </c>
      <c r="AF209" s="483">
        <f t="shared" si="154"/>
        <v>0.17868283055353215</v>
      </c>
      <c r="AG209" s="483">
        <f t="shared" si="155"/>
        <v>5.20453632679111E-2</v>
      </c>
      <c r="AH209" s="483">
        <f t="shared" si="156"/>
        <v>3.9339989682038266E-4</v>
      </c>
      <c r="AI209" s="483">
        <f t="shared" si="157"/>
        <v>3.9339989682038266E-4</v>
      </c>
      <c r="AJ209" s="604">
        <f t="shared" si="158"/>
        <v>1.0003933998968204</v>
      </c>
      <c r="AK209" s="1400">
        <f t="shared" si="165"/>
        <v>6.1540057195507787</v>
      </c>
      <c r="AL209" s="608">
        <f t="shared" si="166"/>
        <v>0.89412997615797285</v>
      </c>
      <c r="AM209" s="608">
        <f t="shared" si="167"/>
        <v>0.19333259881980491</v>
      </c>
      <c r="AN209" s="1401">
        <f t="shared" si="159"/>
        <v>7.2414682945285564</v>
      </c>
      <c r="AO209" s="1402">
        <f t="shared" si="160"/>
        <v>0</v>
      </c>
    </row>
    <row r="210" spans="1:41" ht="15" thickBot="1">
      <c r="A210" s="172">
        <f>'Input data'!A150</f>
        <v>2050</v>
      </c>
      <c r="B210" s="751">
        <f>'Input data'!B150</f>
        <v>75.518000000000001</v>
      </c>
      <c r="C210" s="239">
        <f>'Input data'!C150</f>
        <v>6747.1300000000019</v>
      </c>
      <c r="D210" s="140">
        <f>'Input data'!E150</f>
        <v>50172070.130067617</v>
      </c>
      <c r="E210" s="739">
        <f>'Input data'!J150</f>
        <v>11.504772374209397</v>
      </c>
      <c r="F210" s="739">
        <f>'Input data'!L150/C130</f>
        <v>12.710599308853674</v>
      </c>
      <c r="G210" s="769">
        <f>G177*(1-$C$6)</f>
        <v>4.7147685431121138</v>
      </c>
      <c r="H210" s="769">
        <f t="shared" si="134"/>
        <v>10.802254192899063</v>
      </c>
      <c r="I210" s="1239">
        <f t="shared" si="135"/>
        <v>7.4360609814939984</v>
      </c>
      <c r="J210" s="731">
        <f t="shared" si="169"/>
        <v>0.2</v>
      </c>
      <c r="K210" s="769">
        <f t="shared" si="162"/>
        <v>1.4872121962987999</v>
      </c>
      <c r="L210" s="739">
        <f t="shared" si="136"/>
        <v>0.96248877021284696</v>
      </c>
      <c r="M210" s="736">
        <f t="shared" si="146"/>
        <v>2.4497009665116467</v>
      </c>
      <c r="N210" s="731">
        <f t="shared" si="168"/>
        <v>0.5</v>
      </c>
      <c r="O210" s="1281">
        <f t="shared" si="137"/>
        <v>1.2888839921320325</v>
      </c>
      <c r="P210" s="780">
        <f t="shared" si="147"/>
        <v>2.3184234509641248</v>
      </c>
      <c r="Q210" s="769">
        <f t="shared" si="138"/>
        <v>13.198599285047052</v>
      </c>
      <c r="R210" s="739">
        <f t="shared" si="139"/>
        <v>8.4838307419349377</v>
      </c>
      <c r="S210" s="1249">
        <f t="shared" si="163"/>
        <v>1.1702238224761392</v>
      </c>
      <c r="T210" s="1267" t="str">
        <f t="shared" si="148"/>
        <v>Policies not met</v>
      </c>
      <c r="U210" s="1249">
        <f t="shared" si="149"/>
        <v>0.85</v>
      </c>
      <c r="V210" s="1267" t="str">
        <f t="shared" si="150"/>
        <v>Yes</v>
      </c>
      <c r="W210" s="1242">
        <f t="shared" si="140"/>
        <v>9.1617768376254087</v>
      </c>
      <c r="X210" s="769">
        <f t="shared" si="164"/>
        <v>7.0363113601729772</v>
      </c>
      <c r="Y210" s="121">
        <f t="shared" si="151"/>
        <v>1.631585511830727</v>
      </c>
      <c r="Z210" s="608">
        <f t="shared" si="141"/>
        <v>0.49017483766308212</v>
      </c>
      <c r="AA210" s="739">
        <f t="shared" si="142"/>
        <v>0</v>
      </c>
      <c r="AB210" s="739">
        <f t="shared" si="143"/>
        <v>3.7051279586225467E-3</v>
      </c>
      <c r="AC210" s="739">
        <f t="shared" si="152"/>
        <v>9.1617768376254087</v>
      </c>
      <c r="AD210" s="778">
        <f t="shared" si="171"/>
        <v>0</v>
      </c>
      <c r="AE210" s="731">
        <f t="shared" si="153"/>
        <v>0.76800728558202702</v>
      </c>
      <c r="AF210" s="732">
        <f t="shared" si="154"/>
        <v>0.17808614428700806</v>
      </c>
      <c r="AG210" s="732">
        <f t="shared" si="155"/>
        <v>5.3502158626047465E-2</v>
      </c>
      <c r="AH210" s="732">
        <f t="shared" si="156"/>
        <v>4.044115049175176E-4</v>
      </c>
      <c r="AI210" s="732">
        <f>AB210/AC210</f>
        <v>4.044115049175176E-4</v>
      </c>
      <c r="AJ210" s="733">
        <f t="shared" si="158"/>
        <v>1.0004044115049175</v>
      </c>
      <c r="AK210" s="1403">
        <f t="shared" si="165"/>
        <v>5.9488487851951986</v>
      </c>
      <c r="AL210" s="739">
        <f t="shared" si="166"/>
        <v>0.89412997615797285</v>
      </c>
      <c r="AM210" s="739">
        <f t="shared" si="167"/>
        <v>0.19333259881980491</v>
      </c>
      <c r="AN210" s="1404">
        <f t="shared" si="159"/>
        <v>7.0363113601729763</v>
      </c>
      <c r="AO210" s="1405">
        <f t="shared" si="160"/>
        <v>0</v>
      </c>
    </row>
  </sheetData>
  <mergeCells count="76">
    <mergeCell ref="AD94:AD95"/>
    <mergeCell ref="AE94:AE96"/>
    <mergeCell ref="AG94:AQ94"/>
    <mergeCell ref="BY94:CA94"/>
    <mergeCell ref="CB94:CC94"/>
    <mergeCell ref="AA94:AA95"/>
    <mergeCell ref="T134:T136"/>
    <mergeCell ref="R134:R135"/>
    <mergeCell ref="V174:V176"/>
    <mergeCell ref="W174:W175"/>
    <mergeCell ref="U174:U175"/>
    <mergeCell ref="T174:T176"/>
    <mergeCell ref="B4:B6"/>
    <mergeCell ref="A4:A6"/>
    <mergeCell ref="C42:I42"/>
    <mergeCell ref="J134:L134"/>
    <mergeCell ref="M134:M135"/>
    <mergeCell ref="C29:D29"/>
    <mergeCell ref="E29:F29"/>
    <mergeCell ref="G29:H29"/>
    <mergeCell ref="E26:E27"/>
    <mergeCell ref="F26:F27"/>
    <mergeCell ref="H26:H27"/>
    <mergeCell ref="G26:G27"/>
    <mergeCell ref="B26:B27"/>
    <mergeCell ref="A8:A9"/>
    <mergeCell ref="B8:F8"/>
    <mergeCell ref="G8:I8"/>
    <mergeCell ref="A135:A136"/>
    <mergeCell ref="E134:I134"/>
    <mergeCell ref="A26:A27"/>
    <mergeCell ref="Q42:W42"/>
    <mergeCell ref="BJ75:BQ75"/>
    <mergeCell ref="A36:A37"/>
    <mergeCell ref="A95:A96"/>
    <mergeCell ref="E94:G94"/>
    <mergeCell ref="A94:D94"/>
    <mergeCell ref="H94:K94"/>
    <mergeCell ref="L94:P94"/>
    <mergeCell ref="W94:X94"/>
    <mergeCell ref="Y94:Y95"/>
    <mergeCell ref="AF94:AF95"/>
    <mergeCell ref="J42:P42"/>
    <mergeCell ref="N134:O134"/>
    <mergeCell ref="A175:A176"/>
    <mergeCell ref="P174:P175"/>
    <mergeCell ref="Q174:Q175"/>
    <mergeCell ref="R174:R175"/>
    <mergeCell ref="S174:S175"/>
    <mergeCell ref="A174:D174"/>
    <mergeCell ref="E174:I174"/>
    <mergeCell ref="J174:L174"/>
    <mergeCell ref="M174:M175"/>
    <mergeCell ref="N174:O174"/>
    <mergeCell ref="A134:D134"/>
    <mergeCell ref="AR94:BB94"/>
    <mergeCell ref="BE94:BL94"/>
    <mergeCell ref="BM94:BT94"/>
    <mergeCell ref="BV94:BX94"/>
    <mergeCell ref="P134:P135"/>
    <mergeCell ref="Q134:Q135"/>
    <mergeCell ref="AC94:AC96"/>
    <mergeCell ref="V134:V136"/>
    <mergeCell ref="W134:W135"/>
    <mergeCell ref="S134:S135"/>
    <mergeCell ref="U134:U135"/>
    <mergeCell ref="AB94:AB96"/>
    <mergeCell ref="V94:V95"/>
    <mergeCell ref="Q94:U94"/>
    <mergeCell ref="Z94:Z95"/>
    <mergeCell ref="AK174:AO174"/>
    <mergeCell ref="AK134:AO134"/>
    <mergeCell ref="CG94:CM94"/>
    <mergeCell ref="CM95:CM96"/>
    <mergeCell ref="BD94:BD96"/>
    <mergeCell ref="CD94:CE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AE86" zoomScale="54" zoomScaleNormal="55" workbookViewId="0">
      <selection activeCell="AO137" sqref="AO137"/>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s>
  <sheetData>
    <row r="1" spans="1:11">
      <c r="A1" s="2" t="s">
        <v>620</v>
      </c>
      <c r="J1" s="99"/>
      <c r="K1" s="99"/>
    </row>
    <row r="2" spans="1:11" ht="15" thickBot="1">
      <c r="A2" s="2" t="s">
        <v>621</v>
      </c>
      <c r="B2" s="479" t="s">
        <v>633</v>
      </c>
      <c r="J2" s="99"/>
      <c r="K2" s="99"/>
    </row>
    <row r="3" spans="1:11" ht="15" thickBot="1">
      <c r="A3" s="2"/>
      <c r="C3" s="773" t="s">
        <v>629</v>
      </c>
      <c r="D3" s="662" t="s">
        <v>636</v>
      </c>
      <c r="E3" s="773" t="s">
        <v>630</v>
      </c>
      <c r="F3" s="662" t="s">
        <v>636</v>
      </c>
      <c r="G3" s="773" t="s">
        <v>631</v>
      </c>
      <c r="H3" s="662" t="s">
        <v>636</v>
      </c>
      <c r="J3" s="99"/>
      <c r="K3" s="99"/>
    </row>
    <row r="4" spans="1:11">
      <c r="A4" s="1830" t="s">
        <v>634</v>
      </c>
      <c r="B4" s="1827" t="s">
        <v>635</v>
      </c>
      <c r="C4" s="660">
        <v>0.5</v>
      </c>
      <c r="D4" s="116">
        <f>2017+10</f>
        <v>2027</v>
      </c>
      <c r="E4" s="660">
        <v>0.5</v>
      </c>
      <c r="F4" s="116">
        <f>2017+5</f>
        <v>2022</v>
      </c>
      <c r="G4" s="660">
        <f>E4</f>
        <v>0.5</v>
      </c>
      <c r="H4" s="116">
        <f>F4</f>
        <v>2022</v>
      </c>
      <c r="J4" s="99"/>
      <c r="K4" s="99"/>
    </row>
    <row r="5" spans="1:11">
      <c r="A5" s="1807"/>
      <c r="B5" s="1828"/>
      <c r="C5" s="656">
        <v>0.65</v>
      </c>
      <c r="D5" s="130">
        <f>2017+20</f>
        <v>2037</v>
      </c>
      <c r="E5" s="656">
        <f t="shared" ref="E5:E6" si="0">C5</f>
        <v>0.65</v>
      </c>
      <c r="F5" s="130">
        <f>2017+10</f>
        <v>2027</v>
      </c>
      <c r="G5" s="656">
        <f t="shared" ref="G5:H6" si="1">E5</f>
        <v>0.65</v>
      </c>
      <c r="H5" s="130">
        <f t="shared" si="1"/>
        <v>2027</v>
      </c>
      <c r="J5" s="99"/>
      <c r="K5" s="99"/>
    </row>
    <row r="6" spans="1:11" ht="15" thickBot="1">
      <c r="A6" s="1808"/>
      <c r="B6" s="1829"/>
      <c r="C6" s="658">
        <v>0.8</v>
      </c>
      <c r="D6" s="140">
        <f>2017+30</f>
        <v>2047</v>
      </c>
      <c r="E6" s="658">
        <f t="shared" si="0"/>
        <v>0.8</v>
      </c>
      <c r="F6" s="140">
        <f>15+2017</f>
        <v>2032</v>
      </c>
      <c r="G6" s="658">
        <f t="shared" si="1"/>
        <v>0.8</v>
      </c>
      <c r="H6" s="140">
        <f t="shared" si="1"/>
        <v>2032</v>
      </c>
      <c r="J6" s="99"/>
      <c r="K6" s="99"/>
    </row>
    <row r="7" spans="1:11" ht="15" thickBot="1">
      <c r="A7" s="775"/>
      <c r="B7" s="775"/>
      <c r="C7" s="657"/>
      <c r="D7" s="104"/>
      <c r="E7" s="657"/>
      <c r="F7" s="104"/>
      <c r="G7" s="657"/>
      <c r="H7" s="104"/>
      <c r="J7" s="99"/>
      <c r="K7" s="99"/>
    </row>
    <row r="8" spans="1:11" ht="15.6" customHeight="1">
      <c r="A8" s="1841" t="s">
        <v>652</v>
      </c>
      <c r="B8" s="1657" t="s">
        <v>561</v>
      </c>
      <c r="C8" s="1658"/>
      <c r="D8" s="1658"/>
      <c r="E8" s="1658"/>
      <c r="F8" s="1659"/>
      <c r="G8" s="1657" t="s">
        <v>610</v>
      </c>
      <c r="H8" s="1658"/>
      <c r="I8" s="1659"/>
      <c r="J8" s="346"/>
      <c r="K8" s="99"/>
    </row>
    <row r="9" spans="1:11" ht="31.8" thickBot="1">
      <c r="A9" s="1842"/>
      <c r="B9" s="518" t="s">
        <v>549</v>
      </c>
      <c r="C9" s="304" t="s">
        <v>566</v>
      </c>
      <c r="D9" s="304" t="s">
        <v>429</v>
      </c>
      <c r="E9" s="304" t="s">
        <v>553</v>
      </c>
      <c r="F9" s="519" t="s">
        <v>303</v>
      </c>
      <c r="G9" s="518" t="s">
        <v>569</v>
      </c>
      <c r="H9" s="304" t="s">
        <v>570</v>
      </c>
      <c r="I9" s="519" t="s">
        <v>303</v>
      </c>
      <c r="J9" s="346"/>
      <c r="K9" s="99"/>
    </row>
    <row r="10" spans="1:11" ht="15.6">
      <c r="A10" s="503" t="s">
        <v>651</v>
      </c>
      <c r="B10" s="507">
        <f>'Input data'!B35</f>
        <v>0.46471844811027063</v>
      </c>
      <c r="C10" s="507">
        <f>'Input data'!C35</f>
        <v>0.41381327103365251</v>
      </c>
      <c r="D10" s="507">
        <f>'Input data'!D35</f>
        <v>0.12146828085607692</v>
      </c>
      <c r="E10" s="507">
        <f>'Input data'!E35</f>
        <v>0</v>
      </c>
      <c r="F10" s="507">
        <f>'Input data'!F35</f>
        <v>1</v>
      </c>
      <c r="G10" s="506">
        <f>'Input data'!G35</f>
        <v>0.66241124199764068</v>
      </c>
      <c r="H10" s="506">
        <f>'Input data'!H35</f>
        <v>0.33758875800235938</v>
      </c>
      <c r="I10" s="706">
        <f>'Input data'!I35</f>
        <v>1</v>
      </c>
      <c r="J10" s="158"/>
      <c r="K10" s="99"/>
    </row>
    <row r="11" spans="1:11" ht="15.6">
      <c r="A11" s="504" t="s">
        <v>656</v>
      </c>
      <c r="B11" s="507">
        <f>'Input data'!B36</f>
        <v>0.85641924869700936</v>
      </c>
      <c r="C11" s="507">
        <f>'Input data'!C36</f>
        <v>0.14268338865096522</v>
      </c>
      <c r="D11" s="507">
        <f>'Input data'!D36</f>
        <v>0</v>
      </c>
      <c r="E11" s="507">
        <f>'Input data'!E36</f>
        <v>8.973626520254116E-4</v>
      </c>
      <c r="F11" s="507">
        <f>'Input data'!F36</f>
        <v>1</v>
      </c>
      <c r="G11" s="507">
        <f>'Input data'!G36</f>
        <v>0.49613166950665732</v>
      </c>
      <c r="H11" s="507">
        <f>'Input data'!H36</f>
        <v>0.50386833049334279</v>
      </c>
      <c r="I11" s="507">
        <f>'Input data'!I36</f>
        <v>1</v>
      </c>
      <c r="J11" s="764"/>
      <c r="K11" s="99"/>
    </row>
    <row r="12" spans="1:11" ht="15.6">
      <c r="A12" s="741" t="s">
        <v>657</v>
      </c>
      <c r="B12" s="507">
        <f>'Input data'!B37</f>
        <v>0.74218195843015589</v>
      </c>
      <c r="C12" s="507">
        <f>'Input data'!C37</f>
        <v>0.25567103228934263</v>
      </c>
      <c r="D12" s="507">
        <f>'Input data'!D37</f>
        <v>0</v>
      </c>
      <c r="E12" s="507">
        <f>'Input data'!E37</f>
        <v>2.1470092805013948E-3</v>
      </c>
      <c r="F12" s="507">
        <f>'Input data'!F37</f>
        <v>0.99999999999999989</v>
      </c>
      <c r="G12" s="507">
        <f>'Input data'!G37</f>
        <v>0.32721719372829228</v>
      </c>
      <c r="H12" s="507">
        <f>'Input data'!H37</f>
        <v>0.67278280627170772</v>
      </c>
      <c r="I12" s="507">
        <f>'Input data'!I37</f>
        <v>1</v>
      </c>
      <c r="J12" s="99"/>
      <c r="K12" s="99"/>
    </row>
    <row r="13" spans="1:11" ht="16.2" thickBot="1">
      <c r="A13" s="505" t="s">
        <v>575</v>
      </c>
      <c r="B13" s="707">
        <f>'Input data'!B38</f>
        <v>0.8</v>
      </c>
      <c r="C13" s="707">
        <f>'Input data'!C38</f>
        <v>0.11</v>
      </c>
      <c r="D13" s="707">
        <f>'Input data'!D38</f>
        <v>0.09</v>
      </c>
      <c r="E13" s="707">
        <f>'Input data'!E38</f>
        <v>0</v>
      </c>
      <c r="F13" s="707">
        <f>'Input data'!F38</f>
        <v>1</v>
      </c>
      <c r="G13" s="708">
        <f>'Input data'!G38</f>
        <v>1</v>
      </c>
      <c r="H13" s="708">
        <f>'Input data'!H38</f>
        <v>0</v>
      </c>
      <c r="I13" s="709">
        <f>'Input data'!I38</f>
        <v>1</v>
      </c>
      <c r="J13" s="99"/>
      <c r="K13" s="99">
        <v>0.57999999999999996</v>
      </c>
    </row>
    <row r="14" spans="1:11" ht="15.6">
      <c r="A14" s="536"/>
      <c r="C14" s="705"/>
      <c r="E14" s="705"/>
      <c r="F14" s="705"/>
      <c r="G14" s="502"/>
      <c r="J14" s="99"/>
      <c r="K14" s="99">
        <v>0.21707953063885269</v>
      </c>
    </row>
    <row r="15" spans="1:11" ht="15.6" customHeight="1" thickBot="1">
      <c r="B15" s="479" t="s">
        <v>632</v>
      </c>
      <c r="J15" s="99"/>
      <c r="K15" s="99">
        <v>0.71200000000000008</v>
      </c>
    </row>
    <row r="16" spans="1:11" ht="15" thickBot="1">
      <c r="A16" s="713"/>
      <c r="B16" s="712" t="s">
        <v>636</v>
      </c>
      <c r="C16" s="670" t="s">
        <v>87</v>
      </c>
      <c r="D16" s="670" t="s">
        <v>364</v>
      </c>
      <c r="E16" s="670" t="s">
        <v>365</v>
      </c>
      <c r="F16" s="670" t="s">
        <v>366</v>
      </c>
      <c r="G16" s="752" t="s">
        <v>660</v>
      </c>
      <c r="H16" s="753" t="s">
        <v>367</v>
      </c>
      <c r="K16">
        <v>0.8</v>
      </c>
    </row>
    <row r="17" spans="1:11">
      <c r="A17" s="714" t="s">
        <v>653</v>
      </c>
      <c r="B17" s="713">
        <v>2017</v>
      </c>
      <c r="C17" s="114">
        <f>E63/E65</f>
        <v>0.57999999999999996</v>
      </c>
      <c r="D17" s="114">
        <f>J63/J65</f>
        <v>0.437</v>
      </c>
      <c r="E17" s="114">
        <f t="shared" ref="E17:G17" si="2">K63/K65</f>
        <v>0.71200000000000008</v>
      </c>
      <c r="F17" s="114">
        <f t="shared" si="2"/>
        <v>0.8</v>
      </c>
      <c r="G17" s="114">
        <f t="shared" si="2"/>
        <v>0.23600000000000002</v>
      </c>
      <c r="H17" s="666">
        <f>H80</f>
        <v>6.154773859516615E-2</v>
      </c>
      <c r="K17">
        <v>0.23600000000000002</v>
      </c>
    </row>
    <row r="18" spans="1:11">
      <c r="A18" s="715" t="s">
        <v>629</v>
      </c>
      <c r="B18" s="621">
        <v>2030</v>
      </c>
      <c r="C18" s="483">
        <f>C17</f>
        <v>0.57999999999999996</v>
      </c>
      <c r="D18" s="483">
        <f t="shared" ref="D18:F18" si="3">D17</f>
        <v>0.437</v>
      </c>
      <c r="E18" s="483">
        <f t="shared" si="3"/>
        <v>0.71200000000000008</v>
      </c>
      <c r="F18" s="483">
        <f t="shared" si="3"/>
        <v>0.8</v>
      </c>
      <c r="G18" s="483">
        <f>G17</f>
        <v>0.23600000000000002</v>
      </c>
      <c r="H18" s="604">
        <f>H17</f>
        <v>6.154773859516615E-2</v>
      </c>
    </row>
    <row r="19" spans="1:11">
      <c r="A19" s="714" t="s">
        <v>630</v>
      </c>
      <c r="B19" s="621">
        <v>2030</v>
      </c>
      <c r="C19" s="657">
        <v>0.7</v>
      </c>
      <c r="D19" s="657">
        <v>0.6</v>
      </c>
      <c r="E19" s="657">
        <v>0.9</v>
      </c>
      <c r="F19" s="657">
        <v>0.9</v>
      </c>
      <c r="G19" s="483">
        <f>G18</f>
        <v>0.23600000000000002</v>
      </c>
      <c r="H19" s="667">
        <v>0.4</v>
      </c>
    </row>
    <row r="20" spans="1:11" ht="15" thickBot="1">
      <c r="A20" s="716" t="s">
        <v>631</v>
      </c>
      <c r="B20" s="622">
        <v>2030</v>
      </c>
      <c r="C20" s="659">
        <f>C19</f>
        <v>0.7</v>
      </c>
      <c r="D20" s="659">
        <f>D19</f>
        <v>0.6</v>
      </c>
      <c r="E20" s="659">
        <f>E19</f>
        <v>0.9</v>
      </c>
      <c r="F20" s="659">
        <f>F19</f>
        <v>0.9</v>
      </c>
      <c r="G20" s="732">
        <f>G19</f>
        <v>0.23600000000000002</v>
      </c>
      <c r="H20" s="668">
        <f>H19</f>
        <v>0.4</v>
      </c>
    </row>
    <row r="21" spans="1:11">
      <c r="A21" s="663"/>
      <c r="B21" s="104"/>
      <c r="C21" s="657"/>
      <c r="D21" s="657"/>
      <c r="E21" s="657"/>
      <c r="F21" s="104"/>
      <c r="G21" s="104"/>
      <c r="J21" s="483"/>
    </row>
    <row r="22" spans="1:11">
      <c r="A22" s="663"/>
      <c r="B22" s="104"/>
      <c r="C22" s="657"/>
      <c r="D22" s="657"/>
      <c r="E22" s="657"/>
      <c r="F22" s="104"/>
      <c r="G22" s="104"/>
    </row>
    <row r="23" spans="1:11">
      <c r="A23" s="664"/>
      <c r="B23" s="58"/>
      <c r="C23" s="58"/>
      <c r="D23" s="58"/>
      <c r="E23" s="657"/>
    </row>
    <row r="24" spans="1:11" ht="15" thickBot="1">
      <c r="A24" s="664"/>
      <c r="B24" s="479" t="s">
        <v>637</v>
      </c>
      <c r="C24" s="58"/>
      <c r="D24" s="58"/>
      <c r="E24" s="657"/>
    </row>
    <row r="25" spans="1:11" ht="15" thickBot="1">
      <c r="A25" s="665"/>
      <c r="B25" s="669"/>
      <c r="C25" s="673" t="s">
        <v>629</v>
      </c>
      <c r="D25" s="674" t="s">
        <v>636</v>
      </c>
      <c r="E25" s="773" t="s">
        <v>630</v>
      </c>
      <c r="F25" s="662" t="s">
        <v>636</v>
      </c>
      <c r="G25" s="774" t="s">
        <v>631</v>
      </c>
      <c r="H25" s="662" t="s">
        <v>636</v>
      </c>
    </row>
    <row r="26" spans="1:11">
      <c r="A26" s="1807" t="s">
        <v>638</v>
      </c>
      <c r="B26" s="1828" t="s">
        <v>635</v>
      </c>
      <c r="C26" s="656">
        <v>0.25</v>
      </c>
      <c r="D26" s="104">
        <f>2017+5</f>
        <v>2022</v>
      </c>
      <c r="E26" s="1835">
        <v>0.5</v>
      </c>
      <c r="F26" s="1837">
        <f>2017+5</f>
        <v>2022</v>
      </c>
      <c r="G26" s="1839">
        <f>E26</f>
        <v>0.5</v>
      </c>
      <c r="H26" s="1837">
        <f>F26</f>
        <v>2022</v>
      </c>
    </row>
    <row r="27" spans="1:11" ht="15" thickBot="1">
      <c r="A27" s="1808"/>
      <c r="B27" s="1829"/>
      <c r="C27" s="658">
        <v>0.5</v>
      </c>
      <c r="D27" s="163">
        <f>2017+10</f>
        <v>2027</v>
      </c>
      <c r="E27" s="1836"/>
      <c r="F27" s="1838"/>
      <c r="G27" s="1840"/>
      <c r="H27" s="1838"/>
    </row>
    <row r="28" spans="1:11" ht="15" thickBot="1">
      <c r="A28" s="775"/>
      <c r="B28" s="775"/>
      <c r="C28" s="657"/>
      <c r="D28" s="104"/>
      <c r="E28" s="657"/>
      <c r="F28" s="104"/>
      <c r="G28" s="657"/>
      <c r="H28" s="104"/>
    </row>
    <row r="29" spans="1:11">
      <c r="A29" s="675"/>
      <c r="B29" s="681"/>
      <c r="C29" s="1832" t="s">
        <v>629</v>
      </c>
      <c r="D29" s="1833"/>
      <c r="E29" s="1832" t="s">
        <v>630</v>
      </c>
      <c r="F29" s="1833"/>
      <c r="G29" s="1834" t="s">
        <v>631</v>
      </c>
      <c r="H29" s="1833"/>
    </row>
    <row r="30" spans="1:11" ht="15" thickBot="1">
      <c r="A30" s="677"/>
      <c r="B30" s="682"/>
      <c r="C30" s="678" t="s">
        <v>640</v>
      </c>
      <c r="D30" s="679" t="s">
        <v>176</v>
      </c>
      <c r="E30" s="678" t="s">
        <v>640</v>
      </c>
      <c r="F30" s="679" t="s">
        <v>176</v>
      </c>
      <c r="G30" s="680" t="s">
        <v>640</v>
      </c>
      <c r="H30" s="679" t="s">
        <v>176</v>
      </c>
    </row>
    <row r="31" spans="1:11" ht="15" thickBot="1">
      <c r="A31" s="683" t="s">
        <v>639</v>
      </c>
      <c r="B31" s="684" t="s">
        <v>635</v>
      </c>
      <c r="C31" s="658">
        <v>0.1</v>
      </c>
      <c r="D31" s="668">
        <v>0.9</v>
      </c>
      <c r="E31" s="658">
        <v>0.1</v>
      </c>
      <c r="F31" s="668">
        <v>0.9</v>
      </c>
      <c r="G31" s="659">
        <v>0.5</v>
      </c>
      <c r="H31" s="668">
        <v>0.5</v>
      </c>
    </row>
    <row r="32" spans="1:11">
      <c r="A32" s="664"/>
      <c r="B32" s="58"/>
      <c r="C32" s="58"/>
      <c r="D32" s="58"/>
      <c r="E32" s="657"/>
    </row>
    <row r="33" spans="1:24" ht="15" thickBot="1">
      <c r="A33" s="664"/>
      <c r="B33" s="479" t="s">
        <v>641</v>
      </c>
      <c r="C33" s="58"/>
      <c r="D33" s="58"/>
      <c r="E33" s="657"/>
    </row>
    <row r="34" spans="1:24" ht="28.95" customHeight="1" thickBot="1">
      <c r="A34" s="692"/>
      <c r="B34" s="1222" t="s">
        <v>636</v>
      </c>
      <c r="C34" s="846" t="s">
        <v>269</v>
      </c>
      <c r="D34" s="847" t="s">
        <v>270</v>
      </c>
      <c r="E34" s="847" t="s">
        <v>271</v>
      </c>
      <c r="F34" s="847" t="s">
        <v>272</v>
      </c>
      <c r="G34" s="848" t="s">
        <v>705</v>
      </c>
    </row>
    <row r="35" spans="1:24">
      <c r="A35" s="693" t="s">
        <v>642</v>
      </c>
      <c r="B35" s="1113">
        <v>2017</v>
      </c>
      <c r="C35" s="849">
        <f>Parameters!C188</f>
        <v>0</v>
      </c>
      <c r="D35" s="850">
        <f>Parameters!D188</f>
        <v>0</v>
      </c>
      <c r="E35" s="850">
        <f>Parameters!E188</f>
        <v>0.4</v>
      </c>
      <c r="F35" s="850">
        <f>Parameters!F188</f>
        <v>0.3</v>
      </c>
      <c r="G35" s="851">
        <f>Parameters!G188</f>
        <v>0.3</v>
      </c>
    </row>
    <row r="36" spans="1:24">
      <c r="A36" s="1812" t="s">
        <v>629</v>
      </c>
      <c r="B36" s="1114">
        <v>2030</v>
      </c>
      <c r="C36" s="689">
        <f>C35</f>
        <v>0</v>
      </c>
      <c r="D36" s="685">
        <f>D35</f>
        <v>0</v>
      </c>
      <c r="E36" s="685">
        <f>1-F36-G36</f>
        <v>0.7</v>
      </c>
      <c r="F36" s="685">
        <f>F35/2</f>
        <v>0.15</v>
      </c>
      <c r="G36" s="686">
        <f>G35/2</f>
        <v>0.15</v>
      </c>
      <c r="H36" t="s">
        <v>643</v>
      </c>
    </row>
    <row r="37" spans="1:24">
      <c r="A37" s="1812"/>
      <c r="B37" s="1114">
        <v>2050</v>
      </c>
      <c r="C37" s="689">
        <f>C38</f>
        <v>0</v>
      </c>
      <c r="D37" s="685">
        <f t="shared" ref="D37:G37" si="4">D38</f>
        <v>0</v>
      </c>
      <c r="E37" s="685">
        <f t="shared" si="4"/>
        <v>1</v>
      </c>
      <c r="F37" s="685">
        <f t="shared" si="4"/>
        <v>0</v>
      </c>
      <c r="G37" s="686">
        <f t="shared" si="4"/>
        <v>0</v>
      </c>
    </row>
    <row r="38" spans="1:24">
      <c r="A38" s="1134" t="s">
        <v>630</v>
      </c>
      <c r="B38" s="1114">
        <v>2030</v>
      </c>
      <c r="C38" s="689">
        <f>C36</f>
        <v>0</v>
      </c>
      <c r="D38" s="685">
        <f>D36</f>
        <v>0</v>
      </c>
      <c r="E38" s="685">
        <v>1</v>
      </c>
      <c r="F38" s="685">
        <v>0</v>
      </c>
      <c r="G38" s="686">
        <v>0</v>
      </c>
      <c r="H38" t="s">
        <v>644</v>
      </c>
    </row>
    <row r="39" spans="1:24" ht="15" thickBot="1">
      <c r="A39" s="1135" t="s">
        <v>631</v>
      </c>
      <c r="B39" s="1115">
        <v>2030</v>
      </c>
      <c r="C39" s="690">
        <f>C37</f>
        <v>0</v>
      </c>
      <c r="D39" s="687">
        <f>D37</f>
        <v>0</v>
      </c>
      <c r="E39" s="687">
        <v>1</v>
      </c>
      <c r="F39" s="687">
        <v>0</v>
      </c>
      <c r="G39" s="688">
        <v>0</v>
      </c>
    </row>
    <row r="40" spans="1:24">
      <c r="A40" s="2"/>
    </row>
    <row r="41" spans="1:24" ht="15" thickBot="1">
      <c r="A41" s="2"/>
      <c r="B41" s="479" t="s">
        <v>645</v>
      </c>
    </row>
    <row r="42" spans="1:24" ht="15" thickBot="1">
      <c r="A42" s="2"/>
      <c r="C42" s="1831" t="s">
        <v>6</v>
      </c>
      <c r="D42" s="1825"/>
      <c r="E42" s="1825"/>
      <c r="F42" s="1825"/>
      <c r="G42" s="1825"/>
      <c r="H42" s="1825"/>
      <c r="I42" s="1826"/>
      <c r="J42" s="1824" t="s">
        <v>298</v>
      </c>
      <c r="K42" s="1825"/>
      <c r="L42" s="1825"/>
      <c r="M42" s="1825"/>
      <c r="N42" s="1825"/>
      <c r="O42" s="1825"/>
      <c r="P42" s="1826"/>
      <c r="Q42" s="1809" t="s">
        <v>299</v>
      </c>
      <c r="R42" s="1809"/>
      <c r="S42" s="1809"/>
      <c r="T42" s="1809"/>
      <c r="U42" s="1809"/>
      <c r="V42" s="1809"/>
      <c r="W42" s="1810"/>
      <c r="X42" s="886"/>
    </row>
    <row r="43" spans="1:24" ht="29.4" thickBot="1">
      <c r="A43" s="692"/>
      <c r="B43" s="1221" t="s">
        <v>636</v>
      </c>
      <c r="C43" s="698" t="s">
        <v>17</v>
      </c>
      <c r="D43" s="699" t="s">
        <v>23</v>
      </c>
      <c r="E43" s="699" t="s">
        <v>19</v>
      </c>
      <c r="F43" s="699" t="s">
        <v>304</v>
      </c>
      <c r="G43" s="699" t="s">
        <v>9</v>
      </c>
      <c r="H43" s="699" t="s">
        <v>10</v>
      </c>
      <c r="I43" s="700" t="s">
        <v>225</v>
      </c>
      <c r="J43" s="702" t="s">
        <v>17</v>
      </c>
      <c r="K43" s="699" t="s">
        <v>23</v>
      </c>
      <c r="L43" s="699" t="s">
        <v>19</v>
      </c>
      <c r="M43" s="699" t="s">
        <v>304</v>
      </c>
      <c r="N43" s="699" t="s">
        <v>9</v>
      </c>
      <c r="O43" s="699" t="s">
        <v>10</v>
      </c>
      <c r="P43" s="700" t="s">
        <v>225</v>
      </c>
      <c r="Q43" s="1090" t="s">
        <v>17</v>
      </c>
      <c r="R43" s="1091" t="s">
        <v>23</v>
      </c>
      <c r="S43" s="1091" t="s">
        <v>19</v>
      </c>
      <c r="T43" s="1091" t="s">
        <v>304</v>
      </c>
      <c r="U43" s="1091" t="s">
        <v>9</v>
      </c>
      <c r="V43" s="1091" t="s">
        <v>10</v>
      </c>
      <c r="W43" s="1092" t="s">
        <v>225</v>
      </c>
    </row>
    <row r="44" spans="1:24">
      <c r="A44" s="1087" t="s">
        <v>646</v>
      </c>
      <c r="B44" s="665">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9">
        <f>'4D Wastewater treatment and dis'!T107</f>
        <v>0.34</v>
      </c>
      <c r="R44" s="759">
        <f>'4D Wastewater treatment and dis'!U107</f>
        <v>0</v>
      </c>
      <c r="S44" s="759">
        <f>'4D Wastewater treatment and dis'!V107</f>
        <v>0.17</v>
      </c>
      <c r="T44" s="759">
        <f>'4D Wastewater treatment and dis'!W107</f>
        <v>0.24</v>
      </c>
      <c r="U44" s="759">
        <f>'4D Wastewater treatment and dis'!X107</f>
        <v>0.05</v>
      </c>
      <c r="V44" s="759">
        <f>'4D Wastewater treatment and dis'!Y107</f>
        <v>0.2</v>
      </c>
      <c r="W44" s="929">
        <f>SUM(Q44:V44)</f>
        <v>1</v>
      </c>
    </row>
    <row r="45" spans="1:24">
      <c r="A45" s="1088"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8" t="s">
        <v>714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 thickBot="1">
      <c r="A47" s="1089" t="s">
        <v>631</v>
      </c>
      <c r="B47" s="1075">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8"/>
      <c r="B49" s="691" t="s">
        <v>636</v>
      </c>
      <c r="C49" s="726" t="s">
        <v>582</v>
      </c>
      <c r="D49" s="722" t="s">
        <v>581</v>
      </c>
      <c r="J49" s="118"/>
      <c r="K49" s="118"/>
      <c r="L49" s="118"/>
      <c r="M49" s="118"/>
      <c r="N49" s="118"/>
      <c r="O49" s="118"/>
      <c r="P49" s="118"/>
      <c r="Q49" s="118"/>
      <c r="R49" s="118"/>
      <c r="S49" s="118"/>
      <c r="T49" s="118"/>
      <c r="U49" s="118"/>
      <c r="V49" s="118"/>
      <c r="W49" s="104"/>
      <c r="X49" s="118"/>
    </row>
    <row r="50" spans="1:28" ht="15.6">
      <c r="A50" s="715" t="s">
        <v>650</v>
      </c>
      <c r="B50" s="719">
        <v>2017</v>
      </c>
      <c r="C50" s="723">
        <f>'Input data'!C42</f>
        <v>0.71479999999999999</v>
      </c>
      <c r="D50" s="723">
        <f>'Input data'!C41</f>
        <v>0.28959999999999997</v>
      </c>
      <c r="J50" s="118"/>
      <c r="K50" s="118"/>
      <c r="L50" s="118"/>
      <c r="M50" s="118"/>
      <c r="N50" s="118"/>
      <c r="O50" s="118"/>
      <c r="P50" s="118"/>
      <c r="Q50" s="118"/>
      <c r="R50" s="118"/>
      <c r="S50" s="118"/>
      <c r="T50" s="118"/>
      <c r="U50" s="118"/>
      <c r="V50" s="118"/>
      <c r="W50" s="104"/>
      <c r="X50" s="118"/>
    </row>
    <row r="51" spans="1:28">
      <c r="A51" s="714" t="s">
        <v>629</v>
      </c>
      <c r="B51" s="720">
        <v>2050</v>
      </c>
      <c r="C51" s="724">
        <v>1</v>
      </c>
      <c r="D51" s="724">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 thickBot="1">
      <c r="A52" s="716" t="s">
        <v>630</v>
      </c>
      <c r="B52" s="721">
        <v>2030</v>
      </c>
      <c r="C52" s="725">
        <v>1</v>
      </c>
      <c r="D52" s="725">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17"/>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56" t="s">
        <v>628</v>
      </c>
      <c r="B56" s="695"/>
      <c r="C56" s="695"/>
      <c r="D56" s="695"/>
      <c r="E56" s="695"/>
      <c r="F56" s="695"/>
      <c r="G56" s="695"/>
      <c r="H56" s="695"/>
      <c r="I56" s="1594"/>
      <c r="J56" s="353"/>
      <c r="K56" s="353"/>
      <c r="L56" s="353"/>
      <c r="M56" s="353"/>
      <c r="N56" s="353"/>
      <c r="O56" s="353"/>
      <c r="P56" s="353"/>
      <c r="Q56" s="303"/>
      <c r="R56" s="303"/>
      <c r="S56" s="303"/>
      <c r="T56" s="104"/>
      <c r="U56" s="104"/>
      <c r="V56" s="104"/>
      <c r="W56" s="701"/>
      <c r="X56" s="104"/>
      <c r="Y56" s="332"/>
      <c r="Z56" s="332"/>
      <c r="AA56" s="332"/>
    </row>
    <row r="57" spans="1:28" ht="16.2" thickBot="1">
      <c r="A57" s="356"/>
      <c r="B57" s="695" t="s">
        <v>673</v>
      </c>
      <c r="C57" s="695">
        <v>56521948</v>
      </c>
      <c r="D57" s="1595"/>
      <c r="E57" s="1595"/>
      <c r="F57" s="1595"/>
      <c r="G57" s="1595"/>
      <c r="H57" s="1595"/>
      <c r="I57" s="1595"/>
      <c r="J57" s="353"/>
      <c r="K57" s="353"/>
      <c r="L57" s="353"/>
      <c r="M57" s="353"/>
      <c r="N57" s="353"/>
      <c r="O57" s="353"/>
      <c r="P57" s="353"/>
      <c r="Q57" s="10"/>
      <c r="R57" s="10"/>
      <c r="S57" s="10"/>
      <c r="W57" s="331"/>
      <c r="Y57" s="332"/>
      <c r="Z57" s="332"/>
      <c r="AA57" s="332"/>
    </row>
    <row r="58" spans="1:28" ht="16.2" thickBot="1">
      <c r="A58" s="1552" t="s">
        <v>870</v>
      </c>
      <c r="B58" s="1552" t="s">
        <v>372</v>
      </c>
      <c r="C58" s="1553" t="s">
        <v>221</v>
      </c>
      <c r="D58" s="1554" t="s">
        <v>85</v>
      </c>
      <c r="E58" s="1554" t="s">
        <v>424</v>
      </c>
      <c r="F58" s="1554" t="s">
        <v>222</v>
      </c>
      <c r="G58" s="1554" t="s">
        <v>115</v>
      </c>
      <c r="H58" s="1554" t="s">
        <v>223</v>
      </c>
      <c r="I58" s="1554" t="s">
        <v>373</v>
      </c>
      <c r="J58" s="1554" t="s">
        <v>374</v>
      </c>
      <c r="K58" s="1554" t="s">
        <v>375</v>
      </c>
      <c r="L58" s="1554" t="s">
        <v>376</v>
      </c>
      <c r="M58" s="1554" t="s">
        <v>377</v>
      </c>
      <c r="N58" s="1575" t="s">
        <v>225</v>
      </c>
      <c r="O58" s="694"/>
      <c r="P58" s="694"/>
      <c r="Q58" s="10"/>
      <c r="R58" s="10"/>
      <c r="S58" s="10"/>
      <c r="W58" s="331"/>
      <c r="X58" s="333"/>
      <c r="Y58" s="331"/>
      <c r="Z58" s="331"/>
      <c r="AA58" s="331"/>
    </row>
    <row r="59" spans="1:28">
      <c r="A59" s="1555"/>
      <c r="B59" s="1555" t="s">
        <v>378</v>
      </c>
      <c r="C59" s="1556">
        <f>'Input data'!C13</f>
        <v>1233791.4119790548</v>
      </c>
      <c r="D59" s="1557">
        <f>'Input data'!D13</f>
        <v>1138884.3802883581</v>
      </c>
      <c r="E59" s="1557">
        <f>'Input data'!E13</f>
        <v>378326.54427023319</v>
      </c>
      <c r="F59" s="1557">
        <f>'Input data'!F13</f>
        <v>0</v>
      </c>
      <c r="G59" s="1557">
        <f>'Input data'!G13</f>
        <v>0</v>
      </c>
      <c r="H59" s="1557">
        <f>'Input data'!H13</f>
        <v>0</v>
      </c>
      <c r="I59" s="1557">
        <f>'Input data'!I13</f>
        <v>0</v>
      </c>
      <c r="J59" s="1557">
        <f>'Input data'!J13</f>
        <v>381000</v>
      </c>
      <c r="K59" s="1557">
        <f>'Input data'!K13</f>
        <v>338388.97868490184</v>
      </c>
      <c r="L59" s="1557">
        <f>'Input data'!L13</f>
        <v>297470.77450579114</v>
      </c>
      <c r="M59" s="1557">
        <f>'Input data'!M13</f>
        <v>0</v>
      </c>
      <c r="N59" s="1576">
        <f>'Input data'!N13</f>
        <v>3767862.0897283391</v>
      </c>
      <c r="O59" s="695"/>
      <c r="P59" s="695"/>
      <c r="Q59" s="369"/>
      <c r="R59" s="10"/>
      <c r="S59" s="10"/>
      <c r="W59" s="332"/>
      <c r="Y59" s="332"/>
      <c r="Z59" s="332"/>
      <c r="AA59" s="332"/>
    </row>
    <row r="60" spans="1:28" ht="15.6">
      <c r="A60" s="1558" t="s">
        <v>379</v>
      </c>
      <c r="B60" s="1555" t="s">
        <v>380</v>
      </c>
      <c r="C60" s="1559">
        <f>'Input data'!C14</f>
        <v>964286</v>
      </c>
      <c r="D60" s="1596">
        <f>'Input data'!D14</f>
        <v>964286</v>
      </c>
      <c r="E60" s="1596">
        <f>'Input data'!E14</f>
        <v>0</v>
      </c>
      <c r="F60" s="1596">
        <f>'Input data'!F14</f>
        <v>0</v>
      </c>
      <c r="G60" s="1596">
        <f>'Input data'!G14</f>
        <v>0</v>
      </c>
      <c r="H60" s="1596">
        <f>'Input data'!H14</f>
        <v>0</v>
      </c>
      <c r="I60" s="1596">
        <f>'Input data'!I14</f>
        <v>2892858</v>
      </c>
      <c r="J60" s="1596">
        <f>'Input data'!J14</f>
        <v>0</v>
      </c>
      <c r="K60" s="1596">
        <f>'Input data'!K14</f>
        <v>0</v>
      </c>
      <c r="L60" s="1596">
        <f>'Input data'!L14</f>
        <v>0</v>
      </c>
      <c r="M60" s="1596">
        <f>'Input data'!M14</f>
        <v>0</v>
      </c>
      <c r="N60" s="1571">
        <f>'Input data'!N14</f>
        <v>4821430</v>
      </c>
      <c r="O60" s="695"/>
      <c r="P60" s="695"/>
      <c r="Q60" s="10"/>
      <c r="R60" s="10"/>
      <c r="S60" s="10"/>
      <c r="W60" s="331"/>
      <c r="Y60" s="332"/>
      <c r="Z60" s="332"/>
      <c r="AA60" s="332"/>
    </row>
    <row r="61" spans="1:28" ht="15.6">
      <c r="A61" s="1558" t="s">
        <v>381</v>
      </c>
      <c r="B61" s="1555" t="s">
        <v>382</v>
      </c>
      <c r="C61" s="1559">
        <f>'Input data'!C15</f>
        <v>72176.800000000003</v>
      </c>
      <c r="D61" s="1596">
        <f>'Input data'!D15</f>
        <v>72176.800000000003</v>
      </c>
      <c r="E61" s="1596">
        <f>'Input data'!E15</f>
        <v>0</v>
      </c>
      <c r="F61" s="1596">
        <f>'Input data'!F15</f>
        <v>0</v>
      </c>
      <c r="G61" s="1596">
        <f>'Input data'!G15</f>
        <v>0</v>
      </c>
      <c r="H61" s="1596">
        <f>'Input data'!H15</f>
        <v>0</v>
      </c>
      <c r="I61" s="1596">
        <f>'Input data'!I15</f>
        <v>216530.4</v>
      </c>
      <c r="J61" s="1596">
        <f>'Input data'!J15</f>
        <v>0</v>
      </c>
      <c r="K61" s="1596">
        <f>'Input data'!K15</f>
        <v>0</v>
      </c>
      <c r="L61" s="1596">
        <f>'Input data'!L15</f>
        <v>0</v>
      </c>
      <c r="M61" s="1596">
        <f>'Input data'!M15</f>
        <v>0</v>
      </c>
      <c r="N61" s="1571">
        <f>'Input data'!N15</f>
        <v>360884</v>
      </c>
      <c r="O61" s="695"/>
      <c r="P61" s="695"/>
      <c r="Q61" s="10"/>
      <c r="R61" s="10"/>
      <c r="S61" s="10"/>
      <c r="W61" s="331"/>
      <c r="Y61" s="332"/>
      <c r="Z61" s="332"/>
      <c r="AA61" s="331"/>
    </row>
    <row r="62" spans="1:28" ht="15.6">
      <c r="A62" s="1558" t="s">
        <v>383</v>
      </c>
      <c r="B62" s="1555" t="s">
        <v>384</v>
      </c>
      <c r="C62" s="1559">
        <f>'Input data'!C16</f>
        <v>0</v>
      </c>
      <c r="D62" s="1596">
        <f>'Input data'!D16</f>
        <v>0</v>
      </c>
      <c r="E62" s="1596">
        <f>'Input data'!E16</f>
        <v>520349.97572976683</v>
      </c>
      <c r="F62" s="1596">
        <f>'Input data'!F16</f>
        <v>0</v>
      </c>
      <c r="G62" s="1596">
        <f>'Input data'!G16</f>
        <v>0</v>
      </c>
      <c r="H62" s="1596">
        <f>'Input data'!H16</f>
        <v>0</v>
      </c>
      <c r="I62" s="1596">
        <f>'Input data'!I16</f>
        <v>0</v>
      </c>
      <c r="J62" s="1596">
        <f>'Input data'!J16</f>
        <v>237880.00199999998</v>
      </c>
      <c r="K62" s="1596">
        <f>'Input data'!K16</f>
        <v>465419.88531509798</v>
      </c>
      <c r="L62" s="1596">
        <f>'Input data'!L16</f>
        <v>409141.02549420868</v>
      </c>
      <c r="M62" s="1596">
        <f>'Input data'!M16</f>
        <v>123895.58799999999</v>
      </c>
      <c r="N62" s="1571">
        <f>'Input data'!N16</f>
        <v>1756686.4765390735</v>
      </c>
      <c r="O62" s="695"/>
      <c r="P62" s="695"/>
      <c r="Q62" s="10"/>
      <c r="R62" s="10"/>
      <c r="S62" s="10"/>
      <c r="W62" s="330"/>
      <c r="Y62" s="330"/>
      <c r="Z62" s="330"/>
      <c r="AA62" s="330"/>
      <c r="AB62" s="330"/>
    </row>
    <row r="63" spans="1:28" ht="15.6">
      <c r="A63" s="1558" t="s">
        <v>383</v>
      </c>
      <c r="B63" s="1555" t="s">
        <v>385</v>
      </c>
      <c r="C63" s="1559">
        <f>'Input data'!C17</f>
        <v>0</v>
      </c>
      <c r="D63" s="1596">
        <f>'Input data'!D17</f>
        <v>0</v>
      </c>
      <c r="E63" s="1596">
        <f>'Input data'!E17</f>
        <v>1241029.48</v>
      </c>
      <c r="F63" s="1596">
        <f>'Input data'!F17</f>
        <v>0</v>
      </c>
      <c r="G63" s="1596">
        <f>'Input data'!G17</f>
        <v>0</v>
      </c>
      <c r="H63" s="1596">
        <f>'Input data'!H17</f>
        <v>0</v>
      </c>
      <c r="I63" s="1596">
        <f>'Input data'!I17</f>
        <v>0</v>
      </c>
      <c r="J63" s="1596">
        <f>'Input data'!J17</f>
        <v>480373.99800000002</v>
      </c>
      <c r="K63" s="1596">
        <f>'Input data'!K17</f>
        <v>1987194.1360000002</v>
      </c>
      <c r="L63" s="1596">
        <f>'Input data'!L17</f>
        <v>2826447.2</v>
      </c>
      <c r="M63" s="1596">
        <f>'Input data'!M17</f>
        <v>38271.412000000004</v>
      </c>
      <c r="N63" s="1571">
        <f>'Input data'!N17</f>
        <v>6573316.2259999998</v>
      </c>
      <c r="O63" s="695"/>
      <c r="P63" s="695"/>
      <c r="Q63" s="10"/>
      <c r="R63" s="10"/>
      <c r="S63" s="10"/>
      <c r="W63" s="330"/>
      <c r="Y63" s="330"/>
      <c r="Z63" s="330"/>
      <c r="AA63" s="330"/>
      <c r="AB63" s="330"/>
    </row>
    <row r="64" spans="1:28" ht="15.6">
      <c r="A64" s="1558" t="s">
        <v>386</v>
      </c>
      <c r="B64" s="1555" t="s">
        <v>387</v>
      </c>
      <c r="C64" s="1559">
        <f>'Input data'!C18</f>
        <v>2500000</v>
      </c>
      <c r="D64" s="1596">
        <f>'Input data'!D18</f>
        <v>4200000</v>
      </c>
      <c r="E64" s="1596">
        <f>'Input data'!E18</f>
        <v>0</v>
      </c>
      <c r="F64" s="1596">
        <f>'Input data'!F18</f>
        <v>0</v>
      </c>
      <c r="G64" s="1596">
        <f>'Input data'!G18</f>
        <v>0</v>
      </c>
      <c r="H64" s="1596">
        <f>'Input data'!H18</f>
        <v>0</v>
      </c>
      <c r="I64" s="1596">
        <f>'Input data'!I18</f>
        <v>0</v>
      </c>
      <c r="J64" s="1596">
        <f>'Input data'!J18</f>
        <v>0</v>
      </c>
      <c r="K64" s="1596">
        <f>'Input data'!K18</f>
        <v>0</v>
      </c>
      <c r="L64" s="1596">
        <f>'Input data'!L18</f>
        <v>0</v>
      </c>
      <c r="M64" s="1596">
        <f>'Input data'!M18</f>
        <v>0</v>
      </c>
      <c r="N64" s="1571">
        <f>'Input data'!N18</f>
        <v>6700000</v>
      </c>
      <c r="O64" s="695"/>
      <c r="P64" s="695"/>
      <c r="Q64" s="10"/>
      <c r="R64" s="10"/>
      <c r="S64" s="10"/>
      <c r="W64" s="330"/>
      <c r="Y64" s="330"/>
      <c r="Z64" s="330"/>
      <c r="AA64" s="330"/>
      <c r="AB64" s="330"/>
    </row>
    <row r="65" spans="1:28" ht="15.6">
      <c r="A65" s="1560"/>
      <c r="B65" s="1561" t="s">
        <v>388</v>
      </c>
      <c r="C65" s="1559">
        <f>'Input data'!C19</f>
        <v>4770254.2119790548</v>
      </c>
      <c r="D65" s="1596">
        <f>'Input data'!D19</f>
        <v>6375347.1802883577</v>
      </c>
      <c r="E65" s="1596">
        <f>'Input data'!E19</f>
        <v>2139706</v>
      </c>
      <c r="F65" s="1596">
        <f>'Input data'!F19</f>
        <v>0</v>
      </c>
      <c r="G65" s="1596">
        <f>'Input data'!G19</f>
        <v>0</v>
      </c>
      <c r="H65" s="1596">
        <f>'Input data'!H19</f>
        <v>0</v>
      </c>
      <c r="I65" s="1596">
        <f>'Input data'!I19</f>
        <v>3109388.4</v>
      </c>
      <c r="J65" s="1596">
        <f>'Input data'!J19</f>
        <v>1099254</v>
      </c>
      <c r="K65" s="1596">
        <f>'Input data'!K19</f>
        <v>2791003</v>
      </c>
      <c r="L65" s="1596">
        <f>'Input data'!L19</f>
        <v>3533059</v>
      </c>
      <c r="M65" s="1596">
        <f>'Input data'!M19</f>
        <v>162167</v>
      </c>
      <c r="N65" s="1571">
        <f>'Input data'!N19</f>
        <v>23980178.792267412</v>
      </c>
      <c r="O65" s="696"/>
      <c r="P65" s="696"/>
      <c r="Q65" s="10"/>
      <c r="R65" s="10"/>
      <c r="S65" s="10"/>
      <c r="W65" s="330"/>
      <c r="Y65" s="330"/>
      <c r="Z65" s="330"/>
      <c r="AA65" s="330"/>
      <c r="AB65" s="330"/>
    </row>
    <row r="66" spans="1:28" ht="15.6">
      <c r="A66" s="1560"/>
      <c r="B66" s="1562" t="s">
        <v>572</v>
      </c>
      <c r="C66" s="1559">
        <f>'Input data'!C20</f>
        <v>2674712.2259895275</v>
      </c>
      <c r="D66" s="1596">
        <f>'Input data'!D20</f>
        <v>3392258.7101441789</v>
      </c>
      <c r="E66" s="1596">
        <f>'Input data'!E20</f>
        <v>657478.25029190676</v>
      </c>
      <c r="F66" s="1596">
        <f>'Input data'!F20</f>
        <v>0</v>
      </c>
      <c r="G66" s="1596">
        <f>'Input data'!G20</f>
        <v>0</v>
      </c>
      <c r="H66" s="1596">
        <f>'Input data'!H20</f>
        <v>0</v>
      </c>
      <c r="I66" s="1596">
        <f>'Input data'!I20</f>
        <v>2798449.56</v>
      </c>
      <c r="J66" s="1596">
        <f>'Input data'!J20</f>
        <v>404592.00179999997</v>
      </c>
      <c r="K66" s="1596">
        <f>'Input data'!K20</f>
        <v>588072.38612603908</v>
      </c>
      <c r="L66" s="1596">
        <f>'Input data'!L20</f>
        <v>516962.3101976834</v>
      </c>
      <c r="M66" s="1596">
        <f>'Input data'!M20</f>
        <v>111506.02919999999</v>
      </c>
      <c r="N66" s="1571">
        <f>'Input data'!N20</f>
        <v>11144031.473749338</v>
      </c>
      <c r="O66" s="696"/>
      <c r="P66" s="696"/>
      <c r="Q66" s="10"/>
      <c r="R66" s="10"/>
      <c r="S66" s="10"/>
      <c r="W66" s="330"/>
      <c r="Y66" s="330"/>
      <c r="Z66" s="330"/>
      <c r="AA66" s="330"/>
      <c r="AB66" s="330"/>
    </row>
    <row r="67" spans="1:28" ht="16.2" thickBot="1">
      <c r="A67" s="1560"/>
      <c r="B67" s="1562" t="s">
        <v>865</v>
      </c>
      <c r="C67" s="1559">
        <f>'Input data'!C21</f>
        <v>845541.98598952731</v>
      </c>
      <c r="D67" s="1596">
        <f>'Input data'!D21</f>
        <v>883088.47014417872</v>
      </c>
      <c r="E67" s="1596">
        <f>'Input data'!E21</f>
        <v>241198.26970809326</v>
      </c>
      <c r="F67" s="1596">
        <f>'Input data'!F21</f>
        <v>0</v>
      </c>
      <c r="G67" s="1596">
        <f>'Input data'!G21</f>
        <v>0</v>
      </c>
      <c r="H67" s="1596">
        <f>'Input data'!H21</f>
        <v>0</v>
      </c>
      <c r="I67" s="1596">
        <f>'Input data'!I21</f>
        <v>310938.83999999985</v>
      </c>
      <c r="J67" s="1596">
        <f>'Input data'!J21</f>
        <v>214288.00020000001</v>
      </c>
      <c r="K67" s="1596">
        <f>'Input data'!K21</f>
        <v>215736.47787396074</v>
      </c>
      <c r="L67" s="1596">
        <f>'Input data'!L21</f>
        <v>189649.4898023163</v>
      </c>
      <c r="M67" s="1596">
        <f>'Input data'!M21</f>
        <v>12389.558800000006</v>
      </c>
      <c r="N67" s="1571">
        <f>'Input data'!N21</f>
        <v>2912831.0925180763</v>
      </c>
      <c r="O67" s="696"/>
      <c r="P67" s="696"/>
      <c r="Q67" s="10"/>
      <c r="R67" s="10"/>
      <c r="S67" s="10"/>
      <c r="W67" s="330"/>
      <c r="Y67" s="330"/>
      <c r="Z67" s="330"/>
      <c r="AA67" s="330"/>
      <c r="AB67" s="330"/>
    </row>
    <row r="68" spans="1:28" ht="15.6">
      <c r="A68" s="1560"/>
      <c r="B68" s="1552" t="s">
        <v>389</v>
      </c>
      <c r="C68" s="1563">
        <f>'Input data'!C22</f>
        <v>0</v>
      </c>
      <c r="D68" s="1395">
        <f>'Input data'!D22</f>
        <v>0</v>
      </c>
      <c r="E68" s="1395">
        <f>'Input data'!E22</f>
        <v>0</v>
      </c>
      <c r="F68" s="1395">
        <f>'Input data'!F22</f>
        <v>0</v>
      </c>
      <c r="G68" s="1395">
        <f>'Input data'!G22</f>
        <v>0</v>
      </c>
      <c r="H68" s="1395">
        <f>'Input data'!H22</f>
        <v>0</v>
      </c>
      <c r="I68" s="1395">
        <f>'Input data'!I22</f>
        <v>0</v>
      </c>
      <c r="J68" s="1395">
        <f>'Input data'!J22</f>
        <v>0</v>
      </c>
      <c r="K68" s="1395">
        <f>'Input data'!K22</f>
        <v>0</v>
      </c>
      <c r="L68" s="1395">
        <f>'Input data'!L22</f>
        <v>0</v>
      </c>
      <c r="M68" s="1395">
        <f>'Input data'!M22</f>
        <v>0</v>
      </c>
      <c r="N68" s="1577">
        <f>'Input data'!N22</f>
        <v>0</v>
      </c>
      <c r="O68" s="697"/>
      <c r="P68" s="697"/>
      <c r="Q68" s="10"/>
      <c r="R68" s="10"/>
      <c r="S68" s="10"/>
      <c r="W68" s="330"/>
      <c r="Y68" s="330"/>
      <c r="Z68" s="330"/>
      <c r="AA68" s="330"/>
      <c r="AB68" s="330"/>
    </row>
    <row r="69" spans="1:28" ht="15.6">
      <c r="A69" s="1560"/>
      <c r="B69" s="1564" t="s">
        <v>390</v>
      </c>
      <c r="C69" s="730">
        <f>'Input data'!C23</f>
        <v>0.32745131923552184</v>
      </c>
      <c r="D69" s="483">
        <f>'Input data'!D23</f>
        <v>0.30226275621740473</v>
      </c>
      <c r="E69" s="483">
        <f>'Input data'!E23</f>
        <v>0.10040880883129943</v>
      </c>
      <c r="F69" s="483">
        <f>'Input data'!F23</f>
        <v>0</v>
      </c>
      <c r="G69" s="483">
        <f>'Input data'!G23</f>
        <v>0</v>
      </c>
      <c r="H69" s="483">
        <f>'Input data'!H23</f>
        <v>0</v>
      </c>
      <c r="I69" s="483">
        <f>'Input data'!I23</f>
        <v>0</v>
      </c>
      <c r="J69" s="483">
        <f>'Input data'!J23</f>
        <v>0.10111835065265616</v>
      </c>
      <c r="K69" s="483">
        <f>'Input data'!K23</f>
        <v>8.9809279274682671E-2</v>
      </c>
      <c r="L69" s="483">
        <f>'Input data'!L23</f>
        <v>7.8949485788435164E-2</v>
      </c>
      <c r="M69" s="483">
        <f>'Input data'!M23</f>
        <v>0</v>
      </c>
      <c r="N69" s="604">
        <f>'Input data'!N23</f>
        <v>1</v>
      </c>
      <c r="O69" s="483"/>
      <c r="P69" s="483"/>
      <c r="Q69" s="10"/>
      <c r="R69" s="10"/>
      <c r="S69" s="10"/>
      <c r="W69" s="330"/>
      <c r="Y69" s="330"/>
      <c r="Z69" s="330"/>
      <c r="AA69" s="330"/>
      <c r="AB69" s="330"/>
    </row>
    <row r="70" spans="1:28" ht="15.6">
      <c r="A70" s="1558" t="s">
        <v>379</v>
      </c>
      <c r="B70" s="1564" t="s">
        <v>391</v>
      </c>
      <c r="C70" s="730">
        <f>'Input data'!C24</f>
        <v>0.2</v>
      </c>
      <c r="D70" s="483">
        <f>'Input data'!D24</f>
        <v>0.2</v>
      </c>
      <c r="E70" s="483">
        <f>'Input data'!E24</f>
        <v>0</v>
      </c>
      <c r="F70" s="483">
        <f>'Input data'!F24</f>
        <v>0</v>
      </c>
      <c r="G70" s="483">
        <f>'Input data'!G24</f>
        <v>0</v>
      </c>
      <c r="H70" s="483">
        <f>'Input data'!H24</f>
        <v>0</v>
      </c>
      <c r="I70" s="483">
        <f>'Input data'!I24</f>
        <v>0.6</v>
      </c>
      <c r="J70" s="483">
        <f>'Input data'!J24</f>
        <v>0</v>
      </c>
      <c r="K70" s="483">
        <f>'Input data'!K24</f>
        <v>0</v>
      </c>
      <c r="L70" s="483">
        <f>'Input data'!L24</f>
        <v>0</v>
      </c>
      <c r="M70" s="483">
        <f>'Input data'!M24</f>
        <v>0</v>
      </c>
      <c r="N70" s="604">
        <f>'Input data'!N24</f>
        <v>1</v>
      </c>
      <c r="O70" s="483"/>
      <c r="P70" s="483"/>
      <c r="Q70" s="10"/>
      <c r="R70" s="10"/>
      <c r="S70" s="10"/>
      <c r="W70" s="330"/>
      <c r="Y70" s="330"/>
      <c r="Z70" s="330"/>
      <c r="AA70" s="330"/>
      <c r="AB70" s="330"/>
    </row>
    <row r="71" spans="1:28" ht="15.6">
      <c r="A71" s="1558" t="s">
        <v>381</v>
      </c>
      <c r="B71" s="1564" t="s">
        <v>392</v>
      </c>
      <c r="C71" s="730">
        <f>'Input data'!C25</f>
        <v>0.2</v>
      </c>
      <c r="D71" s="483">
        <f>'Input data'!D25</f>
        <v>0.2</v>
      </c>
      <c r="E71" s="483">
        <f>'Input data'!E25</f>
        <v>0</v>
      </c>
      <c r="F71" s="483">
        <f>'Input data'!F25</f>
        <v>0</v>
      </c>
      <c r="G71" s="483">
        <f>'Input data'!G25</f>
        <v>0</v>
      </c>
      <c r="H71" s="483">
        <f>'Input data'!H25</f>
        <v>0</v>
      </c>
      <c r="I71" s="483">
        <f>'Input data'!I25</f>
        <v>0.6</v>
      </c>
      <c r="J71" s="483">
        <f>'Input data'!J25</f>
        <v>0</v>
      </c>
      <c r="K71" s="483">
        <f>'Input data'!K25</f>
        <v>0</v>
      </c>
      <c r="L71" s="483">
        <f>'Input data'!L25</f>
        <v>0</v>
      </c>
      <c r="M71" s="483">
        <f>'Input data'!M25</f>
        <v>0</v>
      </c>
      <c r="N71" s="604">
        <f>'Input data'!N25</f>
        <v>1</v>
      </c>
      <c r="O71" s="483"/>
      <c r="P71" s="483"/>
      <c r="Q71" s="10"/>
      <c r="R71" s="10"/>
      <c r="S71" s="10"/>
      <c r="W71" s="330"/>
      <c r="Y71" s="330"/>
      <c r="Z71" s="330"/>
      <c r="AA71" s="330"/>
      <c r="AB71" s="330"/>
    </row>
    <row r="72" spans="1:28" ht="15.6">
      <c r="A72" s="1558" t="s">
        <v>383</v>
      </c>
      <c r="B72" s="1564" t="s">
        <v>384</v>
      </c>
      <c r="C72" s="730">
        <f>'Input data'!C26</f>
        <v>0</v>
      </c>
      <c r="D72" s="483">
        <f>'Input data'!D26</f>
        <v>0</v>
      </c>
      <c r="E72" s="483">
        <f>'Input data'!E26</f>
        <v>0.29621106707380795</v>
      </c>
      <c r="F72" s="483">
        <f>'Input data'!F26</f>
        <v>0</v>
      </c>
      <c r="G72" s="483">
        <f>'Input data'!G26</f>
        <v>0</v>
      </c>
      <c r="H72" s="483">
        <f>'Input data'!H26</f>
        <v>0</v>
      </c>
      <c r="I72" s="483">
        <f>'Input data'!I26</f>
        <v>0</v>
      </c>
      <c r="J72" s="483">
        <f>'Input data'!J26</f>
        <v>0.1354140338511958</v>
      </c>
      <c r="K72" s="483">
        <f>'Input data'!K26</f>
        <v>0.26494191851015014</v>
      </c>
      <c r="L72" s="483">
        <f>'Input data'!L26</f>
        <v>0.2329049781838565</v>
      </c>
      <c r="M72" s="483">
        <f>'Input data'!M26</f>
        <v>7.0528002380989593E-2</v>
      </c>
      <c r="N72" s="604">
        <f>'Input data'!N26</f>
        <v>0.99999999999999989</v>
      </c>
      <c r="O72" s="483"/>
      <c r="P72" s="483"/>
      <c r="Q72" s="10"/>
      <c r="R72" s="10"/>
      <c r="S72" s="10"/>
      <c r="W72" s="330"/>
      <c r="Y72" s="864"/>
      <c r="Z72" s="330"/>
      <c r="AA72" s="330"/>
      <c r="AB72" s="330"/>
    </row>
    <row r="73" spans="1:28" ht="15.6">
      <c r="A73" s="1558" t="s">
        <v>383</v>
      </c>
      <c r="B73" s="1564" t="s">
        <v>385</v>
      </c>
      <c r="C73" s="730">
        <f>'Input data'!C27</f>
        <v>0</v>
      </c>
      <c r="D73" s="483">
        <f>'Input data'!D27</f>
        <v>0</v>
      </c>
      <c r="E73" s="483">
        <f>'Input data'!E27</f>
        <v>0.188798079588998</v>
      </c>
      <c r="F73" s="483">
        <f>'Input data'!F27</f>
        <v>0</v>
      </c>
      <c r="G73" s="483">
        <f>'Input data'!G27</f>
        <v>0</v>
      </c>
      <c r="H73" s="483">
        <f>'Input data'!H27</f>
        <v>0</v>
      </c>
      <c r="I73" s="483">
        <f>'Input data'!I27</f>
        <v>0</v>
      </c>
      <c r="J73" s="483">
        <f>'Input data'!J27</f>
        <v>7.3079398812419163E-2</v>
      </c>
      <c r="K73" s="483">
        <f>'Input data'!K27</f>
        <v>0.30231226791431109</v>
      </c>
      <c r="L73" s="483">
        <f>'Input data'!L27</f>
        <v>0.42998801561079808</v>
      </c>
      <c r="M73" s="483">
        <f>'Input data'!M27</f>
        <v>5.8222380734737535E-3</v>
      </c>
      <c r="N73" s="604">
        <f>'Input data'!N27</f>
        <v>1.0000000000000002</v>
      </c>
      <c r="O73" s="483"/>
      <c r="P73" s="483"/>
      <c r="Q73" s="10"/>
      <c r="R73" s="10"/>
      <c r="S73" s="10"/>
      <c r="W73" s="330"/>
      <c r="Y73" s="864"/>
      <c r="Z73" s="330"/>
      <c r="AA73" s="330"/>
      <c r="AB73" s="330"/>
    </row>
    <row r="74" spans="1:28" ht="15.6">
      <c r="A74" s="1558" t="s">
        <v>386</v>
      </c>
      <c r="B74" s="1564" t="s">
        <v>387</v>
      </c>
      <c r="C74" s="730">
        <f>'Input data'!C28</f>
        <v>0.37313432835820898</v>
      </c>
      <c r="D74" s="483">
        <f>'Input data'!D28</f>
        <v>0.62686567164179108</v>
      </c>
      <c r="E74" s="483">
        <f>'Input data'!E28</f>
        <v>0</v>
      </c>
      <c r="F74" s="483">
        <f>'Input data'!F28</f>
        <v>0</v>
      </c>
      <c r="G74" s="483">
        <f>'Input data'!G28</f>
        <v>0</v>
      </c>
      <c r="H74" s="483">
        <f>'Input data'!H28</f>
        <v>0</v>
      </c>
      <c r="I74" s="483">
        <f>'Input data'!I28</f>
        <v>0</v>
      </c>
      <c r="J74" s="483">
        <f>'Input data'!J28</f>
        <v>0</v>
      </c>
      <c r="K74" s="483">
        <f>'Input data'!K28</f>
        <v>0</v>
      </c>
      <c r="L74" s="483">
        <f>'Input data'!L28</f>
        <v>0</v>
      </c>
      <c r="M74" s="483">
        <f>'Input data'!M28</f>
        <v>0</v>
      </c>
      <c r="N74" s="604">
        <f>'Input data'!N28</f>
        <v>1</v>
      </c>
      <c r="O74" s="483"/>
      <c r="P74" s="483"/>
      <c r="Q74" s="7"/>
      <c r="R74" s="358"/>
      <c r="S74" s="358"/>
      <c r="T74" s="4"/>
      <c r="U74" s="4"/>
      <c r="Y74" s="864"/>
    </row>
    <row r="75" spans="1:28" ht="15.6">
      <c r="A75" s="1560"/>
      <c r="B75" s="1562" t="s">
        <v>393</v>
      </c>
      <c r="C75" s="730">
        <f>'Input data'!C29</f>
        <v>0.19892488097366726</v>
      </c>
      <c r="D75" s="483">
        <f>'Input data'!D29</f>
        <v>0.26585903447659598</v>
      </c>
      <c r="E75" s="483">
        <f>'Input data'!E29</f>
        <v>8.9228108703258049E-2</v>
      </c>
      <c r="F75" s="483">
        <f>'Input data'!F29</f>
        <v>0</v>
      </c>
      <c r="G75" s="483">
        <f>'Input data'!G29</f>
        <v>0</v>
      </c>
      <c r="H75" s="483">
        <f>'Input data'!H29</f>
        <v>0</v>
      </c>
      <c r="I75" s="483">
        <f>'Input data'!I29</f>
        <v>0.12966493815311525</v>
      </c>
      <c r="J75" s="483">
        <f>'Input data'!J29</f>
        <v>4.5840108596457284E-2</v>
      </c>
      <c r="K75" s="483">
        <f>'Input data'!K29</f>
        <v>0.1163879145429883</v>
      </c>
      <c r="L75" s="483">
        <f>'Input data'!L29</f>
        <v>0.1473324711465146</v>
      </c>
      <c r="M75" s="483">
        <f>'Input data'!M29</f>
        <v>6.7625434074032823E-3</v>
      </c>
      <c r="N75" s="604">
        <f>'Input data'!N29</f>
        <v>1</v>
      </c>
      <c r="O75" s="351"/>
      <c r="P75" s="351"/>
      <c r="Q75" s="7"/>
      <c r="R75" s="358"/>
      <c r="S75" s="358"/>
      <c r="T75" s="4"/>
      <c r="U75" s="4"/>
      <c r="Y75" s="864"/>
    </row>
    <row r="76" spans="1:28" ht="15.6">
      <c r="A76" s="1560"/>
      <c r="B76" s="1562" t="s">
        <v>573</v>
      </c>
      <c r="C76" s="730">
        <f>'Input data'!C30</f>
        <v>0.24001298204245269</v>
      </c>
      <c r="D76" s="483">
        <f>'Input data'!D30</f>
        <v>0.30440139352934503</v>
      </c>
      <c r="E76" s="483">
        <f>'Input data'!E30</f>
        <v>5.8998240613430578E-2</v>
      </c>
      <c r="F76" s="483">
        <f>'Input data'!F30</f>
        <v>0</v>
      </c>
      <c r="G76" s="483">
        <f>'Input data'!G30</f>
        <v>0</v>
      </c>
      <c r="H76" s="483">
        <f>'Input data'!H30</f>
        <v>0</v>
      </c>
      <c r="I76" s="483">
        <f>'Input data'!I30</f>
        <v>0.25111644440272562</v>
      </c>
      <c r="J76" s="483">
        <f>'Input data'!J30</f>
        <v>3.6305712412339194E-2</v>
      </c>
      <c r="K76" s="483">
        <f>'Input data'!K30</f>
        <v>5.2770165582472633E-2</v>
      </c>
      <c r="L76" s="483">
        <f>'Input data'!L30</f>
        <v>4.6389164586929758E-2</v>
      </c>
      <c r="M76" s="483">
        <f>'Input data'!M30</f>
        <v>1.0005896830304312E-2</v>
      </c>
      <c r="N76" s="604">
        <f>'Input data'!N30</f>
        <v>1</v>
      </c>
      <c r="O76" s="351"/>
      <c r="P76" s="351"/>
      <c r="Q76" s="7"/>
      <c r="R76" s="358"/>
      <c r="S76" s="358"/>
      <c r="T76" s="4"/>
      <c r="U76" s="4"/>
      <c r="Y76" s="864"/>
    </row>
    <row r="77" spans="1:28" ht="16.2" thickBot="1">
      <c r="A77" s="1565"/>
      <c r="B77" s="1566" t="s">
        <v>866</v>
      </c>
      <c r="C77" s="731">
        <f>'Input data'!C31</f>
        <v>0.29028184578274857</v>
      </c>
      <c r="D77" s="732">
        <f>'Input data'!D31</f>
        <v>0.30317187715157518</v>
      </c>
      <c r="E77" s="732">
        <f>'Input data'!E31</f>
        <v>8.2805443243048754E-2</v>
      </c>
      <c r="F77" s="732">
        <f>'Input data'!F31</f>
        <v>0</v>
      </c>
      <c r="G77" s="732">
        <f>'Input data'!G31</f>
        <v>0</v>
      </c>
      <c r="H77" s="732">
        <f>'Input data'!H31</f>
        <v>0</v>
      </c>
      <c r="I77" s="732">
        <f>'Input data'!I31</f>
        <v>0.10674798164530724</v>
      </c>
      <c r="J77" s="732">
        <f>'Input data'!J31</f>
        <v>7.3566915963792778E-2</v>
      </c>
      <c r="K77" s="732">
        <f>'Input data'!K31</f>
        <v>7.4064190823870071E-2</v>
      </c>
      <c r="L77" s="732">
        <f>'Input data'!L31</f>
        <v>6.5108303152026786E-2</v>
      </c>
      <c r="M77" s="732">
        <f>'Input data'!M31</f>
        <v>4.2534422376305772E-3</v>
      </c>
      <c r="N77" s="733">
        <f>'Input data'!N31</f>
        <v>1</v>
      </c>
      <c r="O77" s="351"/>
      <c r="P77" s="351"/>
      <c r="Q77" s="7"/>
      <c r="R77" s="358"/>
      <c r="S77" s="358"/>
      <c r="T77" s="4"/>
      <c r="U77" s="4"/>
      <c r="Y77" s="864"/>
    </row>
    <row r="78" spans="1:28" ht="14.4" customHeight="1" thickBot="1">
      <c r="A78" s="1567" t="s">
        <v>627</v>
      </c>
      <c r="B78" s="1568" t="s">
        <v>372</v>
      </c>
      <c r="C78" s="1553" t="s">
        <v>623</v>
      </c>
      <c r="D78" s="1554" t="s">
        <v>624</v>
      </c>
      <c r="E78" s="1554" t="s">
        <v>625</v>
      </c>
      <c r="F78" s="1554" t="s">
        <v>626</v>
      </c>
      <c r="G78" s="1554" t="s">
        <v>574</v>
      </c>
      <c r="H78" s="1575" t="s">
        <v>622</v>
      </c>
      <c r="I78" s="1569"/>
      <c r="J78" s="1569"/>
      <c r="K78" s="1569"/>
      <c r="L78" s="1569"/>
      <c r="M78" s="1569"/>
      <c r="N78" s="1569"/>
      <c r="O78" s="359"/>
      <c r="P78" s="359"/>
      <c r="Q78" s="7"/>
      <c r="R78" s="358"/>
      <c r="S78" s="358"/>
      <c r="T78" s="4"/>
      <c r="U78" s="4"/>
      <c r="Y78" s="864"/>
    </row>
    <row r="79" spans="1:28" ht="15.6">
      <c r="A79" s="1560"/>
      <c r="B79" s="1570" t="s">
        <v>441</v>
      </c>
      <c r="C79" s="1559">
        <f>'Waste Summary 2017 SASOW'!J10+'Waste Summary 2017 SASOW'!J13</f>
        <v>49995051</v>
      </c>
      <c r="D79" s="1596">
        <f>'Waste Summary 2017 SASOW'!K10+'Waste Summary 2017 SASOW'!K13</f>
        <v>0</v>
      </c>
      <c r="E79" s="1596">
        <f>'Waste Summary 2017 SASOW'!L10+'Waste Summary 2017 SASOW'!L13</f>
        <v>46917968.670000002</v>
      </c>
      <c r="F79" s="1596">
        <f>'Waste Summary 2017 SASOW'!M10+'Waste Summary 2017 SASOW'!M13</f>
        <v>0</v>
      </c>
      <c r="G79" s="1596">
        <f>'Waste Summary 2017 SASOW'!N10+'Waste Summary 2017 SASOW'!N13</f>
        <v>0</v>
      </c>
      <c r="H79" s="1571">
        <f>'Waste Summary 2017 SASOW'!O10+'Waste Summary 2017 SASOW'!O13</f>
        <v>3077082.33</v>
      </c>
      <c r="L79" s="1569"/>
      <c r="M79" s="1569"/>
      <c r="N79" s="1569"/>
      <c r="O79" s="359"/>
      <c r="P79" s="359"/>
      <c r="Q79" s="7"/>
      <c r="R79" s="358"/>
      <c r="S79" s="358"/>
      <c r="T79" s="4"/>
      <c r="U79" s="4"/>
      <c r="Y79" s="864"/>
    </row>
    <row r="80" spans="1:28" ht="16.2" thickBot="1">
      <c r="A80" s="1565"/>
      <c r="B80" s="1565" t="s">
        <v>420</v>
      </c>
      <c r="C80" s="1572">
        <f t="shared" ref="C80:H80" si="8">C79/$C$79</f>
        <v>1</v>
      </c>
      <c r="D80" s="1573">
        <f t="shared" si="8"/>
        <v>0</v>
      </c>
      <c r="E80" s="1573">
        <f t="shared" si="8"/>
        <v>0.93845226140483384</v>
      </c>
      <c r="F80" s="1573">
        <f t="shared" si="8"/>
        <v>0</v>
      </c>
      <c r="G80" s="1573">
        <f t="shared" si="8"/>
        <v>0</v>
      </c>
      <c r="H80" s="1574">
        <f t="shared" si="8"/>
        <v>6.154773859516615E-2</v>
      </c>
      <c r="L80" s="1569"/>
      <c r="M80" s="1569"/>
      <c r="N80" s="1569"/>
      <c r="O80" s="359"/>
      <c r="P80" s="359"/>
      <c r="Q80" s="7"/>
      <c r="R80" s="358"/>
      <c r="S80" s="358"/>
      <c r="T80" s="4"/>
      <c r="U80" s="4"/>
      <c r="Y80" s="864"/>
    </row>
    <row r="81" spans="1:91" ht="16.2" thickBot="1">
      <c r="B81" s="303"/>
      <c r="C81" s="359"/>
      <c r="D81" s="359"/>
      <c r="E81" s="359"/>
      <c r="F81" s="359"/>
      <c r="G81" s="359"/>
      <c r="H81" s="359"/>
      <c r="I81" s="303"/>
      <c r="J81" s="303"/>
      <c r="K81" s="303"/>
      <c r="L81" s="359"/>
      <c r="M81" s="359"/>
      <c r="N81" s="359"/>
      <c r="O81" s="359"/>
      <c r="P81" s="359"/>
      <c r="Q81" s="7"/>
      <c r="R81" s="358"/>
      <c r="S81" s="358"/>
      <c r="T81" s="4"/>
      <c r="U81" s="4"/>
      <c r="Y81" s="864"/>
    </row>
    <row r="82" spans="1:91" ht="15.6">
      <c r="A82" s="742" t="s">
        <v>704</v>
      </c>
      <c r="B82" s="115"/>
      <c r="C82" s="116"/>
      <c r="D82" s="128"/>
      <c r="E82" s="128"/>
      <c r="F82" s="128"/>
      <c r="G82" s="128"/>
      <c r="H82" s="359"/>
      <c r="I82" s="303"/>
      <c r="J82" s="303"/>
      <c r="K82" s="303"/>
      <c r="L82" s="359"/>
      <c r="M82" s="359"/>
      <c r="N82" s="359"/>
      <c r="O82" s="359"/>
      <c r="P82" s="359"/>
      <c r="Q82" s="7"/>
      <c r="R82" s="358"/>
      <c r="S82" s="358"/>
      <c r="T82" s="4"/>
      <c r="U82" s="4"/>
      <c r="Y82" s="864"/>
    </row>
    <row r="83" spans="1:91" ht="15.6">
      <c r="A83" s="743" t="s">
        <v>659</v>
      </c>
      <c r="B83" s="128">
        <v>2017</v>
      </c>
      <c r="C83" s="604">
        <f>'Waste Summary 2017 SASOW'!L25</f>
        <v>0.1093486545815688</v>
      </c>
      <c r="D83" s="710"/>
      <c r="E83" s="710"/>
      <c r="F83" s="710"/>
      <c r="G83" s="710"/>
      <c r="H83" s="711"/>
      <c r="I83" s="303"/>
      <c r="J83" s="303"/>
      <c r="K83" s="303"/>
      <c r="L83" s="359"/>
      <c r="M83" s="359"/>
      <c r="N83" s="359"/>
      <c r="O83" s="359"/>
      <c r="P83" s="359"/>
      <c r="Q83" s="7"/>
      <c r="R83" s="358"/>
      <c r="S83" s="358"/>
      <c r="T83" s="4"/>
      <c r="U83" s="4"/>
      <c r="Y83" s="864"/>
    </row>
    <row r="84" spans="1:91" ht="15.6">
      <c r="A84" s="743" t="s">
        <v>658</v>
      </c>
      <c r="B84" s="128">
        <v>2017</v>
      </c>
      <c r="C84" s="604">
        <f>'Waste Summary 2017 SASOW'!L26</f>
        <v>0.30189463979095105</v>
      </c>
      <c r="D84" s="710"/>
      <c r="E84" s="710"/>
      <c r="F84" s="710"/>
      <c r="G84" s="710"/>
      <c r="H84" s="711"/>
      <c r="I84" s="303"/>
      <c r="J84" s="303"/>
      <c r="K84" s="303"/>
      <c r="L84" s="359"/>
      <c r="M84" s="359"/>
      <c r="N84" s="359"/>
      <c r="O84" s="359"/>
      <c r="P84" s="359"/>
      <c r="Q84" s="7"/>
      <c r="R84" s="358"/>
      <c r="S84" s="358"/>
      <c r="T84" s="4"/>
      <c r="U84" s="4"/>
      <c r="Y84" s="864"/>
    </row>
    <row r="85" spans="1:91" ht="16.2" thickBot="1">
      <c r="A85" s="744" t="s">
        <v>853</v>
      </c>
      <c r="B85" s="138">
        <v>2017</v>
      </c>
      <c r="C85" s="733">
        <f>'Waste Summary 2017 SASOW'!L27</f>
        <v>0.69810536020904879</v>
      </c>
      <c r="D85" s="710"/>
      <c r="E85" s="710"/>
      <c r="F85" s="710"/>
      <c r="G85" s="710"/>
      <c r="H85" s="711"/>
      <c r="I85" s="303"/>
      <c r="J85" s="303"/>
      <c r="K85" s="303"/>
      <c r="L85" s="359"/>
      <c r="M85" s="359"/>
      <c r="N85" s="359"/>
      <c r="O85" s="359"/>
      <c r="P85" s="359"/>
      <c r="Q85" s="7"/>
      <c r="R85" s="358"/>
      <c r="S85" s="358"/>
      <c r="T85" s="4"/>
      <c r="U85" s="4"/>
      <c r="Y85" s="864"/>
    </row>
    <row r="86" spans="1:91" ht="15.6">
      <c r="A86" s="128"/>
      <c r="B86" s="710"/>
      <c r="C86" s="710"/>
      <c r="D86" s="710"/>
      <c r="E86" s="710"/>
      <c r="F86" s="710"/>
      <c r="G86" s="710"/>
      <c r="H86" s="711"/>
      <c r="I86" s="303"/>
      <c r="J86" s="303"/>
      <c r="K86" s="303"/>
      <c r="L86" s="359"/>
      <c r="M86" s="359"/>
      <c r="N86" s="359"/>
      <c r="O86" s="359"/>
      <c r="P86" s="359"/>
      <c r="Q86" s="7"/>
      <c r="R86" s="358"/>
      <c r="S86" s="358"/>
      <c r="T86" s="4"/>
      <c r="U86" s="4"/>
      <c r="Y86" s="864"/>
    </row>
    <row r="87" spans="1:91" ht="28.8">
      <c r="A87" s="782" t="s">
        <v>709</v>
      </c>
      <c r="B87" s="710"/>
      <c r="C87" s="710"/>
      <c r="D87" s="710"/>
      <c r="E87" s="710"/>
      <c r="F87" s="710"/>
      <c r="G87" s="710"/>
      <c r="H87" s="711"/>
      <c r="I87" s="303"/>
      <c r="J87" s="303"/>
      <c r="K87" s="303"/>
      <c r="L87" s="359"/>
      <c r="M87" s="359"/>
      <c r="N87" s="359"/>
      <c r="O87" s="359"/>
      <c r="P87" s="359"/>
      <c r="Q87" s="7"/>
      <c r="R87" s="358"/>
      <c r="S87" s="358"/>
      <c r="T87" s="4"/>
      <c r="U87" s="4"/>
      <c r="Y87" s="864"/>
    </row>
    <row r="88" spans="1:91" ht="15.6">
      <c r="A88" s="128"/>
      <c r="B88" s="710"/>
      <c r="C88" s="710"/>
      <c r="D88" s="710"/>
      <c r="E88" s="710"/>
      <c r="F88" s="710"/>
      <c r="G88" s="710"/>
      <c r="H88" s="711"/>
      <c r="I88" s="303"/>
      <c r="J88" s="303"/>
      <c r="K88" s="303"/>
      <c r="L88" s="359"/>
      <c r="M88" s="359"/>
      <c r="N88" s="359"/>
      <c r="O88" s="359"/>
      <c r="P88" s="359"/>
      <c r="Q88" s="7"/>
      <c r="R88" s="358"/>
      <c r="S88" s="358"/>
      <c r="T88" s="4"/>
      <c r="U88" s="4"/>
      <c r="X88" s="704"/>
      <c r="Y88" s="864"/>
    </row>
    <row r="89" spans="1:91" ht="23.4">
      <c r="A89" s="783" t="s">
        <v>675</v>
      </c>
      <c r="B89" s="784"/>
      <c r="C89" s="710"/>
      <c r="D89" s="710"/>
      <c r="E89" s="710"/>
      <c r="F89" s="710"/>
      <c r="G89" s="710"/>
      <c r="H89" s="711"/>
      <c r="I89" s="303"/>
      <c r="J89" s="303"/>
      <c r="K89" s="303"/>
      <c r="L89" s="359"/>
      <c r="M89" s="359"/>
      <c r="N89" s="359"/>
      <c r="O89" s="359"/>
      <c r="P89" s="359"/>
      <c r="Q89" s="7"/>
      <c r="R89" s="358"/>
      <c r="S89" s="358"/>
      <c r="T89" s="4"/>
      <c r="U89" s="4"/>
      <c r="Y89" s="864"/>
      <c r="AB89" s="704"/>
      <c r="AF89" s="704"/>
    </row>
    <row r="90" spans="1:91">
      <c r="A90" s="128"/>
      <c r="B90" s="710"/>
      <c r="C90" s="710"/>
      <c r="D90" s="710"/>
      <c r="E90" s="710"/>
      <c r="F90" s="710"/>
      <c r="G90" s="710"/>
      <c r="H90" s="711"/>
      <c r="I90" s="303"/>
      <c r="J90" s="303"/>
      <c r="K90" s="303"/>
      <c r="L90" s="359"/>
      <c r="M90" s="359"/>
      <c r="N90" s="359"/>
      <c r="O90" s="359"/>
      <c r="P90" s="359"/>
      <c r="Q90" s="7"/>
      <c r="R90" s="358"/>
      <c r="S90" s="358"/>
      <c r="T90" s="4"/>
      <c r="U90" s="4"/>
    </row>
    <row r="91" spans="1:91">
      <c r="A91" s="128"/>
      <c r="B91" s="710"/>
      <c r="C91" s="710"/>
      <c r="D91" s="710"/>
      <c r="E91" s="710"/>
      <c r="F91" s="710"/>
      <c r="G91" s="710"/>
      <c r="H91" s="711"/>
      <c r="I91" s="303"/>
      <c r="J91" s="303"/>
      <c r="K91" s="303"/>
      <c r="L91" s="359"/>
      <c r="M91" s="359"/>
      <c r="N91" s="359"/>
      <c r="O91" s="359"/>
      <c r="P91" s="359"/>
      <c r="Q91" s="7"/>
      <c r="R91" s="358"/>
      <c r="S91" s="358"/>
      <c r="T91" s="4"/>
      <c r="U91" s="4"/>
      <c r="BI91" s="99"/>
      <c r="BJ91" s="99"/>
      <c r="BK91" s="99"/>
      <c r="BL91" s="99"/>
      <c r="BM91" s="99"/>
    </row>
    <row r="92" spans="1:91" ht="15" thickBot="1">
      <c r="E92" s="10"/>
      <c r="F92" s="10"/>
      <c r="G92" s="10"/>
      <c r="H92" s="10"/>
      <c r="I92" s="10"/>
      <c r="J92" s="10"/>
      <c r="K92" s="10"/>
      <c r="L92" s="10"/>
      <c r="M92" s="10"/>
      <c r="N92" s="10"/>
      <c r="O92" s="10"/>
      <c r="P92" s="10"/>
      <c r="Q92" s="10"/>
      <c r="R92" s="10"/>
      <c r="S92" s="10"/>
      <c r="V92" s="859"/>
      <c r="CG92" s="1" t="s">
        <v>630</v>
      </c>
    </row>
    <row r="93" spans="1:91" ht="34.950000000000003" customHeight="1" thickBot="1">
      <c r="A93" s="1793" t="s">
        <v>687</v>
      </c>
      <c r="B93" s="1794"/>
      <c r="C93" s="1794"/>
      <c r="D93" s="1795"/>
      <c r="E93" s="1814" t="s">
        <v>685</v>
      </c>
      <c r="F93" s="1815"/>
      <c r="G93" s="1816"/>
      <c r="H93" s="1853" t="s">
        <v>686</v>
      </c>
      <c r="I93" s="1818"/>
      <c r="J93" s="1818"/>
      <c r="K93" s="1819"/>
      <c r="L93" s="1801" t="s">
        <v>682</v>
      </c>
      <c r="M93" s="1785"/>
      <c r="N93" s="1785"/>
      <c r="O93" s="1785"/>
      <c r="P93" s="1786"/>
      <c r="Q93" s="1784" t="s">
        <v>683</v>
      </c>
      <c r="R93" s="1785"/>
      <c r="S93" s="1785"/>
      <c r="T93" s="1785"/>
      <c r="U93" s="1786"/>
      <c r="V93" s="1782" t="s">
        <v>684</v>
      </c>
      <c r="W93" s="1820" t="s">
        <v>696</v>
      </c>
      <c r="X93" s="1821"/>
      <c r="Y93" s="1791" t="s">
        <v>674</v>
      </c>
      <c r="Z93" s="1787" t="s">
        <v>680</v>
      </c>
      <c r="AA93" s="1843" t="s">
        <v>661</v>
      </c>
      <c r="AB93" s="1779" t="s">
        <v>725</v>
      </c>
      <c r="AC93" s="1771" t="s">
        <v>728</v>
      </c>
      <c r="AD93" s="1787" t="s">
        <v>727</v>
      </c>
      <c r="AE93" s="1771" t="s">
        <v>730</v>
      </c>
      <c r="AF93" s="1822" t="s">
        <v>681</v>
      </c>
      <c r="AG93" s="1847" t="s">
        <v>699</v>
      </c>
      <c r="AH93" s="1848"/>
      <c r="AI93" s="1848"/>
      <c r="AJ93" s="1848"/>
      <c r="AK93" s="1848"/>
      <c r="AL93" s="1848"/>
      <c r="AM93" s="1848"/>
      <c r="AN93" s="1848"/>
      <c r="AO93" s="1848"/>
      <c r="AP93" s="1848"/>
      <c r="AQ93" s="1849"/>
      <c r="AR93" s="1762" t="s">
        <v>703</v>
      </c>
      <c r="AS93" s="1763"/>
      <c r="AT93" s="1763"/>
      <c r="AU93" s="1763"/>
      <c r="AV93" s="1763"/>
      <c r="AW93" s="1763"/>
      <c r="AX93" s="1763"/>
      <c r="AY93" s="1763"/>
      <c r="AZ93" s="1763"/>
      <c r="BA93" s="1763"/>
      <c r="BB93" s="1764"/>
      <c r="BC93" s="1316" t="s">
        <v>225</v>
      </c>
      <c r="BD93" s="1757" t="s">
        <v>701</v>
      </c>
      <c r="BE93" s="1851" t="s">
        <v>700</v>
      </c>
      <c r="BF93" s="1765"/>
      <c r="BG93" s="1765"/>
      <c r="BH93" s="1765"/>
      <c r="BI93" s="1765"/>
      <c r="BJ93" s="1765"/>
      <c r="BK93" s="1765"/>
      <c r="BL93" s="1766"/>
      <c r="BM93" s="1860" t="s">
        <v>862</v>
      </c>
      <c r="BN93" s="1861"/>
      <c r="BO93" s="1861"/>
      <c r="BP93" s="1861"/>
      <c r="BQ93" s="1861"/>
      <c r="BR93" s="1861"/>
      <c r="BS93" s="1861"/>
      <c r="BT93" s="1862"/>
      <c r="BV93" s="1857" t="s">
        <v>750</v>
      </c>
      <c r="BW93" s="1858"/>
      <c r="BX93" s="1859"/>
      <c r="BY93" s="1857" t="s">
        <v>757</v>
      </c>
      <c r="BZ93" s="1858"/>
      <c r="CA93" s="1859"/>
      <c r="CB93" s="1863" t="s">
        <v>751</v>
      </c>
      <c r="CC93" s="1864"/>
      <c r="CD93" s="1850" t="s">
        <v>758</v>
      </c>
      <c r="CE93" s="1846"/>
      <c r="CG93" s="1752" t="s">
        <v>863</v>
      </c>
      <c r="CH93" s="1753"/>
      <c r="CI93" s="1753"/>
      <c r="CJ93" s="1753"/>
      <c r="CK93" s="1753"/>
      <c r="CL93" s="1753"/>
      <c r="CM93" s="1754"/>
    </row>
    <row r="94" spans="1:91" s="10" customFormat="1" ht="42.6" customHeight="1" thickBot="1">
      <c r="A94" s="1789" t="s">
        <v>217</v>
      </c>
      <c r="B94" s="802" t="s">
        <v>218</v>
      </c>
      <c r="C94" s="802" t="s">
        <v>464</v>
      </c>
      <c r="D94" s="592" t="s">
        <v>576</v>
      </c>
      <c r="E94" s="800" t="s">
        <v>577</v>
      </c>
      <c r="F94" s="798" t="s">
        <v>580</v>
      </c>
      <c r="G94" s="799" t="s">
        <v>606</v>
      </c>
      <c r="H94" s="866" t="s">
        <v>554</v>
      </c>
      <c r="I94" s="792" t="s">
        <v>288</v>
      </c>
      <c r="J94" s="791" t="s">
        <v>677</v>
      </c>
      <c r="K94" s="793" t="s">
        <v>678</v>
      </c>
      <c r="L94" s="772" t="s">
        <v>87</v>
      </c>
      <c r="M94" s="747" t="s">
        <v>364</v>
      </c>
      <c r="N94" s="747" t="s">
        <v>365</v>
      </c>
      <c r="O94" s="747" t="s">
        <v>366</v>
      </c>
      <c r="P94" s="746" t="s">
        <v>660</v>
      </c>
      <c r="Q94" s="582" t="s">
        <v>87</v>
      </c>
      <c r="R94" s="747" t="s">
        <v>364</v>
      </c>
      <c r="S94" s="747" t="s">
        <v>365</v>
      </c>
      <c r="T94" s="747" t="s">
        <v>366</v>
      </c>
      <c r="U94" s="1372" t="s">
        <v>660</v>
      </c>
      <c r="V94" s="1783"/>
      <c r="W94" s="587" t="s">
        <v>693</v>
      </c>
      <c r="X94" s="590" t="s">
        <v>654</v>
      </c>
      <c r="Y94" s="1792"/>
      <c r="Z94" s="1788"/>
      <c r="AA94" s="1844"/>
      <c r="AB94" s="1780"/>
      <c r="AC94" s="1772"/>
      <c r="AD94" s="1788"/>
      <c r="AE94" s="1772"/>
      <c r="AF94" s="1823"/>
      <c r="AG94" s="818" t="s">
        <v>549</v>
      </c>
      <c r="AH94" s="819" t="s">
        <v>565</v>
      </c>
      <c r="AI94" s="819" t="s">
        <v>428</v>
      </c>
      <c r="AJ94" s="819" t="s">
        <v>429</v>
      </c>
      <c r="AK94" s="819" t="s">
        <v>225</v>
      </c>
      <c r="AL94" s="820" t="s">
        <v>671</v>
      </c>
      <c r="AM94" s="818" t="s">
        <v>549</v>
      </c>
      <c r="AN94" s="819" t="s">
        <v>565</v>
      </c>
      <c r="AO94" s="819" t="s">
        <v>428</v>
      </c>
      <c r="AP94" s="819" t="s">
        <v>429</v>
      </c>
      <c r="AQ94" s="831" t="s">
        <v>225</v>
      </c>
      <c r="AR94" s="833" t="s">
        <v>221</v>
      </c>
      <c r="AS94" s="832" t="s">
        <v>85</v>
      </c>
      <c r="AT94" s="832" t="s">
        <v>87</v>
      </c>
      <c r="AU94" s="832" t="s">
        <v>222</v>
      </c>
      <c r="AV94" s="832" t="s">
        <v>115</v>
      </c>
      <c r="AW94" s="832" t="s">
        <v>223</v>
      </c>
      <c r="AX94" s="832" t="s">
        <v>548</v>
      </c>
      <c r="AY94" s="832" t="s">
        <v>374</v>
      </c>
      <c r="AZ94" s="832" t="s">
        <v>375</v>
      </c>
      <c r="BA94" s="832" t="s">
        <v>376</v>
      </c>
      <c r="BB94" s="832" t="s">
        <v>377</v>
      </c>
      <c r="BC94" s="1317"/>
      <c r="BD94" s="1758"/>
      <c r="BE94" s="833" t="s">
        <v>221</v>
      </c>
      <c r="BF94" s="832" t="s">
        <v>85</v>
      </c>
      <c r="BG94" s="832" t="s">
        <v>87</v>
      </c>
      <c r="BH94" s="832" t="s">
        <v>222</v>
      </c>
      <c r="BI94" s="832" t="s">
        <v>115</v>
      </c>
      <c r="BJ94" s="832" t="s">
        <v>223</v>
      </c>
      <c r="BK94" s="832" t="s">
        <v>702</v>
      </c>
      <c r="BL94" s="1233" t="s">
        <v>303</v>
      </c>
      <c r="BM94" s="67" t="s">
        <v>221</v>
      </c>
      <c r="BN94" s="1361" t="s">
        <v>85</v>
      </c>
      <c r="BO94" s="1361" t="s">
        <v>87</v>
      </c>
      <c r="BP94" s="1361" t="s">
        <v>222</v>
      </c>
      <c r="BQ94" s="1361" t="s">
        <v>115</v>
      </c>
      <c r="BR94" s="1361" t="s">
        <v>223</v>
      </c>
      <c r="BS94" s="1361" t="s">
        <v>224</v>
      </c>
      <c r="BT94" s="1504" t="s">
        <v>225</v>
      </c>
      <c r="BU94"/>
      <c r="BV94" s="1260" t="s">
        <v>609</v>
      </c>
      <c r="BW94" s="40" t="s">
        <v>716</v>
      </c>
      <c r="BX94" s="1261" t="str">
        <f>D134</f>
        <v xml:space="preserve">Coal ash generated - ‘IRP realistic’ </v>
      </c>
      <c r="BY94" s="1260" t="s">
        <v>609</v>
      </c>
      <c r="BZ94" s="40" t="s">
        <v>716</v>
      </c>
      <c r="CA94" s="1261" t="s">
        <v>722</v>
      </c>
      <c r="CB94" s="1505" t="s">
        <v>267</v>
      </c>
      <c r="CC94" s="1506" t="s">
        <v>731</v>
      </c>
      <c r="CD94" s="1507" t="s">
        <v>267</v>
      </c>
      <c r="CE94" s="1508" t="s">
        <v>731</v>
      </c>
      <c r="CF94"/>
      <c r="CG94" s="1491" t="s">
        <v>87</v>
      </c>
      <c r="CH94" s="1492" t="s">
        <v>364</v>
      </c>
      <c r="CI94" s="1492" t="s">
        <v>365</v>
      </c>
      <c r="CJ94" s="1492" t="s">
        <v>366</v>
      </c>
      <c r="CK94" s="1493" t="s">
        <v>660</v>
      </c>
      <c r="CL94" s="1492" t="s">
        <v>303</v>
      </c>
      <c r="CM94" s="1755" t="s">
        <v>864</v>
      </c>
    </row>
    <row r="95" spans="1:91" ht="29.4" thickBot="1">
      <c r="A95" s="1813"/>
      <c r="B95" s="524" t="s">
        <v>232</v>
      </c>
      <c r="C95" s="525" t="s">
        <v>558</v>
      </c>
      <c r="D95" s="556" t="s">
        <v>556</v>
      </c>
      <c r="E95" s="860" t="s">
        <v>229</v>
      </c>
      <c r="F95" s="861" t="s">
        <v>229</v>
      </c>
      <c r="G95" s="862" t="s">
        <v>228</v>
      </c>
      <c r="H95" s="867" t="s">
        <v>227</v>
      </c>
      <c r="I95" s="794" t="s">
        <v>228</v>
      </c>
      <c r="J95" s="794" t="s">
        <v>227</v>
      </c>
      <c r="K95" s="795" t="s">
        <v>227</v>
      </c>
      <c r="L95" s="642" t="s">
        <v>229</v>
      </c>
      <c r="M95" s="512" t="s">
        <v>229</v>
      </c>
      <c r="N95" s="512" t="s">
        <v>229</v>
      </c>
      <c r="O95" s="512" t="s">
        <v>229</v>
      </c>
      <c r="P95" s="513" t="s">
        <v>229</v>
      </c>
      <c r="Q95" s="511" t="s">
        <v>227</v>
      </c>
      <c r="R95" s="512" t="s">
        <v>227</v>
      </c>
      <c r="S95" s="512" t="s">
        <v>227</v>
      </c>
      <c r="T95" s="512" t="s">
        <v>227</v>
      </c>
      <c r="U95" s="513" t="s">
        <v>227</v>
      </c>
      <c r="V95" s="787" t="s">
        <v>227</v>
      </c>
      <c r="W95" s="785" t="s">
        <v>229</v>
      </c>
      <c r="X95" s="788" t="s">
        <v>227</v>
      </c>
      <c r="Y95" s="813" t="s">
        <v>227</v>
      </c>
      <c r="Z95" s="814" t="s">
        <v>227</v>
      </c>
      <c r="AA95" s="815" t="s">
        <v>227</v>
      </c>
      <c r="AB95" s="1781"/>
      <c r="AC95" s="1773"/>
      <c r="AD95" s="1284" t="s">
        <v>28</v>
      </c>
      <c r="AE95" s="1773"/>
      <c r="AF95" s="1282" t="s">
        <v>227</v>
      </c>
      <c r="AG95" s="191" t="s">
        <v>227</v>
      </c>
      <c r="AH95" s="1254" t="s">
        <v>227</v>
      </c>
      <c r="AI95" s="1254" t="s">
        <v>227</v>
      </c>
      <c r="AJ95" s="1254" t="s">
        <v>227</v>
      </c>
      <c r="AK95" s="1254" t="s">
        <v>227</v>
      </c>
      <c r="AL95" s="1408" t="s">
        <v>669</v>
      </c>
      <c r="AM95" s="189" t="s">
        <v>229</v>
      </c>
      <c r="AN95" s="822" t="s">
        <v>229</v>
      </c>
      <c r="AO95" s="822" t="s">
        <v>229</v>
      </c>
      <c r="AP95" s="822" t="s">
        <v>229</v>
      </c>
      <c r="AQ95" s="827" t="s">
        <v>229</v>
      </c>
      <c r="AR95" s="838" t="s">
        <v>227</v>
      </c>
      <c r="AS95" s="839" t="s">
        <v>227</v>
      </c>
      <c r="AT95" s="839" t="s">
        <v>227</v>
      </c>
      <c r="AU95" s="839" t="s">
        <v>227</v>
      </c>
      <c r="AV95" s="839" t="s">
        <v>227</v>
      </c>
      <c r="AW95" s="839" t="s">
        <v>227</v>
      </c>
      <c r="AX95" s="839" t="s">
        <v>227</v>
      </c>
      <c r="AY95" s="839" t="s">
        <v>227</v>
      </c>
      <c r="AZ95" s="839" t="s">
        <v>227</v>
      </c>
      <c r="BA95" s="839" t="s">
        <v>227</v>
      </c>
      <c r="BB95" s="839" t="s">
        <v>227</v>
      </c>
      <c r="BC95" s="839" t="s">
        <v>227</v>
      </c>
      <c r="BD95" s="1759"/>
      <c r="BE95" s="838" t="s">
        <v>229</v>
      </c>
      <c r="BF95" s="839" t="s">
        <v>229</v>
      </c>
      <c r="BG95" s="839" t="s">
        <v>229</v>
      </c>
      <c r="BH95" s="839" t="s">
        <v>229</v>
      </c>
      <c r="BI95" s="839" t="s">
        <v>229</v>
      </c>
      <c r="BJ95" s="839" t="s">
        <v>229</v>
      </c>
      <c r="BK95" s="839" t="s">
        <v>229</v>
      </c>
      <c r="BL95" s="1234" t="s">
        <v>229</v>
      </c>
      <c r="BM95" s="1345" t="s">
        <v>229</v>
      </c>
      <c r="BN95" s="1548" t="s">
        <v>229</v>
      </c>
      <c r="BO95" s="1548" t="s">
        <v>229</v>
      </c>
      <c r="BP95" s="1548" t="s">
        <v>229</v>
      </c>
      <c r="BQ95" s="1548" t="s">
        <v>229</v>
      </c>
      <c r="BR95" s="1548" t="s">
        <v>229</v>
      </c>
      <c r="BS95" s="1548" t="s">
        <v>229</v>
      </c>
      <c r="BT95" s="1549" t="s">
        <v>229</v>
      </c>
      <c r="BV95" s="1260" t="s">
        <v>717</v>
      </c>
      <c r="BW95" s="40" t="s">
        <v>229</v>
      </c>
      <c r="BX95" s="1261" t="s">
        <v>717</v>
      </c>
      <c r="BY95" s="1260" t="s">
        <v>717</v>
      </c>
      <c r="BZ95" s="40" t="s">
        <v>229</v>
      </c>
      <c r="CA95" s="1261" t="s">
        <v>717</v>
      </c>
      <c r="CB95" s="1509" t="s">
        <v>229</v>
      </c>
      <c r="CC95" s="1510" t="s">
        <v>229</v>
      </c>
      <c r="CD95" s="1498" t="s">
        <v>229</v>
      </c>
      <c r="CE95" s="1499" t="s">
        <v>229</v>
      </c>
      <c r="CG95" s="1511" t="s">
        <v>227</v>
      </c>
      <c r="CH95" s="1492" t="s">
        <v>227</v>
      </c>
      <c r="CI95" s="1492" t="s">
        <v>227</v>
      </c>
      <c r="CJ95" s="1492" t="s">
        <v>227</v>
      </c>
      <c r="CK95" s="1492" t="s">
        <v>227</v>
      </c>
      <c r="CL95" s="1492" t="s">
        <v>227</v>
      </c>
      <c r="CM95" s="1755"/>
    </row>
    <row r="96" spans="1:91">
      <c r="A96" s="127">
        <f>'Input data'!A117</f>
        <v>2017</v>
      </c>
      <c r="B96" s="748">
        <f>'Input data'!B117</f>
        <v>56.521999999999998</v>
      </c>
      <c r="C96" s="236">
        <f>'Input data'!C117</f>
        <v>3120.54</v>
      </c>
      <c r="D96" s="236">
        <f>'Input data'!D117</f>
        <v>49995051</v>
      </c>
      <c r="E96" s="809">
        <f>'Input data'!F117</f>
        <v>0.71479999999999999</v>
      </c>
      <c r="F96" s="809">
        <f>'Input data'!G117</f>
        <v>0.28959999999999997</v>
      </c>
      <c r="G96" s="887">
        <f>'Input data'!H117</f>
        <v>501</v>
      </c>
      <c r="H96" s="602">
        <f>'Input data'!I117</f>
        <v>424.26313389388866</v>
      </c>
      <c r="I96" s="607">
        <f>'Input data'!K117</f>
        <v>23980.200853950373</v>
      </c>
      <c r="J96" s="623">
        <f>H96*B10</f>
        <v>197.16290517356791</v>
      </c>
      <c r="K96" s="727">
        <f t="shared" ref="K96" si="9">H96*$B$10-J96</f>
        <v>0</v>
      </c>
      <c r="L96" s="483">
        <f>C17</f>
        <v>0.57999999999999996</v>
      </c>
      <c r="M96" s="483">
        <f>D17</f>
        <v>0.437</v>
      </c>
      <c r="N96" s="483">
        <f>E17</f>
        <v>0.71200000000000008</v>
      </c>
      <c r="O96" s="483">
        <f>F17</f>
        <v>0.8</v>
      </c>
      <c r="P96" s="114">
        <f>$G$17</f>
        <v>0.23600000000000002</v>
      </c>
      <c r="Q96" s="602">
        <f>H96*$E$75*L96</f>
        <v>21.956594277323916</v>
      </c>
      <c r="R96" s="608">
        <f>H96*$J$75*M96</f>
        <v>8.498893173320921</v>
      </c>
      <c r="S96" s="608">
        <f t="shared" ref="S96" si="10">H96*$K$75*N96</f>
        <v>35.157920176424213</v>
      </c>
      <c r="T96" s="608">
        <f t="shared" ref="T96" si="11">H96*$L$75*O96</f>
        <v>50.006188746360976</v>
      </c>
      <c r="U96" s="727">
        <f t="shared" ref="U96" si="12">H96*$M$75*P96</f>
        <v>0.67710709475193609</v>
      </c>
      <c r="V96" s="602">
        <f t="shared" ref="V96:V129" si="13">SUM(Q96:U96)</f>
        <v>116.29670346818196</v>
      </c>
      <c r="W96" s="730">
        <v>0</v>
      </c>
      <c r="X96" s="606">
        <f t="shared" ref="X96:X129" si="14">W96*H96*($C$76+$D$76)*$B$10</f>
        <v>0</v>
      </c>
      <c r="Y96" s="606">
        <f t="shared" ref="Y96:Y129" si="15">X96+(V96-$V$96)</f>
        <v>0</v>
      </c>
      <c r="Z96" s="607">
        <f>$J$96-Y96</f>
        <v>197.16290517356791</v>
      </c>
      <c r="AA96" s="623">
        <f t="shared" ref="AA96:AA129" si="16">K96-Y96</f>
        <v>0</v>
      </c>
      <c r="AB96" s="811">
        <f>IF(0&lt;AA96/Z96,AA96/Z96,0)</f>
        <v>0</v>
      </c>
      <c r="AC96" s="135" t="str">
        <f>IF(AND(AB96&gt;=0,AB96&lt;=0.85),"Policies met","Policies not met")</f>
        <v>Policies met</v>
      </c>
      <c r="AD96" s="1240">
        <f>IF(AB96&lt;=0,0,IF(AB96&gt;=0.85,0.85,AB96))</f>
        <v>0</v>
      </c>
      <c r="AE96" s="135" t="str">
        <f>IF(AND(AB96&gt;=0,AB96&lt;=0.85),"No","Yes")</f>
        <v>No</v>
      </c>
      <c r="AF96" s="1293">
        <f>$H$96*(1-AD96)</f>
        <v>424.26313389388866</v>
      </c>
      <c r="AG96" s="118">
        <f>Z96-Z96*AD96</f>
        <v>197.16290517356791</v>
      </c>
      <c r="AH96" s="118">
        <f t="shared" ref="AH96:AH129" si="17">V96*(1-AB96)</f>
        <v>116.29670346818196</v>
      </c>
      <c r="AI96" s="118">
        <f t="shared" ref="AI96:AI129" si="18">($C$10*$H$10*$H$96+X96)*(1-AB96)</f>
        <v>59.269011747436601</v>
      </c>
      <c r="AJ96" s="118">
        <f t="shared" ref="AJ96:AJ129" si="19">H96*$D$10*(1-AB96)</f>
        <v>51.534513504702232</v>
      </c>
      <c r="AK96" s="118">
        <f>SUM(AG96:AJ96)</f>
        <v>424.26313389388872</v>
      </c>
      <c r="AL96" s="828">
        <f t="shared" ref="AL96:AL129" si="20">AF96-AK96</f>
        <v>0</v>
      </c>
      <c r="AM96" s="730">
        <f>AG96/AK96</f>
        <v>0.46471844811027058</v>
      </c>
      <c r="AN96" s="483">
        <f>AH96/AK96</f>
        <v>0.274114562820508</v>
      </c>
      <c r="AO96" s="483">
        <f>AI96/AK96</f>
        <v>0.13969870821314445</v>
      </c>
      <c r="AP96" s="483">
        <f>AJ96/AK96</f>
        <v>0.1214682808560769</v>
      </c>
      <c r="AQ96" s="483">
        <f>SUM(AM96:AP96)</f>
        <v>0.99999999999999989</v>
      </c>
      <c r="AR96" s="1353">
        <f>($H$96*$C$76*AM96-0.5*X96)*(1-AD96)</f>
        <v>47.321656818861349</v>
      </c>
      <c r="AS96" s="1354">
        <f>($H$96*$D$76-0.5*X96)*(1-AD96)*AM96</f>
        <v>60.016663087128173</v>
      </c>
      <c r="AT96" s="1354">
        <f>($H$96*$E$76*AM96-(Q96-$Q$96))*(1-AD96)</f>
        <v>11.632264519473155</v>
      </c>
      <c r="AU96" s="1354">
        <f>$H$96*$F$76*(1-AD96)*AM96</f>
        <v>0</v>
      </c>
      <c r="AV96" s="1354">
        <f>$H$96*$G$76*(1-AD96)*AM96</f>
        <v>0</v>
      </c>
      <c r="AW96" s="1354">
        <f>$H$96*$H$76*(1-AD96)*AM96</f>
        <v>0</v>
      </c>
      <c r="AX96" s="1355">
        <f t="shared" ref="AX96:AX129" si="21">$H$96*$I$76*(1-AD96)*$AM$96</f>
        <v>49.510847715298119</v>
      </c>
      <c r="AY96" s="1354">
        <f>($H$96*$J$76*AM96-(R96-$R$96))*(1-AD96)</f>
        <v>7.1581397336128587</v>
      </c>
      <c r="AZ96" s="1354">
        <f>($H$96*$K$76*AM96-(S96-$S$96))*(1-AD96)</f>
        <v>10.404319152730528</v>
      </c>
      <c r="BA96" s="1354">
        <f>($H$96*$L$76*AM96-(T96-$T$96))*(1-AD96)</f>
        <v>9.146222458533865</v>
      </c>
      <c r="BB96" s="1354">
        <f>($H$96*$M$76*AM96-(U96-$U$96))*(1-AB96)</f>
        <v>1.9727916879297922</v>
      </c>
      <c r="BC96" s="738">
        <f>SUM(AR96:BB96)</f>
        <v>197.16290517356785</v>
      </c>
      <c r="BD96" s="1356">
        <f>BC96-AG96</f>
        <v>0</v>
      </c>
      <c r="BE96" s="760">
        <f>AR96/BC96</f>
        <v>0.24001298204245272</v>
      </c>
      <c r="BF96" s="705">
        <f>AS96/BC96</f>
        <v>0.30440139352934509</v>
      </c>
      <c r="BG96" s="705">
        <f>AT96/BC96</f>
        <v>5.8998240613430591E-2</v>
      </c>
      <c r="BH96" s="705">
        <f>AU96/BC96</f>
        <v>0</v>
      </c>
      <c r="BI96" s="705">
        <f>AV96/BC96</f>
        <v>0</v>
      </c>
      <c r="BJ96" s="705">
        <f>AW96/BC96</f>
        <v>0</v>
      </c>
      <c r="BK96" s="705">
        <f>SUM(AX96:BB96)/BC96</f>
        <v>0.3965873838147716</v>
      </c>
      <c r="BL96" s="705">
        <f>SUM(BE96:BK96)</f>
        <v>1</v>
      </c>
      <c r="BM96" s="809">
        <f>'Input data'!V117</f>
        <v>0.29028184578274857</v>
      </c>
      <c r="BN96" s="728">
        <f>'Input data'!W117</f>
        <v>0.30317187715157518</v>
      </c>
      <c r="BO96" s="728">
        <f>'Input data'!X117</f>
        <v>8.2805443243048754E-2</v>
      </c>
      <c r="BP96" s="728">
        <f>'Input data'!Y117</f>
        <v>0</v>
      </c>
      <c r="BQ96" s="728">
        <f>'Input data'!Z117</f>
        <v>0</v>
      </c>
      <c r="BR96" s="728">
        <f>'Input data'!AA117</f>
        <v>0</v>
      </c>
      <c r="BS96" s="728">
        <f>'Input data'!AB117</f>
        <v>0.32374083382262742</v>
      </c>
      <c r="BT96" s="825">
        <f>SUM(BM96:BS96)</f>
        <v>0.99999999999999989</v>
      </c>
      <c r="BV96" s="1080">
        <f>(AK96*B96+C136*W136)*1000/10^6</f>
        <v>109.87635423856577</v>
      </c>
      <c r="BW96" s="728">
        <f>(B96*(AK96-AM96*AK96)+C136*(AC136-AC136*AE136))/(AK96*B96*AM96+AC136*C136*AE136)</f>
        <v>0.29713182575222163</v>
      </c>
      <c r="BX96" s="771">
        <f t="shared" ref="BX96:BX129" si="22">D136/10^6</f>
        <v>49.995050999999997</v>
      </c>
      <c r="BY96" s="1080">
        <f t="shared" ref="BY96:BY129" si="23">(AK96*B96+C176*W176)*1000/10^6</f>
        <v>109.87635423856577</v>
      </c>
      <c r="BZ96" s="728">
        <f>(B176*(AK96-AM96*AK96)+C176*(AC176-AC176*AE176))/(AK96*B176*AM96+AC176*C176*AE176)</f>
        <v>0.29713182575222163</v>
      </c>
      <c r="CA96" s="1352">
        <f t="shared" ref="CA96:CA129" si="24">D176/10^6</f>
        <v>49.995050999999997</v>
      </c>
      <c r="CB96" s="114">
        <f t="shared" ref="CB96:CB129" si="25">AD96</f>
        <v>0</v>
      </c>
      <c r="CC96" s="114">
        <f t="shared" ref="CC96:CC129" si="26">U136</f>
        <v>0</v>
      </c>
      <c r="CD96" s="730">
        <f>AD96</f>
        <v>0</v>
      </c>
      <c r="CE96" s="604">
        <f>U176</f>
        <v>0</v>
      </c>
      <c r="CG96" s="602">
        <f>(1-AD96)*Q96</f>
        <v>21.956594277323916</v>
      </c>
      <c r="CH96" s="704">
        <f>(1-AD96)*R96</f>
        <v>8.498893173320921</v>
      </c>
      <c r="CI96" s="704">
        <f>(1-AD96)*S96</f>
        <v>35.157920176424213</v>
      </c>
      <c r="CJ96" s="704">
        <f>(1-AD96)*T96</f>
        <v>50.006188746360976</v>
      </c>
      <c r="CK96" s="704">
        <f>(1-AD96)*U96</f>
        <v>0.67710709475193609</v>
      </c>
      <c r="CL96" s="704">
        <f>SUM(CG96:CK96)</f>
        <v>116.29670346818196</v>
      </c>
      <c r="CM96" s="727">
        <f>AH96-CL96</f>
        <v>0</v>
      </c>
    </row>
    <row r="97" spans="1:91">
      <c r="A97" s="127">
        <f>'Input data'!A118</f>
        <v>2018</v>
      </c>
      <c r="B97" s="748">
        <f>'Input data'!B118</f>
        <v>57.436</v>
      </c>
      <c r="C97" s="236">
        <f>'Input data'!C118</f>
        <v>3152.24</v>
      </c>
      <c r="D97" s="236">
        <f>'Input data'!D118</f>
        <v>50172070.130067617</v>
      </c>
      <c r="E97" s="730">
        <f>($E$109-$E$96)/($A$109-$A$96)+E96</f>
        <v>0.73673846153846156</v>
      </c>
      <c r="F97" s="483">
        <f>($F$109-$F$96)/($A$109-$A$96)+F96</f>
        <v>0.29557307692307688</v>
      </c>
      <c r="G97" s="609">
        <f>B97*F97*'Input data'!$C$9</f>
        <v>519.60187202830946</v>
      </c>
      <c r="H97" s="602">
        <f>'Input data'!I118</f>
        <v>424.26313389388866</v>
      </c>
      <c r="I97" s="607">
        <f>'Input data'!K118</f>
        <v>24367.97735832939</v>
      </c>
      <c r="J97" s="623">
        <f>J96*0.94</f>
        <v>185.33313086315383</v>
      </c>
      <c r="K97" s="609">
        <f>$J$96-J97</f>
        <v>11.829774310414081</v>
      </c>
      <c r="L97" s="483">
        <f>($L$109-$L$96)/($A$109-$A$96)+L96</f>
        <v>0.58923076923076922</v>
      </c>
      <c r="M97" s="483">
        <f t="shared" ref="M97:M107" si="27">($M$109-$M$96)/($A$109-$A$96)+M96</f>
        <v>0.44953846153846155</v>
      </c>
      <c r="N97" s="483">
        <f>($N$109-$N$96)/($A$109-$A$96)+N96</f>
        <v>0.72646153846153849</v>
      </c>
      <c r="O97" s="483">
        <f>($O$109-$O$96)/($A$109-$A$96)+O96</f>
        <v>0.80769230769230771</v>
      </c>
      <c r="P97" s="483">
        <f t="shared" ref="P97:P108" si="28">($P$109-$P$96)/($A$109-$A$96)+P96</f>
        <v>0.23600000000000002</v>
      </c>
      <c r="Q97" s="602">
        <f t="shared" ref="Q97:Q129" si="29">H97*$E$75*L97</f>
        <v>22.306036096061167</v>
      </c>
      <c r="R97" s="608">
        <f t="shared" ref="R97:R129" si="30">H97*$J$75*M97</f>
        <v>8.7427445352732729</v>
      </c>
      <c r="S97" s="608">
        <f t="shared" ref="S97:S129" si="31">H97*$K$75*N97</f>
        <v>35.872017950102666</v>
      </c>
      <c r="T97" s="608">
        <f t="shared" ref="T97:T129" si="32">H97*$L$75*O97</f>
        <v>50.487017484306747</v>
      </c>
      <c r="U97" s="727">
        <f t="shared" ref="U97:U129" si="33">H97*$M$75*P97</f>
        <v>0.67710709475193609</v>
      </c>
      <c r="V97" s="602">
        <f t="shared" si="13"/>
        <v>118.08492316049579</v>
      </c>
      <c r="W97" s="730">
        <v>0.05</v>
      </c>
      <c r="X97" s="606">
        <f t="shared" si="14"/>
        <v>5.3669159952994772</v>
      </c>
      <c r="Y97" s="606">
        <f>X97+(V97-$V$96)</f>
        <v>7.1551356876133081</v>
      </c>
      <c r="Z97" s="607">
        <f>$J$96-Y97</f>
        <v>190.00776948595461</v>
      </c>
      <c r="AA97" s="623">
        <f>K97-Y97</f>
        <v>4.6746386228007726</v>
      </c>
      <c r="AB97" s="811">
        <f t="shared" ref="AB97:AB129" si="34">AA97/Z97</f>
        <v>2.4602355132358533E-2</v>
      </c>
      <c r="AC97" s="135" t="str">
        <f t="shared" ref="AC97:AC129" si="35">IF(AND(AB97&gt;=0,AB97&lt;=0.85),"Policies met","Policies not met")</f>
        <v>Policies met</v>
      </c>
      <c r="AD97" s="1240">
        <f t="shared" ref="AD97:AD129" si="36">IF(AB97&lt;=0,0,IF(AB97&gt;=0.85,0.85,AB97))</f>
        <v>2.4602355132358533E-2</v>
      </c>
      <c r="AE97" s="135" t="str">
        <f t="shared" ref="AE97:AE129" si="37">IF(AND(AB97&gt;=0,AB97&lt;=0.85),"No","Yes")</f>
        <v>No</v>
      </c>
      <c r="AF97" s="1293">
        <f t="shared" ref="AF97:AF129" si="38">$H$96*(1-AD97)</f>
        <v>413.82526160426386</v>
      </c>
      <c r="AG97" s="118">
        <f t="shared" ref="AG97:AG129" si="39">Z97-Z97*AD97</f>
        <v>185.33313086315383</v>
      </c>
      <c r="AH97" s="118">
        <f t="shared" si="17"/>
        <v>115.179755945124</v>
      </c>
      <c r="AI97" s="118">
        <f t="shared" si="18"/>
        <v>63.045731694099814</v>
      </c>
      <c r="AJ97" s="118">
        <f t="shared" si="19"/>
        <v>50.266643101886224</v>
      </c>
      <c r="AK97" s="118">
        <f t="shared" ref="AK97:AK129" si="40">SUM(AG97:AJ97)</f>
        <v>413.82526160426386</v>
      </c>
      <c r="AL97" s="828">
        <f t="shared" si="20"/>
        <v>0</v>
      </c>
      <c r="AM97" s="730">
        <f t="shared" ref="AM97:AM129" si="41">AG97/AK97</f>
        <v>0.44785359440039618</v>
      </c>
      <c r="AN97" s="483">
        <f t="shared" ref="AN97:AN129" si="42">AH97/AK97</f>
        <v>0.2783294463431501</v>
      </c>
      <c r="AO97" s="483">
        <f t="shared" ref="AO97:AO129" si="43">AI97/AK97</f>
        <v>0.15234867840037686</v>
      </c>
      <c r="AP97" s="483">
        <f t="shared" ref="AP97:AP129" si="44">AJ97/AK97</f>
        <v>0.12146828085607692</v>
      </c>
      <c r="AQ97" s="483">
        <f t="shared" ref="AQ97:AQ129" si="45">SUM(AM97:AP97)</f>
        <v>1.0000000000000002</v>
      </c>
      <c r="AR97" s="834">
        <f>($AR$96-0.5*X97)*(1-AD97)</f>
        <v>43.539994001343331</v>
      </c>
      <c r="AS97" s="835">
        <f>($AS$96-0.5*X97)*(1-AD97)</f>
        <v>55.922673216990738</v>
      </c>
      <c r="AT97" s="835">
        <f>($AT$96-(Q97-$Q$96))*(1-AD97)</f>
        <v>11.005238689756963</v>
      </c>
      <c r="AU97" s="835">
        <f t="shared" ref="AU97:AU129" si="46">$H$96*$F$76*(1-AD97)</f>
        <v>0</v>
      </c>
      <c r="AV97" s="835">
        <f t="shared" ref="AV97:AV129" si="47">$H$96*$G$76*(1-AD97)</f>
        <v>0</v>
      </c>
      <c r="AW97" s="835">
        <f t="shared" ref="AW97:AW129" si="48">$H$96*$H$76*(1-AD97)</f>
        <v>0</v>
      </c>
      <c r="AX97" s="1228">
        <f t="shared" si="21"/>
        <v>48.292764256902231</v>
      </c>
      <c r="AY97" s="835">
        <f>($AY$96-(R97-$R$96))*(1-AD97)</f>
        <v>6.7441805936533781</v>
      </c>
      <c r="AZ97" s="835">
        <f>($AZ$96-(S97-$S$96))*(1-AD97)</f>
        <v>9.451819111373462</v>
      </c>
      <c r="BA97" s="835">
        <f>($BA$96-(T97-$T$96))*(1-AD97)</f>
        <v>8.4522046269124758</v>
      </c>
      <c r="BB97" s="835">
        <f>($BB$96-(U97-$U$96))*(1-AD97)</f>
        <v>1.9242563662211785</v>
      </c>
      <c r="BC97" s="608">
        <f t="shared" ref="BC97:BC129" si="49">SUM(AR97:BB97)</f>
        <v>185.33313086315374</v>
      </c>
      <c r="BD97" s="840">
        <f t="shared" ref="BD97:BD129" si="50">BC97-AG97</f>
        <v>0</v>
      </c>
      <c r="BE97" s="760">
        <f t="shared" ref="BE97:BE129" si="51">AR97/BC97</f>
        <v>0.23492828183802922</v>
      </c>
      <c r="BF97" s="705">
        <f t="shared" ref="BF97:BF129" si="52">AS97/BC97</f>
        <v>0.30174137217960728</v>
      </c>
      <c r="BG97" s="705">
        <f t="shared" ref="BG97:BG129" si="53">AT97/BC97</f>
        <v>5.9380849168749056E-2</v>
      </c>
      <c r="BH97" s="705">
        <f t="shared" ref="BH97:BH129" si="54">AU97/BC97</f>
        <v>0</v>
      </c>
      <c r="BI97" s="705">
        <f t="shared" ref="BI97:BI129" si="55">AV97/BC97</f>
        <v>0</v>
      </c>
      <c r="BJ97" s="705">
        <f t="shared" ref="BJ97:BJ129" si="56">AW97/BC97</f>
        <v>0</v>
      </c>
      <c r="BK97" s="705">
        <f t="shared" ref="BK97:BK129" si="57">SUM(AX97:BB97)/BC97</f>
        <v>0.40394949681361447</v>
      </c>
      <c r="BL97" s="705">
        <f t="shared" ref="BL97:BL129" si="58">SUM(BE97:BK97)</f>
        <v>1</v>
      </c>
      <c r="BM97" s="730">
        <f>BM96</f>
        <v>0.29028184578274857</v>
      </c>
      <c r="BN97" s="483">
        <f t="shared" ref="BN97:BS112" si="59">BN96</f>
        <v>0.30317187715157518</v>
      </c>
      <c r="BO97" s="483">
        <f t="shared" si="59"/>
        <v>8.2805443243048754E-2</v>
      </c>
      <c r="BP97" s="483">
        <f t="shared" si="59"/>
        <v>0</v>
      </c>
      <c r="BQ97" s="483">
        <f t="shared" si="59"/>
        <v>0</v>
      </c>
      <c r="BR97" s="483">
        <f t="shared" si="59"/>
        <v>0</v>
      </c>
      <c r="BS97" s="483">
        <f t="shared" si="59"/>
        <v>0.32374083382262742</v>
      </c>
      <c r="BT97" s="604">
        <f>SUM(BM97:BS97)</f>
        <v>0.99999999999999989</v>
      </c>
      <c r="BV97" s="606">
        <f t="shared" ref="BV97:BV129" si="60">(AK97*B97+C137*W137)*1000/10^6</f>
        <v>106.87433565264148</v>
      </c>
      <c r="BW97" s="114">
        <f t="shared" ref="BW97:BW129" si="61">(B97*(AK97-AM97*AK97)+C137*(AC137-AC137*AE137))/(AK97*B97*AM97+AC137*C137*AE137)</f>
        <v>0.32768792027823929</v>
      </c>
      <c r="BX97" s="1503">
        <f t="shared" si="22"/>
        <v>50.172070130067617</v>
      </c>
      <c r="BY97" s="606">
        <f t="shared" si="23"/>
        <v>106.87433565264148</v>
      </c>
      <c r="BZ97" s="114">
        <f t="shared" ref="BZ97:BZ129" si="62">(B177*(AK97-AM97*AK97)+C177*(AC177-AC177*AE177))/(AK97*B177*AM97+AC177*C177*AE177)</f>
        <v>0.32768792027823929</v>
      </c>
      <c r="CA97" s="765">
        <f t="shared" si="24"/>
        <v>50.172070130067617</v>
      </c>
      <c r="CB97" s="114">
        <f t="shared" si="25"/>
        <v>2.4602355132358533E-2</v>
      </c>
      <c r="CC97" s="114">
        <f t="shared" si="26"/>
        <v>9.1877348210151324E-2</v>
      </c>
      <c r="CD97" s="730">
        <f t="shared" ref="CD97:CD129" si="63">AD97</f>
        <v>2.4602355132358533E-2</v>
      </c>
      <c r="CE97" s="604">
        <f t="shared" ref="CE97:CE129" si="64">U177</f>
        <v>9.1877348210151324E-2</v>
      </c>
      <c r="CG97" s="602">
        <f t="shared" ref="CG97:CG129" si="65">(1-AD97)*Q97</f>
        <v>21.757255074430663</v>
      </c>
      <c r="CH97" s="704">
        <f t="shared" ref="CH97:CH129" si="66">(1-AD97)*R97</f>
        <v>8.5276524293849931</v>
      </c>
      <c r="CI97" s="704">
        <f t="shared" ref="CI97:CI129" si="67">(1-AD97)*S97</f>
        <v>34.989481825179901</v>
      </c>
      <c r="CJ97" s="704">
        <f t="shared" ref="CJ97:CJ129" si="68">(1-AD97)*T97</f>
        <v>49.244917950584238</v>
      </c>
      <c r="CK97" s="704">
        <f t="shared" ref="CK97:CK129" si="69">(1-AD97)*U97</f>
        <v>0.66044866554420945</v>
      </c>
      <c r="CL97" s="704">
        <f t="shared" ref="CL97:CL129" si="70">SUM(CG97:CK97)</f>
        <v>115.179755945124</v>
      </c>
      <c r="CM97" s="727">
        <f t="shared" ref="CM97:CM129" si="71">AH97-CL97</f>
        <v>0</v>
      </c>
    </row>
    <row r="98" spans="1:91">
      <c r="A98" s="127">
        <f>'Input data'!A119</f>
        <v>2019</v>
      </c>
      <c r="B98" s="748">
        <f>'Input data'!B119</f>
        <v>58.365000000000002</v>
      </c>
      <c r="C98" s="236">
        <f>'Input data'!C119</f>
        <v>3179.2899999999995</v>
      </c>
      <c r="D98" s="236">
        <f>'Input data'!D119</f>
        <v>49847473.41597119</v>
      </c>
      <c r="E98" s="730">
        <f t="shared" ref="E98:E108" si="72">($E$109-$E$96)/($A$109-$A$96)+E97</f>
        <v>0.75867692307692314</v>
      </c>
      <c r="F98" s="483">
        <f t="shared" ref="F98:F108" si="73">($F$109-$F$96)/($A$109-$A$96)+F97</f>
        <v>0.3015461538461538</v>
      </c>
      <c r="G98" s="609">
        <f>B98*F98*'Input data'!$C$9</f>
        <v>538.6763776064397</v>
      </c>
      <c r="H98" s="602">
        <f>'Input data'!I119</f>
        <v>424.26313389388866</v>
      </c>
      <c r="I98" s="607">
        <f>'Input data'!K119</f>
        <v>24762.117809716812</v>
      </c>
      <c r="J98" s="607">
        <f>J96*0.89</f>
        <v>175.47498560447545</v>
      </c>
      <c r="K98" s="609">
        <f t="shared" ref="K98:K129" si="74">$J$96-J98</f>
        <v>21.687919569092458</v>
      </c>
      <c r="L98" s="483">
        <f t="shared" ref="L98:L108" si="75">($L$109-$L$96)/($A$109-$A$96)+L97</f>
        <v>0.59846153846153849</v>
      </c>
      <c r="M98" s="483">
        <f t="shared" si="27"/>
        <v>0.46207692307692311</v>
      </c>
      <c r="N98" s="483">
        <f t="shared" ref="N98:N108" si="76">($N$109-$N$96)/($A$109-$A$96)+N97</f>
        <v>0.74092307692307691</v>
      </c>
      <c r="O98" s="483">
        <f t="shared" ref="O98:O108" si="77">($O$109-$O$96)/($A$109-$A$96)+O97</f>
        <v>0.81538461538461537</v>
      </c>
      <c r="P98" s="483">
        <f t="shared" si="28"/>
        <v>0.23600000000000002</v>
      </c>
      <c r="Q98" s="602">
        <f t="shared" si="29"/>
        <v>22.655477914798421</v>
      </c>
      <c r="R98" s="608">
        <f t="shared" si="30"/>
        <v>8.9865958972256248</v>
      </c>
      <c r="S98" s="608">
        <f t="shared" si="31"/>
        <v>36.586115723781113</v>
      </c>
      <c r="T98" s="608">
        <f t="shared" si="32"/>
        <v>50.967846222252525</v>
      </c>
      <c r="U98" s="727">
        <f t="shared" si="33"/>
        <v>0.67710709475193609</v>
      </c>
      <c r="V98" s="602">
        <f t="shared" si="13"/>
        <v>119.87314285280962</v>
      </c>
      <c r="W98" s="730">
        <f>W97*2</f>
        <v>0.1</v>
      </c>
      <c r="X98" s="606">
        <f t="shared" si="14"/>
        <v>10.733831990598954</v>
      </c>
      <c r="Y98" s="606">
        <f t="shared" si="15"/>
        <v>14.310271375226616</v>
      </c>
      <c r="Z98" s="607">
        <f t="shared" ref="Z98:Z129" si="78">$J$96-Y98</f>
        <v>182.85263379834129</v>
      </c>
      <c r="AA98" s="623">
        <f t="shared" si="16"/>
        <v>7.3776481938658414</v>
      </c>
      <c r="AB98" s="811">
        <f t="shared" si="34"/>
        <v>4.0347508485998995E-2</v>
      </c>
      <c r="AC98" s="135" t="str">
        <f t="shared" si="35"/>
        <v>Policies met</v>
      </c>
      <c r="AD98" s="1240">
        <f t="shared" si="36"/>
        <v>4.0347508485998995E-2</v>
      </c>
      <c r="AE98" s="135" t="str">
        <f t="shared" si="37"/>
        <v>No</v>
      </c>
      <c r="AF98" s="1293">
        <f t="shared" si="38"/>
        <v>407.14517349880845</v>
      </c>
      <c r="AG98" s="118">
        <f t="shared" si="39"/>
        <v>175.47498560447545</v>
      </c>
      <c r="AH98" s="118">
        <f t="shared" si="17"/>
        <v>115.03656020431252</v>
      </c>
      <c r="AI98" s="118">
        <f t="shared" si="18"/>
        <v>67.178403406271102</v>
      </c>
      <c r="AJ98" s="118">
        <f t="shared" si="19"/>
        <v>49.45522428374943</v>
      </c>
      <c r="AK98" s="118">
        <f t="shared" si="40"/>
        <v>407.1451734988085</v>
      </c>
      <c r="AL98" s="828">
        <f t="shared" si="20"/>
        <v>0</v>
      </c>
      <c r="AM98" s="730">
        <f t="shared" ref="AM98:AM121" si="79">AG98/AK98</f>
        <v>0.43098874069052173</v>
      </c>
      <c r="AN98" s="483">
        <f t="shared" ref="AN98:AN121" si="80">AH98/AK98</f>
        <v>0.28254432986579214</v>
      </c>
      <c r="AO98" s="483">
        <f t="shared" ref="AO98:AO121" si="81">AI98/AK98</f>
        <v>0.16499864858760924</v>
      </c>
      <c r="AP98" s="483">
        <f t="shared" ref="AP98:AP121" si="82">AJ98/AK98</f>
        <v>0.1214682808560769</v>
      </c>
      <c r="AQ98" s="483">
        <f t="shared" si="45"/>
        <v>1</v>
      </c>
      <c r="AR98" s="834">
        <f t="shared" ref="AR98:AR129" si="83">($AR$96-0.5*X98)*(1-AD98)</f>
        <v>40.261971562155317</v>
      </c>
      <c r="AS98" s="835">
        <f t="shared" ref="AS98:AS129" si="84">($AS$96-0.5*X98)*(1-AD98)</f>
        <v>52.444765957283437</v>
      </c>
      <c r="AT98" s="835">
        <f t="shared" ref="AT98:AT129" si="85">($AT$96-(Q98-$Q$96))*(1-AD98)</f>
        <v>10.49224620408155</v>
      </c>
      <c r="AU98" s="835">
        <f t="shared" si="46"/>
        <v>0</v>
      </c>
      <c r="AV98" s="835">
        <f t="shared" si="47"/>
        <v>0</v>
      </c>
      <c r="AW98" s="835">
        <f t="shared" si="48"/>
        <v>0</v>
      </c>
      <c r="AX98" s="1228">
        <f t="shared" si="21"/>
        <v>47.513208366956128</v>
      </c>
      <c r="AY98" s="835">
        <f t="shared" ref="AY98:AY129" si="86">($AY$96-(R98-$R$96))*(1-AD98)</f>
        <v>6.401301495853633</v>
      </c>
      <c r="AZ98" s="835">
        <f t="shared" ref="AZ98:AZ129" si="87">($AZ$96-(S98-$S$96))*(1-AD98)</f>
        <v>8.6139593820344391</v>
      </c>
      <c r="BA98" s="835">
        <f t="shared" ref="BA98:BA129" si="88">($BA$96-(T98-$T$96))*(1-AD98)</f>
        <v>7.8543381775509449</v>
      </c>
      <c r="BB98" s="835">
        <f t="shared" ref="BB98:BB129" si="89">($BB$96-(U98-$U$96))*(1-AD98)</f>
        <v>1.8931944585599367</v>
      </c>
      <c r="BC98" s="608">
        <f t="shared" ref="BC98:BC122" si="90">SUM(AR98:BB98)</f>
        <v>175.47498560447539</v>
      </c>
      <c r="BD98" s="840">
        <f t="shared" si="50"/>
        <v>0</v>
      </c>
      <c r="BE98" s="760">
        <f t="shared" si="51"/>
        <v>0.22944564675962828</v>
      </c>
      <c r="BF98" s="705">
        <f t="shared" si="52"/>
        <v>0.29887317429673499</v>
      </c>
      <c r="BG98" s="705">
        <f t="shared" si="53"/>
        <v>5.9793401138845577E-2</v>
      </c>
      <c r="BH98" s="705">
        <f t="shared" si="54"/>
        <v>0</v>
      </c>
      <c r="BI98" s="705">
        <f t="shared" si="55"/>
        <v>0</v>
      </c>
      <c r="BJ98" s="705">
        <f t="shared" si="56"/>
        <v>0</v>
      </c>
      <c r="BK98" s="705">
        <f t="shared" si="57"/>
        <v>0.41188777780479113</v>
      </c>
      <c r="BL98" s="705">
        <f t="shared" si="58"/>
        <v>1</v>
      </c>
      <c r="BM98" s="730">
        <f t="shared" ref="BM98:BS113" si="91">BM97</f>
        <v>0.29028184578274857</v>
      </c>
      <c r="BN98" s="483">
        <f t="shared" si="59"/>
        <v>0.30317187715157518</v>
      </c>
      <c r="BO98" s="483">
        <f t="shared" si="59"/>
        <v>8.2805443243048754E-2</v>
      </c>
      <c r="BP98" s="483">
        <f t="shared" si="59"/>
        <v>0</v>
      </c>
      <c r="BQ98" s="483">
        <f t="shared" si="59"/>
        <v>0</v>
      </c>
      <c r="BR98" s="483">
        <f t="shared" si="59"/>
        <v>0</v>
      </c>
      <c r="BS98" s="483">
        <f t="shared" si="59"/>
        <v>0.32374083382262742</v>
      </c>
      <c r="BT98" s="604">
        <f t="shared" ref="BT98:BT129" si="92">SUM(BM98:BS98)</f>
        <v>0.99999999999999989</v>
      </c>
      <c r="BV98" s="606">
        <f t="shared" si="60"/>
        <v>104.89781834296268</v>
      </c>
      <c r="BW98" s="114">
        <f t="shared" si="61"/>
        <v>0.3632761773919651</v>
      </c>
      <c r="BX98" s="1503">
        <f t="shared" si="22"/>
        <v>49.847473415971187</v>
      </c>
      <c r="BY98" s="606">
        <f t="shared" si="23"/>
        <v>104.82268381700432</v>
      </c>
      <c r="BZ98" s="114">
        <f t="shared" si="62"/>
        <v>0.36229971180901283</v>
      </c>
      <c r="CA98" s="765">
        <f t="shared" si="24"/>
        <v>50.172070130067617</v>
      </c>
      <c r="CB98" s="114">
        <f t="shared" si="25"/>
        <v>4.0347508485998995E-2</v>
      </c>
      <c r="CC98" s="114">
        <f t="shared" si="26"/>
        <v>0.14461792283129168</v>
      </c>
      <c r="CD98" s="730">
        <f t="shared" si="63"/>
        <v>4.0347508485998995E-2</v>
      </c>
      <c r="CE98" s="604">
        <f t="shared" si="64"/>
        <v>0.15554640672095663</v>
      </c>
      <c r="CG98" s="602">
        <f t="shared" si="65"/>
        <v>21.741385827376728</v>
      </c>
      <c r="CH98" s="704">
        <f t="shared" si="66"/>
        <v>8.6240091430020698</v>
      </c>
      <c r="CI98" s="704">
        <f t="shared" si="67"/>
        <v>35.109957109146116</v>
      </c>
      <c r="CJ98" s="704">
        <f t="shared" si="68"/>
        <v>48.911420614287103</v>
      </c>
      <c r="CK98" s="704">
        <f t="shared" si="69"/>
        <v>0.64978751050050221</v>
      </c>
      <c r="CL98" s="704">
        <f t="shared" si="70"/>
        <v>115.03656020431252</v>
      </c>
      <c r="CM98" s="727">
        <f t="shared" si="71"/>
        <v>0</v>
      </c>
    </row>
    <row r="99" spans="1:91">
      <c r="A99" s="127">
        <f>'Input data'!A120</f>
        <v>2020</v>
      </c>
      <c r="B99" s="748">
        <f>'Input data'!B120</f>
        <v>59.308999999999997</v>
      </c>
      <c r="C99" s="236">
        <f>'Input data'!C120</f>
        <v>2948.9199999999987</v>
      </c>
      <c r="D99" s="236">
        <f>'Input data'!D120</f>
        <v>47586944.933914557</v>
      </c>
      <c r="E99" s="730">
        <f t="shared" si="72"/>
        <v>0.78061538461538471</v>
      </c>
      <c r="F99" s="483">
        <f t="shared" si="73"/>
        <v>0.30751923076923071</v>
      </c>
      <c r="G99" s="609">
        <f>B99*F99*'Input data'!$C$9</f>
        <v>558.23174355958042</v>
      </c>
      <c r="H99" s="602">
        <f>'Input data'!I120</f>
        <v>424.26313389388866</v>
      </c>
      <c r="I99" s="607">
        <f>'Input data'!K120</f>
        <v>25162.622208112643</v>
      </c>
      <c r="J99" s="1062">
        <f>J96*0.81</f>
        <v>159.70195319059002</v>
      </c>
      <c r="K99" s="1129">
        <f t="shared" si="74"/>
        <v>37.460951982977889</v>
      </c>
      <c r="L99" s="483">
        <f t="shared" si="75"/>
        <v>0.60769230769230775</v>
      </c>
      <c r="M99" s="483">
        <f t="shared" si="27"/>
        <v>0.47461538461538466</v>
      </c>
      <c r="N99" s="483">
        <f t="shared" si="76"/>
        <v>0.75538461538461532</v>
      </c>
      <c r="O99" s="483">
        <f t="shared" si="77"/>
        <v>0.82307692307692304</v>
      </c>
      <c r="P99" s="483">
        <f t="shared" si="28"/>
        <v>0.23600000000000002</v>
      </c>
      <c r="Q99" s="602">
        <f t="shared" si="29"/>
        <v>23.004919733535672</v>
      </c>
      <c r="R99" s="608">
        <f t="shared" si="30"/>
        <v>9.2304472591779767</v>
      </c>
      <c r="S99" s="608">
        <f t="shared" si="31"/>
        <v>37.300213497459566</v>
      </c>
      <c r="T99" s="608">
        <f t="shared" si="32"/>
        <v>51.448674960198304</v>
      </c>
      <c r="U99" s="727">
        <f t="shared" si="33"/>
        <v>0.67710709475193609</v>
      </c>
      <c r="V99" s="602">
        <f t="shared" si="13"/>
        <v>121.66136254512345</v>
      </c>
      <c r="W99" s="730">
        <f>W98*2</f>
        <v>0.2</v>
      </c>
      <c r="X99" s="606">
        <f t="shared" si="14"/>
        <v>21.467663981197909</v>
      </c>
      <c r="Y99" s="606">
        <f t="shared" si="15"/>
        <v>26.832323058139401</v>
      </c>
      <c r="Z99" s="607">
        <f t="shared" si="78"/>
        <v>170.33058211542851</v>
      </c>
      <c r="AA99" s="623">
        <f t="shared" si="16"/>
        <v>10.628628924838488</v>
      </c>
      <c r="AB99" s="811">
        <f t="shared" si="34"/>
        <v>6.2400003527468412E-2</v>
      </c>
      <c r="AC99" s="135" t="str">
        <f t="shared" si="35"/>
        <v>Policies met</v>
      </c>
      <c r="AD99" s="1240">
        <f t="shared" si="36"/>
        <v>6.2400003527468412E-2</v>
      </c>
      <c r="AE99" s="135" t="str">
        <f t="shared" si="37"/>
        <v>No</v>
      </c>
      <c r="AF99" s="1293">
        <f t="shared" si="38"/>
        <v>397.78911284233521</v>
      </c>
      <c r="AG99" s="118">
        <f t="shared" si="39"/>
        <v>159.70195319059002</v>
      </c>
      <c r="AH99" s="118">
        <f t="shared" si="17"/>
        <v>114.06969309315113</v>
      </c>
      <c r="AI99" s="118">
        <f t="shared" si="18"/>
        <v>75.698706878371638</v>
      </c>
      <c r="AJ99" s="118">
        <f t="shared" si="19"/>
        <v>48.318759680222442</v>
      </c>
      <c r="AK99" s="118">
        <f t="shared" si="40"/>
        <v>397.78911284233521</v>
      </c>
      <c r="AL99" s="828">
        <f t="shared" si="20"/>
        <v>0</v>
      </c>
      <c r="AM99" s="730">
        <f t="shared" si="79"/>
        <v>0.40147391679341488</v>
      </c>
      <c r="AN99" s="483">
        <f t="shared" si="80"/>
        <v>0.28675921338843419</v>
      </c>
      <c r="AO99" s="483">
        <f t="shared" si="81"/>
        <v>0.19029858896207405</v>
      </c>
      <c r="AP99" s="483">
        <f t="shared" si="82"/>
        <v>0.1214682808560769</v>
      </c>
      <c r="AQ99" s="483">
        <f t="shared" si="45"/>
        <v>1</v>
      </c>
      <c r="AR99" s="834">
        <f t="shared" si="83"/>
        <v>34.304744429916425</v>
      </c>
      <c r="AS99" s="835">
        <f t="shared" si="84"/>
        <v>46.207582262262164</v>
      </c>
      <c r="AT99" s="835">
        <f t="shared" si="85"/>
        <v>9.9235012283793758</v>
      </c>
      <c r="AU99" s="835">
        <f t="shared" si="46"/>
        <v>0</v>
      </c>
      <c r="AV99" s="835">
        <f t="shared" si="47"/>
        <v>0</v>
      </c>
      <c r="AW99" s="835">
        <f t="shared" si="48"/>
        <v>0</v>
      </c>
      <c r="AX99" s="1228">
        <f t="shared" si="21"/>
        <v>46.421370643215567</v>
      </c>
      <c r="AY99" s="835">
        <f t="shared" si="86"/>
        <v>6.0255666806662624</v>
      </c>
      <c r="AZ99" s="835">
        <f t="shared" si="87"/>
        <v>7.7464753906533605</v>
      </c>
      <c r="BA99" s="835">
        <f t="shared" si="88"/>
        <v>7.2230230758527876</v>
      </c>
      <c r="BB99" s="835">
        <f t="shared" si="89"/>
        <v>1.8496894796440126</v>
      </c>
      <c r="BC99" s="608">
        <f t="shared" si="90"/>
        <v>159.70195319058993</v>
      </c>
      <c r="BD99" s="840">
        <f t="shared" si="50"/>
        <v>0</v>
      </c>
      <c r="BE99" s="760">
        <f t="shared" si="51"/>
        <v>0.21480478945036316</v>
      </c>
      <c r="BF99" s="705">
        <f t="shared" si="52"/>
        <v>0.28933636276268687</v>
      </c>
      <c r="BG99" s="705">
        <f t="shared" si="53"/>
        <v>6.2137632196248523E-2</v>
      </c>
      <c r="BH99" s="705">
        <f t="shared" si="54"/>
        <v>0</v>
      </c>
      <c r="BI99" s="705">
        <f t="shared" si="55"/>
        <v>0</v>
      </c>
      <c r="BJ99" s="705">
        <f t="shared" si="56"/>
        <v>0</v>
      </c>
      <c r="BK99" s="705">
        <f t="shared" si="57"/>
        <v>0.43372121559070159</v>
      </c>
      <c r="BL99" s="705">
        <f t="shared" si="58"/>
        <v>1.0000000000000002</v>
      </c>
      <c r="BM99" s="730">
        <f t="shared" si="91"/>
        <v>0.29028184578274857</v>
      </c>
      <c r="BN99" s="483">
        <f t="shared" si="59"/>
        <v>0.30317187715157518</v>
      </c>
      <c r="BO99" s="483">
        <f t="shared" si="59"/>
        <v>8.2805443243048754E-2</v>
      </c>
      <c r="BP99" s="483">
        <f t="shared" si="59"/>
        <v>0</v>
      </c>
      <c r="BQ99" s="483">
        <f t="shared" si="59"/>
        <v>0</v>
      </c>
      <c r="BR99" s="483">
        <f t="shared" si="59"/>
        <v>0</v>
      </c>
      <c r="BS99" s="483">
        <f t="shared" si="59"/>
        <v>0.32374083382262742</v>
      </c>
      <c r="BT99" s="604">
        <f t="shared" si="92"/>
        <v>0.99999999999999989</v>
      </c>
      <c r="BV99" s="606">
        <f t="shared" si="60"/>
        <v>93.216144821678014</v>
      </c>
      <c r="BW99" s="114">
        <f t="shared" si="61"/>
        <v>0.41707141135775727</v>
      </c>
      <c r="BX99" s="1503">
        <f t="shared" si="22"/>
        <v>47.586944933914559</v>
      </c>
      <c r="BY99" s="606">
        <f t="shared" si="23"/>
        <v>92.611990824842948</v>
      </c>
      <c r="BZ99" s="114">
        <f t="shared" si="62"/>
        <v>0.40788706503437866</v>
      </c>
      <c r="CA99" s="765">
        <f t="shared" si="24"/>
        <v>50.172070130067617</v>
      </c>
      <c r="CB99" s="114">
        <f t="shared" si="25"/>
        <v>6.2400003527468412E-2</v>
      </c>
      <c r="CC99" s="114">
        <f t="shared" si="26"/>
        <v>0.35045979433873437</v>
      </c>
      <c r="CD99" s="730">
        <f t="shared" si="63"/>
        <v>6.2400003527468412E-2</v>
      </c>
      <c r="CE99" s="604">
        <f t="shared" si="64"/>
        <v>0.44446491650948011</v>
      </c>
      <c r="CG99" s="602">
        <f t="shared" si="65"/>
        <v>21.569412661013917</v>
      </c>
      <c r="CH99" s="704">
        <f t="shared" si="66"/>
        <v>8.6544673176451603</v>
      </c>
      <c r="CI99" s="704">
        <f t="shared" si="67"/>
        <v>34.972680043642761</v>
      </c>
      <c r="CJ99" s="704">
        <f t="shared" si="68"/>
        <v>48.238277461198351</v>
      </c>
      <c r="CK99" s="704">
        <f t="shared" si="69"/>
        <v>0.63485560965094134</v>
      </c>
      <c r="CL99" s="704">
        <f t="shared" si="70"/>
        <v>114.06969309315113</v>
      </c>
      <c r="CM99" s="727">
        <f t="shared" si="71"/>
        <v>0</v>
      </c>
    </row>
    <row r="100" spans="1:91">
      <c r="A100" s="127">
        <f>'Input data'!A121</f>
        <v>2021</v>
      </c>
      <c r="B100" s="748">
        <f>'Input data'!B121</f>
        <v>59.991999999999997</v>
      </c>
      <c r="C100" s="236">
        <f>'Input data'!C121</f>
        <v>3014.38</v>
      </c>
      <c r="D100" s="236">
        <f>'Input data'!D121</f>
        <v>47328556.831579238</v>
      </c>
      <c r="E100" s="730">
        <f t="shared" si="72"/>
        <v>0.80255384615384628</v>
      </c>
      <c r="F100" s="483">
        <f t="shared" si="73"/>
        <v>0.31349230769230763</v>
      </c>
      <c r="G100" s="609">
        <f>B100*F100*'Input data'!$C$9</f>
        <v>575.62795502093263</v>
      </c>
      <c r="H100" s="602">
        <f>'Input data'!I121</f>
        <v>424.26313389388866</v>
      </c>
      <c r="I100" s="607">
        <f>'Input data'!K121</f>
        <v>25452.393928562167</v>
      </c>
      <c r="J100" s="1062">
        <f>J96*0.65</f>
        <v>128.15588836281916</v>
      </c>
      <c r="K100" s="1129">
        <f t="shared" si="74"/>
        <v>69.007016810748752</v>
      </c>
      <c r="L100" s="483">
        <f t="shared" si="75"/>
        <v>0.61692307692307702</v>
      </c>
      <c r="M100" s="483">
        <f t="shared" si="27"/>
        <v>0.48715384615384622</v>
      </c>
      <c r="N100" s="483">
        <f t="shared" si="76"/>
        <v>0.76984615384615374</v>
      </c>
      <c r="O100" s="483">
        <f t="shared" si="77"/>
        <v>0.8307692307692307</v>
      </c>
      <c r="P100" s="483">
        <f t="shared" si="28"/>
        <v>0.23600000000000002</v>
      </c>
      <c r="Q100" s="602">
        <f t="shared" si="29"/>
        <v>23.354361552272923</v>
      </c>
      <c r="R100" s="608">
        <f t="shared" si="30"/>
        <v>9.4742986211303286</v>
      </c>
      <c r="S100" s="608">
        <f t="shared" si="31"/>
        <v>38.014311271138013</v>
      </c>
      <c r="T100" s="608">
        <f t="shared" si="32"/>
        <v>51.929503698144082</v>
      </c>
      <c r="U100" s="727">
        <f t="shared" si="33"/>
        <v>0.67710709475193609</v>
      </c>
      <c r="V100" s="602">
        <f t="shared" si="13"/>
        <v>123.44958223743728</v>
      </c>
      <c r="W100" s="730">
        <f>W99*2</f>
        <v>0.4</v>
      </c>
      <c r="X100" s="606">
        <f t="shared" si="14"/>
        <v>42.935327962395817</v>
      </c>
      <c r="Y100" s="606">
        <f t="shared" si="15"/>
        <v>50.088206731651141</v>
      </c>
      <c r="Z100" s="607">
        <f t="shared" si="78"/>
        <v>147.07469844191678</v>
      </c>
      <c r="AA100" s="623">
        <f t="shared" si="16"/>
        <v>18.918810079097611</v>
      </c>
      <c r="AB100" s="811">
        <f t="shared" si="34"/>
        <v>0.12863402257166001</v>
      </c>
      <c r="AC100" s="135" t="str">
        <f t="shared" si="35"/>
        <v>Policies met</v>
      </c>
      <c r="AD100" s="1240">
        <f t="shared" si="36"/>
        <v>0.12863402257166001</v>
      </c>
      <c r="AE100" s="135" t="str">
        <f t="shared" si="37"/>
        <v>No</v>
      </c>
      <c r="AF100" s="1293">
        <f t="shared" si="38"/>
        <v>369.68846035225897</v>
      </c>
      <c r="AG100" s="118">
        <f t="shared" si="39"/>
        <v>128.15588836281916</v>
      </c>
      <c r="AH100" s="118">
        <f t="shared" si="17"/>
        <v>107.56976588944478</v>
      </c>
      <c r="AI100" s="118">
        <f t="shared" si="18"/>
        <v>89.057384368676239</v>
      </c>
      <c r="AJ100" s="118">
        <f t="shared" si="19"/>
        <v>44.905421731318846</v>
      </c>
      <c r="AK100" s="118">
        <f t="shared" si="40"/>
        <v>369.68846035225903</v>
      </c>
      <c r="AL100" s="828">
        <f t="shared" si="20"/>
        <v>0</v>
      </c>
      <c r="AM100" s="730">
        <f t="shared" si="79"/>
        <v>0.34665915252184321</v>
      </c>
      <c r="AN100" s="483">
        <f t="shared" si="80"/>
        <v>0.29097409691107623</v>
      </c>
      <c r="AO100" s="483">
        <f t="shared" si="81"/>
        <v>0.24089846971100362</v>
      </c>
      <c r="AP100" s="483">
        <f t="shared" si="82"/>
        <v>0.12146828085607689</v>
      </c>
      <c r="AQ100" s="483">
        <f t="shared" si="45"/>
        <v>0.99999999999999989</v>
      </c>
      <c r="AR100" s="834">
        <f t="shared" si="83"/>
        <v>22.528289739415904</v>
      </c>
      <c r="AS100" s="835">
        <f t="shared" si="84"/>
        <v>33.590286284823129</v>
      </c>
      <c r="AT100" s="835">
        <f t="shared" si="85"/>
        <v>8.917992694962436</v>
      </c>
      <c r="AU100" s="835">
        <f t="shared" si="46"/>
        <v>0</v>
      </c>
      <c r="AV100" s="835">
        <f t="shared" si="47"/>
        <v>0</v>
      </c>
      <c r="AW100" s="835">
        <f t="shared" si="48"/>
        <v>0</v>
      </c>
      <c r="AX100" s="1228">
        <f t="shared" si="21"/>
        <v>43.142068212746437</v>
      </c>
      <c r="AY100" s="835">
        <f t="shared" si="86"/>
        <v>5.3874243041288334</v>
      </c>
      <c r="AZ100" s="835">
        <f t="shared" si="87"/>
        <v>6.5770077098325386</v>
      </c>
      <c r="BA100" s="835">
        <f t="shared" si="88"/>
        <v>6.2937958594943701</v>
      </c>
      <c r="BB100" s="835">
        <f t="shared" si="89"/>
        <v>1.719023557415448</v>
      </c>
      <c r="BC100" s="608">
        <f t="shared" si="90"/>
        <v>128.1558883628191</v>
      </c>
      <c r="BD100" s="840">
        <f t="shared" si="50"/>
        <v>0</v>
      </c>
      <c r="BE100" s="760">
        <f t="shared" si="51"/>
        <v>0.17578817506720093</v>
      </c>
      <c r="BF100" s="705">
        <f t="shared" si="52"/>
        <v>0.26210489985233038</v>
      </c>
      <c r="BG100" s="705">
        <f t="shared" si="53"/>
        <v>6.9587069380026595E-2</v>
      </c>
      <c r="BH100" s="705">
        <f t="shared" si="54"/>
        <v>0</v>
      </c>
      <c r="BI100" s="705">
        <f t="shared" si="55"/>
        <v>0</v>
      </c>
      <c r="BJ100" s="705">
        <f t="shared" si="56"/>
        <v>0</v>
      </c>
      <c r="BK100" s="705">
        <f t="shared" si="57"/>
        <v>0.49251985570044204</v>
      </c>
      <c r="BL100" s="705">
        <f t="shared" si="58"/>
        <v>1</v>
      </c>
      <c r="BM100" s="730">
        <f t="shared" si="91"/>
        <v>0.29028184578274857</v>
      </c>
      <c r="BN100" s="483">
        <f t="shared" si="59"/>
        <v>0.30317187715157518</v>
      </c>
      <c r="BO100" s="483">
        <f t="shared" si="59"/>
        <v>8.2805443243048754E-2</v>
      </c>
      <c r="BP100" s="483">
        <f t="shared" si="59"/>
        <v>0</v>
      </c>
      <c r="BQ100" s="483">
        <f t="shared" si="59"/>
        <v>0</v>
      </c>
      <c r="BR100" s="483">
        <f t="shared" si="59"/>
        <v>0</v>
      </c>
      <c r="BS100" s="483">
        <f t="shared" si="59"/>
        <v>0.32374083382262742</v>
      </c>
      <c r="BT100" s="604">
        <f t="shared" si="92"/>
        <v>0.99999999999999989</v>
      </c>
      <c r="BV100" s="606">
        <f t="shared" si="60"/>
        <v>79.778034372349481</v>
      </c>
      <c r="BW100" s="114">
        <f t="shared" si="61"/>
        <v>0.48072550668143788</v>
      </c>
      <c r="BX100" s="1503">
        <f t="shared" si="22"/>
        <v>47.328556831579235</v>
      </c>
      <c r="BY100" s="606">
        <f t="shared" si="23"/>
        <v>78.986036872534569</v>
      </c>
      <c r="BZ100" s="114">
        <f t="shared" si="62"/>
        <v>0.46602558447314762</v>
      </c>
      <c r="CA100" s="765">
        <f t="shared" si="24"/>
        <v>50.172070130067617</v>
      </c>
      <c r="CB100" s="114">
        <f t="shared" si="25"/>
        <v>0.12863402257166001</v>
      </c>
      <c r="CC100" s="114">
        <f t="shared" si="26"/>
        <v>0.70382930313734093</v>
      </c>
      <c r="CD100" s="730">
        <f t="shared" si="63"/>
        <v>0.12863402257166001</v>
      </c>
      <c r="CE100" s="604">
        <f t="shared" si="64"/>
        <v>0.80866022595516929</v>
      </c>
      <c r="CG100" s="602">
        <f t="shared" si="65"/>
        <v>20.350196081211138</v>
      </c>
      <c r="CH100" s="704">
        <f t="shared" si="66"/>
        <v>8.2555814784492032</v>
      </c>
      <c r="CI100" s="704">
        <f t="shared" si="67"/>
        <v>33.124377497040335</v>
      </c>
      <c r="CJ100" s="704">
        <f t="shared" si="68"/>
        <v>45.249602747301914</v>
      </c>
      <c r="CK100" s="704">
        <f t="shared" si="69"/>
        <v>0.59000808544218442</v>
      </c>
      <c r="CL100" s="704">
        <f t="shared" si="70"/>
        <v>107.56976588944477</v>
      </c>
      <c r="CM100" s="727">
        <f t="shared" si="71"/>
        <v>0</v>
      </c>
    </row>
    <row r="101" spans="1:91" s="530" customFormat="1">
      <c r="A101" s="1083">
        <f>'Input data'!A122</f>
        <v>2022</v>
      </c>
      <c r="B101" s="1223">
        <f>'Input data'!B122</f>
        <v>60.682000000000002</v>
      </c>
      <c r="C101" s="1224">
        <f>'Input data'!C122</f>
        <v>3077.2</v>
      </c>
      <c r="D101" s="1224">
        <f>'Input data'!D122</f>
        <v>45903210.392984279</v>
      </c>
      <c r="E101" s="1128">
        <f t="shared" si="72"/>
        <v>0.82449230769230786</v>
      </c>
      <c r="F101" s="640">
        <f t="shared" si="73"/>
        <v>0.31946538461538454</v>
      </c>
      <c r="G101" s="1130">
        <f>B101*F101*'Input data'!$C$9</f>
        <v>593.34234160989524</v>
      </c>
      <c r="H101" s="1339">
        <f>'Input data'!I122</f>
        <v>424.26313389388866</v>
      </c>
      <c r="I101" s="1063">
        <f>'Input data'!K122</f>
        <v>25745.135490948953</v>
      </c>
      <c r="J101" s="1228">
        <f>J96*(1-$E$4)</f>
        <v>98.581452586783954</v>
      </c>
      <c r="K101" s="1129">
        <f t="shared" si="74"/>
        <v>98.581452586783954</v>
      </c>
      <c r="L101" s="483">
        <f t="shared" si="75"/>
        <v>0.62615384615384628</v>
      </c>
      <c r="M101" s="483">
        <f t="shared" si="27"/>
        <v>0.49969230769230777</v>
      </c>
      <c r="N101" s="483">
        <f t="shared" si="76"/>
        <v>0.78430769230769215</v>
      </c>
      <c r="O101" s="483">
        <f t="shared" si="77"/>
        <v>0.83846153846153837</v>
      </c>
      <c r="P101" s="640">
        <f t="shared" si="28"/>
        <v>0.23600000000000002</v>
      </c>
      <c r="Q101" s="602">
        <f t="shared" si="29"/>
        <v>23.703803371010174</v>
      </c>
      <c r="R101" s="608">
        <f t="shared" si="30"/>
        <v>9.7181499830826805</v>
      </c>
      <c r="S101" s="608">
        <f t="shared" si="31"/>
        <v>38.728409044816466</v>
      </c>
      <c r="T101" s="608">
        <f t="shared" si="32"/>
        <v>52.41033243608986</v>
      </c>
      <c r="U101" s="727">
        <f t="shared" si="33"/>
        <v>0.67710709475193609</v>
      </c>
      <c r="V101" s="834">
        <f t="shared" si="13"/>
        <v>125.23780192975111</v>
      </c>
      <c r="W101" s="1131">
        <f>$E$26</f>
        <v>0.5</v>
      </c>
      <c r="X101" s="1227">
        <f t="shared" si="14"/>
        <v>53.669159952994768</v>
      </c>
      <c r="Y101" s="1227">
        <f t="shared" si="15"/>
        <v>62.610258414563923</v>
      </c>
      <c r="Z101" s="1062">
        <f t="shared" si="78"/>
        <v>134.55264675900398</v>
      </c>
      <c r="AA101" s="1228">
        <f t="shared" si="16"/>
        <v>35.971194172220031</v>
      </c>
      <c r="AB101" s="1229">
        <f t="shared" si="34"/>
        <v>0.26733917941166707</v>
      </c>
      <c r="AC101" s="135" t="str">
        <f t="shared" si="35"/>
        <v>Policies met</v>
      </c>
      <c r="AD101" s="1240">
        <f t="shared" si="36"/>
        <v>0.26733917941166707</v>
      </c>
      <c r="AE101" s="135" t="str">
        <f t="shared" si="37"/>
        <v>No</v>
      </c>
      <c r="AF101" s="1293">
        <f t="shared" si="38"/>
        <v>310.84097582407423</v>
      </c>
      <c r="AG101" s="118">
        <f t="shared" si="39"/>
        <v>98.581452586783939</v>
      </c>
      <c r="AH101" s="158">
        <f t="shared" si="17"/>
        <v>91.756830730530552</v>
      </c>
      <c r="AI101" s="158">
        <f t="shared" si="18"/>
        <v>82.745373553784091</v>
      </c>
      <c r="AJ101" s="158">
        <f t="shared" si="19"/>
        <v>37.757318952975666</v>
      </c>
      <c r="AK101" s="158">
        <f t="shared" si="40"/>
        <v>310.84097582407423</v>
      </c>
      <c r="AL101" s="828">
        <f t="shared" si="20"/>
        <v>0</v>
      </c>
      <c r="AM101" s="730">
        <f t="shared" si="79"/>
        <v>0.3171443286247364</v>
      </c>
      <c r="AN101" s="483">
        <f t="shared" si="80"/>
        <v>0.29518898043371827</v>
      </c>
      <c r="AO101" s="483">
        <f t="shared" si="81"/>
        <v>0.26619841008546841</v>
      </c>
      <c r="AP101" s="483">
        <f t="shared" si="82"/>
        <v>0.12146828085607693</v>
      </c>
      <c r="AQ101" s="640">
        <f t="shared" si="45"/>
        <v>1</v>
      </c>
      <c r="AR101" s="834">
        <f t="shared" si="83"/>
        <v>15.010078530782616</v>
      </c>
      <c r="AS101" s="835">
        <f t="shared" si="84"/>
        <v>24.311212240665014</v>
      </c>
      <c r="AT101" s="835">
        <f t="shared" si="85"/>
        <v>7.2423928198181802</v>
      </c>
      <c r="AU101" s="835">
        <f t="shared" si="46"/>
        <v>0</v>
      </c>
      <c r="AV101" s="835">
        <f t="shared" si="47"/>
        <v>0</v>
      </c>
      <c r="AW101" s="835">
        <f t="shared" si="48"/>
        <v>0</v>
      </c>
      <c r="AX101" s="1228">
        <f t="shared" si="21"/>
        <v>36.274658315114308</v>
      </c>
      <c r="AY101" s="835">
        <f t="shared" si="86"/>
        <v>4.351186836366784</v>
      </c>
      <c r="AZ101" s="835">
        <f t="shared" si="87"/>
        <v>5.0068797038846808</v>
      </c>
      <c r="BA101" s="835">
        <f t="shared" si="88"/>
        <v>4.9396569632238352</v>
      </c>
      <c r="BB101" s="835">
        <f t="shared" si="89"/>
        <v>1.4453871769284841</v>
      </c>
      <c r="BC101" s="608">
        <f t="shared" si="90"/>
        <v>98.581452586783897</v>
      </c>
      <c r="BD101" s="1230">
        <f t="shared" si="50"/>
        <v>0</v>
      </c>
      <c r="BE101" s="760">
        <f t="shared" si="51"/>
        <v>0.15226067517689335</v>
      </c>
      <c r="BF101" s="705">
        <f t="shared" si="52"/>
        <v>0.24661040796962494</v>
      </c>
      <c r="BG101" s="705">
        <f t="shared" si="53"/>
        <v>7.3466079366628398E-2</v>
      </c>
      <c r="BH101" s="705">
        <f t="shared" si="54"/>
        <v>0</v>
      </c>
      <c r="BI101" s="705">
        <f t="shared" si="55"/>
        <v>0</v>
      </c>
      <c r="BJ101" s="705">
        <f t="shared" si="56"/>
        <v>0</v>
      </c>
      <c r="BK101" s="705">
        <f t="shared" si="57"/>
        <v>0.52766283748685339</v>
      </c>
      <c r="BL101" s="705">
        <f t="shared" si="58"/>
        <v>1</v>
      </c>
      <c r="BM101" s="730">
        <f t="shared" si="91"/>
        <v>0.29028184578274857</v>
      </c>
      <c r="BN101" s="483">
        <f t="shared" si="59"/>
        <v>0.30317187715157518</v>
      </c>
      <c r="BO101" s="483">
        <f t="shared" si="59"/>
        <v>8.2805443243048754E-2</v>
      </c>
      <c r="BP101" s="483">
        <f t="shared" si="59"/>
        <v>0</v>
      </c>
      <c r="BQ101" s="483">
        <f t="shared" si="59"/>
        <v>0</v>
      </c>
      <c r="BR101" s="483">
        <f t="shared" si="59"/>
        <v>0</v>
      </c>
      <c r="BS101" s="483">
        <f t="shared" si="59"/>
        <v>0.32374083382262742</v>
      </c>
      <c r="BT101" s="604">
        <f t="shared" si="92"/>
        <v>0.99999999999999989</v>
      </c>
      <c r="BU101" s="1"/>
      <c r="BV101" s="606">
        <f t="shared" si="60"/>
        <v>70.076035320428332</v>
      </c>
      <c r="BW101" s="114">
        <f t="shared" si="61"/>
        <v>0.50925010089574485</v>
      </c>
      <c r="BX101" s="1503">
        <f t="shared" si="22"/>
        <v>45.903210392984278</v>
      </c>
      <c r="BY101" s="606">
        <f t="shared" si="23"/>
        <v>74.344895057511636</v>
      </c>
      <c r="BZ101" s="114">
        <f t="shared" si="62"/>
        <v>0.49043154049270299</v>
      </c>
      <c r="CA101" s="765">
        <f t="shared" si="24"/>
        <v>50.172070130067617</v>
      </c>
      <c r="CB101" s="114">
        <f t="shared" si="25"/>
        <v>0.26733917941166707</v>
      </c>
      <c r="CC101" s="114">
        <f t="shared" si="26"/>
        <v>0.85</v>
      </c>
      <c r="CD101" s="730">
        <f t="shared" si="63"/>
        <v>0.26733917941166707</v>
      </c>
      <c r="CE101" s="604">
        <f t="shared" si="64"/>
        <v>0.85</v>
      </c>
      <c r="CF101" s="1"/>
      <c r="CG101" s="602">
        <f t="shared" si="65"/>
        <v>17.366848028868805</v>
      </c>
      <c r="CH101" s="704">
        <f t="shared" si="66"/>
        <v>7.1201077412058504</v>
      </c>
      <c r="CI101" s="704">
        <f t="shared" si="67"/>
        <v>28.374787950855847</v>
      </c>
      <c r="CJ101" s="704">
        <f t="shared" si="68"/>
        <v>38.398997169932919</v>
      </c>
      <c r="CK101" s="704">
        <f t="shared" si="69"/>
        <v>0.4960898396671356</v>
      </c>
      <c r="CL101" s="704">
        <f t="shared" si="70"/>
        <v>91.756830730530552</v>
      </c>
      <c r="CM101" s="727">
        <f t="shared" si="71"/>
        <v>0</v>
      </c>
    </row>
    <row r="102" spans="1:91" s="4" customFormat="1">
      <c r="A102" s="100">
        <f>'Input data'!A123</f>
        <v>2023</v>
      </c>
      <c r="B102" s="1231">
        <f>'Input data'!B123</f>
        <v>61.381</v>
      </c>
      <c r="C102" s="1232">
        <f>'Input data'!C123</f>
        <v>3140.61</v>
      </c>
      <c r="D102" s="1232">
        <f>'Input data'!D123</f>
        <v>44745286.877069645</v>
      </c>
      <c r="E102" s="1128">
        <f t="shared" si="72"/>
        <v>0.84643076923076943</v>
      </c>
      <c r="F102" s="640">
        <f t="shared" si="73"/>
        <v>0.32543846153846145</v>
      </c>
      <c r="G102" s="1129">
        <f>B102*F102*'Input data'!$C$9</f>
        <v>611.39866394209514</v>
      </c>
      <c r="H102" s="834">
        <f>'Input data'!I123</f>
        <v>424.26313389388866</v>
      </c>
      <c r="I102" s="1062">
        <f>'Input data'!K123</f>
        <v>26041.695421540779</v>
      </c>
      <c r="J102" s="1228">
        <f>($J$111-$J$101)/($A$111-$A$101)+J101</f>
        <v>92.666565431576913</v>
      </c>
      <c r="K102" s="1129">
        <f t="shared" si="74"/>
        <v>104.49633974199099</v>
      </c>
      <c r="L102" s="483">
        <f t="shared" si="75"/>
        <v>0.63538461538461555</v>
      </c>
      <c r="M102" s="483">
        <f t="shared" si="27"/>
        <v>0.51223076923076927</v>
      </c>
      <c r="N102" s="483">
        <f t="shared" si="76"/>
        <v>0.79876923076923056</v>
      </c>
      <c r="O102" s="483">
        <f t="shared" si="77"/>
        <v>0.84615384615384603</v>
      </c>
      <c r="P102" s="640">
        <f t="shared" si="28"/>
        <v>0.23600000000000002</v>
      </c>
      <c r="Q102" s="602">
        <f t="shared" si="29"/>
        <v>24.053245189747429</v>
      </c>
      <c r="R102" s="608">
        <f t="shared" si="30"/>
        <v>9.9620013450350307</v>
      </c>
      <c r="S102" s="608">
        <f t="shared" si="31"/>
        <v>39.442506818494913</v>
      </c>
      <c r="T102" s="608">
        <f t="shared" si="32"/>
        <v>52.891161174035638</v>
      </c>
      <c r="U102" s="727">
        <f t="shared" si="33"/>
        <v>0.67710709475193609</v>
      </c>
      <c r="V102" s="834">
        <f t="shared" si="13"/>
        <v>127.02602162206495</v>
      </c>
      <c r="W102" s="1128">
        <f>($W$106-$W$101)/($A$106-$A$101)+W101</f>
        <v>0.5</v>
      </c>
      <c r="X102" s="1227">
        <f t="shared" si="14"/>
        <v>53.669159952994768</v>
      </c>
      <c r="Y102" s="1227">
        <f t="shared" si="15"/>
        <v>64.398478106877747</v>
      </c>
      <c r="Z102" s="1062">
        <f t="shared" si="78"/>
        <v>132.76442706669016</v>
      </c>
      <c r="AA102" s="1228">
        <f t="shared" si="16"/>
        <v>40.097861635113247</v>
      </c>
      <c r="AB102" s="1229">
        <f t="shared" si="34"/>
        <v>0.30202263152140379</v>
      </c>
      <c r="AC102" s="135" t="str">
        <f t="shared" si="35"/>
        <v>Policies met</v>
      </c>
      <c r="AD102" s="1240">
        <f t="shared" si="36"/>
        <v>0.30202263152140379</v>
      </c>
      <c r="AE102" s="135" t="str">
        <f t="shared" si="37"/>
        <v>No</v>
      </c>
      <c r="AF102" s="1293">
        <f t="shared" si="38"/>
        <v>296.12606573773871</v>
      </c>
      <c r="AG102" s="118">
        <f t="shared" si="39"/>
        <v>92.666565431576913</v>
      </c>
      <c r="AH102" s="158">
        <f t="shared" si="17"/>
        <v>88.661288300074148</v>
      </c>
      <c r="AI102" s="158">
        <f t="shared" si="18"/>
        <v>78.82828788425094</v>
      </c>
      <c r="AJ102" s="158">
        <f t="shared" si="19"/>
        <v>35.96992412183674</v>
      </c>
      <c r="AK102" s="158">
        <f t="shared" si="40"/>
        <v>296.12606573773877</v>
      </c>
      <c r="AL102" s="828">
        <f t="shared" si="20"/>
        <v>0</v>
      </c>
      <c r="AM102" s="730">
        <f t="shared" si="79"/>
        <v>0.31292944510209436</v>
      </c>
      <c r="AN102" s="483">
        <f t="shared" si="80"/>
        <v>0.29940386395636032</v>
      </c>
      <c r="AO102" s="483">
        <f t="shared" si="81"/>
        <v>0.26619841008546835</v>
      </c>
      <c r="AP102" s="483">
        <f t="shared" si="82"/>
        <v>0.12146828085607689</v>
      </c>
      <c r="AQ102" s="640">
        <f t="shared" si="45"/>
        <v>0.99999999999999989</v>
      </c>
      <c r="AR102" s="834">
        <f t="shared" si="83"/>
        <v>14.299515982251988</v>
      </c>
      <c r="AS102" s="835">
        <f t="shared" si="84"/>
        <v>23.160343050196147</v>
      </c>
      <c r="AT102" s="835">
        <f t="shared" si="85"/>
        <v>6.6556424922772033</v>
      </c>
      <c r="AU102" s="835">
        <f t="shared" si="46"/>
        <v>0</v>
      </c>
      <c r="AV102" s="835">
        <f t="shared" si="47"/>
        <v>0</v>
      </c>
      <c r="AW102" s="835">
        <f t="shared" si="48"/>
        <v>0</v>
      </c>
      <c r="AX102" s="1228">
        <f t="shared" si="21"/>
        <v>34.557451199468296</v>
      </c>
      <c r="AY102" s="835">
        <f t="shared" si="86"/>
        <v>3.9750031429766381</v>
      </c>
      <c r="AZ102" s="835">
        <f t="shared" si="87"/>
        <v>4.2714347935832588</v>
      </c>
      <c r="BA102" s="835">
        <f t="shared" si="88"/>
        <v>4.370210819925636</v>
      </c>
      <c r="BB102" s="835">
        <f t="shared" si="89"/>
        <v>1.3769639508976843</v>
      </c>
      <c r="BC102" s="608">
        <f t="shared" si="90"/>
        <v>92.666565431576842</v>
      </c>
      <c r="BD102" s="1230">
        <f t="shared" si="50"/>
        <v>0</v>
      </c>
      <c r="BE102" s="760">
        <f t="shared" si="51"/>
        <v>0.15431149212938583</v>
      </c>
      <c r="BF102" s="705">
        <f t="shared" si="52"/>
        <v>0.2499320325764883</v>
      </c>
      <c r="BG102" s="705">
        <f t="shared" si="53"/>
        <v>7.1823558597211609E-2</v>
      </c>
      <c r="BH102" s="705">
        <f t="shared" si="54"/>
        <v>0</v>
      </c>
      <c r="BI102" s="705">
        <f t="shared" si="55"/>
        <v>0</v>
      </c>
      <c r="BJ102" s="705">
        <f t="shared" si="56"/>
        <v>0</v>
      </c>
      <c r="BK102" s="705">
        <f t="shared" si="57"/>
        <v>0.52393291669691444</v>
      </c>
      <c r="BL102" s="705">
        <f t="shared" si="58"/>
        <v>1.0000000000000002</v>
      </c>
      <c r="BM102" s="730">
        <f t="shared" si="91"/>
        <v>0.29028184578274857</v>
      </c>
      <c r="BN102" s="483">
        <f t="shared" si="59"/>
        <v>0.30317187715157518</v>
      </c>
      <c r="BO102" s="483">
        <f t="shared" si="59"/>
        <v>8.2805443243048754E-2</v>
      </c>
      <c r="BP102" s="483">
        <f t="shared" si="59"/>
        <v>0</v>
      </c>
      <c r="BQ102" s="483">
        <f t="shared" si="59"/>
        <v>0</v>
      </c>
      <c r="BR102" s="483">
        <f t="shared" si="59"/>
        <v>0</v>
      </c>
      <c r="BS102" s="483">
        <f t="shared" si="59"/>
        <v>0.32374083382262742</v>
      </c>
      <c r="BT102" s="604">
        <f t="shared" si="92"/>
        <v>0.99999999999999989</v>
      </c>
      <c r="BU102"/>
      <c r="BV102" s="606">
        <f t="shared" si="60"/>
        <v>68.341601393042652</v>
      </c>
      <c r="BW102" s="114">
        <f t="shared" si="61"/>
        <v>0.54952143423466249</v>
      </c>
      <c r="BX102" s="1503">
        <f t="shared" si="22"/>
        <v>44.745286877069645</v>
      </c>
      <c r="BY102" s="606">
        <f t="shared" si="23"/>
        <v>73.768384646040616</v>
      </c>
      <c r="BZ102" s="114">
        <f t="shared" si="62"/>
        <v>0.52571509160654983</v>
      </c>
      <c r="CA102" s="765">
        <f t="shared" si="24"/>
        <v>50.172070130067617</v>
      </c>
      <c r="CB102" s="114">
        <f t="shared" si="25"/>
        <v>0.30202263152140379</v>
      </c>
      <c r="CC102" s="114">
        <f t="shared" si="26"/>
        <v>0.85</v>
      </c>
      <c r="CD102" s="730">
        <f t="shared" si="63"/>
        <v>0.30202263152140379</v>
      </c>
      <c r="CE102" s="604">
        <f t="shared" si="64"/>
        <v>0.85</v>
      </c>
      <c r="CF102"/>
      <c r="CG102" s="602">
        <f t="shared" si="65"/>
        <v>16.78862078091036</v>
      </c>
      <c r="CH102" s="704">
        <f t="shared" si="66"/>
        <v>6.9532514835877857</v>
      </c>
      <c r="CI102" s="704">
        <f t="shared" si="67"/>
        <v>27.529977115372166</v>
      </c>
      <c r="CJ102" s="704">
        <f t="shared" si="68"/>
        <v>36.91683349203069</v>
      </c>
      <c r="CK102" s="704">
        <f t="shared" si="69"/>
        <v>0.47260542817314383</v>
      </c>
      <c r="CL102" s="704">
        <f t="shared" si="70"/>
        <v>88.661288300074133</v>
      </c>
      <c r="CM102" s="727">
        <f t="shared" si="71"/>
        <v>0</v>
      </c>
    </row>
    <row r="103" spans="1:91" s="4" customFormat="1">
      <c r="A103" s="100">
        <f>'Input data'!A124</f>
        <v>2024</v>
      </c>
      <c r="B103" s="1231">
        <f>'Input data'!B124</f>
        <v>62.088000000000001</v>
      </c>
      <c r="C103" s="1232">
        <f>'Input data'!C124</f>
        <v>3201.77</v>
      </c>
      <c r="D103" s="1232">
        <f>'Input data'!D124</f>
        <v>43251251.992583826</v>
      </c>
      <c r="E103" s="1128">
        <f t="shared" si="72"/>
        <v>0.868369230769231</v>
      </c>
      <c r="F103" s="640">
        <f t="shared" si="73"/>
        <v>0.33141153846153837</v>
      </c>
      <c r="G103" s="1129">
        <f>B103*F103*'Input data'!$C$9</f>
        <v>629.79171457903931</v>
      </c>
      <c r="H103" s="834">
        <f>'Input data'!I124</f>
        <v>424.26313389388866</v>
      </c>
      <c r="I103" s="1062">
        <f>'Input data'!K124</f>
        <v>26341.649457203759</v>
      </c>
      <c r="J103" s="1228">
        <f t="shared" ref="J103:J110" si="93">($J$111-$J$101)/($A$111-$A$101)+J102</f>
        <v>86.751678276369873</v>
      </c>
      <c r="K103" s="1129">
        <f t="shared" si="74"/>
        <v>110.41122689719803</v>
      </c>
      <c r="L103" s="483">
        <f t="shared" si="75"/>
        <v>0.64461538461538481</v>
      </c>
      <c r="M103" s="483">
        <f t="shared" si="27"/>
        <v>0.52476923076923077</v>
      </c>
      <c r="N103" s="483">
        <f t="shared" si="76"/>
        <v>0.81323076923076898</v>
      </c>
      <c r="O103" s="483">
        <f t="shared" si="77"/>
        <v>0.8538461538461537</v>
      </c>
      <c r="P103" s="640">
        <f t="shared" si="28"/>
        <v>0.23600000000000002</v>
      </c>
      <c r="Q103" s="602">
        <f t="shared" si="29"/>
        <v>24.40268700848468</v>
      </c>
      <c r="R103" s="608">
        <f t="shared" si="30"/>
        <v>10.205852706987383</v>
      </c>
      <c r="S103" s="608">
        <f t="shared" si="31"/>
        <v>40.156604592173366</v>
      </c>
      <c r="T103" s="608">
        <f t="shared" si="32"/>
        <v>53.371989911981409</v>
      </c>
      <c r="U103" s="727">
        <f t="shared" si="33"/>
        <v>0.67710709475193609</v>
      </c>
      <c r="V103" s="834">
        <f t="shared" si="13"/>
        <v>128.81424131437876</v>
      </c>
      <c r="W103" s="1128">
        <f>($W$106-$W$101)/($A$106-$A$101)+W102</f>
        <v>0.5</v>
      </c>
      <c r="X103" s="1227">
        <f t="shared" si="14"/>
        <v>53.669159952994768</v>
      </c>
      <c r="Y103" s="1227">
        <f t="shared" si="15"/>
        <v>66.186697799191563</v>
      </c>
      <c r="Z103" s="1062">
        <f t="shared" si="78"/>
        <v>130.97620737437634</v>
      </c>
      <c r="AA103" s="1228">
        <f t="shared" si="16"/>
        <v>44.224529098006471</v>
      </c>
      <c r="AB103" s="1229">
        <f t="shared" si="34"/>
        <v>0.33765315078636471</v>
      </c>
      <c r="AC103" s="135" t="str">
        <f t="shared" si="35"/>
        <v>Policies met</v>
      </c>
      <c r="AD103" s="1240">
        <f t="shared" si="36"/>
        <v>0.33765315078636471</v>
      </c>
      <c r="AE103" s="135" t="str">
        <f t="shared" si="37"/>
        <v>No</v>
      </c>
      <c r="AF103" s="1293">
        <f t="shared" si="38"/>
        <v>281.00934997211982</v>
      </c>
      <c r="AG103" s="118">
        <f t="shared" si="39"/>
        <v>86.751678276369873</v>
      </c>
      <c r="AH103" s="158">
        <f t="shared" si="17"/>
        <v>85.319706868423665</v>
      </c>
      <c r="AI103" s="158">
        <f t="shared" si="18"/>
        <v>74.804242181729265</v>
      </c>
      <c r="AJ103" s="158">
        <f t="shared" si="19"/>
        <v>34.133722645597061</v>
      </c>
      <c r="AK103" s="158">
        <f t="shared" si="40"/>
        <v>281.00934997211988</v>
      </c>
      <c r="AL103" s="828">
        <f t="shared" si="20"/>
        <v>0</v>
      </c>
      <c r="AM103" s="730">
        <f t="shared" si="79"/>
        <v>0.30871456157945232</v>
      </c>
      <c r="AN103" s="483">
        <f t="shared" si="80"/>
        <v>0.30361874747900236</v>
      </c>
      <c r="AO103" s="483">
        <f t="shared" si="81"/>
        <v>0.26619841008546835</v>
      </c>
      <c r="AP103" s="483">
        <f t="shared" si="82"/>
        <v>0.12146828085607689</v>
      </c>
      <c r="AQ103" s="640">
        <f t="shared" si="45"/>
        <v>0.99999999999999989</v>
      </c>
      <c r="AR103" s="834">
        <f t="shared" si="83"/>
        <v>13.569550796137404</v>
      </c>
      <c r="AS103" s="835">
        <f t="shared" si="84"/>
        <v>21.978048198671281</v>
      </c>
      <c r="AT103" s="835">
        <f t="shared" si="85"/>
        <v>6.0844319403238982</v>
      </c>
      <c r="AU103" s="835">
        <f t="shared" si="46"/>
        <v>0</v>
      </c>
      <c r="AV103" s="835">
        <f t="shared" si="47"/>
        <v>0</v>
      </c>
      <c r="AW103" s="835">
        <f t="shared" si="48"/>
        <v>0</v>
      </c>
      <c r="AX103" s="1228">
        <f t="shared" si="21"/>
        <v>32.793353986123826</v>
      </c>
      <c r="AY103" s="835">
        <f t="shared" si="86"/>
        <v>3.6105720299302506</v>
      </c>
      <c r="AZ103" s="835">
        <f t="shared" si="87"/>
        <v>3.5804051360393916</v>
      </c>
      <c r="BA103" s="835">
        <f t="shared" si="88"/>
        <v>3.8286438304886201</v>
      </c>
      <c r="BB103" s="835">
        <f t="shared" si="89"/>
        <v>1.3066723586551472</v>
      </c>
      <c r="BC103" s="608">
        <f t="shared" si="90"/>
        <v>86.751678276369816</v>
      </c>
      <c r="BD103" s="1230">
        <f t="shared" si="50"/>
        <v>0</v>
      </c>
      <c r="BE103" s="760">
        <f t="shared" si="51"/>
        <v>0.15641830873759127</v>
      </c>
      <c r="BF103" s="705">
        <f t="shared" si="52"/>
        <v>0.25334435754262352</v>
      </c>
      <c r="BG103" s="705">
        <f t="shared" si="53"/>
        <v>7.0136187117214879E-2</v>
      </c>
      <c r="BH103" s="705">
        <f t="shared" si="54"/>
        <v>0</v>
      </c>
      <c r="BI103" s="705">
        <f t="shared" si="55"/>
        <v>0</v>
      </c>
      <c r="BJ103" s="705">
        <f t="shared" si="56"/>
        <v>0</v>
      </c>
      <c r="BK103" s="705">
        <f t="shared" si="57"/>
        <v>0.52010114660257045</v>
      </c>
      <c r="BL103" s="705">
        <f t="shared" si="58"/>
        <v>1</v>
      </c>
      <c r="BM103" s="730">
        <f t="shared" si="91"/>
        <v>0.29028184578274857</v>
      </c>
      <c r="BN103" s="483">
        <f t="shared" si="59"/>
        <v>0.30317187715157518</v>
      </c>
      <c r="BO103" s="483">
        <f t="shared" si="59"/>
        <v>8.2805443243048754E-2</v>
      </c>
      <c r="BP103" s="483">
        <f t="shared" si="59"/>
        <v>0</v>
      </c>
      <c r="BQ103" s="483">
        <f t="shared" si="59"/>
        <v>0</v>
      </c>
      <c r="BR103" s="483">
        <f t="shared" si="59"/>
        <v>0</v>
      </c>
      <c r="BS103" s="483">
        <f t="shared" si="59"/>
        <v>0.32374083382262742</v>
      </c>
      <c r="BT103" s="604">
        <f t="shared" si="92"/>
        <v>0.99999999999999989</v>
      </c>
      <c r="BU103"/>
      <c r="BV103" s="606">
        <f t="shared" si="60"/>
        <v>66.223905770338661</v>
      </c>
      <c r="BW103" s="114">
        <f t="shared" si="61"/>
        <v>0.59287738632389075</v>
      </c>
      <c r="BX103" s="1503">
        <f t="shared" si="22"/>
        <v>43.251251992583825</v>
      </c>
      <c r="BY103" s="606">
        <f t="shared" si="23"/>
        <v>73.144723907822438</v>
      </c>
      <c r="BZ103" s="114">
        <f t="shared" si="62"/>
        <v>0.5626342673339626</v>
      </c>
      <c r="CA103" s="765">
        <f t="shared" si="24"/>
        <v>50.172070130067617</v>
      </c>
      <c r="CB103" s="114">
        <f t="shared" si="25"/>
        <v>0.33765315078636471</v>
      </c>
      <c r="CC103" s="114">
        <f t="shared" si="26"/>
        <v>0.85</v>
      </c>
      <c r="CD103" s="730">
        <f t="shared" si="63"/>
        <v>0.33765315078636471</v>
      </c>
      <c r="CE103" s="604">
        <f t="shared" si="64"/>
        <v>0.85</v>
      </c>
      <c r="CF103"/>
      <c r="CG103" s="602">
        <f t="shared" si="65"/>
        <v>16.163042852416339</v>
      </c>
      <c r="CH103" s="704">
        <f t="shared" si="66"/>
        <v>6.759814384011543</v>
      </c>
      <c r="CI103" s="704">
        <f t="shared" si="67"/>
        <v>26.597600526743825</v>
      </c>
      <c r="CJ103" s="704">
        <f t="shared" si="68"/>
        <v>35.350769354462813</v>
      </c>
      <c r="CK103" s="704">
        <f t="shared" si="69"/>
        <v>0.44847975078914326</v>
      </c>
      <c r="CL103" s="704">
        <f t="shared" si="70"/>
        <v>85.319706868423665</v>
      </c>
      <c r="CM103" s="727">
        <f t="shared" si="71"/>
        <v>0</v>
      </c>
    </row>
    <row r="104" spans="1:91" s="4" customFormat="1">
      <c r="A104" s="100">
        <f>'Input data'!A125</f>
        <v>2025</v>
      </c>
      <c r="B104" s="1231">
        <f>'Input data'!B125</f>
        <v>62.802999999999997</v>
      </c>
      <c r="C104" s="1232">
        <f>'Input data'!C125</f>
        <v>3265.54</v>
      </c>
      <c r="D104" s="1232">
        <f>'Input data'!D125</f>
        <v>40955103.194912732</v>
      </c>
      <c r="E104" s="1128">
        <f t="shared" si="72"/>
        <v>0.89030769230769258</v>
      </c>
      <c r="F104" s="640">
        <f t="shared" si="73"/>
        <v>0.33738461538461528</v>
      </c>
      <c r="G104" s="1129">
        <f>B104*F104*'Input data'!$C$9</f>
        <v>648.52588116082893</v>
      </c>
      <c r="H104" s="834">
        <f>'Input data'!I125</f>
        <v>424.26313389388866</v>
      </c>
      <c r="I104" s="1062">
        <f>'Input data'!K125</f>
        <v>26644.997597937887</v>
      </c>
      <c r="J104" s="1228">
        <f t="shared" si="93"/>
        <v>80.836791121162832</v>
      </c>
      <c r="K104" s="1129">
        <f t="shared" si="74"/>
        <v>116.32611405240507</v>
      </c>
      <c r="L104" s="483">
        <f t="shared" si="75"/>
        <v>0.65384615384615408</v>
      </c>
      <c r="M104" s="483">
        <f t="shared" si="27"/>
        <v>0.53730769230769226</v>
      </c>
      <c r="N104" s="483">
        <f t="shared" si="76"/>
        <v>0.82769230769230739</v>
      </c>
      <c r="O104" s="483">
        <f t="shared" si="77"/>
        <v>0.86153846153846136</v>
      </c>
      <c r="P104" s="640">
        <f t="shared" si="28"/>
        <v>0.23600000000000002</v>
      </c>
      <c r="Q104" s="602">
        <f t="shared" si="29"/>
        <v>24.752128827221931</v>
      </c>
      <c r="R104" s="608">
        <f t="shared" si="30"/>
        <v>10.449704068939733</v>
      </c>
      <c r="S104" s="608">
        <f t="shared" si="31"/>
        <v>40.870702365851812</v>
      </c>
      <c r="T104" s="608">
        <f t="shared" si="32"/>
        <v>53.852818649927187</v>
      </c>
      <c r="U104" s="727">
        <f t="shared" si="33"/>
        <v>0.67710709475193609</v>
      </c>
      <c r="V104" s="834">
        <f t="shared" si="13"/>
        <v>130.60246100669258</v>
      </c>
      <c r="W104" s="1128">
        <f>($W$106-$W$101)/($A$106-$A$101)+W103</f>
        <v>0.5</v>
      </c>
      <c r="X104" s="1227">
        <f t="shared" si="14"/>
        <v>53.669159952994768</v>
      </c>
      <c r="Y104" s="1227">
        <f t="shared" si="15"/>
        <v>67.97491749150538</v>
      </c>
      <c r="Z104" s="1062">
        <f t="shared" si="78"/>
        <v>129.18798768206253</v>
      </c>
      <c r="AA104" s="1228">
        <f t="shared" si="16"/>
        <v>48.351196560899695</v>
      </c>
      <c r="AB104" s="1229">
        <f t="shared" si="34"/>
        <v>0.37427006510771088</v>
      </c>
      <c r="AC104" s="135" t="str">
        <f t="shared" si="35"/>
        <v>Policies met</v>
      </c>
      <c r="AD104" s="1240">
        <f t="shared" si="36"/>
        <v>0.37427006510771088</v>
      </c>
      <c r="AE104" s="135" t="str">
        <f t="shared" si="37"/>
        <v>No</v>
      </c>
      <c r="AF104" s="1293">
        <f t="shared" si="38"/>
        <v>265.47414314862152</v>
      </c>
      <c r="AG104" s="118">
        <f t="shared" si="39"/>
        <v>80.836791121162832</v>
      </c>
      <c r="AH104" s="158">
        <f t="shared" si="17"/>
        <v>81.721869422490471</v>
      </c>
      <c r="AI104" s="158">
        <f t="shared" si="18"/>
        <v>70.66879482496509</v>
      </c>
      <c r="AJ104" s="158">
        <f t="shared" si="19"/>
        <v>32.246687780003121</v>
      </c>
      <c r="AK104" s="158">
        <f t="shared" si="40"/>
        <v>265.47414314862152</v>
      </c>
      <c r="AL104" s="828">
        <f t="shared" si="20"/>
        <v>0</v>
      </c>
      <c r="AM104" s="730">
        <f t="shared" si="79"/>
        <v>0.30449967805681033</v>
      </c>
      <c r="AN104" s="483">
        <f t="shared" si="80"/>
        <v>0.30783363100164435</v>
      </c>
      <c r="AO104" s="483">
        <f t="shared" si="81"/>
        <v>0.26619841008546841</v>
      </c>
      <c r="AP104" s="483">
        <f t="shared" si="82"/>
        <v>0.1214682808560769</v>
      </c>
      <c r="AQ104" s="640">
        <f t="shared" si="45"/>
        <v>0.99999999999999989</v>
      </c>
      <c r="AR104" s="834">
        <f t="shared" si="83"/>
        <v>12.819377258705728</v>
      </c>
      <c r="AS104" s="835">
        <f t="shared" si="84"/>
        <v>20.763022704405529</v>
      </c>
      <c r="AT104" s="835">
        <f t="shared" si="85"/>
        <v>5.5294064685229927</v>
      </c>
      <c r="AU104" s="835">
        <f t="shared" si="46"/>
        <v>0</v>
      </c>
      <c r="AV104" s="835">
        <f t="shared" si="47"/>
        <v>0</v>
      </c>
      <c r="AW104" s="835">
        <f t="shared" si="48"/>
        <v>0</v>
      </c>
      <c r="AX104" s="1228">
        <f t="shared" si="21"/>
        <v>30.980419517355536</v>
      </c>
      <c r="AY104" s="835">
        <f t="shared" si="86"/>
        <v>3.2583815347607548</v>
      </c>
      <c r="AZ104" s="835">
        <f t="shared" si="87"/>
        <v>2.9356351185923093</v>
      </c>
      <c r="BA104" s="835">
        <f t="shared" si="88"/>
        <v>3.3161137043755708</v>
      </c>
      <c r="BB104" s="835">
        <f t="shared" si="89"/>
        <v>1.234434814444358</v>
      </c>
      <c r="BC104" s="608">
        <f t="shared" si="90"/>
        <v>80.836791121162776</v>
      </c>
      <c r="BD104" s="840">
        <f t="shared" si="50"/>
        <v>0</v>
      </c>
      <c r="BE104" s="760">
        <f t="shared" si="51"/>
        <v>0.15858345044264952</v>
      </c>
      <c r="BF104" s="705">
        <f t="shared" si="52"/>
        <v>0.25685114929023756</v>
      </c>
      <c r="BG104" s="705">
        <f t="shared" si="53"/>
        <v>6.8402102456481775E-2</v>
      </c>
      <c r="BH104" s="705">
        <f t="shared" si="54"/>
        <v>0</v>
      </c>
      <c r="BI104" s="705">
        <f t="shared" si="55"/>
        <v>0</v>
      </c>
      <c r="BJ104" s="705">
        <f t="shared" si="56"/>
        <v>0</v>
      </c>
      <c r="BK104" s="705">
        <f t="shared" si="57"/>
        <v>0.51616329781063119</v>
      </c>
      <c r="BL104" s="705">
        <f t="shared" si="58"/>
        <v>1</v>
      </c>
      <c r="BM104" s="730">
        <f t="shared" si="91"/>
        <v>0.29028184578274857</v>
      </c>
      <c r="BN104" s="483">
        <f t="shared" si="59"/>
        <v>0.30317187715157518</v>
      </c>
      <c r="BO104" s="483">
        <f t="shared" si="59"/>
        <v>8.2805443243048754E-2</v>
      </c>
      <c r="BP104" s="483">
        <f t="shared" si="59"/>
        <v>0</v>
      </c>
      <c r="BQ104" s="483">
        <f t="shared" si="59"/>
        <v>0</v>
      </c>
      <c r="BR104" s="483">
        <f t="shared" si="59"/>
        <v>0</v>
      </c>
      <c r="BS104" s="483">
        <f t="shared" si="59"/>
        <v>0.32374083382262742</v>
      </c>
      <c r="BT104" s="604">
        <f t="shared" si="92"/>
        <v>0.99999999999999989</v>
      </c>
      <c r="BU104"/>
      <c r="BV104" s="606">
        <f t="shared" si="60"/>
        <v>63.263069963906965</v>
      </c>
      <c r="BW104" s="114">
        <f t="shared" si="61"/>
        <v>0.64181941881000182</v>
      </c>
      <c r="BX104" s="1503">
        <f t="shared" si="22"/>
        <v>40.955103194912731</v>
      </c>
      <c r="BY104" s="606">
        <f t="shared" si="23"/>
        <v>72.480036899061858</v>
      </c>
      <c r="BZ104" s="114">
        <f t="shared" si="62"/>
        <v>0.60133405804649953</v>
      </c>
      <c r="CA104" s="765">
        <f t="shared" si="24"/>
        <v>50.172070130067617</v>
      </c>
      <c r="CB104" s="114">
        <f t="shared" si="25"/>
        <v>0.37427006510771088</v>
      </c>
      <c r="CC104" s="114">
        <f t="shared" si="26"/>
        <v>0.85</v>
      </c>
      <c r="CD104" s="730">
        <f t="shared" si="63"/>
        <v>0.37427006510771088</v>
      </c>
      <c r="CE104" s="604">
        <f t="shared" si="64"/>
        <v>0.85</v>
      </c>
      <c r="CF104"/>
      <c r="CG104" s="602">
        <f t="shared" si="65"/>
        <v>15.488147959503131</v>
      </c>
      <c r="CH104" s="704">
        <f t="shared" si="66"/>
        <v>6.5386926467013478</v>
      </c>
      <c r="CI104" s="704">
        <f t="shared" si="67"/>
        <v>25.574021930386582</v>
      </c>
      <c r="CJ104" s="704">
        <f t="shared" si="68"/>
        <v>33.697320707585192</v>
      </c>
      <c r="CK104" s="704">
        <f t="shared" si="69"/>
        <v>0.42368617831423599</v>
      </c>
      <c r="CL104" s="704">
        <f t="shared" si="70"/>
        <v>81.721869422490499</v>
      </c>
      <c r="CM104" s="727">
        <f t="shared" si="71"/>
        <v>0</v>
      </c>
    </row>
    <row r="105" spans="1:91" s="4" customFormat="1">
      <c r="A105" s="100">
        <f>'Input data'!A126</f>
        <v>2026</v>
      </c>
      <c r="B105" s="1231">
        <f>'Input data'!B126</f>
        <v>63.420999999999999</v>
      </c>
      <c r="C105" s="1232">
        <f>'Input data'!C126</f>
        <v>3341.28</v>
      </c>
      <c r="D105" s="1232">
        <f>'Input data'!D126</f>
        <v>39969673.998818383</v>
      </c>
      <c r="E105" s="1128">
        <f t="shared" si="72"/>
        <v>0.91224615384615415</v>
      </c>
      <c r="F105" s="640">
        <f t="shared" si="73"/>
        <v>0.3433576923076922</v>
      </c>
      <c r="G105" s="1129">
        <f>B105*F105*'Input data'!$C$9</f>
        <v>666.50208844796612</v>
      </c>
      <c r="H105" s="834">
        <f>'Input data'!I126</f>
        <v>424.26313389388866</v>
      </c>
      <c r="I105" s="1062">
        <f>'Input data'!K126</f>
        <v>26907.192214684314</v>
      </c>
      <c r="J105" s="1228">
        <f t="shared" si="93"/>
        <v>74.921903965955792</v>
      </c>
      <c r="K105" s="1129">
        <f t="shared" si="74"/>
        <v>122.24100120761211</v>
      </c>
      <c r="L105" s="483">
        <f t="shared" si="75"/>
        <v>0.66307692307692334</v>
      </c>
      <c r="M105" s="483">
        <f t="shared" si="27"/>
        <v>0.54984615384615376</v>
      </c>
      <c r="N105" s="483">
        <f t="shared" si="76"/>
        <v>0.84215384615384581</v>
      </c>
      <c r="O105" s="483">
        <f t="shared" si="77"/>
        <v>0.86923076923076903</v>
      </c>
      <c r="P105" s="640">
        <f t="shared" si="28"/>
        <v>0.23600000000000002</v>
      </c>
      <c r="Q105" s="602">
        <f t="shared" si="29"/>
        <v>25.101570645959185</v>
      </c>
      <c r="R105" s="608">
        <f t="shared" si="30"/>
        <v>10.693555430892085</v>
      </c>
      <c r="S105" s="608">
        <f t="shared" si="31"/>
        <v>41.584800139530259</v>
      </c>
      <c r="T105" s="608">
        <f t="shared" si="32"/>
        <v>54.333647387872965</v>
      </c>
      <c r="U105" s="727">
        <f t="shared" si="33"/>
        <v>0.67710709475193609</v>
      </c>
      <c r="V105" s="834">
        <f t="shared" si="13"/>
        <v>132.39068069900642</v>
      </c>
      <c r="W105" s="1128">
        <f>($W$106-$W$101)/($A$106-$A$101)+W104</f>
        <v>0.5</v>
      </c>
      <c r="X105" s="1227">
        <f t="shared" si="14"/>
        <v>53.669159952994768</v>
      </c>
      <c r="Y105" s="1227">
        <f t="shared" si="15"/>
        <v>69.763137183819225</v>
      </c>
      <c r="Z105" s="1062">
        <f t="shared" si="78"/>
        <v>127.39976798974868</v>
      </c>
      <c r="AA105" s="1228">
        <f t="shared" si="16"/>
        <v>52.47786402379289</v>
      </c>
      <c r="AB105" s="1229">
        <f t="shared" si="34"/>
        <v>0.41191491045741591</v>
      </c>
      <c r="AC105" s="135" t="str">
        <f t="shared" si="35"/>
        <v>Policies met</v>
      </c>
      <c r="AD105" s="1240">
        <f t="shared" si="36"/>
        <v>0.41191491045741591</v>
      </c>
      <c r="AE105" s="135" t="str">
        <f t="shared" si="37"/>
        <v>No</v>
      </c>
      <c r="AF105" s="1293">
        <f t="shared" si="38"/>
        <v>249.50282308560486</v>
      </c>
      <c r="AG105" s="118">
        <f t="shared" si="39"/>
        <v>74.921903965955792</v>
      </c>
      <c r="AH105" s="158">
        <f t="shared" si="17"/>
        <v>77.856985313478859</v>
      </c>
      <c r="AI105" s="158">
        <f t="shared" si="18"/>
        <v>66.41725481722392</v>
      </c>
      <c r="AJ105" s="158">
        <f t="shared" si="19"/>
        <v>30.30667898894632</v>
      </c>
      <c r="AK105" s="158">
        <f t="shared" si="40"/>
        <v>249.50282308560489</v>
      </c>
      <c r="AL105" s="828">
        <f t="shared" si="20"/>
        <v>0</v>
      </c>
      <c r="AM105" s="730">
        <f t="shared" si="79"/>
        <v>0.30028479453416823</v>
      </c>
      <c r="AN105" s="483">
        <f t="shared" si="80"/>
        <v>0.3120485145242865</v>
      </c>
      <c r="AO105" s="483">
        <f t="shared" si="81"/>
        <v>0.26619841008546841</v>
      </c>
      <c r="AP105" s="483">
        <f t="shared" si="82"/>
        <v>0.12146828085607689</v>
      </c>
      <c r="AQ105" s="640">
        <f t="shared" si="45"/>
        <v>1</v>
      </c>
      <c r="AR105" s="834">
        <f t="shared" si="83"/>
        <v>12.048144419307414</v>
      </c>
      <c r="AS105" s="835">
        <f t="shared" si="84"/>
        <v>19.513888317324774</v>
      </c>
      <c r="AT105" s="835">
        <f t="shared" si="85"/>
        <v>4.9912476121592109</v>
      </c>
      <c r="AU105" s="835">
        <f t="shared" si="46"/>
        <v>0</v>
      </c>
      <c r="AV105" s="835">
        <f t="shared" si="47"/>
        <v>0</v>
      </c>
      <c r="AW105" s="835">
        <f t="shared" si="48"/>
        <v>0</v>
      </c>
      <c r="AX105" s="1228">
        <f t="shared" si="21"/>
        <v>29.11659131198034</v>
      </c>
      <c r="AY105" s="835">
        <f t="shared" si="86"/>
        <v>2.9189470959405797</v>
      </c>
      <c r="AZ105" s="835">
        <f t="shared" si="87"/>
        <v>2.3390726819804963</v>
      </c>
      <c r="BA105" s="835">
        <f t="shared" si="88"/>
        <v>2.8338431508178745</v>
      </c>
      <c r="BB105" s="835">
        <f t="shared" si="89"/>
        <v>1.1601693764450574</v>
      </c>
      <c r="BC105" s="608">
        <f t="shared" si="90"/>
        <v>74.92190396595575</v>
      </c>
      <c r="BD105" s="1230">
        <f t="shared" si="50"/>
        <v>0</v>
      </c>
      <c r="BE105" s="760">
        <f t="shared" si="51"/>
        <v>0.16080937324793626</v>
      </c>
      <c r="BF105" s="705">
        <f t="shared" si="52"/>
        <v>0.26045638570786744</v>
      </c>
      <c r="BG105" s="705">
        <f t="shared" si="53"/>
        <v>6.6619337576194218E-2</v>
      </c>
      <c r="BH105" s="705">
        <f t="shared" si="54"/>
        <v>0</v>
      </c>
      <c r="BI105" s="705">
        <f t="shared" si="55"/>
        <v>0</v>
      </c>
      <c r="BJ105" s="705">
        <f t="shared" si="56"/>
        <v>0</v>
      </c>
      <c r="BK105" s="705">
        <f t="shared" si="57"/>
        <v>0.51211490346800204</v>
      </c>
      <c r="BL105" s="705">
        <f t="shared" si="58"/>
        <v>1</v>
      </c>
      <c r="BM105" s="730">
        <f t="shared" si="91"/>
        <v>0.29028184578274857</v>
      </c>
      <c r="BN105" s="483">
        <f t="shared" si="59"/>
        <v>0.30317187715157518</v>
      </c>
      <c r="BO105" s="483">
        <f t="shared" si="59"/>
        <v>8.2805443243048754E-2</v>
      </c>
      <c r="BP105" s="483">
        <f t="shared" si="59"/>
        <v>0</v>
      </c>
      <c r="BQ105" s="483">
        <f t="shared" si="59"/>
        <v>0</v>
      </c>
      <c r="BR105" s="483">
        <f t="shared" si="59"/>
        <v>0</v>
      </c>
      <c r="BS105" s="483">
        <f t="shared" si="59"/>
        <v>0.32374083382262742</v>
      </c>
      <c r="BT105" s="604">
        <f t="shared" si="92"/>
        <v>0.99999999999999989</v>
      </c>
      <c r="BU105"/>
      <c r="BV105" s="606">
        <f t="shared" si="60"/>
        <v>61.55949241750529</v>
      </c>
      <c r="BW105" s="114">
        <f t="shared" si="61"/>
        <v>0.68520627201315898</v>
      </c>
      <c r="BX105" s="1503">
        <f t="shared" si="22"/>
        <v>39.969673998818379</v>
      </c>
      <c r="BY105" s="606">
        <f t="shared" si="23"/>
        <v>71.761888548754513</v>
      </c>
      <c r="BZ105" s="114">
        <f t="shared" si="62"/>
        <v>0.64165041661087419</v>
      </c>
      <c r="CA105" s="765">
        <f t="shared" si="24"/>
        <v>50.172070130067617</v>
      </c>
      <c r="CB105" s="114">
        <f t="shared" si="25"/>
        <v>0.41191491045741591</v>
      </c>
      <c r="CC105" s="114">
        <f t="shared" si="26"/>
        <v>0.85</v>
      </c>
      <c r="CD105" s="730">
        <f t="shared" si="63"/>
        <v>0.41191491045741591</v>
      </c>
      <c r="CE105" s="604">
        <f t="shared" si="64"/>
        <v>0.85</v>
      </c>
      <c r="CF105"/>
      <c r="CG105" s="602">
        <f t="shared" si="65"/>
        <v>14.761859420988408</v>
      </c>
      <c r="CH105" s="704">
        <f t="shared" si="66"/>
        <v>6.2887205031047584</v>
      </c>
      <c r="CI105" s="704">
        <f t="shared" si="67"/>
        <v>24.455400913666114</v>
      </c>
      <c r="CJ105" s="704">
        <f t="shared" si="68"/>
        <v>31.952807889272464</v>
      </c>
      <c r="CK105" s="704">
        <f t="shared" si="69"/>
        <v>0.39819658644711131</v>
      </c>
      <c r="CL105" s="704">
        <f t="shared" si="70"/>
        <v>77.856985313478859</v>
      </c>
      <c r="CM105" s="727">
        <f t="shared" si="71"/>
        <v>0</v>
      </c>
    </row>
    <row r="106" spans="1:91" s="530" customFormat="1">
      <c r="A106" s="1083">
        <f>'Input data'!A127</f>
        <v>2027</v>
      </c>
      <c r="B106" s="1223">
        <f>'Input data'!B127</f>
        <v>64.046000000000006</v>
      </c>
      <c r="C106" s="1224">
        <f>'Input data'!C127</f>
        <v>3416.2799999999997</v>
      </c>
      <c r="D106" s="1224">
        <f>'Input data'!D127</f>
        <v>38984244.802724026</v>
      </c>
      <c r="E106" s="1128">
        <f t="shared" si="72"/>
        <v>0.93418461538461572</v>
      </c>
      <c r="F106" s="640">
        <f t="shared" si="73"/>
        <v>0.34933076923076911</v>
      </c>
      <c r="G106" s="1130">
        <f>B106*F106*'Input data'!$C$9</f>
        <v>684.77910312064694</v>
      </c>
      <c r="H106" s="1339">
        <f>'Input data'!I127</f>
        <v>424.26313389388866</v>
      </c>
      <c r="I106" s="1063">
        <f>'Input data'!K127</f>
        <v>27172.356673367995</v>
      </c>
      <c r="J106" s="1228">
        <f>J96*(1-E5)</f>
        <v>69.007016810748766</v>
      </c>
      <c r="K106" s="1129">
        <f t="shared" si="74"/>
        <v>128.15588836281916</v>
      </c>
      <c r="L106" s="483">
        <f t="shared" si="75"/>
        <v>0.67230769230769261</v>
      </c>
      <c r="M106" s="483">
        <f t="shared" si="27"/>
        <v>0.56238461538461526</v>
      </c>
      <c r="N106" s="483">
        <f t="shared" si="76"/>
        <v>0.85661538461538422</v>
      </c>
      <c r="O106" s="483">
        <f t="shared" si="77"/>
        <v>0.87692307692307669</v>
      </c>
      <c r="P106" s="640">
        <f t="shared" si="28"/>
        <v>0.23600000000000002</v>
      </c>
      <c r="Q106" s="602">
        <f t="shared" si="29"/>
        <v>25.451012464696436</v>
      </c>
      <c r="R106" s="608">
        <f t="shared" si="30"/>
        <v>10.937406792844435</v>
      </c>
      <c r="S106" s="608">
        <f t="shared" si="31"/>
        <v>42.298897913208712</v>
      </c>
      <c r="T106" s="608">
        <f t="shared" si="32"/>
        <v>54.814476125818743</v>
      </c>
      <c r="U106" s="727">
        <f t="shared" si="33"/>
        <v>0.67710709475193609</v>
      </c>
      <c r="V106" s="834">
        <f t="shared" si="13"/>
        <v>134.17890039132027</v>
      </c>
      <c r="W106" s="1131">
        <f>$C$27</f>
        <v>0.5</v>
      </c>
      <c r="X106" s="1227">
        <f t="shared" si="14"/>
        <v>53.669159952994768</v>
      </c>
      <c r="Y106" s="1227">
        <f t="shared" si="15"/>
        <v>71.55135687613307</v>
      </c>
      <c r="Z106" s="1062">
        <f t="shared" si="78"/>
        <v>125.61154829743484</v>
      </c>
      <c r="AA106" s="1228">
        <f t="shared" si="16"/>
        <v>56.604531486686085</v>
      </c>
      <c r="AB106" s="1229">
        <f t="shared" si="34"/>
        <v>0.45063158804995024</v>
      </c>
      <c r="AC106" s="135" t="str">
        <f t="shared" si="35"/>
        <v>Policies met</v>
      </c>
      <c r="AD106" s="1240">
        <f t="shared" si="36"/>
        <v>0.45063158804995024</v>
      </c>
      <c r="AE106" s="135" t="str">
        <f t="shared" si="37"/>
        <v>No</v>
      </c>
      <c r="AF106" s="1293">
        <f t="shared" si="38"/>
        <v>233.07676411623692</v>
      </c>
      <c r="AG106" s="118">
        <f t="shared" si="39"/>
        <v>69.007016810748752</v>
      </c>
      <c r="AH106" s="158">
        <f t="shared" si="17"/>
        <v>73.713649425183519</v>
      </c>
      <c r="AI106" s="158">
        <f t="shared" si="18"/>
        <v>62.044664035608022</v>
      </c>
      <c r="AJ106" s="158">
        <f t="shared" si="19"/>
        <v>28.311433844696655</v>
      </c>
      <c r="AK106" s="158">
        <f t="shared" si="40"/>
        <v>233.07676411623694</v>
      </c>
      <c r="AL106" s="828">
        <f t="shared" si="20"/>
        <v>0</v>
      </c>
      <c r="AM106" s="730">
        <f t="shared" si="79"/>
        <v>0.29606991101152619</v>
      </c>
      <c r="AN106" s="483">
        <f t="shared" si="80"/>
        <v>0.31626339804692855</v>
      </c>
      <c r="AO106" s="483">
        <f t="shared" si="81"/>
        <v>0.26619841008546835</v>
      </c>
      <c r="AP106" s="483">
        <f t="shared" si="82"/>
        <v>0.1214682808560769</v>
      </c>
      <c r="AQ106" s="640">
        <f t="shared" si="45"/>
        <v>0.99999999999999989</v>
      </c>
      <c r="AR106" s="834">
        <f t="shared" si="83"/>
        <v>11.254952870388131</v>
      </c>
      <c r="AS106" s="835">
        <f t="shared" si="84"/>
        <v>18.229188303681799</v>
      </c>
      <c r="AT106" s="835">
        <f t="shared" si="85"/>
        <v>4.4706757161596622</v>
      </c>
      <c r="AU106" s="835">
        <f t="shared" si="46"/>
        <v>0</v>
      </c>
      <c r="AV106" s="835">
        <f t="shared" si="47"/>
        <v>0</v>
      </c>
      <c r="AW106" s="835">
        <f t="shared" si="48"/>
        <v>0</v>
      </c>
      <c r="AX106" s="1228">
        <f t="shared" si="21"/>
        <v>27.199695783654075</v>
      </c>
      <c r="AY106" s="835">
        <f t="shared" si="86"/>
        <v>2.5928135032952477</v>
      </c>
      <c r="AZ106" s="835">
        <f t="shared" si="87"/>
        <v>1.7927766913290961</v>
      </c>
      <c r="BA106" s="835">
        <f t="shared" si="88"/>
        <v>2.3831245055344494</v>
      </c>
      <c r="BB106" s="835">
        <f t="shared" si="89"/>
        <v>1.0837894367062479</v>
      </c>
      <c r="BC106" s="608">
        <f t="shared" si="90"/>
        <v>69.007016810748723</v>
      </c>
      <c r="BD106" s="1230">
        <f t="shared" si="50"/>
        <v>0</v>
      </c>
      <c r="BE106" s="760">
        <f t="shared" si="51"/>
        <v>0.16309867301255412</v>
      </c>
      <c r="BF106" s="705">
        <f t="shared" si="52"/>
        <v>0.2641642712026695</v>
      </c>
      <c r="BG106" s="705">
        <f t="shared" si="53"/>
        <v>6.4785813425618149E-2</v>
      </c>
      <c r="BH106" s="705">
        <f t="shared" si="54"/>
        <v>0</v>
      </c>
      <c r="BI106" s="705">
        <f t="shared" si="55"/>
        <v>0</v>
      </c>
      <c r="BJ106" s="705">
        <f t="shared" si="56"/>
        <v>0</v>
      </c>
      <c r="BK106" s="705">
        <f t="shared" si="57"/>
        <v>0.50795124235915801</v>
      </c>
      <c r="BL106" s="705">
        <f t="shared" si="58"/>
        <v>0.99999999999999978</v>
      </c>
      <c r="BM106" s="730">
        <f t="shared" si="91"/>
        <v>0.29028184578274857</v>
      </c>
      <c r="BN106" s="483">
        <f t="shared" si="59"/>
        <v>0.30317187715157518</v>
      </c>
      <c r="BO106" s="483">
        <f t="shared" si="59"/>
        <v>8.2805443243048754E-2</v>
      </c>
      <c r="BP106" s="483">
        <f t="shared" si="59"/>
        <v>0</v>
      </c>
      <c r="BQ106" s="483">
        <f t="shared" si="59"/>
        <v>0</v>
      </c>
      <c r="BR106" s="483">
        <f t="shared" si="59"/>
        <v>0</v>
      </c>
      <c r="BS106" s="483">
        <f t="shared" si="59"/>
        <v>0.32374083382262742</v>
      </c>
      <c r="BT106" s="604">
        <f t="shared" si="92"/>
        <v>0.99999999999999989</v>
      </c>
      <c r="BU106" s="1"/>
      <c r="BV106" s="606">
        <f t="shared" si="60"/>
        <v>59.807407802297149</v>
      </c>
      <c r="BW106" s="114">
        <f t="shared" si="61"/>
        <v>0.73003349026520781</v>
      </c>
      <c r="BX106" s="1503">
        <f t="shared" si="22"/>
        <v>38.984244802724028</v>
      </c>
      <c r="BY106" s="606">
        <f t="shared" si="23"/>
        <v>70.995233129640738</v>
      </c>
      <c r="BZ106" s="114">
        <f t="shared" si="62"/>
        <v>0.68408346998063563</v>
      </c>
      <c r="CA106" s="765">
        <f t="shared" si="24"/>
        <v>50.172070130067617</v>
      </c>
      <c r="CB106" s="114">
        <f t="shared" si="25"/>
        <v>0.45063158804995024</v>
      </c>
      <c r="CC106" s="114">
        <f t="shared" si="26"/>
        <v>0.85</v>
      </c>
      <c r="CD106" s="730">
        <f t="shared" si="63"/>
        <v>0.45063158804995024</v>
      </c>
      <c r="CE106" s="604">
        <f t="shared" si="64"/>
        <v>0.85</v>
      </c>
      <c r="CF106" s="1"/>
      <c r="CG106" s="602">
        <f t="shared" si="65"/>
        <v>13.981982300251202</v>
      </c>
      <c r="CH106" s="704">
        <f t="shared" si="66"/>
        <v>6.0086658006366331</v>
      </c>
      <c r="CI106" s="704">
        <f t="shared" si="67"/>
        <v>23.237678373816742</v>
      </c>
      <c r="CJ106" s="704">
        <f t="shared" si="68"/>
        <v>30.113341701114955</v>
      </c>
      <c r="CK106" s="704">
        <f t="shared" si="69"/>
        <v>0.37198124936398297</v>
      </c>
      <c r="CL106" s="704">
        <f t="shared" si="70"/>
        <v>73.713649425183519</v>
      </c>
      <c r="CM106" s="727">
        <f t="shared" si="71"/>
        <v>0</v>
      </c>
    </row>
    <row r="107" spans="1:91" s="4" customFormat="1">
      <c r="A107" s="100">
        <f>'Input data'!A128</f>
        <v>2028</v>
      </c>
      <c r="B107" s="1231">
        <f>'Input data'!B128</f>
        <v>64.676000000000002</v>
      </c>
      <c r="C107" s="1232">
        <f>'Input data'!C128</f>
        <v>3494.8800000000006</v>
      </c>
      <c r="D107" s="1232">
        <f>'Input data'!D128</f>
        <v>37998815.60662967</v>
      </c>
      <c r="E107" s="1128">
        <f t="shared" si="72"/>
        <v>0.9561230769230773</v>
      </c>
      <c r="F107" s="640">
        <f t="shared" si="73"/>
        <v>0.35530384615384603</v>
      </c>
      <c r="G107" s="1129">
        <f>B107*F107*'Input data'!$C$9</f>
        <v>703.33901475004564</v>
      </c>
      <c r="H107" s="834">
        <f>'Input data'!I128</f>
        <v>424.26313389388866</v>
      </c>
      <c r="I107" s="1062">
        <f>'Input data'!K128</f>
        <v>27439.642447721144</v>
      </c>
      <c r="J107" s="1228">
        <f t="shared" si="93"/>
        <v>63.092129655541726</v>
      </c>
      <c r="K107" s="1129">
        <f t="shared" si="74"/>
        <v>134.07077551802618</v>
      </c>
      <c r="L107" s="483">
        <f t="shared" si="75"/>
        <v>0.68153846153846187</v>
      </c>
      <c r="M107" s="483">
        <f t="shared" si="27"/>
        <v>0.57492307692307676</v>
      </c>
      <c r="N107" s="483">
        <f t="shared" si="76"/>
        <v>0.87107692307692264</v>
      </c>
      <c r="O107" s="483">
        <f t="shared" si="77"/>
        <v>0.88461538461538436</v>
      </c>
      <c r="P107" s="640">
        <f t="shared" si="28"/>
        <v>0.23600000000000002</v>
      </c>
      <c r="Q107" s="602">
        <f t="shared" si="29"/>
        <v>25.800454283433687</v>
      </c>
      <c r="R107" s="608">
        <f t="shared" si="30"/>
        <v>11.181258154796787</v>
      </c>
      <c r="S107" s="608">
        <f t="shared" si="31"/>
        <v>43.012995686887159</v>
      </c>
      <c r="T107" s="608">
        <f t="shared" si="32"/>
        <v>55.295304863764521</v>
      </c>
      <c r="U107" s="727">
        <f t="shared" si="33"/>
        <v>0.67710709475193609</v>
      </c>
      <c r="V107" s="834">
        <f t="shared" si="13"/>
        <v>135.96712008363409</v>
      </c>
      <c r="W107" s="1128">
        <f>W106</f>
        <v>0.5</v>
      </c>
      <c r="X107" s="1227">
        <f t="shared" si="14"/>
        <v>53.669159952994768</v>
      </c>
      <c r="Y107" s="1227">
        <f t="shared" si="15"/>
        <v>73.339576568446887</v>
      </c>
      <c r="Z107" s="1062">
        <f t="shared" si="78"/>
        <v>123.82332860512102</v>
      </c>
      <c r="AA107" s="1228">
        <f t="shared" si="16"/>
        <v>60.731198949579294</v>
      </c>
      <c r="AB107" s="1229">
        <f t="shared" si="34"/>
        <v>0.49046653513292493</v>
      </c>
      <c r="AC107" s="135" t="str">
        <f t="shared" si="35"/>
        <v>Policies met</v>
      </c>
      <c r="AD107" s="1240">
        <f t="shared" si="36"/>
        <v>0.49046653513292493</v>
      </c>
      <c r="AE107" s="135" t="str">
        <f t="shared" si="37"/>
        <v>No</v>
      </c>
      <c r="AF107" s="1293">
        <f t="shared" si="38"/>
        <v>216.17626462831689</v>
      </c>
      <c r="AG107" s="118">
        <f t="shared" si="39"/>
        <v>63.092129655541726</v>
      </c>
      <c r="AH107" s="158">
        <f t="shared" si="17"/>
        <v>69.279797804211739</v>
      </c>
      <c r="AI107" s="158">
        <f t="shared" si="18"/>
        <v>57.545777942273439</v>
      </c>
      <c r="AJ107" s="158">
        <f t="shared" si="19"/>
        <v>26.25855922629</v>
      </c>
      <c r="AK107" s="158">
        <f t="shared" si="40"/>
        <v>216.17626462831691</v>
      </c>
      <c r="AL107" s="828">
        <f t="shared" si="20"/>
        <v>0</v>
      </c>
      <c r="AM107" s="730">
        <f>AG107/AK107</f>
        <v>0.29185502748888414</v>
      </c>
      <c r="AN107" s="483">
        <f>AH107/AK107</f>
        <v>0.32047828156957053</v>
      </c>
      <c r="AO107" s="483">
        <f>AI107/AK107</f>
        <v>0.26619841008546841</v>
      </c>
      <c r="AP107" s="483">
        <f t="shared" si="82"/>
        <v>0.12146828085607689</v>
      </c>
      <c r="AQ107" s="640">
        <f t="shared" si="45"/>
        <v>0.99999999999999989</v>
      </c>
      <c r="AR107" s="834">
        <f t="shared" si="83"/>
        <v>10.438851248487726</v>
      </c>
      <c r="AS107" s="835">
        <f t="shared" si="84"/>
        <v>16.907381778866956</v>
      </c>
      <c r="AT107" s="835">
        <f t="shared" si="85"/>
        <v>3.9684527374804106</v>
      </c>
      <c r="AU107" s="835">
        <f t="shared" si="46"/>
        <v>0</v>
      </c>
      <c r="AV107" s="835">
        <f t="shared" si="47"/>
        <v>0</v>
      </c>
      <c r="AW107" s="835">
        <f t="shared" si="48"/>
        <v>0</v>
      </c>
      <c r="AX107" s="1228">
        <f t="shared" si="21"/>
        <v>25.22743378488196</v>
      </c>
      <c r="AY107" s="835">
        <f t="shared" si="86"/>
        <v>2.2805570174209362</v>
      </c>
      <c r="AZ107" s="835">
        <f t="shared" si="87"/>
        <v>1.2989249458349634</v>
      </c>
      <c r="BA107" s="835">
        <f t="shared" si="88"/>
        <v>1.9653247583568985</v>
      </c>
      <c r="BB107" s="835">
        <f t="shared" si="89"/>
        <v>1.0052033842118324</v>
      </c>
      <c r="BC107" s="608">
        <f>SUM(AR107:BB107)</f>
        <v>63.09212965554169</v>
      </c>
      <c r="BD107" s="1230">
        <f t="shared" si="50"/>
        <v>0</v>
      </c>
      <c r="BE107" s="760">
        <f t="shared" si="51"/>
        <v>0.16545409555010687</v>
      </c>
      <c r="BF107" s="705">
        <f t="shared" si="52"/>
        <v>0.267979253056992</v>
      </c>
      <c r="BG107" s="705">
        <f t="shared" si="53"/>
        <v>6.2899330853889504E-2</v>
      </c>
      <c r="BH107" s="705">
        <f t="shared" si="54"/>
        <v>0</v>
      </c>
      <c r="BI107" s="705">
        <f t="shared" si="55"/>
        <v>0</v>
      </c>
      <c r="BJ107" s="705">
        <f t="shared" si="56"/>
        <v>0</v>
      </c>
      <c r="BK107" s="705">
        <f t="shared" si="57"/>
        <v>0.50366732053901153</v>
      </c>
      <c r="BL107" s="705">
        <f t="shared" si="58"/>
        <v>0.99999999999999989</v>
      </c>
      <c r="BM107" s="730">
        <f t="shared" si="91"/>
        <v>0.29028184578274857</v>
      </c>
      <c r="BN107" s="483">
        <f t="shared" si="59"/>
        <v>0.30317187715157518</v>
      </c>
      <c r="BO107" s="483">
        <f t="shared" si="59"/>
        <v>8.2805443243048754E-2</v>
      </c>
      <c r="BP107" s="483">
        <f t="shared" si="59"/>
        <v>0</v>
      </c>
      <c r="BQ107" s="483">
        <f t="shared" si="59"/>
        <v>0</v>
      </c>
      <c r="BR107" s="483">
        <f t="shared" si="59"/>
        <v>0</v>
      </c>
      <c r="BS107" s="483">
        <f t="shared" si="59"/>
        <v>0.32374083382262742</v>
      </c>
      <c r="BT107" s="604">
        <f t="shared" si="92"/>
        <v>0.99999999999999989</v>
      </c>
      <c r="BU107"/>
      <c r="BV107" s="606">
        <f t="shared" si="60"/>
        <v>58.011401529007244</v>
      </c>
      <c r="BW107" s="114">
        <f t="shared" si="61"/>
        <v>0.77627777239129692</v>
      </c>
      <c r="BX107" s="1503">
        <f t="shared" si="22"/>
        <v>37.99881560662967</v>
      </c>
      <c r="BY107" s="606">
        <f t="shared" si="23"/>
        <v>70.184656052445177</v>
      </c>
      <c r="BZ107" s="114">
        <f t="shared" si="62"/>
        <v>0.7288232908259662</v>
      </c>
      <c r="CA107" s="765">
        <f t="shared" si="24"/>
        <v>50.172070130067617</v>
      </c>
      <c r="CB107" s="114">
        <f t="shared" si="25"/>
        <v>0.49046653513292493</v>
      </c>
      <c r="CC107" s="114">
        <f t="shared" si="26"/>
        <v>0.85</v>
      </c>
      <c r="CD107" s="730">
        <f t="shared" si="63"/>
        <v>0.49046653513292493</v>
      </c>
      <c r="CE107" s="604">
        <f t="shared" si="64"/>
        <v>0.85</v>
      </c>
      <c r="CF107"/>
      <c r="CG107" s="602">
        <f t="shared" si="65"/>
        <v>13.146194866182535</v>
      </c>
      <c r="CH107" s="704">
        <f t="shared" si="66"/>
        <v>5.6972252091868452</v>
      </c>
      <c r="CI107" s="704">
        <f t="shared" si="67"/>
        <v>21.916560726652168</v>
      </c>
      <c r="CJ107" s="704">
        <f t="shared" si="68"/>
        <v>28.174808278115165</v>
      </c>
      <c r="CK107" s="704">
        <f t="shared" si="69"/>
        <v>0.34500872407503291</v>
      </c>
      <c r="CL107" s="704">
        <f t="shared" si="70"/>
        <v>69.279797804211739</v>
      </c>
      <c r="CM107" s="727">
        <f t="shared" si="71"/>
        <v>0</v>
      </c>
    </row>
    <row r="108" spans="1:91" s="4" customFormat="1">
      <c r="A108" s="100">
        <f>'Input data'!A129</f>
        <v>2029</v>
      </c>
      <c r="B108" s="1231">
        <f>'Input data'!B129</f>
        <v>65.313000000000002</v>
      </c>
      <c r="C108" s="1232">
        <f>'Input data'!C129</f>
        <v>3576.08</v>
      </c>
      <c r="D108" s="1232">
        <f>'Input data'!D129</f>
        <v>37013386.410535313</v>
      </c>
      <c r="E108" s="1128">
        <f t="shared" si="72"/>
        <v>0.97806153846153887</v>
      </c>
      <c r="F108" s="640">
        <f t="shared" si="73"/>
        <v>0.36127692307692294</v>
      </c>
      <c r="G108" s="1129">
        <f>B108*F108*'Input data'!$C$9</f>
        <v>722.20668086181445</v>
      </c>
      <c r="H108" s="834">
        <f>'Input data'!I129</f>
        <v>424.26313389388866</v>
      </c>
      <c r="I108" s="1062">
        <f>'Input data'!K129</f>
        <v>27709.898064011551</v>
      </c>
      <c r="J108" s="1228">
        <f t="shared" si="93"/>
        <v>57.177242500334685</v>
      </c>
      <c r="K108" s="1129">
        <f t="shared" si="74"/>
        <v>139.98566267323321</v>
      </c>
      <c r="L108" s="483">
        <f t="shared" si="75"/>
        <v>0.69076923076923114</v>
      </c>
      <c r="M108" s="483">
        <f>($M$109-$M$96)/($A$109-$A$96)+M107</f>
        <v>0.58746153846153826</v>
      </c>
      <c r="N108" s="483">
        <f t="shared" si="76"/>
        <v>0.88553846153846105</v>
      </c>
      <c r="O108" s="483">
        <f t="shared" si="77"/>
        <v>0.89230769230769202</v>
      </c>
      <c r="P108" s="640">
        <f t="shared" si="28"/>
        <v>0.23600000000000002</v>
      </c>
      <c r="Q108" s="602">
        <f t="shared" si="29"/>
        <v>26.149896102170938</v>
      </c>
      <c r="R108" s="608">
        <f t="shared" si="30"/>
        <v>11.425109516749137</v>
      </c>
      <c r="S108" s="608">
        <f t="shared" si="31"/>
        <v>43.727093460565612</v>
      </c>
      <c r="T108" s="608">
        <f t="shared" si="32"/>
        <v>55.776133601710299</v>
      </c>
      <c r="U108" s="727">
        <f t="shared" si="33"/>
        <v>0.67710709475193609</v>
      </c>
      <c r="V108" s="834">
        <f t="shared" si="13"/>
        <v>137.7553397759479</v>
      </c>
      <c r="W108" s="1128">
        <f t="shared" ref="W108:W129" si="94">W107</f>
        <v>0.5</v>
      </c>
      <c r="X108" s="1227">
        <f t="shared" si="14"/>
        <v>53.669159952994768</v>
      </c>
      <c r="Y108" s="1227">
        <f t="shared" si="15"/>
        <v>75.127796260760704</v>
      </c>
      <c r="Z108" s="1062">
        <f t="shared" si="78"/>
        <v>122.0351089128072</v>
      </c>
      <c r="AA108" s="1228">
        <f t="shared" si="16"/>
        <v>64.857866412472504</v>
      </c>
      <c r="AB108" s="1229">
        <f t="shared" si="34"/>
        <v>0.53146891079363701</v>
      </c>
      <c r="AC108" s="135" t="str">
        <f t="shared" si="35"/>
        <v>Policies met</v>
      </c>
      <c r="AD108" s="1240">
        <f t="shared" si="36"/>
        <v>0.53146891079363701</v>
      </c>
      <c r="AE108" s="135" t="str">
        <f t="shared" si="37"/>
        <v>No</v>
      </c>
      <c r="AF108" s="1293">
        <f t="shared" si="38"/>
        <v>198.78046823340867</v>
      </c>
      <c r="AG108" s="118">
        <f t="shared" si="39"/>
        <v>57.1772425003347</v>
      </c>
      <c r="AH108" s="158">
        <f t="shared" si="17"/>
        <v>64.542659389217491</v>
      </c>
      <c r="AI108" s="158">
        <f t="shared" si="18"/>
        <v>52.915044599778348</v>
      </c>
      <c r="AJ108" s="158">
        <f t="shared" si="19"/>
        <v>24.14552174407816</v>
      </c>
      <c r="AK108" s="158">
        <f t="shared" si="40"/>
        <v>198.7804682334087</v>
      </c>
      <c r="AL108" s="828">
        <f t="shared" si="20"/>
        <v>0</v>
      </c>
      <c r="AM108" s="730">
        <f t="shared" si="79"/>
        <v>0.28764014396624216</v>
      </c>
      <c r="AN108" s="483">
        <f t="shared" si="80"/>
        <v>0.32469316509221258</v>
      </c>
      <c r="AO108" s="483">
        <f t="shared" si="81"/>
        <v>0.26619841008546835</v>
      </c>
      <c r="AP108" s="483">
        <f t="shared" si="82"/>
        <v>0.1214682808560769</v>
      </c>
      <c r="AQ108" s="640">
        <f t="shared" si="45"/>
        <v>0.99999999999999989</v>
      </c>
      <c r="AR108" s="834">
        <f t="shared" si="83"/>
        <v>9.5988324276072436</v>
      </c>
      <c r="AS108" s="835">
        <f t="shared" si="84"/>
        <v>15.546837541959903</v>
      </c>
      <c r="AT108" s="835">
        <f t="shared" si="85"/>
        <v>3.4853852938786831</v>
      </c>
      <c r="AU108" s="835">
        <f t="shared" si="46"/>
        <v>0</v>
      </c>
      <c r="AV108" s="835">
        <f t="shared" si="47"/>
        <v>0</v>
      </c>
      <c r="AW108" s="835">
        <f t="shared" si="48"/>
        <v>0</v>
      </c>
      <c r="AX108" s="1228">
        <f t="shared" si="21"/>
        <v>23.197371407578999</v>
      </c>
      <c r="AY108" s="835">
        <f t="shared" si="86"/>
        <v>1.9827876754410951</v>
      </c>
      <c r="AZ108" s="835">
        <f t="shared" si="87"/>
        <v>0.85982289266262146</v>
      </c>
      <c r="BA108" s="835">
        <f t="shared" si="88"/>
        <v>1.5818910228831022</v>
      </c>
      <c r="BB108" s="835">
        <f t="shared" si="89"/>
        <v>0.92431423832300486</v>
      </c>
      <c r="BC108" s="608">
        <f t="shared" si="90"/>
        <v>57.177242500334657</v>
      </c>
      <c r="BD108" s="1230">
        <f t="shared" si="50"/>
        <v>0</v>
      </c>
      <c r="BE108" s="760">
        <f t="shared" si="51"/>
        <v>0.16787854761535698</v>
      </c>
      <c r="BF108" s="705">
        <f t="shared" si="52"/>
        <v>0.27190603922301615</v>
      </c>
      <c r="BG108" s="705">
        <f t="shared" si="53"/>
        <v>6.0957561810685137E-2</v>
      </c>
      <c r="BH108" s="705">
        <f t="shared" si="54"/>
        <v>0</v>
      </c>
      <c r="BI108" s="705">
        <f t="shared" si="55"/>
        <v>0</v>
      </c>
      <c r="BJ108" s="705">
        <f t="shared" si="56"/>
        <v>0</v>
      </c>
      <c r="BK108" s="705">
        <f t="shared" si="57"/>
        <v>0.49925785135094164</v>
      </c>
      <c r="BL108" s="705">
        <f t="shared" si="58"/>
        <v>1</v>
      </c>
      <c r="BM108" s="730">
        <f t="shared" si="91"/>
        <v>0.29028184578274857</v>
      </c>
      <c r="BN108" s="483">
        <f t="shared" si="59"/>
        <v>0.30317187715157518</v>
      </c>
      <c r="BO108" s="483">
        <f t="shared" si="59"/>
        <v>8.2805443243048754E-2</v>
      </c>
      <c r="BP108" s="483">
        <f t="shared" si="59"/>
        <v>0</v>
      </c>
      <c r="BQ108" s="483">
        <f t="shared" si="59"/>
        <v>0</v>
      </c>
      <c r="BR108" s="483">
        <f t="shared" si="59"/>
        <v>0</v>
      </c>
      <c r="BS108" s="483">
        <f t="shared" si="59"/>
        <v>0.32374083382262742</v>
      </c>
      <c r="BT108" s="604">
        <f t="shared" si="92"/>
        <v>0.99999999999999989</v>
      </c>
      <c r="BU108"/>
      <c r="BV108" s="606">
        <f t="shared" si="60"/>
        <v>56.167633091058349</v>
      </c>
      <c r="BW108" s="114">
        <f t="shared" si="61"/>
        <v>0.82392421598602072</v>
      </c>
      <c r="BX108" s="1503">
        <f t="shared" si="22"/>
        <v>37.013386410535311</v>
      </c>
      <c r="BY108" s="606">
        <f t="shared" si="23"/>
        <v>69.326316810590654</v>
      </c>
      <c r="BZ108" s="114">
        <f t="shared" si="62"/>
        <v>0.77610722299473334</v>
      </c>
      <c r="CA108" s="765">
        <f t="shared" si="24"/>
        <v>50.172070130067617</v>
      </c>
      <c r="CB108" s="114">
        <f t="shared" si="25"/>
        <v>0.53146891079363701</v>
      </c>
      <c r="CC108" s="114">
        <f t="shared" si="26"/>
        <v>0.85</v>
      </c>
      <c r="CD108" s="730">
        <f t="shared" si="63"/>
        <v>0.53146891079363701</v>
      </c>
      <c r="CE108" s="604">
        <f t="shared" si="64"/>
        <v>0.85</v>
      </c>
      <c r="CF108"/>
      <c r="CG108" s="602">
        <f t="shared" si="65"/>
        <v>12.252039303383375</v>
      </c>
      <c r="CH108" s="704">
        <f t="shared" si="66"/>
        <v>5.3530190061844563</v>
      </c>
      <c r="CI108" s="704">
        <f t="shared" si="67"/>
        <v>20.487502726907238</v>
      </c>
      <c r="CJ108" s="704">
        <f t="shared" si="68"/>
        <v>26.132852628128948</v>
      </c>
      <c r="CK108" s="704">
        <f t="shared" si="69"/>
        <v>0.31724572461348066</v>
      </c>
      <c r="CL108" s="704">
        <f t="shared" si="70"/>
        <v>64.542659389217505</v>
      </c>
      <c r="CM108" s="727">
        <f t="shared" si="71"/>
        <v>0</v>
      </c>
    </row>
    <row r="109" spans="1:91" s="530" customFormat="1">
      <c r="A109" s="1083">
        <f>'Input data'!A130</f>
        <v>2030</v>
      </c>
      <c r="B109" s="1223">
        <f>'Input data'!B130</f>
        <v>65.956000000000003</v>
      </c>
      <c r="C109" s="1224">
        <f>'Input data'!C130</f>
        <v>3660.12</v>
      </c>
      <c r="D109" s="1224">
        <f>'Input data'!D130</f>
        <v>36027957.214440949</v>
      </c>
      <c r="E109" s="1131">
        <f>C52</f>
        <v>1</v>
      </c>
      <c r="F109" s="904">
        <f>D52</f>
        <v>0.36725000000000002</v>
      </c>
      <c r="G109" s="1130">
        <f>B109*F109*'Input data'!$C$9</f>
        <v>741.37470019741022</v>
      </c>
      <c r="H109" s="1339">
        <f>'Input data'!I130</f>
        <v>424.26313389388866</v>
      </c>
      <c r="I109" s="1063">
        <f>'Input data'!K130</f>
        <v>27982.69925910532</v>
      </c>
      <c r="J109" s="1228">
        <f t="shared" si="93"/>
        <v>51.262355345127645</v>
      </c>
      <c r="K109" s="1129">
        <f t="shared" si="74"/>
        <v>145.90054982844026</v>
      </c>
      <c r="L109" s="904">
        <f>C19</f>
        <v>0.7</v>
      </c>
      <c r="M109" s="904">
        <f>D19</f>
        <v>0.6</v>
      </c>
      <c r="N109" s="904">
        <f>E19</f>
        <v>0.9</v>
      </c>
      <c r="O109" s="904">
        <f>F19</f>
        <v>0.9</v>
      </c>
      <c r="P109" s="904">
        <f>G19</f>
        <v>0.23600000000000002</v>
      </c>
      <c r="Q109" s="602">
        <f t="shared" si="29"/>
        <v>26.499337920908175</v>
      </c>
      <c r="R109" s="608">
        <f t="shared" si="30"/>
        <v>11.668960878701492</v>
      </c>
      <c r="S109" s="608">
        <f t="shared" si="31"/>
        <v>44.441191234244087</v>
      </c>
      <c r="T109" s="608">
        <f t="shared" si="32"/>
        <v>56.256962339656091</v>
      </c>
      <c r="U109" s="727">
        <f t="shared" si="33"/>
        <v>0.67710709475193609</v>
      </c>
      <c r="V109" s="834">
        <f t="shared" si="13"/>
        <v>139.54355946826178</v>
      </c>
      <c r="W109" s="1128">
        <f t="shared" si="94"/>
        <v>0.5</v>
      </c>
      <c r="X109" s="1227">
        <f t="shared" si="14"/>
        <v>53.669159952994768</v>
      </c>
      <c r="Y109" s="1227">
        <f t="shared" si="15"/>
        <v>76.916015953074577</v>
      </c>
      <c r="Z109" s="1062">
        <f t="shared" si="78"/>
        <v>120.24688922049333</v>
      </c>
      <c r="AA109" s="1228">
        <f t="shared" si="16"/>
        <v>68.984533875365685</v>
      </c>
      <c r="AB109" s="1229">
        <f t="shared" si="34"/>
        <v>0.57369079834465153</v>
      </c>
      <c r="AC109" s="135" t="str">
        <f t="shared" si="35"/>
        <v>Policies met</v>
      </c>
      <c r="AD109" s="1240">
        <f t="shared" si="36"/>
        <v>0.57369079834465153</v>
      </c>
      <c r="AE109" s="135" t="str">
        <f t="shared" si="37"/>
        <v>No</v>
      </c>
      <c r="AF109" s="1293">
        <f t="shared" si="38"/>
        <v>180.86727790209989</v>
      </c>
      <c r="AG109" s="118">
        <f t="shared" si="39"/>
        <v>51.262355345127645</v>
      </c>
      <c r="AH109" s="158">
        <f t="shared" si="17"/>
        <v>59.488703433060323</v>
      </c>
      <c r="AI109" s="158">
        <f t="shared" si="18"/>
        <v>48.146581814025566</v>
      </c>
      <c r="AJ109" s="158">
        <f t="shared" si="19"/>
        <v>21.969637309886384</v>
      </c>
      <c r="AK109" s="158">
        <f t="shared" si="40"/>
        <v>180.86727790209991</v>
      </c>
      <c r="AL109" s="828">
        <f t="shared" si="20"/>
        <v>0</v>
      </c>
      <c r="AM109" s="730">
        <f t="shared" si="79"/>
        <v>0.2834252604436</v>
      </c>
      <c r="AN109" s="483">
        <f t="shared" si="80"/>
        <v>0.32890804861485473</v>
      </c>
      <c r="AO109" s="483">
        <f t="shared" si="81"/>
        <v>0.26619841008546841</v>
      </c>
      <c r="AP109" s="483">
        <f t="shared" si="82"/>
        <v>0.1214682808560769</v>
      </c>
      <c r="AQ109" s="640">
        <f t="shared" si="45"/>
        <v>1</v>
      </c>
      <c r="AR109" s="834">
        <f t="shared" si="83"/>
        <v>8.7338293729199599</v>
      </c>
      <c r="AS109" s="835">
        <f t="shared" si="84"/>
        <v>14.145827360154431</v>
      </c>
      <c r="AT109" s="835">
        <f t="shared" si="85"/>
        <v>3.022327984719122</v>
      </c>
      <c r="AU109" s="835">
        <f t="shared" si="46"/>
        <v>0</v>
      </c>
      <c r="AV109" s="835">
        <f t="shared" si="47"/>
        <v>0</v>
      </c>
      <c r="AW109" s="835">
        <f t="shared" si="48"/>
        <v>0</v>
      </c>
      <c r="AX109" s="1228">
        <f t="shared" si="21"/>
        <v>21.106929962788275</v>
      </c>
      <c r="AY109" s="835">
        <f t="shared" si="86"/>
        <v>1.7001518024997329</v>
      </c>
      <c r="AZ109" s="835">
        <f t="shared" si="87"/>
        <v>0.47791311835861006</v>
      </c>
      <c r="BA109" s="835">
        <f t="shared" si="88"/>
        <v>1.2343564941738161</v>
      </c>
      <c r="BB109" s="835">
        <f t="shared" si="89"/>
        <v>0.84101924951365703</v>
      </c>
      <c r="BC109" s="608">
        <f t="shared" si="90"/>
        <v>51.262355345127602</v>
      </c>
      <c r="BD109" s="1230">
        <f t="shared" si="50"/>
        <v>0</v>
      </c>
      <c r="BE109" s="760">
        <f t="shared" si="51"/>
        <v>0.17037510887119423</v>
      </c>
      <c r="BF109" s="705">
        <f t="shared" si="52"/>
        <v>0.2759496177051679</v>
      </c>
      <c r="BG109" s="705">
        <f t="shared" si="53"/>
        <v>5.8958039761752561E-2</v>
      </c>
      <c r="BH109" s="705">
        <f t="shared" si="54"/>
        <v>0</v>
      </c>
      <c r="BI109" s="705">
        <f t="shared" si="55"/>
        <v>0</v>
      </c>
      <c r="BJ109" s="705">
        <f t="shared" si="56"/>
        <v>0</v>
      </c>
      <c r="BK109" s="705">
        <f t="shared" si="57"/>
        <v>0.49471723366188541</v>
      </c>
      <c r="BL109" s="705">
        <f t="shared" si="58"/>
        <v>1</v>
      </c>
      <c r="BM109" s="730">
        <f t="shared" si="91"/>
        <v>0.29028184578274857</v>
      </c>
      <c r="BN109" s="483">
        <f t="shared" si="59"/>
        <v>0.30317187715157518</v>
      </c>
      <c r="BO109" s="483">
        <f t="shared" si="59"/>
        <v>8.2805443243048754E-2</v>
      </c>
      <c r="BP109" s="483">
        <f t="shared" si="59"/>
        <v>0</v>
      </c>
      <c r="BQ109" s="483">
        <f t="shared" si="59"/>
        <v>0</v>
      </c>
      <c r="BR109" s="483">
        <f t="shared" si="59"/>
        <v>0</v>
      </c>
      <c r="BS109" s="483">
        <f t="shared" si="59"/>
        <v>0.32374083382262742</v>
      </c>
      <c r="BT109" s="604">
        <f t="shared" si="92"/>
        <v>0.99999999999999989</v>
      </c>
      <c r="BU109" s="1"/>
      <c r="BV109" s="606">
        <f t="shared" si="60"/>
        <v>54.273566515095546</v>
      </c>
      <c r="BW109" s="114">
        <f t="shared" si="61"/>
        <v>0.87291810619176224</v>
      </c>
      <c r="BX109" s="1503">
        <f t="shared" si="22"/>
        <v>36.027957214440953</v>
      </c>
      <c r="BY109" s="606">
        <f t="shared" si="23"/>
        <v>68.417679430722217</v>
      </c>
      <c r="BZ109" s="114">
        <f t="shared" si="62"/>
        <v>0.82619803616022147</v>
      </c>
      <c r="CA109" s="765">
        <f t="shared" si="24"/>
        <v>50.172070130067617</v>
      </c>
      <c r="CB109" s="114">
        <f t="shared" si="25"/>
        <v>0.57369079834465153</v>
      </c>
      <c r="CC109" s="114">
        <f t="shared" si="26"/>
        <v>0.85</v>
      </c>
      <c r="CD109" s="730">
        <f t="shared" si="63"/>
        <v>0.57369079834465153</v>
      </c>
      <c r="CE109" s="604">
        <f t="shared" si="64"/>
        <v>0.85</v>
      </c>
      <c r="CF109" s="1"/>
      <c r="CG109" s="602">
        <f t="shared" si="65"/>
        <v>11.296911593457667</v>
      </c>
      <c r="CH109" s="704">
        <f t="shared" si="66"/>
        <v>4.9745853963467264</v>
      </c>
      <c r="CI109" s="704">
        <f t="shared" si="67"/>
        <v>18.945688755683268</v>
      </c>
      <c r="CJ109" s="704">
        <f t="shared" si="68"/>
        <v>23.982860702573792</v>
      </c>
      <c r="CK109" s="704">
        <f t="shared" si="69"/>
        <v>0.28865698499887027</v>
      </c>
      <c r="CL109" s="704">
        <f t="shared" si="70"/>
        <v>59.48870343306033</v>
      </c>
      <c r="CM109" s="727">
        <f t="shared" si="71"/>
        <v>0</v>
      </c>
    </row>
    <row r="110" spans="1:91" s="4" customFormat="1">
      <c r="A110" s="100">
        <f>'Input data'!A131</f>
        <v>2031</v>
      </c>
      <c r="B110" s="1231">
        <f>'Input data'!B131</f>
        <v>66.519000000000005</v>
      </c>
      <c r="C110" s="1232">
        <f>'Input data'!C131</f>
        <v>3761.03</v>
      </c>
      <c r="D110" s="1232">
        <f>'Input data'!D131</f>
        <v>35846430.699385166</v>
      </c>
      <c r="E110" s="1128">
        <f>E109</f>
        <v>1</v>
      </c>
      <c r="F110" s="640">
        <f>F109</f>
        <v>0.36725000000000002</v>
      </c>
      <c r="G110" s="1129">
        <f>B110*F110*'Input data'!$C$9</f>
        <v>747.70306996227077</v>
      </c>
      <c r="H110" s="834">
        <f>'Input data'!I131</f>
        <v>424.26313389388866</v>
      </c>
      <c r="I110" s="1062">
        <f>'Input data'!K131</f>
        <v>28221.559403487583</v>
      </c>
      <c r="J110" s="1228">
        <f t="shared" si="93"/>
        <v>45.347468189920605</v>
      </c>
      <c r="K110" s="1129">
        <f t="shared" si="74"/>
        <v>151.81543698364732</v>
      </c>
      <c r="L110" s="640">
        <f>L109</f>
        <v>0.7</v>
      </c>
      <c r="M110" s="640">
        <f t="shared" ref="M110:P125" si="95">M109</f>
        <v>0.6</v>
      </c>
      <c r="N110" s="640">
        <f t="shared" si="95"/>
        <v>0.9</v>
      </c>
      <c r="O110" s="640">
        <f t="shared" si="95"/>
        <v>0.9</v>
      </c>
      <c r="P110" s="640">
        <f t="shared" si="95"/>
        <v>0.23600000000000002</v>
      </c>
      <c r="Q110" s="602">
        <f t="shared" si="29"/>
        <v>26.499337920908175</v>
      </c>
      <c r="R110" s="608">
        <f t="shared" si="30"/>
        <v>11.668960878701492</v>
      </c>
      <c r="S110" s="608">
        <f t="shared" si="31"/>
        <v>44.441191234244087</v>
      </c>
      <c r="T110" s="608">
        <f t="shared" si="32"/>
        <v>56.256962339656091</v>
      </c>
      <c r="U110" s="727">
        <f t="shared" si="33"/>
        <v>0.67710709475193609</v>
      </c>
      <c r="V110" s="834">
        <f t="shared" si="13"/>
        <v>139.54355946826178</v>
      </c>
      <c r="W110" s="1128">
        <f t="shared" si="94"/>
        <v>0.5</v>
      </c>
      <c r="X110" s="1227">
        <f t="shared" si="14"/>
        <v>53.669159952994768</v>
      </c>
      <c r="Y110" s="1227">
        <f t="shared" si="15"/>
        <v>76.916015953074577</v>
      </c>
      <c r="Z110" s="1062">
        <f t="shared" si="78"/>
        <v>120.24688922049333</v>
      </c>
      <c r="AA110" s="1228">
        <f t="shared" si="16"/>
        <v>74.899421030572739</v>
      </c>
      <c r="AB110" s="1229">
        <f t="shared" si="34"/>
        <v>0.62288032161257645</v>
      </c>
      <c r="AC110" s="135" t="str">
        <f t="shared" si="35"/>
        <v>Policies met</v>
      </c>
      <c r="AD110" s="1240">
        <f t="shared" si="36"/>
        <v>0.62288032161257645</v>
      </c>
      <c r="AE110" s="135" t="str">
        <f t="shared" si="37"/>
        <v>No</v>
      </c>
      <c r="AF110" s="1293">
        <f t="shared" si="38"/>
        <v>159.99797660570371</v>
      </c>
      <c r="AG110" s="118">
        <f t="shared" si="39"/>
        <v>45.34746818992059</v>
      </c>
      <c r="AH110" s="158">
        <f t="shared" si="17"/>
        <v>52.624622267707196</v>
      </c>
      <c r="AI110" s="158">
        <f t="shared" si="18"/>
        <v>42.591206989330296</v>
      </c>
      <c r="AJ110" s="158">
        <f t="shared" si="19"/>
        <v>19.434679158745642</v>
      </c>
      <c r="AK110" s="158">
        <f t="shared" si="40"/>
        <v>159.99797660570371</v>
      </c>
      <c r="AL110" s="828">
        <f t="shared" si="20"/>
        <v>0</v>
      </c>
      <c r="AM110" s="730">
        <f t="shared" si="79"/>
        <v>0.28342526044359995</v>
      </c>
      <c r="AN110" s="483">
        <f t="shared" si="80"/>
        <v>0.32890804861485479</v>
      </c>
      <c r="AO110" s="483">
        <f t="shared" si="81"/>
        <v>0.26619841008546841</v>
      </c>
      <c r="AP110" s="483">
        <f t="shared" si="82"/>
        <v>0.12146828085607692</v>
      </c>
      <c r="AQ110" s="640">
        <f t="shared" si="45"/>
        <v>1</v>
      </c>
      <c r="AR110" s="834">
        <f t="shared" si="83"/>
        <v>7.7260798298907316</v>
      </c>
      <c r="AS110" s="835">
        <f t="shared" si="84"/>
        <v>12.513616510905841</v>
      </c>
      <c r="AT110" s="835">
        <f t="shared" si="85"/>
        <v>2.6735978326361458</v>
      </c>
      <c r="AU110" s="835">
        <f t="shared" si="46"/>
        <v>0</v>
      </c>
      <c r="AV110" s="835">
        <f t="shared" si="47"/>
        <v>0</v>
      </c>
      <c r="AW110" s="835">
        <f t="shared" si="48"/>
        <v>0</v>
      </c>
      <c r="AX110" s="1228">
        <f t="shared" si="21"/>
        <v>18.671514967081933</v>
      </c>
      <c r="AY110" s="835">
        <f t="shared" si="86"/>
        <v>1.5039804406728401</v>
      </c>
      <c r="AZ110" s="835">
        <f t="shared" si="87"/>
        <v>0.42276929700953958</v>
      </c>
      <c r="BA110" s="835">
        <f t="shared" si="88"/>
        <v>1.0919307448460678</v>
      </c>
      <c r="BB110" s="835">
        <f t="shared" si="89"/>
        <v>0.74397856687746566</v>
      </c>
      <c r="BC110" s="608">
        <f t="shared" si="90"/>
        <v>45.347468189920562</v>
      </c>
      <c r="BD110" s="1230">
        <f t="shared" si="50"/>
        <v>0</v>
      </c>
      <c r="BE110" s="760">
        <f t="shared" si="51"/>
        <v>0.1703751088711942</v>
      </c>
      <c r="BF110" s="705">
        <f t="shared" si="52"/>
        <v>0.2759496177051679</v>
      </c>
      <c r="BG110" s="705">
        <f t="shared" si="53"/>
        <v>5.8958039761752561E-2</v>
      </c>
      <c r="BH110" s="705">
        <f t="shared" si="54"/>
        <v>0</v>
      </c>
      <c r="BI110" s="705">
        <f t="shared" si="55"/>
        <v>0</v>
      </c>
      <c r="BJ110" s="705">
        <f t="shared" si="56"/>
        <v>0</v>
      </c>
      <c r="BK110" s="705">
        <f t="shared" si="57"/>
        <v>0.49471723366188547</v>
      </c>
      <c r="BL110" s="705">
        <f t="shared" si="58"/>
        <v>1</v>
      </c>
      <c r="BM110" s="730">
        <f t="shared" si="91"/>
        <v>0.29028184578274857</v>
      </c>
      <c r="BN110" s="483">
        <f t="shared" si="59"/>
        <v>0.30317187715157518</v>
      </c>
      <c r="BO110" s="483">
        <f t="shared" si="59"/>
        <v>8.2805443243048754E-2</v>
      </c>
      <c r="BP110" s="483">
        <f t="shared" si="59"/>
        <v>0</v>
      </c>
      <c r="BQ110" s="483">
        <f t="shared" si="59"/>
        <v>0</v>
      </c>
      <c r="BR110" s="483">
        <f t="shared" si="59"/>
        <v>0</v>
      </c>
      <c r="BS110" s="483">
        <f t="shared" si="59"/>
        <v>0.32374083382262742</v>
      </c>
      <c r="BT110" s="604">
        <f t="shared" si="92"/>
        <v>0.99999999999999989</v>
      </c>
      <c r="BU110"/>
      <c r="BV110" s="606">
        <f t="shared" si="60"/>
        <v>52.979805211605893</v>
      </c>
      <c r="BW110" s="114">
        <f t="shared" si="61"/>
        <v>0.85151459435001897</v>
      </c>
      <c r="BX110" s="1503">
        <f t="shared" si="22"/>
        <v>35.846430699385166</v>
      </c>
      <c r="BY110" s="606">
        <f t="shared" si="23"/>
        <v>67.305444642288322</v>
      </c>
      <c r="BZ110" s="114">
        <f t="shared" si="62"/>
        <v>0.80881499458342854</v>
      </c>
      <c r="CA110" s="765">
        <f t="shared" si="24"/>
        <v>50.172070130067617</v>
      </c>
      <c r="CB110" s="114">
        <f t="shared" si="25"/>
        <v>0.62288032161257645</v>
      </c>
      <c r="CC110" s="114">
        <f t="shared" si="26"/>
        <v>0.85</v>
      </c>
      <c r="CD110" s="730">
        <f t="shared" si="63"/>
        <v>0.62288032161257645</v>
      </c>
      <c r="CE110" s="604">
        <f t="shared" si="64"/>
        <v>0.85</v>
      </c>
      <c r="CF110"/>
      <c r="CG110" s="602">
        <f t="shared" si="65"/>
        <v>9.9934217942125478</v>
      </c>
      <c r="CH110" s="704">
        <f t="shared" si="66"/>
        <v>4.400594773691334</v>
      </c>
      <c r="CI110" s="704">
        <f t="shared" si="67"/>
        <v>16.759647745412117</v>
      </c>
      <c r="CJ110" s="704">
        <f t="shared" si="68"/>
        <v>21.215607544584504</v>
      </c>
      <c r="CK110" s="704">
        <f t="shared" si="69"/>
        <v>0.25535040980669288</v>
      </c>
      <c r="CL110" s="704">
        <f t="shared" si="70"/>
        <v>52.624622267707196</v>
      </c>
      <c r="CM110" s="727">
        <f t="shared" si="71"/>
        <v>0</v>
      </c>
    </row>
    <row r="111" spans="1:91" s="4" customFormat="1">
      <c r="A111" s="100">
        <f>'Input data'!A132</f>
        <v>2032</v>
      </c>
      <c r="B111" s="1231">
        <f>'Input data'!B132</f>
        <v>67.087000000000003</v>
      </c>
      <c r="C111" s="1232">
        <f>'Input data'!C132</f>
        <v>3857.2</v>
      </c>
      <c r="D111" s="1232">
        <f>'Input data'!D132</f>
        <v>35664904.184329376</v>
      </c>
      <c r="E111" s="1128">
        <f t="shared" ref="E111:E129" si="96">E110</f>
        <v>1</v>
      </c>
      <c r="F111" s="640">
        <f t="shared" ref="F111:F129" si="97">F110</f>
        <v>0.36725000000000002</v>
      </c>
      <c r="G111" s="1129">
        <f>B111*F111*'Input data'!$C$9</f>
        <v>754.08764194529181</v>
      </c>
      <c r="H111" s="834">
        <f>'Input data'!I132</f>
        <v>424.26313389388866</v>
      </c>
      <c r="I111" s="1062">
        <f>'Input data'!K132</f>
        <v>28462.540863539311</v>
      </c>
      <c r="J111" s="1228">
        <f>J96*(1-$E$6)</f>
        <v>39.432581034713571</v>
      </c>
      <c r="K111" s="1129">
        <f t="shared" si="74"/>
        <v>157.73032413885434</v>
      </c>
      <c r="L111" s="640">
        <f t="shared" ref="L111:P126" si="98">L110</f>
        <v>0.7</v>
      </c>
      <c r="M111" s="640">
        <f t="shared" si="95"/>
        <v>0.6</v>
      </c>
      <c r="N111" s="640">
        <f t="shared" si="95"/>
        <v>0.9</v>
      </c>
      <c r="O111" s="640">
        <f t="shared" si="95"/>
        <v>0.9</v>
      </c>
      <c r="P111" s="640">
        <f t="shared" si="95"/>
        <v>0.23600000000000002</v>
      </c>
      <c r="Q111" s="602">
        <f t="shared" si="29"/>
        <v>26.499337920908175</v>
      </c>
      <c r="R111" s="608">
        <f t="shared" si="30"/>
        <v>11.668960878701492</v>
      </c>
      <c r="S111" s="608">
        <f t="shared" si="31"/>
        <v>44.441191234244087</v>
      </c>
      <c r="T111" s="608">
        <f t="shared" si="32"/>
        <v>56.256962339656091</v>
      </c>
      <c r="U111" s="727">
        <f t="shared" si="33"/>
        <v>0.67710709475193609</v>
      </c>
      <c r="V111" s="834">
        <f t="shared" si="13"/>
        <v>139.54355946826178</v>
      </c>
      <c r="W111" s="1128">
        <f t="shared" si="94"/>
        <v>0.5</v>
      </c>
      <c r="X111" s="1227">
        <f t="shared" si="14"/>
        <v>53.669159952994768</v>
      </c>
      <c r="Y111" s="1227">
        <f t="shared" si="15"/>
        <v>76.916015953074577</v>
      </c>
      <c r="Z111" s="1062">
        <f t="shared" si="78"/>
        <v>120.24688922049333</v>
      </c>
      <c r="AA111" s="1228">
        <f t="shared" si="16"/>
        <v>80.814308185779765</v>
      </c>
      <c r="AB111" s="1229">
        <f t="shared" si="34"/>
        <v>0.67206984488050125</v>
      </c>
      <c r="AC111" s="135" t="str">
        <f t="shared" si="35"/>
        <v>Policies met</v>
      </c>
      <c r="AD111" s="1240">
        <f t="shared" si="36"/>
        <v>0.67206984488050125</v>
      </c>
      <c r="AE111" s="135" t="str">
        <f t="shared" si="37"/>
        <v>No</v>
      </c>
      <c r="AF111" s="1293">
        <f t="shared" si="38"/>
        <v>139.12867530930757</v>
      </c>
      <c r="AG111" s="118">
        <f t="shared" si="39"/>
        <v>39.432581034713564</v>
      </c>
      <c r="AH111" s="158">
        <f t="shared" si="17"/>
        <v>45.760541102354082</v>
      </c>
      <c r="AI111" s="158">
        <f t="shared" si="18"/>
        <v>37.035832164635039</v>
      </c>
      <c r="AJ111" s="158">
        <f t="shared" si="19"/>
        <v>16.899721007604906</v>
      </c>
      <c r="AK111" s="158">
        <f t="shared" si="40"/>
        <v>139.1286753093076</v>
      </c>
      <c r="AL111" s="828">
        <f t="shared" si="20"/>
        <v>0</v>
      </c>
      <c r="AM111" s="730">
        <f t="shared" si="79"/>
        <v>0.2834252604436</v>
      </c>
      <c r="AN111" s="483">
        <f t="shared" si="80"/>
        <v>0.32890804861485473</v>
      </c>
      <c r="AO111" s="483">
        <f t="shared" si="81"/>
        <v>0.26619841008546835</v>
      </c>
      <c r="AP111" s="483">
        <f t="shared" si="82"/>
        <v>0.1214682808560769</v>
      </c>
      <c r="AQ111" s="640">
        <f t="shared" si="45"/>
        <v>0.99999999999999989</v>
      </c>
      <c r="AR111" s="834">
        <f t="shared" si="83"/>
        <v>6.718330286861506</v>
      </c>
      <c r="AS111" s="835">
        <f t="shared" si="84"/>
        <v>10.881405661657253</v>
      </c>
      <c r="AT111" s="835">
        <f t="shared" si="85"/>
        <v>2.3248676805531701</v>
      </c>
      <c r="AU111" s="835">
        <f t="shared" si="46"/>
        <v>0</v>
      </c>
      <c r="AV111" s="835">
        <f t="shared" si="47"/>
        <v>0</v>
      </c>
      <c r="AW111" s="835">
        <f t="shared" si="48"/>
        <v>0</v>
      </c>
      <c r="AX111" s="1228">
        <f t="shared" si="21"/>
        <v>16.236099971375594</v>
      </c>
      <c r="AY111" s="835">
        <f t="shared" si="86"/>
        <v>1.307809078845948</v>
      </c>
      <c r="AZ111" s="835">
        <f t="shared" si="87"/>
        <v>0.36762547566046921</v>
      </c>
      <c r="BA111" s="835">
        <f t="shared" si="88"/>
        <v>0.94950499551831991</v>
      </c>
      <c r="BB111" s="835">
        <f t="shared" si="89"/>
        <v>0.64693788424127452</v>
      </c>
      <c r="BC111" s="608">
        <f t="shared" si="90"/>
        <v>39.432581034713529</v>
      </c>
      <c r="BD111" s="1230">
        <f t="shared" si="50"/>
        <v>0</v>
      </c>
      <c r="BE111" s="760">
        <f t="shared" si="51"/>
        <v>0.17037510887119423</v>
      </c>
      <c r="BF111" s="705">
        <f t="shared" si="52"/>
        <v>0.2759496177051679</v>
      </c>
      <c r="BG111" s="705">
        <f t="shared" si="53"/>
        <v>5.8958039761752561E-2</v>
      </c>
      <c r="BH111" s="705">
        <f t="shared" si="54"/>
        <v>0</v>
      </c>
      <c r="BI111" s="705">
        <f t="shared" si="55"/>
        <v>0</v>
      </c>
      <c r="BJ111" s="705">
        <f t="shared" si="56"/>
        <v>0</v>
      </c>
      <c r="BK111" s="705">
        <f t="shared" si="57"/>
        <v>0.49471723366188552</v>
      </c>
      <c r="BL111" s="705">
        <f t="shared" si="58"/>
        <v>1.0000000000000002</v>
      </c>
      <c r="BM111" s="730">
        <f t="shared" si="91"/>
        <v>0.29028184578274857</v>
      </c>
      <c r="BN111" s="483">
        <f t="shared" si="59"/>
        <v>0.30317187715157518</v>
      </c>
      <c r="BO111" s="483">
        <f t="shared" si="59"/>
        <v>8.2805443243048754E-2</v>
      </c>
      <c r="BP111" s="483">
        <f t="shared" si="59"/>
        <v>0</v>
      </c>
      <c r="BQ111" s="483">
        <f t="shared" si="59"/>
        <v>0</v>
      </c>
      <c r="BR111" s="483">
        <f t="shared" si="59"/>
        <v>0</v>
      </c>
      <c r="BS111" s="483">
        <f t="shared" si="59"/>
        <v>0.32374083382262742</v>
      </c>
      <c r="BT111" s="604">
        <f t="shared" si="92"/>
        <v>0.99999999999999989</v>
      </c>
      <c r="BU111"/>
      <c r="BV111" s="606">
        <f t="shared" si="60"/>
        <v>51.655060825074962</v>
      </c>
      <c r="BW111" s="114">
        <f t="shared" si="61"/>
        <v>0.82921538172565135</v>
      </c>
      <c r="BX111" s="1503">
        <f t="shared" si="22"/>
        <v>35.664904184329373</v>
      </c>
      <c r="BY111" s="606">
        <f t="shared" si="23"/>
        <v>66.162226770813206</v>
      </c>
      <c r="BZ111" s="114">
        <f t="shared" si="62"/>
        <v>0.79091680211042981</v>
      </c>
      <c r="CA111" s="765">
        <f t="shared" si="24"/>
        <v>50.172070130067617</v>
      </c>
      <c r="CB111" s="114">
        <f t="shared" si="25"/>
        <v>0.67206984488050125</v>
      </c>
      <c r="CC111" s="114">
        <f t="shared" si="26"/>
        <v>0.85</v>
      </c>
      <c r="CD111" s="730">
        <f t="shared" si="63"/>
        <v>0.67206984488050125</v>
      </c>
      <c r="CE111" s="604">
        <f t="shared" si="64"/>
        <v>0.85</v>
      </c>
      <c r="CF111"/>
      <c r="CG111" s="602">
        <f t="shared" si="65"/>
        <v>8.6899319949674325</v>
      </c>
      <c r="CH111" s="704">
        <f t="shared" si="66"/>
        <v>3.8266041510359425</v>
      </c>
      <c r="CI111" s="704">
        <f t="shared" si="67"/>
        <v>14.573606735140972</v>
      </c>
      <c r="CJ111" s="704">
        <f t="shared" si="68"/>
        <v>18.44835438659522</v>
      </c>
      <c r="CK111" s="704">
        <f t="shared" si="69"/>
        <v>0.22204383461451555</v>
      </c>
      <c r="CL111" s="704">
        <f t="shared" si="70"/>
        <v>45.760541102354082</v>
      </c>
      <c r="CM111" s="727">
        <f t="shared" si="71"/>
        <v>0</v>
      </c>
    </row>
    <row r="112" spans="1:91">
      <c r="A112" s="127">
        <f>'Input data'!A133</f>
        <v>2033</v>
      </c>
      <c r="B112" s="748">
        <f>'Input data'!B133</f>
        <v>67.659000000000006</v>
      </c>
      <c r="C112" s="236">
        <f>'Input data'!C133</f>
        <v>3964.01</v>
      </c>
      <c r="D112" s="236">
        <f>'Input data'!D133</f>
        <v>35483377.6692736</v>
      </c>
      <c r="E112" s="730">
        <f t="shared" si="96"/>
        <v>1</v>
      </c>
      <c r="F112" s="483">
        <f t="shared" si="97"/>
        <v>0.36725000000000002</v>
      </c>
      <c r="G112" s="609">
        <f>B112*F112*'Input data'!$C$9</f>
        <v>760.51717570284097</v>
      </c>
      <c r="H112" s="602">
        <f>'Input data'!I133</f>
        <v>424.26313389388866</v>
      </c>
      <c r="I112" s="607">
        <f>'Input data'!K133</f>
        <v>28705.219376126617</v>
      </c>
      <c r="J112" s="1228">
        <f>J111</f>
        <v>39.432581034713571</v>
      </c>
      <c r="K112" s="1129">
        <f t="shared" si="74"/>
        <v>157.73032413885434</v>
      </c>
      <c r="L112" s="483">
        <f t="shared" si="98"/>
        <v>0.7</v>
      </c>
      <c r="M112" s="483">
        <f t="shared" si="95"/>
        <v>0.6</v>
      </c>
      <c r="N112" s="483">
        <f t="shared" si="95"/>
        <v>0.9</v>
      </c>
      <c r="O112" s="483">
        <f t="shared" si="95"/>
        <v>0.9</v>
      </c>
      <c r="P112" s="483">
        <f t="shared" si="95"/>
        <v>0.23600000000000002</v>
      </c>
      <c r="Q112" s="602">
        <f t="shared" si="29"/>
        <v>26.499337920908175</v>
      </c>
      <c r="R112" s="608">
        <f t="shared" si="30"/>
        <v>11.668960878701492</v>
      </c>
      <c r="S112" s="608">
        <f t="shared" si="31"/>
        <v>44.441191234244087</v>
      </c>
      <c r="T112" s="608">
        <f t="shared" si="32"/>
        <v>56.256962339656091</v>
      </c>
      <c r="U112" s="727">
        <f t="shared" si="33"/>
        <v>0.67710709475193609</v>
      </c>
      <c r="V112" s="602">
        <f t="shared" si="13"/>
        <v>139.54355946826178</v>
      </c>
      <c r="W112" s="730">
        <f t="shared" si="94"/>
        <v>0.5</v>
      </c>
      <c r="X112" s="606">
        <f t="shared" si="14"/>
        <v>53.669159952994768</v>
      </c>
      <c r="Y112" s="606">
        <f t="shared" si="15"/>
        <v>76.916015953074577</v>
      </c>
      <c r="Z112" s="607">
        <f t="shared" si="78"/>
        <v>120.24688922049333</v>
      </c>
      <c r="AA112" s="623">
        <f t="shared" si="16"/>
        <v>80.814308185779765</v>
      </c>
      <c r="AB112" s="811">
        <f t="shared" si="34"/>
        <v>0.67206984488050125</v>
      </c>
      <c r="AC112" s="135" t="str">
        <f t="shared" si="35"/>
        <v>Policies met</v>
      </c>
      <c r="AD112" s="1240">
        <f t="shared" si="36"/>
        <v>0.67206984488050125</v>
      </c>
      <c r="AE112" s="135" t="str">
        <f t="shared" si="37"/>
        <v>No</v>
      </c>
      <c r="AF112" s="1293">
        <f t="shared" si="38"/>
        <v>139.12867530930757</v>
      </c>
      <c r="AG112" s="118">
        <f t="shared" si="39"/>
        <v>39.432581034713564</v>
      </c>
      <c r="AH112" s="118">
        <f t="shared" si="17"/>
        <v>45.760541102354082</v>
      </c>
      <c r="AI112" s="118">
        <f t="shared" si="18"/>
        <v>37.035832164635039</v>
      </c>
      <c r="AJ112" s="118">
        <f t="shared" si="19"/>
        <v>16.899721007604906</v>
      </c>
      <c r="AK112" s="118">
        <f t="shared" si="40"/>
        <v>139.1286753093076</v>
      </c>
      <c r="AL112" s="828">
        <f t="shared" si="20"/>
        <v>0</v>
      </c>
      <c r="AM112" s="730">
        <f t="shared" si="79"/>
        <v>0.2834252604436</v>
      </c>
      <c r="AN112" s="483">
        <f t="shared" si="80"/>
        <v>0.32890804861485473</v>
      </c>
      <c r="AO112" s="483">
        <f t="shared" si="81"/>
        <v>0.26619841008546835</v>
      </c>
      <c r="AP112" s="483">
        <f t="shared" si="82"/>
        <v>0.1214682808560769</v>
      </c>
      <c r="AQ112" s="483">
        <f t="shared" si="45"/>
        <v>0.99999999999999989</v>
      </c>
      <c r="AR112" s="834">
        <f t="shared" si="83"/>
        <v>6.718330286861506</v>
      </c>
      <c r="AS112" s="835">
        <f t="shared" si="84"/>
        <v>10.881405661657253</v>
      </c>
      <c r="AT112" s="835">
        <f t="shared" si="85"/>
        <v>2.3248676805531701</v>
      </c>
      <c r="AU112" s="835">
        <f t="shared" si="46"/>
        <v>0</v>
      </c>
      <c r="AV112" s="835">
        <f t="shared" si="47"/>
        <v>0</v>
      </c>
      <c r="AW112" s="835">
        <f t="shared" si="48"/>
        <v>0</v>
      </c>
      <c r="AX112" s="1228">
        <f t="shared" si="21"/>
        <v>16.236099971375594</v>
      </c>
      <c r="AY112" s="835">
        <f t="shared" si="86"/>
        <v>1.307809078845948</v>
      </c>
      <c r="AZ112" s="835">
        <f t="shared" si="87"/>
        <v>0.36762547566046921</v>
      </c>
      <c r="BA112" s="835">
        <f t="shared" si="88"/>
        <v>0.94950499551831991</v>
      </c>
      <c r="BB112" s="835">
        <f t="shared" si="89"/>
        <v>0.64693788424127452</v>
      </c>
      <c r="BC112" s="608">
        <f t="shared" si="90"/>
        <v>39.432581034713529</v>
      </c>
      <c r="BD112" s="840">
        <f t="shared" si="50"/>
        <v>0</v>
      </c>
      <c r="BE112" s="760">
        <f t="shared" si="51"/>
        <v>0.17037510887119423</v>
      </c>
      <c r="BF112" s="705">
        <f t="shared" si="52"/>
        <v>0.2759496177051679</v>
      </c>
      <c r="BG112" s="705">
        <f t="shared" si="53"/>
        <v>5.8958039761752561E-2</v>
      </c>
      <c r="BH112" s="705">
        <f t="shared" si="54"/>
        <v>0</v>
      </c>
      <c r="BI112" s="705">
        <f t="shared" si="55"/>
        <v>0</v>
      </c>
      <c r="BJ112" s="705">
        <f t="shared" si="56"/>
        <v>0</v>
      </c>
      <c r="BK112" s="705">
        <f t="shared" si="57"/>
        <v>0.49471723366188552</v>
      </c>
      <c r="BL112" s="705">
        <f t="shared" si="58"/>
        <v>1.0000000000000002</v>
      </c>
      <c r="BM112" s="730">
        <f t="shared" si="91"/>
        <v>0.29028184578274857</v>
      </c>
      <c r="BN112" s="483">
        <f t="shared" si="59"/>
        <v>0.30317187715157518</v>
      </c>
      <c r="BO112" s="483">
        <f t="shared" si="59"/>
        <v>8.2805443243048754E-2</v>
      </c>
      <c r="BP112" s="483">
        <f t="shared" si="59"/>
        <v>0</v>
      </c>
      <c r="BQ112" s="483">
        <f t="shared" si="59"/>
        <v>0</v>
      </c>
      <c r="BR112" s="483">
        <f t="shared" si="59"/>
        <v>0</v>
      </c>
      <c r="BS112" s="483">
        <f t="shared" si="59"/>
        <v>0.32374083382262742</v>
      </c>
      <c r="BT112" s="604">
        <f t="shared" si="92"/>
        <v>0.99999999999999989</v>
      </c>
      <c r="BV112" s="606">
        <f t="shared" si="60"/>
        <v>51.737439622889518</v>
      </c>
      <c r="BW112" s="114">
        <f t="shared" si="61"/>
        <v>0.83020176927161193</v>
      </c>
      <c r="BX112" s="1503">
        <f t="shared" si="22"/>
        <v>35.483377669273601</v>
      </c>
      <c r="BY112" s="606">
        <f t="shared" si="23"/>
        <v>66.426132083683541</v>
      </c>
      <c r="BZ112" s="114">
        <f t="shared" si="62"/>
        <v>0.79133458123768419</v>
      </c>
      <c r="CA112" s="765">
        <f t="shared" si="24"/>
        <v>50.172070130067617</v>
      </c>
      <c r="CB112" s="114">
        <f t="shared" si="25"/>
        <v>0.67206984488050125</v>
      </c>
      <c r="CC112" s="114">
        <f t="shared" si="26"/>
        <v>0.85</v>
      </c>
      <c r="CD112" s="730">
        <f t="shared" si="63"/>
        <v>0.67206984488050125</v>
      </c>
      <c r="CE112" s="604">
        <f t="shared" si="64"/>
        <v>0.85</v>
      </c>
      <c r="CG112" s="602">
        <f t="shared" si="65"/>
        <v>8.6899319949674325</v>
      </c>
      <c r="CH112" s="704">
        <f t="shared" si="66"/>
        <v>3.8266041510359425</v>
      </c>
      <c r="CI112" s="704">
        <f t="shared" si="67"/>
        <v>14.573606735140972</v>
      </c>
      <c r="CJ112" s="704">
        <f t="shared" si="68"/>
        <v>18.44835438659522</v>
      </c>
      <c r="CK112" s="704">
        <f t="shared" si="69"/>
        <v>0.22204383461451555</v>
      </c>
      <c r="CL112" s="704">
        <f t="shared" si="70"/>
        <v>45.760541102354082</v>
      </c>
      <c r="CM112" s="727">
        <f t="shared" si="71"/>
        <v>0</v>
      </c>
    </row>
    <row r="113" spans="1:91">
      <c r="A113" s="127">
        <f>'Input data'!A134</f>
        <v>2034</v>
      </c>
      <c r="B113" s="748">
        <f>'Input data'!B134</f>
        <v>68.236999999999995</v>
      </c>
      <c r="C113" s="236">
        <f>'Input data'!C134</f>
        <v>4078.22</v>
      </c>
      <c r="D113" s="236">
        <f>'Input data'!D134</f>
        <v>35301851.154217809</v>
      </c>
      <c r="E113" s="730">
        <f t="shared" si="96"/>
        <v>1</v>
      </c>
      <c r="F113" s="483">
        <f t="shared" si="97"/>
        <v>0.36725000000000002</v>
      </c>
      <c r="G113" s="609">
        <f>B113*F113*'Input data'!$C$9</f>
        <v>767.01415212218251</v>
      </c>
      <c r="H113" s="602">
        <f>'Input data'!I134</f>
        <v>424.26313389388866</v>
      </c>
      <c r="I113" s="607">
        <f>'Input data'!K134</f>
        <v>28950.443467517278</v>
      </c>
      <c r="J113" s="1228">
        <f t="shared" ref="J113:J129" si="99">J112</f>
        <v>39.432581034713571</v>
      </c>
      <c r="K113" s="1129">
        <f t="shared" si="74"/>
        <v>157.73032413885434</v>
      </c>
      <c r="L113" s="483">
        <f t="shared" si="98"/>
        <v>0.7</v>
      </c>
      <c r="M113" s="483">
        <f t="shared" si="95"/>
        <v>0.6</v>
      </c>
      <c r="N113" s="483">
        <f t="shared" si="95"/>
        <v>0.9</v>
      </c>
      <c r="O113" s="483">
        <f t="shared" si="95"/>
        <v>0.9</v>
      </c>
      <c r="P113" s="483">
        <f t="shared" si="95"/>
        <v>0.23600000000000002</v>
      </c>
      <c r="Q113" s="602">
        <f t="shared" si="29"/>
        <v>26.499337920908175</v>
      </c>
      <c r="R113" s="608">
        <f t="shared" si="30"/>
        <v>11.668960878701492</v>
      </c>
      <c r="S113" s="608">
        <f t="shared" si="31"/>
        <v>44.441191234244087</v>
      </c>
      <c r="T113" s="608">
        <f t="shared" si="32"/>
        <v>56.256962339656091</v>
      </c>
      <c r="U113" s="727">
        <f t="shared" si="33"/>
        <v>0.67710709475193609</v>
      </c>
      <c r="V113" s="602">
        <f t="shared" si="13"/>
        <v>139.54355946826178</v>
      </c>
      <c r="W113" s="730">
        <f t="shared" si="94"/>
        <v>0.5</v>
      </c>
      <c r="X113" s="606">
        <f t="shared" si="14"/>
        <v>53.669159952994768</v>
      </c>
      <c r="Y113" s="606">
        <f t="shared" si="15"/>
        <v>76.916015953074577</v>
      </c>
      <c r="Z113" s="607">
        <f t="shared" si="78"/>
        <v>120.24688922049333</v>
      </c>
      <c r="AA113" s="623">
        <f t="shared" si="16"/>
        <v>80.814308185779765</v>
      </c>
      <c r="AB113" s="811">
        <f t="shared" si="34"/>
        <v>0.67206984488050125</v>
      </c>
      <c r="AC113" s="135" t="str">
        <f t="shared" si="35"/>
        <v>Policies met</v>
      </c>
      <c r="AD113" s="1240">
        <f t="shared" si="36"/>
        <v>0.67206984488050125</v>
      </c>
      <c r="AE113" s="135" t="str">
        <f t="shared" si="37"/>
        <v>No</v>
      </c>
      <c r="AF113" s="1293">
        <f t="shared" si="38"/>
        <v>139.12867530930757</v>
      </c>
      <c r="AG113" s="118">
        <f t="shared" si="39"/>
        <v>39.432581034713564</v>
      </c>
      <c r="AH113" s="118">
        <f t="shared" si="17"/>
        <v>45.760541102354082</v>
      </c>
      <c r="AI113" s="118">
        <f t="shared" si="18"/>
        <v>37.035832164635039</v>
      </c>
      <c r="AJ113" s="118">
        <f t="shared" si="19"/>
        <v>16.899721007604906</v>
      </c>
      <c r="AK113" s="118">
        <f t="shared" si="40"/>
        <v>139.1286753093076</v>
      </c>
      <c r="AL113" s="828">
        <f t="shared" si="20"/>
        <v>0</v>
      </c>
      <c r="AM113" s="730">
        <f t="shared" si="79"/>
        <v>0.2834252604436</v>
      </c>
      <c r="AN113" s="483">
        <f t="shared" si="80"/>
        <v>0.32890804861485473</v>
      </c>
      <c r="AO113" s="483">
        <f t="shared" si="81"/>
        <v>0.26619841008546835</v>
      </c>
      <c r="AP113" s="483">
        <f t="shared" si="82"/>
        <v>0.1214682808560769</v>
      </c>
      <c r="AQ113" s="483">
        <f t="shared" si="45"/>
        <v>0.99999999999999989</v>
      </c>
      <c r="AR113" s="834">
        <f t="shared" si="83"/>
        <v>6.718330286861506</v>
      </c>
      <c r="AS113" s="835">
        <f t="shared" si="84"/>
        <v>10.881405661657253</v>
      </c>
      <c r="AT113" s="835">
        <f t="shared" si="85"/>
        <v>2.3248676805531701</v>
      </c>
      <c r="AU113" s="835">
        <f t="shared" si="46"/>
        <v>0</v>
      </c>
      <c r="AV113" s="835">
        <f t="shared" si="47"/>
        <v>0</v>
      </c>
      <c r="AW113" s="835">
        <f t="shared" si="48"/>
        <v>0</v>
      </c>
      <c r="AX113" s="1228">
        <f t="shared" si="21"/>
        <v>16.236099971375594</v>
      </c>
      <c r="AY113" s="835">
        <f t="shared" si="86"/>
        <v>1.307809078845948</v>
      </c>
      <c r="AZ113" s="835">
        <f t="shared" si="87"/>
        <v>0.36762547566046921</v>
      </c>
      <c r="BA113" s="835">
        <f t="shared" si="88"/>
        <v>0.94950499551831991</v>
      </c>
      <c r="BB113" s="835">
        <f t="shared" si="89"/>
        <v>0.64693788424127452</v>
      </c>
      <c r="BC113" s="608">
        <f t="shared" si="90"/>
        <v>39.432581034713529</v>
      </c>
      <c r="BD113" s="840">
        <f t="shared" si="50"/>
        <v>0</v>
      </c>
      <c r="BE113" s="760">
        <f t="shared" si="51"/>
        <v>0.17037510887119423</v>
      </c>
      <c r="BF113" s="705">
        <f t="shared" si="52"/>
        <v>0.2759496177051679</v>
      </c>
      <c r="BG113" s="705">
        <f t="shared" si="53"/>
        <v>5.8958039761752561E-2</v>
      </c>
      <c r="BH113" s="705">
        <f t="shared" si="54"/>
        <v>0</v>
      </c>
      <c r="BI113" s="705">
        <f t="shared" si="55"/>
        <v>0</v>
      </c>
      <c r="BJ113" s="705">
        <f t="shared" si="56"/>
        <v>0</v>
      </c>
      <c r="BK113" s="705">
        <f t="shared" si="57"/>
        <v>0.49471723366188552</v>
      </c>
      <c r="BL113" s="705">
        <f t="shared" si="58"/>
        <v>1.0000000000000002</v>
      </c>
      <c r="BM113" s="730">
        <f t="shared" si="91"/>
        <v>0.29028184578274857</v>
      </c>
      <c r="BN113" s="483">
        <f t="shared" si="91"/>
        <v>0.30317187715157518</v>
      </c>
      <c r="BO113" s="483">
        <f t="shared" si="91"/>
        <v>8.2805443243048754E-2</v>
      </c>
      <c r="BP113" s="483">
        <f t="shared" si="91"/>
        <v>0</v>
      </c>
      <c r="BQ113" s="483">
        <f t="shared" si="91"/>
        <v>0</v>
      </c>
      <c r="BR113" s="483">
        <f t="shared" si="91"/>
        <v>0</v>
      </c>
      <c r="BS113" s="483">
        <f t="shared" si="91"/>
        <v>0.32374083382262742</v>
      </c>
      <c r="BT113" s="604">
        <f t="shared" si="92"/>
        <v>0.99999999999999989</v>
      </c>
      <c r="BV113" s="606">
        <f t="shared" si="60"/>
        <v>51.83342349009127</v>
      </c>
      <c r="BW113" s="114">
        <f t="shared" si="61"/>
        <v>0.8311308231127823</v>
      </c>
      <c r="BX113" s="1503">
        <f t="shared" si="22"/>
        <v>35.301851154217808</v>
      </c>
      <c r="BY113" s="606">
        <f t="shared" si="23"/>
        <v>66.703642465941087</v>
      </c>
      <c r="BZ113" s="114">
        <f t="shared" si="62"/>
        <v>0.79171600743637727</v>
      </c>
      <c r="CA113" s="765">
        <f t="shared" si="24"/>
        <v>50.172070130067617</v>
      </c>
      <c r="CB113" s="114">
        <f t="shared" si="25"/>
        <v>0.67206984488050125</v>
      </c>
      <c r="CC113" s="114">
        <f t="shared" si="26"/>
        <v>0.85</v>
      </c>
      <c r="CD113" s="730">
        <f t="shared" si="63"/>
        <v>0.67206984488050125</v>
      </c>
      <c r="CE113" s="604">
        <f t="shared" si="64"/>
        <v>0.85</v>
      </c>
      <c r="CG113" s="602">
        <f t="shared" si="65"/>
        <v>8.6899319949674325</v>
      </c>
      <c r="CH113" s="704">
        <f t="shared" si="66"/>
        <v>3.8266041510359425</v>
      </c>
      <c r="CI113" s="704">
        <f t="shared" si="67"/>
        <v>14.573606735140972</v>
      </c>
      <c r="CJ113" s="704">
        <f t="shared" si="68"/>
        <v>18.44835438659522</v>
      </c>
      <c r="CK113" s="704">
        <f t="shared" si="69"/>
        <v>0.22204383461451555</v>
      </c>
      <c r="CL113" s="704">
        <f t="shared" si="70"/>
        <v>45.760541102354082</v>
      </c>
      <c r="CM113" s="727">
        <f t="shared" si="71"/>
        <v>0</v>
      </c>
    </row>
    <row r="114" spans="1:91">
      <c r="A114" s="127">
        <f>'Input data'!A135</f>
        <v>2035</v>
      </c>
      <c r="B114" s="748">
        <f>'Input data'!B135</f>
        <v>68.819000000000003</v>
      </c>
      <c r="C114" s="236">
        <f>'Input data'!C135</f>
        <v>4200.2899999999991</v>
      </c>
      <c r="D114" s="236">
        <f>'Input data'!D135</f>
        <v>35120324.639162026</v>
      </c>
      <c r="E114" s="730">
        <f t="shared" si="96"/>
        <v>1</v>
      </c>
      <c r="F114" s="483">
        <f t="shared" si="97"/>
        <v>0.36725000000000002</v>
      </c>
      <c r="G114" s="609">
        <f>B114*F114*'Input data'!$C$9</f>
        <v>773.55609031605263</v>
      </c>
      <c r="H114" s="602">
        <f>'Input data'!I135</f>
        <v>424.26313389388866</v>
      </c>
      <c r="I114" s="607">
        <f>'Input data'!K135</f>
        <v>29197.364611443525</v>
      </c>
      <c r="J114" s="1228">
        <f t="shared" si="99"/>
        <v>39.432581034713571</v>
      </c>
      <c r="K114" s="1129">
        <f t="shared" si="74"/>
        <v>157.73032413885434</v>
      </c>
      <c r="L114" s="483">
        <f t="shared" si="98"/>
        <v>0.7</v>
      </c>
      <c r="M114" s="483">
        <f t="shared" si="95"/>
        <v>0.6</v>
      </c>
      <c r="N114" s="483">
        <f t="shared" si="95"/>
        <v>0.9</v>
      </c>
      <c r="O114" s="483">
        <f t="shared" si="95"/>
        <v>0.9</v>
      </c>
      <c r="P114" s="483">
        <f t="shared" si="95"/>
        <v>0.23600000000000002</v>
      </c>
      <c r="Q114" s="602">
        <f t="shared" si="29"/>
        <v>26.499337920908175</v>
      </c>
      <c r="R114" s="608">
        <f t="shared" si="30"/>
        <v>11.668960878701492</v>
      </c>
      <c r="S114" s="608">
        <f t="shared" si="31"/>
        <v>44.441191234244087</v>
      </c>
      <c r="T114" s="608">
        <f t="shared" si="32"/>
        <v>56.256962339656091</v>
      </c>
      <c r="U114" s="727">
        <f t="shared" si="33"/>
        <v>0.67710709475193609</v>
      </c>
      <c r="V114" s="602">
        <f t="shared" si="13"/>
        <v>139.54355946826178</v>
      </c>
      <c r="W114" s="730">
        <f t="shared" si="94"/>
        <v>0.5</v>
      </c>
      <c r="X114" s="606">
        <f t="shared" si="14"/>
        <v>53.669159952994768</v>
      </c>
      <c r="Y114" s="606">
        <f t="shared" si="15"/>
        <v>76.916015953074577</v>
      </c>
      <c r="Z114" s="607">
        <f t="shared" si="78"/>
        <v>120.24688922049333</v>
      </c>
      <c r="AA114" s="623">
        <f t="shared" si="16"/>
        <v>80.814308185779765</v>
      </c>
      <c r="AB114" s="811">
        <f t="shared" si="34"/>
        <v>0.67206984488050125</v>
      </c>
      <c r="AC114" s="135" t="str">
        <f t="shared" si="35"/>
        <v>Policies met</v>
      </c>
      <c r="AD114" s="1240">
        <f t="shared" si="36"/>
        <v>0.67206984488050125</v>
      </c>
      <c r="AE114" s="135" t="str">
        <f t="shared" si="37"/>
        <v>No</v>
      </c>
      <c r="AF114" s="1293">
        <f t="shared" si="38"/>
        <v>139.12867530930757</v>
      </c>
      <c r="AG114" s="118">
        <f t="shared" si="39"/>
        <v>39.432581034713564</v>
      </c>
      <c r="AH114" s="118">
        <f t="shared" si="17"/>
        <v>45.760541102354082</v>
      </c>
      <c r="AI114" s="118">
        <f t="shared" si="18"/>
        <v>37.035832164635039</v>
      </c>
      <c r="AJ114" s="118">
        <f t="shared" si="19"/>
        <v>16.899721007604906</v>
      </c>
      <c r="AK114" s="118">
        <f t="shared" si="40"/>
        <v>139.1286753093076</v>
      </c>
      <c r="AL114" s="828">
        <f t="shared" si="20"/>
        <v>0</v>
      </c>
      <c r="AM114" s="730">
        <f t="shared" si="79"/>
        <v>0.2834252604436</v>
      </c>
      <c r="AN114" s="483">
        <f t="shared" si="80"/>
        <v>0.32890804861485473</v>
      </c>
      <c r="AO114" s="483">
        <f t="shared" si="81"/>
        <v>0.26619841008546835</v>
      </c>
      <c r="AP114" s="483">
        <f t="shared" si="82"/>
        <v>0.1214682808560769</v>
      </c>
      <c r="AQ114" s="483">
        <f t="shared" si="45"/>
        <v>0.99999999999999989</v>
      </c>
      <c r="AR114" s="834">
        <f t="shared" si="83"/>
        <v>6.718330286861506</v>
      </c>
      <c r="AS114" s="835">
        <f t="shared" si="84"/>
        <v>10.881405661657253</v>
      </c>
      <c r="AT114" s="835">
        <f t="shared" si="85"/>
        <v>2.3248676805531701</v>
      </c>
      <c r="AU114" s="835">
        <f t="shared" si="46"/>
        <v>0</v>
      </c>
      <c r="AV114" s="835">
        <f t="shared" si="47"/>
        <v>0</v>
      </c>
      <c r="AW114" s="835">
        <f t="shared" si="48"/>
        <v>0</v>
      </c>
      <c r="AX114" s="1228">
        <f t="shared" si="21"/>
        <v>16.236099971375594</v>
      </c>
      <c r="AY114" s="835">
        <f t="shared" si="86"/>
        <v>1.307809078845948</v>
      </c>
      <c r="AZ114" s="835">
        <f t="shared" si="87"/>
        <v>0.36762547566046921</v>
      </c>
      <c r="BA114" s="835">
        <f t="shared" si="88"/>
        <v>0.94950499551831991</v>
      </c>
      <c r="BB114" s="835">
        <f t="shared" si="89"/>
        <v>0.64693788424127452</v>
      </c>
      <c r="BC114" s="608">
        <f t="shared" si="90"/>
        <v>39.432581034713529</v>
      </c>
      <c r="BD114" s="840">
        <f t="shared" si="50"/>
        <v>0</v>
      </c>
      <c r="BE114" s="760">
        <f t="shared" si="51"/>
        <v>0.17037510887119423</v>
      </c>
      <c r="BF114" s="705">
        <f t="shared" si="52"/>
        <v>0.2759496177051679</v>
      </c>
      <c r="BG114" s="705">
        <f t="shared" si="53"/>
        <v>5.8958039761752561E-2</v>
      </c>
      <c r="BH114" s="705">
        <f t="shared" si="54"/>
        <v>0</v>
      </c>
      <c r="BI114" s="705">
        <f t="shared" si="55"/>
        <v>0</v>
      </c>
      <c r="BJ114" s="705">
        <f t="shared" si="56"/>
        <v>0</v>
      </c>
      <c r="BK114" s="705">
        <f t="shared" si="57"/>
        <v>0.49471723366188552</v>
      </c>
      <c r="BL114" s="705">
        <f t="shared" si="58"/>
        <v>1.0000000000000002</v>
      </c>
      <c r="BM114" s="730">
        <f t="shared" ref="BM114:BS129" si="100">BM113</f>
        <v>0.29028184578274857</v>
      </c>
      <c r="BN114" s="483">
        <f t="shared" si="100"/>
        <v>0.30317187715157518</v>
      </c>
      <c r="BO114" s="483">
        <f t="shared" si="100"/>
        <v>8.2805443243048754E-2</v>
      </c>
      <c r="BP114" s="483">
        <f t="shared" si="100"/>
        <v>0</v>
      </c>
      <c r="BQ114" s="483">
        <f t="shared" si="100"/>
        <v>0</v>
      </c>
      <c r="BR114" s="483">
        <f t="shared" si="100"/>
        <v>0</v>
      </c>
      <c r="BS114" s="483">
        <f t="shared" si="100"/>
        <v>0.32374083382262742</v>
      </c>
      <c r="BT114" s="604">
        <f t="shared" si="92"/>
        <v>0.99999999999999989</v>
      </c>
      <c r="BV114" s="606">
        <f t="shared" si="60"/>
        <v>51.943527998623466</v>
      </c>
      <c r="BW114" s="114">
        <f t="shared" si="61"/>
        <v>0.83199291786398999</v>
      </c>
      <c r="BX114" s="1503">
        <f t="shared" si="22"/>
        <v>35.120324639162028</v>
      </c>
      <c r="BY114" s="606">
        <f t="shared" si="23"/>
        <v>66.995273489529069</v>
      </c>
      <c r="BZ114" s="114">
        <f t="shared" si="62"/>
        <v>0.7920548483855383</v>
      </c>
      <c r="CA114" s="765">
        <f t="shared" si="24"/>
        <v>50.172070130067617</v>
      </c>
      <c r="CB114" s="114">
        <f t="shared" si="25"/>
        <v>0.67206984488050125</v>
      </c>
      <c r="CC114" s="114">
        <f t="shared" si="26"/>
        <v>0.85</v>
      </c>
      <c r="CD114" s="730">
        <f t="shared" si="63"/>
        <v>0.67206984488050125</v>
      </c>
      <c r="CE114" s="604">
        <f t="shared" si="64"/>
        <v>0.85</v>
      </c>
      <c r="CG114" s="602">
        <f t="shared" si="65"/>
        <v>8.6899319949674325</v>
      </c>
      <c r="CH114" s="704">
        <f t="shared" si="66"/>
        <v>3.8266041510359425</v>
      </c>
      <c r="CI114" s="704">
        <f t="shared" si="67"/>
        <v>14.573606735140972</v>
      </c>
      <c r="CJ114" s="704">
        <f t="shared" si="68"/>
        <v>18.44835438659522</v>
      </c>
      <c r="CK114" s="704">
        <f t="shared" si="69"/>
        <v>0.22204383461451555</v>
      </c>
      <c r="CL114" s="704">
        <f t="shared" si="70"/>
        <v>45.760541102354082</v>
      </c>
      <c r="CM114" s="727">
        <f t="shared" si="71"/>
        <v>0</v>
      </c>
    </row>
    <row r="115" spans="1:91">
      <c r="A115" s="127">
        <f>'Input data'!A136</f>
        <v>2036</v>
      </c>
      <c r="B115" s="748">
        <f>'Input data'!B136</f>
        <v>69.322999999999993</v>
      </c>
      <c r="C115" s="236">
        <f>'Input data'!C136</f>
        <v>4325.9699999999993</v>
      </c>
      <c r="D115" s="236">
        <f>'Input data'!D136</f>
        <v>32285395.803631678</v>
      </c>
      <c r="E115" s="730">
        <f t="shared" si="96"/>
        <v>1</v>
      </c>
      <c r="F115" s="483">
        <f t="shared" si="97"/>
        <v>0.36725000000000002</v>
      </c>
      <c r="G115" s="609">
        <f>B115*F115*'Input data'!$C$9</f>
        <v>779.22127390662058</v>
      </c>
      <c r="H115" s="602">
        <f>'Input data'!I136</f>
        <v>424.26313389388866</v>
      </c>
      <c r="I115" s="607">
        <f>'Input data'!K136</f>
        <v>29411.193230926041</v>
      </c>
      <c r="J115" s="1228">
        <f t="shared" si="99"/>
        <v>39.432581034713571</v>
      </c>
      <c r="K115" s="1129">
        <f t="shared" si="74"/>
        <v>157.73032413885434</v>
      </c>
      <c r="L115" s="483">
        <f t="shared" si="98"/>
        <v>0.7</v>
      </c>
      <c r="M115" s="483">
        <f t="shared" si="95"/>
        <v>0.6</v>
      </c>
      <c r="N115" s="483">
        <f t="shared" si="95"/>
        <v>0.9</v>
      </c>
      <c r="O115" s="483">
        <f t="shared" si="95"/>
        <v>0.9</v>
      </c>
      <c r="P115" s="483">
        <f t="shared" si="95"/>
        <v>0.23600000000000002</v>
      </c>
      <c r="Q115" s="602">
        <f t="shared" si="29"/>
        <v>26.499337920908175</v>
      </c>
      <c r="R115" s="608">
        <f t="shared" si="30"/>
        <v>11.668960878701492</v>
      </c>
      <c r="S115" s="608">
        <f t="shared" si="31"/>
        <v>44.441191234244087</v>
      </c>
      <c r="T115" s="608">
        <f t="shared" si="32"/>
        <v>56.256962339656091</v>
      </c>
      <c r="U115" s="727">
        <f t="shared" si="33"/>
        <v>0.67710709475193609</v>
      </c>
      <c r="V115" s="602">
        <f t="shared" si="13"/>
        <v>139.54355946826178</v>
      </c>
      <c r="W115" s="730">
        <f t="shared" si="94"/>
        <v>0.5</v>
      </c>
      <c r="X115" s="606">
        <f t="shared" si="14"/>
        <v>53.669159952994768</v>
      </c>
      <c r="Y115" s="606">
        <f t="shared" si="15"/>
        <v>76.916015953074577</v>
      </c>
      <c r="Z115" s="607">
        <f t="shared" si="78"/>
        <v>120.24688922049333</v>
      </c>
      <c r="AA115" s="623">
        <f t="shared" si="16"/>
        <v>80.814308185779765</v>
      </c>
      <c r="AB115" s="811">
        <f t="shared" si="34"/>
        <v>0.67206984488050125</v>
      </c>
      <c r="AC115" s="135" t="str">
        <f t="shared" si="35"/>
        <v>Policies met</v>
      </c>
      <c r="AD115" s="1240">
        <f t="shared" si="36"/>
        <v>0.67206984488050125</v>
      </c>
      <c r="AE115" s="135" t="str">
        <f t="shared" si="37"/>
        <v>No</v>
      </c>
      <c r="AF115" s="1293">
        <f t="shared" si="38"/>
        <v>139.12867530930757</v>
      </c>
      <c r="AG115" s="118">
        <f t="shared" si="39"/>
        <v>39.432581034713564</v>
      </c>
      <c r="AH115" s="118">
        <f t="shared" si="17"/>
        <v>45.760541102354082</v>
      </c>
      <c r="AI115" s="118">
        <f t="shared" si="18"/>
        <v>37.035832164635039</v>
      </c>
      <c r="AJ115" s="118">
        <f t="shared" si="19"/>
        <v>16.899721007604906</v>
      </c>
      <c r="AK115" s="118">
        <f t="shared" si="40"/>
        <v>139.1286753093076</v>
      </c>
      <c r="AL115" s="828">
        <f t="shared" si="20"/>
        <v>0</v>
      </c>
      <c r="AM115" s="730">
        <f t="shared" si="79"/>
        <v>0.2834252604436</v>
      </c>
      <c r="AN115" s="483">
        <f t="shared" si="80"/>
        <v>0.32890804861485473</v>
      </c>
      <c r="AO115" s="483">
        <f t="shared" si="81"/>
        <v>0.26619841008546835</v>
      </c>
      <c r="AP115" s="483">
        <f t="shared" si="82"/>
        <v>0.1214682808560769</v>
      </c>
      <c r="AQ115" s="483">
        <f t="shared" si="45"/>
        <v>0.99999999999999989</v>
      </c>
      <c r="AR115" s="834">
        <f t="shared" si="83"/>
        <v>6.718330286861506</v>
      </c>
      <c r="AS115" s="835">
        <f t="shared" si="84"/>
        <v>10.881405661657253</v>
      </c>
      <c r="AT115" s="835">
        <f t="shared" si="85"/>
        <v>2.3248676805531701</v>
      </c>
      <c r="AU115" s="835">
        <f t="shared" si="46"/>
        <v>0</v>
      </c>
      <c r="AV115" s="835">
        <f t="shared" si="47"/>
        <v>0</v>
      </c>
      <c r="AW115" s="835">
        <f t="shared" si="48"/>
        <v>0</v>
      </c>
      <c r="AX115" s="1228">
        <f t="shared" si="21"/>
        <v>16.236099971375594</v>
      </c>
      <c r="AY115" s="835">
        <f t="shared" si="86"/>
        <v>1.307809078845948</v>
      </c>
      <c r="AZ115" s="835">
        <f t="shared" si="87"/>
        <v>0.36762547566046921</v>
      </c>
      <c r="BA115" s="835">
        <f t="shared" si="88"/>
        <v>0.94950499551831991</v>
      </c>
      <c r="BB115" s="835">
        <f t="shared" si="89"/>
        <v>0.64693788424127452</v>
      </c>
      <c r="BC115" s="608">
        <f t="shared" si="90"/>
        <v>39.432581034713529</v>
      </c>
      <c r="BD115" s="840">
        <f t="shared" si="50"/>
        <v>0</v>
      </c>
      <c r="BE115" s="760">
        <f t="shared" si="51"/>
        <v>0.17037510887119423</v>
      </c>
      <c r="BF115" s="705">
        <f t="shared" si="52"/>
        <v>0.2759496177051679</v>
      </c>
      <c r="BG115" s="705">
        <f t="shared" si="53"/>
        <v>5.8958039761752561E-2</v>
      </c>
      <c r="BH115" s="705">
        <f t="shared" si="54"/>
        <v>0</v>
      </c>
      <c r="BI115" s="705">
        <f t="shared" si="55"/>
        <v>0</v>
      </c>
      <c r="BJ115" s="705">
        <f t="shared" si="56"/>
        <v>0</v>
      </c>
      <c r="BK115" s="705">
        <f t="shared" si="57"/>
        <v>0.49471723366188552</v>
      </c>
      <c r="BL115" s="705">
        <f t="shared" si="58"/>
        <v>1.0000000000000002</v>
      </c>
      <c r="BM115" s="730">
        <f t="shared" si="100"/>
        <v>0.29028184578274857</v>
      </c>
      <c r="BN115" s="483">
        <f t="shared" si="100"/>
        <v>0.30317187715157518</v>
      </c>
      <c r="BO115" s="483">
        <f t="shared" si="100"/>
        <v>8.2805443243048754E-2</v>
      </c>
      <c r="BP115" s="483">
        <f t="shared" si="100"/>
        <v>0</v>
      </c>
      <c r="BQ115" s="483">
        <f t="shared" si="100"/>
        <v>0</v>
      </c>
      <c r="BR115" s="483">
        <f t="shared" si="100"/>
        <v>0</v>
      </c>
      <c r="BS115" s="483">
        <f t="shared" si="100"/>
        <v>0.32374083382262742</v>
      </c>
      <c r="BT115" s="604">
        <f t="shared" si="92"/>
        <v>0.99999999999999989</v>
      </c>
      <c r="BV115" s="606">
        <f t="shared" si="60"/>
        <v>49.395607984247604</v>
      </c>
      <c r="BW115" s="114">
        <f t="shared" si="61"/>
        <v>0.84249045104108611</v>
      </c>
      <c r="BX115" s="1503">
        <f t="shared" si="22"/>
        <v>32.28539580363168</v>
      </c>
      <c r="BY115" s="606">
        <f t="shared" si="23"/>
        <v>67.282282310683541</v>
      </c>
      <c r="BZ115" s="114">
        <f t="shared" si="62"/>
        <v>0.79222717216980165</v>
      </c>
      <c r="CA115" s="765">
        <f t="shared" si="24"/>
        <v>50.172070130067617</v>
      </c>
      <c r="CB115" s="114">
        <f t="shared" si="25"/>
        <v>0.67206984488050125</v>
      </c>
      <c r="CC115" s="114">
        <f t="shared" si="26"/>
        <v>0.85</v>
      </c>
      <c r="CD115" s="730">
        <f t="shared" si="63"/>
        <v>0.67206984488050125</v>
      </c>
      <c r="CE115" s="604">
        <f t="shared" si="64"/>
        <v>0.85</v>
      </c>
      <c r="CG115" s="602">
        <f t="shared" si="65"/>
        <v>8.6899319949674325</v>
      </c>
      <c r="CH115" s="704">
        <f t="shared" si="66"/>
        <v>3.8266041510359425</v>
      </c>
      <c r="CI115" s="704">
        <f t="shared" si="67"/>
        <v>14.573606735140972</v>
      </c>
      <c r="CJ115" s="704">
        <f t="shared" si="68"/>
        <v>18.44835438659522</v>
      </c>
      <c r="CK115" s="704">
        <f t="shared" si="69"/>
        <v>0.22204383461451555</v>
      </c>
      <c r="CL115" s="704">
        <f t="shared" si="70"/>
        <v>45.760541102354082</v>
      </c>
      <c r="CM115" s="727">
        <f t="shared" si="71"/>
        <v>0</v>
      </c>
    </row>
    <row r="116" spans="1:91" s="1" customFormat="1">
      <c r="A116" s="157">
        <f>'Input data'!A137</f>
        <v>2037</v>
      </c>
      <c r="B116" s="749">
        <f>'Input data'!B137</f>
        <v>69.83</v>
      </c>
      <c r="C116" s="605">
        <f>'Input data'!C137</f>
        <v>4457.0000000000018</v>
      </c>
      <c r="D116" s="605">
        <f>'Input data'!D137</f>
        <v>29450466.968101323</v>
      </c>
      <c r="E116" s="730">
        <f t="shared" si="96"/>
        <v>1</v>
      </c>
      <c r="F116" s="483">
        <f t="shared" si="97"/>
        <v>0.36725000000000002</v>
      </c>
      <c r="G116" s="863">
        <f>B116*F116*'Input data'!$C$9</f>
        <v>784.92017882808466</v>
      </c>
      <c r="H116" s="734">
        <f>'Input data'!I137</f>
        <v>424.26313389388866</v>
      </c>
      <c r="I116" s="770">
        <f>'Input data'!K137</f>
        <v>29626.294639810243</v>
      </c>
      <c r="J116" s="1228">
        <f t="shared" si="99"/>
        <v>39.432581034713571</v>
      </c>
      <c r="K116" s="1129">
        <f t="shared" si="74"/>
        <v>157.73032413885434</v>
      </c>
      <c r="L116" s="477">
        <f t="shared" si="98"/>
        <v>0.7</v>
      </c>
      <c r="M116" s="477">
        <f t="shared" si="95"/>
        <v>0.6</v>
      </c>
      <c r="N116" s="477">
        <f t="shared" si="95"/>
        <v>0.9</v>
      </c>
      <c r="O116" s="477">
        <f t="shared" si="95"/>
        <v>0.9</v>
      </c>
      <c r="P116" s="477">
        <f>P115</f>
        <v>0.23600000000000002</v>
      </c>
      <c r="Q116" s="602">
        <f t="shared" si="29"/>
        <v>26.499337920908175</v>
      </c>
      <c r="R116" s="608">
        <f t="shared" si="30"/>
        <v>11.668960878701492</v>
      </c>
      <c r="S116" s="608">
        <f t="shared" si="31"/>
        <v>44.441191234244087</v>
      </c>
      <c r="T116" s="608">
        <f t="shared" si="32"/>
        <v>56.256962339656091</v>
      </c>
      <c r="U116" s="727">
        <f t="shared" si="33"/>
        <v>0.67710709475193609</v>
      </c>
      <c r="V116" s="602">
        <f t="shared" si="13"/>
        <v>139.54355946826178</v>
      </c>
      <c r="W116" s="730">
        <f t="shared" si="94"/>
        <v>0.5</v>
      </c>
      <c r="X116" s="606">
        <f t="shared" si="14"/>
        <v>53.669159952994768</v>
      </c>
      <c r="Y116" s="606">
        <f t="shared" si="15"/>
        <v>76.916015953074577</v>
      </c>
      <c r="Z116" s="607">
        <f t="shared" si="78"/>
        <v>120.24688922049333</v>
      </c>
      <c r="AA116" s="623">
        <f t="shared" si="16"/>
        <v>80.814308185779765</v>
      </c>
      <c r="AB116" s="811">
        <f t="shared" si="34"/>
        <v>0.67206984488050125</v>
      </c>
      <c r="AC116" s="135" t="str">
        <f t="shared" si="35"/>
        <v>Policies met</v>
      </c>
      <c r="AD116" s="1240">
        <f t="shared" si="36"/>
        <v>0.67206984488050125</v>
      </c>
      <c r="AE116" s="135" t="str">
        <f t="shared" si="37"/>
        <v>No</v>
      </c>
      <c r="AF116" s="1293">
        <f t="shared" si="38"/>
        <v>139.12867530930757</v>
      </c>
      <c r="AG116" s="118">
        <f t="shared" si="39"/>
        <v>39.432581034713564</v>
      </c>
      <c r="AH116" s="118">
        <f t="shared" si="17"/>
        <v>45.760541102354082</v>
      </c>
      <c r="AI116" s="118">
        <f t="shared" si="18"/>
        <v>37.035832164635039</v>
      </c>
      <c r="AJ116" s="118">
        <f t="shared" si="19"/>
        <v>16.899721007604906</v>
      </c>
      <c r="AK116" s="118">
        <f t="shared" si="40"/>
        <v>139.1286753093076</v>
      </c>
      <c r="AL116" s="828">
        <f t="shared" si="20"/>
        <v>0</v>
      </c>
      <c r="AM116" s="730">
        <f t="shared" si="79"/>
        <v>0.2834252604436</v>
      </c>
      <c r="AN116" s="483">
        <f t="shared" si="80"/>
        <v>0.32890804861485473</v>
      </c>
      <c r="AO116" s="483">
        <f t="shared" si="81"/>
        <v>0.26619841008546835</v>
      </c>
      <c r="AP116" s="483">
        <f t="shared" si="82"/>
        <v>0.1214682808560769</v>
      </c>
      <c r="AQ116" s="483">
        <f t="shared" si="45"/>
        <v>0.99999999999999989</v>
      </c>
      <c r="AR116" s="834">
        <f t="shared" si="83"/>
        <v>6.718330286861506</v>
      </c>
      <c r="AS116" s="835">
        <f t="shared" si="84"/>
        <v>10.881405661657253</v>
      </c>
      <c r="AT116" s="835">
        <f t="shared" si="85"/>
        <v>2.3248676805531701</v>
      </c>
      <c r="AU116" s="835">
        <f t="shared" si="46"/>
        <v>0</v>
      </c>
      <c r="AV116" s="835">
        <f t="shared" si="47"/>
        <v>0</v>
      </c>
      <c r="AW116" s="835">
        <f t="shared" si="48"/>
        <v>0</v>
      </c>
      <c r="AX116" s="1228">
        <f t="shared" si="21"/>
        <v>16.236099971375594</v>
      </c>
      <c r="AY116" s="835">
        <f t="shared" si="86"/>
        <v>1.307809078845948</v>
      </c>
      <c r="AZ116" s="835">
        <f t="shared" si="87"/>
        <v>0.36762547566046921</v>
      </c>
      <c r="BA116" s="835">
        <f t="shared" si="88"/>
        <v>0.94950499551831991</v>
      </c>
      <c r="BB116" s="835">
        <f t="shared" si="89"/>
        <v>0.64693788424127452</v>
      </c>
      <c r="BC116" s="608">
        <f t="shared" si="90"/>
        <v>39.432581034713529</v>
      </c>
      <c r="BD116" s="840">
        <f t="shared" si="50"/>
        <v>0</v>
      </c>
      <c r="BE116" s="760">
        <f t="shared" si="51"/>
        <v>0.17037510887119423</v>
      </c>
      <c r="BF116" s="705">
        <f t="shared" si="52"/>
        <v>0.2759496177051679</v>
      </c>
      <c r="BG116" s="705">
        <f t="shared" si="53"/>
        <v>5.8958039761752561E-2</v>
      </c>
      <c r="BH116" s="705">
        <f t="shared" si="54"/>
        <v>0</v>
      </c>
      <c r="BI116" s="705">
        <f t="shared" si="55"/>
        <v>0</v>
      </c>
      <c r="BJ116" s="705">
        <f t="shared" si="56"/>
        <v>0</v>
      </c>
      <c r="BK116" s="705">
        <f t="shared" si="57"/>
        <v>0.49471723366188552</v>
      </c>
      <c r="BL116" s="705">
        <f t="shared" si="58"/>
        <v>1.0000000000000002</v>
      </c>
      <c r="BM116" s="730">
        <f t="shared" si="100"/>
        <v>0.29028184578274857</v>
      </c>
      <c r="BN116" s="483">
        <f t="shared" si="100"/>
        <v>0.30317187715157518</v>
      </c>
      <c r="BO116" s="483">
        <f t="shared" si="100"/>
        <v>8.2805443243048754E-2</v>
      </c>
      <c r="BP116" s="483">
        <f t="shared" si="100"/>
        <v>0</v>
      </c>
      <c r="BQ116" s="483">
        <f t="shared" si="100"/>
        <v>0</v>
      </c>
      <c r="BR116" s="483">
        <f t="shared" si="100"/>
        <v>0</v>
      </c>
      <c r="BS116" s="483">
        <f t="shared" si="100"/>
        <v>0.32374083382262742</v>
      </c>
      <c r="BT116" s="604">
        <f t="shared" si="92"/>
        <v>0.99999999999999989</v>
      </c>
      <c r="BV116" s="606">
        <f t="shared" si="60"/>
        <v>46.857337935727969</v>
      </c>
      <c r="BW116" s="114">
        <f t="shared" si="61"/>
        <v>0.85421767927943193</v>
      </c>
      <c r="BX116" s="1503">
        <f t="shared" si="22"/>
        <v>29.450466968101324</v>
      </c>
      <c r="BY116" s="606">
        <f t="shared" si="23"/>
        <v>67.578941097694269</v>
      </c>
      <c r="BZ116" s="114">
        <f t="shared" si="62"/>
        <v>0.79237180447108724</v>
      </c>
      <c r="CA116" s="765">
        <f t="shared" si="24"/>
        <v>50.172070130067617</v>
      </c>
      <c r="CB116" s="114">
        <f t="shared" si="25"/>
        <v>0.67206984488050125</v>
      </c>
      <c r="CC116" s="114">
        <f t="shared" si="26"/>
        <v>0.85</v>
      </c>
      <c r="CD116" s="730">
        <f t="shared" si="63"/>
        <v>0.67206984488050125</v>
      </c>
      <c r="CE116" s="604">
        <f t="shared" si="64"/>
        <v>0.85</v>
      </c>
      <c r="CG116" s="602">
        <f t="shared" si="65"/>
        <v>8.6899319949674325</v>
      </c>
      <c r="CH116" s="704">
        <f t="shared" si="66"/>
        <v>3.8266041510359425</v>
      </c>
      <c r="CI116" s="704">
        <f t="shared" si="67"/>
        <v>14.573606735140972</v>
      </c>
      <c r="CJ116" s="704">
        <f t="shared" si="68"/>
        <v>18.44835438659522</v>
      </c>
      <c r="CK116" s="704">
        <f t="shared" si="69"/>
        <v>0.22204383461451555</v>
      </c>
      <c r="CL116" s="704">
        <f t="shared" si="70"/>
        <v>45.760541102354082</v>
      </c>
      <c r="CM116" s="727">
        <f t="shared" si="71"/>
        <v>0</v>
      </c>
    </row>
    <row r="117" spans="1:91">
      <c r="A117" s="127">
        <f>'Input data'!A138</f>
        <v>2038</v>
      </c>
      <c r="B117" s="748">
        <f>'Input data'!B138</f>
        <v>70.341999999999999</v>
      </c>
      <c r="C117" s="236">
        <f>'Input data'!C138</f>
        <v>4590.03</v>
      </c>
      <c r="D117" s="236">
        <f>'Input data'!D138</f>
        <v>26615538.132570967</v>
      </c>
      <c r="E117" s="730">
        <f t="shared" si="96"/>
        <v>1</v>
      </c>
      <c r="F117" s="483">
        <f t="shared" si="97"/>
        <v>0.36725000000000002</v>
      </c>
      <c r="G117" s="609">
        <f>B117*F117*'Input data'!$C$9</f>
        <v>790.6752859677091</v>
      </c>
      <c r="H117" s="602">
        <f>'Input data'!I138</f>
        <v>424.26313389388866</v>
      </c>
      <c r="I117" s="607">
        <f>'Input data'!K138</f>
        <v>29843.517364363917</v>
      </c>
      <c r="J117" s="1228">
        <f t="shared" si="99"/>
        <v>39.432581034713571</v>
      </c>
      <c r="K117" s="1129">
        <f t="shared" si="74"/>
        <v>157.73032413885434</v>
      </c>
      <c r="L117" s="483">
        <f t="shared" si="98"/>
        <v>0.7</v>
      </c>
      <c r="M117" s="483">
        <f t="shared" si="95"/>
        <v>0.6</v>
      </c>
      <c r="N117" s="483">
        <f t="shared" si="95"/>
        <v>0.9</v>
      </c>
      <c r="O117" s="483">
        <f t="shared" si="95"/>
        <v>0.9</v>
      </c>
      <c r="P117" s="483">
        <f t="shared" si="95"/>
        <v>0.23600000000000002</v>
      </c>
      <c r="Q117" s="602">
        <f t="shared" si="29"/>
        <v>26.499337920908175</v>
      </c>
      <c r="R117" s="608">
        <f t="shared" si="30"/>
        <v>11.668960878701492</v>
      </c>
      <c r="S117" s="608">
        <f t="shared" si="31"/>
        <v>44.441191234244087</v>
      </c>
      <c r="T117" s="608">
        <f t="shared" si="32"/>
        <v>56.256962339656091</v>
      </c>
      <c r="U117" s="727">
        <f t="shared" si="33"/>
        <v>0.67710709475193609</v>
      </c>
      <c r="V117" s="602">
        <f t="shared" si="13"/>
        <v>139.54355946826178</v>
      </c>
      <c r="W117" s="730">
        <f t="shared" si="94"/>
        <v>0.5</v>
      </c>
      <c r="X117" s="606">
        <f t="shared" si="14"/>
        <v>53.669159952994768</v>
      </c>
      <c r="Y117" s="606">
        <f t="shared" si="15"/>
        <v>76.916015953074577</v>
      </c>
      <c r="Z117" s="607">
        <f t="shared" si="78"/>
        <v>120.24688922049333</v>
      </c>
      <c r="AA117" s="623">
        <f t="shared" si="16"/>
        <v>80.814308185779765</v>
      </c>
      <c r="AB117" s="811">
        <f t="shared" si="34"/>
        <v>0.67206984488050125</v>
      </c>
      <c r="AC117" s="135" t="str">
        <f t="shared" si="35"/>
        <v>Policies met</v>
      </c>
      <c r="AD117" s="1240">
        <f t="shared" si="36"/>
        <v>0.67206984488050125</v>
      </c>
      <c r="AE117" s="135" t="str">
        <f t="shared" si="37"/>
        <v>No</v>
      </c>
      <c r="AF117" s="1293">
        <f t="shared" si="38"/>
        <v>139.12867530930757</v>
      </c>
      <c r="AG117" s="118">
        <f t="shared" si="39"/>
        <v>39.432581034713564</v>
      </c>
      <c r="AH117" s="118">
        <f t="shared" si="17"/>
        <v>45.760541102354082</v>
      </c>
      <c r="AI117" s="118">
        <f t="shared" si="18"/>
        <v>37.035832164635039</v>
      </c>
      <c r="AJ117" s="118">
        <f t="shared" si="19"/>
        <v>16.899721007604906</v>
      </c>
      <c r="AK117" s="118">
        <f t="shared" si="40"/>
        <v>139.1286753093076</v>
      </c>
      <c r="AL117" s="828">
        <f t="shared" si="20"/>
        <v>0</v>
      </c>
      <c r="AM117" s="730">
        <f t="shared" si="79"/>
        <v>0.2834252604436</v>
      </c>
      <c r="AN117" s="483">
        <f t="shared" si="80"/>
        <v>0.32890804861485473</v>
      </c>
      <c r="AO117" s="483">
        <f t="shared" si="81"/>
        <v>0.26619841008546835</v>
      </c>
      <c r="AP117" s="483">
        <f t="shared" si="82"/>
        <v>0.1214682808560769</v>
      </c>
      <c r="AQ117" s="483">
        <f t="shared" si="45"/>
        <v>0.99999999999999989</v>
      </c>
      <c r="AR117" s="834">
        <f t="shared" si="83"/>
        <v>6.718330286861506</v>
      </c>
      <c r="AS117" s="835">
        <f t="shared" si="84"/>
        <v>10.881405661657253</v>
      </c>
      <c r="AT117" s="835">
        <f t="shared" si="85"/>
        <v>2.3248676805531701</v>
      </c>
      <c r="AU117" s="835">
        <f t="shared" si="46"/>
        <v>0</v>
      </c>
      <c r="AV117" s="835">
        <f t="shared" si="47"/>
        <v>0</v>
      </c>
      <c r="AW117" s="835">
        <f t="shared" si="48"/>
        <v>0</v>
      </c>
      <c r="AX117" s="1228">
        <f t="shared" si="21"/>
        <v>16.236099971375594</v>
      </c>
      <c r="AY117" s="835">
        <f t="shared" si="86"/>
        <v>1.307809078845948</v>
      </c>
      <c r="AZ117" s="835">
        <f t="shared" si="87"/>
        <v>0.36762547566046921</v>
      </c>
      <c r="BA117" s="835">
        <f t="shared" si="88"/>
        <v>0.94950499551831991</v>
      </c>
      <c r="BB117" s="835">
        <f t="shared" si="89"/>
        <v>0.64693788424127452</v>
      </c>
      <c r="BC117" s="608">
        <f t="shared" si="90"/>
        <v>39.432581034713529</v>
      </c>
      <c r="BD117" s="840">
        <f t="shared" si="50"/>
        <v>0</v>
      </c>
      <c r="BE117" s="760">
        <f t="shared" si="51"/>
        <v>0.17037510887119423</v>
      </c>
      <c r="BF117" s="705">
        <f t="shared" si="52"/>
        <v>0.2759496177051679</v>
      </c>
      <c r="BG117" s="705">
        <f t="shared" si="53"/>
        <v>5.8958039761752561E-2</v>
      </c>
      <c r="BH117" s="705">
        <f t="shared" si="54"/>
        <v>0</v>
      </c>
      <c r="BI117" s="705">
        <f t="shared" si="55"/>
        <v>0</v>
      </c>
      <c r="BJ117" s="705">
        <f t="shared" si="56"/>
        <v>0</v>
      </c>
      <c r="BK117" s="705">
        <f t="shared" si="57"/>
        <v>0.49471723366188552</v>
      </c>
      <c r="BL117" s="705">
        <f t="shared" si="58"/>
        <v>1.0000000000000002</v>
      </c>
      <c r="BM117" s="730">
        <f t="shared" si="100"/>
        <v>0.29028184578274857</v>
      </c>
      <c r="BN117" s="483">
        <f t="shared" si="100"/>
        <v>0.30317187715157518</v>
      </c>
      <c r="BO117" s="483">
        <f t="shared" si="100"/>
        <v>8.2805443243048754E-2</v>
      </c>
      <c r="BP117" s="483">
        <f t="shared" si="100"/>
        <v>0</v>
      </c>
      <c r="BQ117" s="483">
        <f t="shared" si="100"/>
        <v>0</v>
      </c>
      <c r="BR117" s="483">
        <f t="shared" si="100"/>
        <v>0</v>
      </c>
      <c r="BS117" s="483">
        <f t="shared" si="100"/>
        <v>0.32374083382262742</v>
      </c>
      <c r="BT117" s="604">
        <f t="shared" si="92"/>
        <v>0.99999999999999989</v>
      </c>
      <c r="BV117" s="606">
        <f t="shared" si="60"/>
        <v>45.402511363282024</v>
      </c>
      <c r="BW117" s="114">
        <f t="shared" si="61"/>
        <v>0.85963863629289472</v>
      </c>
      <c r="BX117" s="1503">
        <f t="shared" si="22"/>
        <v>26.615538132570968</v>
      </c>
      <c r="BY117" s="606">
        <f t="shared" si="23"/>
        <v>67.879746959793792</v>
      </c>
      <c r="BZ117" s="114">
        <f t="shared" si="62"/>
        <v>0.79251242467237626</v>
      </c>
      <c r="CA117" s="765">
        <f t="shared" si="24"/>
        <v>50.172070130067617</v>
      </c>
      <c r="CB117" s="114">
        <f t="shared" si="25"/>
        <v>0.67206984488050125</v>
      </c>
      <c r="CC117" s="114">
        <f t="shared" si="26"/>
        <v>0.8295615868271945</v>
      </c>
      <c r="CD117" s="730">
        <f t="shared" si="63"/>
        <v>0.67206984488050125</v>
      </c>
      <c r="CE117" s="604">
        <f t="shared" si="64"/>
        <v>0.85</v>
      </c>
      <c r="CG117" s="602">
        <f t="shared" si="65"/>
        <v>8.6899319949674325</v>
      </c>
      <c r="CH117" s="704">
        <f t="shared" si="66"/>
        <v>3.8266041510359425</v>
      </c>
      <c r="CI117" s="704">
        <f t="shared" si="67"/>
        <v>14.573606735140972</v>
      </c>
      <c r="CJ117" s="704">
        <f t="shared" si="68"/>
        <v>18.44835438659522</v>
      </c>
      <c r="CK117" s="704">
        <f t="shared" si="69"/>
        <v>0.22204383461451555</v>
      </c>
      <c r="CL117" s="704">
        <f t="shared" si="70"/>
        <v>45.760541102354082</v>
      </c>
      <c r="CM117" s="727">
        <f t="shared" si="71"/>
        <v>0</v>
      </c>
    </row>
    <row r="118" spans="1:91">
      <c r="A118" s="127">
        <f>'Input data'!A139</f>
        <v>2039</v>
      </c>
      <c r="B118" s="748">
        <f>'Input data'!B139</f>
        <v>70.856999999999999</v>
      </c>
      <c r="C118" s="236">
        <f>'Input data'!C139</f>
        <v>4728.5300000000007</v>
      </c>
      <c r="D118" s="236">
        <f>'Input data'!D139</f>
        <v>23780609.297040608</v>
      </c>
      <c r="E118" s="730">
        <f t="shared" si="96"/>
        <v>1</v>
      </c>
      <c r="F118" s="483">
        <f t="shared" si="97"/>
        <v>0.36725000000000002</v>
      </c>
      <c r="G118" s="609">
        <f>B118*F118*'Input data'!$C$9</f>
        <v>796.46411443823001</v>
      </c>
      <c r="H118" s="602">
        <f>'Input data'!I139</f>
        <v>424.26313389388866</v>
      </c>
      <c r="I118" s="607">
        <f>'Input data'!K139</f>
        <v>30062.01287831927</v>
      </c>
      <c r="J118" s="623">
        <f t="shared" si="99"/>
        <v>39.432581034713571</v>
      </c>
      <c r="K118" s="609">
        <f t="shared" si="74"/>
        <v>157.73032413885434</v>
      </c>
      <c r="L118" s="483">
        <f t="shared" si="98"/>
        <v>0.7</v>
      </c>
      <c r="M118" s="483">
        <f t="shared" si="95"/>
        <v>0.6</v>
      </c>
      <c r="N118" s="483">
        <f t="shared" si="95"/>
        <v>0.9</v>
      </c>
      <c r="O118" s="483">
        <f t="shared" si="95"/>
        <v>0.9</v>
      </c>
      <c r="P118" s="483">
        <f t="shared" si="95"/>
        <v>0.23600000000000002</v>
      </c>
      <c r="Q118" s="602">
        <f t="shared" si="29"/>
        <v>26.499337920908175</v>
      </c>
      <c r="R118" s="608">
        <f t="shared" si="30"/>
        <v>11.668960878701492</v>
      </c>
      <c r="S118" s="608">
        <f t="shared" si="31"/>
        <v>44.441191234244087</v>
      </c>
      <c r="T118" s="608">
        <f t="shared" si="32"/>
        <v>56.256962339656091</v>
      </c>
      <c r="U118" s="727">
        <f t="shared" si="33"/>
        <v>0.67710709475193609</v>
      </c>
      <c r="V118" s="602">
        <f t="shared" si="13"/>
        <v>139.54355946826178</v>
      </c>
      <c r="W118" s="730">
        <f t="shared" si="94"/>
        <v>0.5</v>
      </c>
      <c r="X118" s="606">
        <f t="shared" si="14"/>
        <v>53.669159952994768</v>
      </c>
      <c r="Y118" s="606">
        <f t="shared" si="15"/>
        <v>76.916015953074577</v>
      </c>
      <c r="Z118" s="607">
        <f t="shared" si="78"/>
        <v>120.24688922049333</v>
      </c>
      <c r="AA118" s="623">
        <f t="shared" si="16"/>
        <v>80.814308185779765</v>
      </c>
      <c r="AB118" s="811">
        <f t="shared" si="34"/>
        <v>0.67206984488050125</v>
      </c>
      <c r="AC118" s="135" t="str">
        <f t="shared" si="35"/>
        <v>Policies met</v>
      </c>
      <c r="AD118" s="1240">
        <f t="shared" si="36"/>
        <v>0.67206984488050125</v>
      </c>
      <c r="AE118" s="135" t="str">
        <f t="shared" si="37"/>
        <v>No</v>
      </c>
      <c r="AF118" s="1293">
        <f t="shared" si="38"/>
        <v>139.12867530930757</v>
      </c>
      <c r="AG118" s="118">
        <f t="shared" si="39"/>
        <v>39.432581034713564</v>
      </c>
      <c r="AH118" s="118">
        <f t="shared" si="17"/>
        <v>45.760541102354082</v>
      </c>
      <c r="AI118" s="118">
        <f t="shared" si="18"/>
        <v>37.035832164635039</v>
      </c>
      <c r="AJ118" s="118">
        <f t="shared" si="19"/>
        <v>16.899721007604906</v>
      </c>
      <c r="AK118" s="118">
        <f t="shared" si="40"/>
        <v>139.1286753093076</v>
      </c>
      <c r="AL118" s="828">
        <f t="shared" si="20"/>
        <v>0</v>
      </c>
      <c r="AM118" s="730">
        <f t="shared" si="79"/>
        <v>0.2834252604436</v>
      </c>
      <c r="AN118" s="483">
        <f t="shared" si="80"/>
        <v>0.32890804861485473</v>
      </c>
      <c r="AO118" s="483">
        <f t="shared" si="81"/>
        <v>0.26619841008546835</v>
      </c>
      <c r="AP118" s="483">
        <f t="shared" si="82"/>
        <v>0.1214682808560769</v>
      </c>
      <c r="AQ118" s="483">
        <f t="shared" si="45"/>
        <v>0.99999999999999989</v>
      </c>
      <c r="AR118" s="834">
        <f t="shared" si="83"/>
        <v>6.718330286861506</v>
      </c>
      <c r="AS118" s="835">
        <f t="shared" si="84"/>
        <v>10.881405661657253</v>
      </c>
      <c r="AT118" s="835">
        <f t="shared" si="85"/>
        <v>2.3248676805531701</v>
      </c>
      <c r="AU118" s="835">
        <f t="shared" si="46"/>
        <v>0</v>
      </c>
      <c r="AV118" s="835">
        <f t="shared" si="47"/>
        <v>0</v>
      </c>
      <c r="AW118" s="835">
        <f t="shared" si="48"/>
        <v>0</v>
      </c>
      <c r="AX118" s="1228">
        <f t="shared" si="21"/>
        <v>16.236099971375594</v>
      </c>
      <c r="AY118" s="835">
        <f t="shared" si="86"/>
        <v>1.307809078845948</v>
      </c>
      <c r="AZ118" s="835">
        <f t="shared" si="87"/>
        <v>0.36762547566046921</v>
      </c>
      <c r="BA118" s="835">
        <f t="shared" si="88"/>
        <v>0.94950499551831991</v>
      </c>
      <c r="BB118" s="835">
        <f t="shared" si="89"/>
        <v>0.64693788424127452</v>
      </c>
      <c r="BC118" s="608">
        <f t="shared" si="90"/>
        <v>39.432581034713529</v>
      </c>
      <c r="BD118" s="840">
        <f t="shared" si="50"/>
        <v>0</v>
      </c>
      <c r="BE118" s="760">
        <f t="shared" si="51"/>
        <v>0.17037510887119423</v>
      </c>
      <c r="BF118" s="705">
        <f t="shared" si="52"/>
        <v>0.2759496177051679</v>
      </c>
      <c r="BG118" s="705">
        <f t="shared" si="53"/>
        <v>5.8958039761752561E-2</v>
      </c>
      <c r="BH118" s="705">
        <f t="shared" si="54"/>
        <v>0</v>
      </c>
      <c r="BI118" s="705">
        <f t="shared" si="55"/>
        <v>0</v>
      </c>
      <c r="BJ118" s="705">
        <f t="shared" si="56"/>
        <v>0</v>
      </c>
      <c r="BK118" s="705">
        <f t="shared" si="57"/>
        <v>0.49471723366188552</v>
      </c>
      <c r="BL118" s="705">
        <f t="shared" si="58"/>
        <v>1.0000000000000002</v>
      </c>
      <c r="BM118" s="730">
        <f t="shared" si="100"/>
        <v>0.29028184578274857</v>
      </c>
      <c r="BN118" s="483">
        <f t="shared" si="100"/>
        <v>0.30317187715157518</v>
      </c>
      <c r="BO118" s="483">
        <f t="shared" si="100"/>
        <v>8.2805443243048754E-2</v>
      </c>
      <c r="BP118" s="483">
        <f t="shared" si="100"/>
        <v>0</v>
      </c>
      <c r="BQ118" s="483">
        <f t="shared" si="100"/>
        <v>0</v>
      </c>
      <c r="BR118" s="483">
        <f t="shared" si="100"/>
        <v>0</v>
      </c>
      <c r="BS118" s="483">
        <f t="shared" si="100"/>
        <v>0.32374083382262742</v>
      </c>
      <c r="BT118" s="604">
        <f t="shared" si="92"/>
        <v>0.99999999999999989</v>
      </c>
      <c r="BV118" s="606">
        <f t="shared" si="60"/>
        <v>46.37476793648645</v>
      </c>
      <c r="BW118" s="114">
        <f t="shared" si="61"/>
        <v>0.84848413511490561</v>
      </c>
      <c r="BX118" s="1503">
        <f t="shared" si="22"/>
        <v>23.780609297040609</v>
      </c>
      <c r="BY118" s="606">
        <f t="shared" si="23"/>
        <v>68.190409873652285</v>
      </c>
      <c r="BZ118" s="114">
        <f t="shared" si="62"/>
        <v>0.79262505199985489</v>
      </c>
      <c r="CA118" s="765">
        <f t="shared" si="24"/>
        <v>50.172070130067617</v>
      </c>
      <c r="CB118" s="114">
        <f t="shared" si="25"/>
        <v>0.67206984488050125</v>
      </c>
      <c r="CC118" s="114">
        <f t="shared" si="26"/>
        <v>0.76588670458622865</v>
      </c>
      <c r="CD118" s="730">
        <f t="shared" si="63"/>
        <v>0.67206984488050125</v>
      </c>
      <c r="CE118" s="604">
        <f t="shared" si="64"/>
        <v>0.85</v>
      </c>
      <c r="CG118" s="602">
        <f t="shared" si="65"/>
        <v>8.6899319949674325</v>
      </c>
      <c r="CH118" s="704">
        <f t="shared" si="66"/>
        <v>3.8266041510359425</v>
      </c>
      <c r="CI118" s="704">
        <f t="shared" si="67"/>
        <v>14.573606735140972</v>
      </c>
      <c r="CJ118" s="704">
        <f t="shared" si="68"/>
        <v>18.44835438659522</v>
      </c>
      <c r="CK118" s="704">
        <f t="shared" si="69"/>
        <v>0.22204383461451555</v>
      </c>
      <c r="CL118" s="704">
        <f t="shared" si="70"/>
        <v>45.760541102354082</v>
      </c>
      <c r="CM118" s="727">
        <f t="shared" si="71"/>
        <v>0</v>
      </c>
    </row>
    <row r="119" spans="1:91">
      <c r="A119" s="127">
        <f>'Input data'!A140</f>
        <v>2040</v>
      </c>
      <c r="B119" s="748">
        <f>'Input data'!B140</f>
        <v>71.375</v>
      </c>
      <c r="C119" s="236">
        <f>'Input data'!C140</f>
        <v>4875.51</v>
      </c>
      <c r="D119" s="236">
        <f>'Input data'!D140</f>
        <v>20945680.461510252</v>
      </c>
      <c r="E119" s="730">
        <f t="shared" si="96"/>
        <v>1</v>
      </c>
      <c r="F119" s="483">
        <f t="shared" si="97"/>
        <v>0.36725000000000002</v>
      </c>
      <c r="G119" s="609">
        <f>B119*F119*'Input data'!$C$9</f>
        <v>802.28666423964694</v>
      </c>
      <c r="H119" s="602">
        <f>'Input data'!I140</f>
        <v>424.26313389388866</v>
      </c>
      <c r="I119" s="607">
        <f>'Input data'!K140</f>
        <v>30281.781181676302</v>
      </c>
      <c r="J119" s="623">
        <f t="shared" si="99"/>
        <v>39.432581034713571</v>
      </c>
      <c r="K119" s="609">
        <f t="shared" si="74"/>
        <v>157.73032413885434</v>
      </c>
      <c r="L119" s="483">
        <f t="shared" si="98"/>
        <v>0.7</v>
      </c>
      <c r="M119" s="483">
        <f t="shared" si="95"/>
        <v>0.6</v>
      </c>
      <c r="N119" s="483">
        <f t="shared" si="95"/>
        <v>0.9</v>
      </c>
      <c r="O119" s="483">
        <f t="shared" si="95"/>
        <v>0.9</v>
      </c>
      <c r="P119" s="483">
        <f t="shared" si="95"/>
        <v>0.23600000000000002</v>
      </c>
      <c r="Q119" s="602">
        <f t="shared" si="29"/>
        <v>26.499337920908175</v>
      </c>
      <c r="R119" s="608">
        <f t="shared" si="30"/>
        <v>11.668960878701492</v>
      </c>
      <c r="S119" s="608">
        <f t="shared" si="31"/>
        <v>44.441191234244087</v>
      </c>
      <c r="T119" s="608">
        <f t="shared" si="32"/>
        <v>56.256962339656091</v>
      </c>
      <c r="U119" s="727">
        <f t="shared" si="33"/>
        <v>0.67710709475193609</v>
      </c>
      <c r="V119" s="602">
        <f t="shared" si="13"/>
        <v>139.54355946826178</v>
      </c>
      <c r="W119" s="730">
        <f t="shared" si="94"/>
        <v>0.5</v>
      </c>
      <c r="X119" s="606">
        <f t="shared" si="14"/>
        <v>53.669159952994768</v>
      </c>
      <c r="Y119" s="606">
        <f t="shared" si="15"/>
        <v>76.916015953074577</v>
      </c>
      <c r="Z119" s="607">
        <f t="shared" si="78"/>
        <v>120.24688922049333</v>
      </c>
      <c r="AA119" s="623">
        <f t="shared" si="16"/>
        <v>80.814308185779765</v>
      </c>
      <c r="AB119" s="811">
        <f t="shared" si="34"/>
        <v>0.67206984488050125</v>
      </c>
      <c r="AC119" s="135" t="str">
        <f t="shared" si="35"/>
        <v>Policies met</v>
      </c>
      <c r="AD119" s="1240">
        <f t="shared" si="36"/>
        <v>0.67206984488050125</v>
      </c>
      <c r="AE119" s="135" t="str">
        <f t="shared" si="37"/>
        <v>No</v>
      </c>
      <c r="AF119" s="1293">
        <f t="shared" si="38"/>
        <v>139.12867530930757</v>
      </c>
      <c r="AG119" s="118">
        <f t="shared" si="39"/>
        <v>39.432581034713564</v>
      </c>
      <c r="AH119" s="118">
        <f t="shared" si="17"/>
        <v>45.760541102354082</v>
      </c>
      <c r="AI119" s="118">
        <f t="shared" si="18"/>
        <v>37.035832164635039</v>
      </c>
      <c r="AJ119" s="118">
        <f t="shared" si="19"/>
        <v>16.899721007604906</v>
      </c>
      <c r="AK119" s="118">
        <f t="shared" si="40"/>
        <v>139.1286753093076</v>
      </c>
      <c r="AL119" s="828">
        <f t="shared" si="20"/>
        <v>0</v>
      </c>
      <c r="AM119" s="730">
        <f t="shared" si="79"/>
        <v>0.2834252604436</v>
      </c>
      <c r="AN119" s="483">
        <f t="shared" si="80"/>
        <v>0.32890804861485473</v>
      </c>
      <c r="AO119" s="483">
        <f t="shared" si="81"/>
        <v>0.26619841008546835</v>
      </c>
      <c r="AP119" s="483">
        <f t="shared" si="82"/>
        <v>0.1214682808560769</v>
      </c>
      <c r="AQ119" s="483">
        <f t="shared" si="45"/>
        <v>0.99999999999999989</v>
      </c>
      <c r="AR119" s="834">
        <f t="shared" si="83"/>
        <v>6.718330286861506</v>
      </c>
      <c r="AS119" s="835">
        <f t="shared" si="84"/>
        <v>10.881405661657253</v>
      </c>
      <c r="AT119" s="835">
        <f t="shared" si="85"/>
        <v>2.3248676805531701</v>
      </c>
      <c r="AU119" s="835">
        <f t="shared" si="46"/>
        <v>0</v>
      </c>
      <c r="AV119" s="835">
        <f t="shared" si="47"/>
        <v>0</v>
      </c>
      <c r="AW119" s="835">
        <f t="shared" si="48"/>
        <v>0</v>
      </c>
      <c r="AX119" s="1228">
        <f t="shared" si="21"/>
        <v>16.236099971375594</v>
      </c>
      <c r="AY119" s="835">
        <f t="shared" si="86"/>
        <v>1.307809078845948</v>
      </c>
      <c r="AZ119" s="835">
        <f t="shared" si="87"/>
        <v>0.36762547566046921</v>
      </c>
      <c r="BA119" s="835">
        <f t="shared" si="88"/>
        <v>0.94950499551831991</v>
      </c>
      <c r="BB119" s="835">
        <f t="shared" si="89"/>
        <v>0.64693788424127452</v>
      </c>
      <c r="BC119" s="608">
        <f t="shared" si="90"/>
        <v>39.432581034713529</v>
      </c>
      <c r="BD119" s="840">
        <f t="shared" si="50"/>
        <v>0</v>
      </c>
      <c r="BE119" s="760">
        <f t="shared" si="51"/>
        <v>0.17037510887119423</v>
      </c>
      <c r="BF119" s="705">
        <f t="shared" si="52"/>
        <v>0.2759496177051679</v>
      </c>
      <c r="BG119" s="705">
        <f t="shared" si="53"/>
        <v>5.8958039761752561E-2</v>
      </c>
      <c r="BH119" s="705">
        <f t="shared" si="54"/>
        <v>0</v>
      </c>
      <c r="BI119" s="705">
        <f t="shared" si="55"/>
        <v>0</v>
      </c>
      <c r="BJ119" s="705">
        <f t="shared" si="56"/>
        <v>0</v>
      </c>
      <c r="BK119" s="705">
        <f t="shared" si="57"/>
        <v>0.49471723366188552</v>
      </c>
      <c r="BL119" s="705">
        <f t="shared" si="58"/>
        <v>1.0000000000000002</v>
      </c>
      <c r="BM119" s="730">
        <f t="shared" si="100"/>
        <v>0.29028184578274857</v>
      </c>
      <c r="BN119" s="483">
        <f t="shared" si="100"/>
        <v>0.30317187715157518</v>
      </c>
      <c r="BO119" s="483">
        <f t="shared" si="100"/>
        <v>8.2805443243048754E-2</v>
      </c>
      <c r="BP119" s="483">
        <f t="shared" si="100"/>
        <v>0</v>
      </c>
      <c r="BQ119" s="483">
        <f t="shared" si="100"/>
        <v>0</v>
      </c>
      <c r="BR119" s="483">
        <f t="shared" si="100"/>
        <v>0</v>
      </c>
      <c r="BS119" s="483">
        <f t="shared" si="100"/>
        <v>0.32374083382262742</v>
      </c>
      <c r="BT119" s="604">
        <f t="shared" si="92"/>
        <v>0.99999999999999989</v>
      </c>
      <c r="BV119" s="606">
        <f t="shared" si="60"/>
        <v>47.410888911411924</v>
      </c>
      <c r="BW119" s="114">
        <f t="shared" si="61"/>
        <v>0.83753152455610469</v>
      </c>
      <c r="BX119" s="1503">
        <f t="shared" si="22"/>
        <v>20.945680461510253</v>
      </c>
      <c r="BY119" s="606">
        <f t="shared" si="23"/>
        <v>68.5161242439967</v>
      </c>
      <c r="BZ119" s="114">
        <f t="shared" si="62"/>
        <v>0.7926923838350951</v>
      </c>
      <c r="CA119" s="765">
        <f t="shared" si="24"/>
        <v>50.172070130067617</v>
      </c>
      <c r="CB119" s="114">
        <f t="shared" si="25"/>
        <v>0.67206984488050125</v>
      </c>
      <c r="CC119" s="114">
        <f t="shared" si="26"/>
        <v>0.70521629632383942</v>
      </c>
      <c r="CD119" s="730">
        <f t="shared" si="63"/>
        <v>0.67206984488050125</v>
      </c>
      <c r="CE119" s="604">
        <f t="shared" si="64"/>
        <v>0.85</v>
      </c>
      <c r="CG119" s="602">
        <f t="shared" si="65"/>
        <v>8.6899319949674325</v>
      </c>
      <c r="CH119" s="704">
        <f t="shared" si="66"/>
        <v>3.8266041510359425</v>
      </c>
      <c r="CI119" s="704">
        <f t="shared" si="67"/>
        <v>14.573606735140972</v>
      </c>
      <c r="CJ119" s="704">
        <f t="shared" si="68"/>
        <v>18.44835438659522</v>
      </c>
      <c r="CK119" s="704">
        <f t="shared" si="69"/>
        <v>0.22204383461451555</v>
      </c>
      <c r="CL119" s="704">
        <f t="shared" si="70"/>
        <v>45.760541102354082</v>
      </c>
      <c r="CM119" s="727">
        <f t="shared" si="71"/>
        <v>0</v>
      </c>
    </row>
    <row r="120" spans="1:91">
      <c r="A120" s="127">
        <f>'Input data'!A141</f>
        <v>2041</v>
      </c>
      <c r="B120" s="748">
        <f>'Input data'!B141</f>
        <v>71.819000000000003</v>
      </c>
      <c r="C120" s="236">
        <f>'Input data'!C141</f>
        <v>5028.54</v>
      </c>
      <c r="D120" s="236">
        <f>'Input data'!D141</f>
        <v>19664699.523913871</v>
      </c>
      <c r="E120" s="730">
        <f t="shared" si="96"/>
        <v>1</v>
      </c>
      <c r="F120" s="483">
        <f t="shared" si="97"/>
        <v>0.36725000000000002</v>
      </c>
      <c r="G120" s="609">
        <f>B120*F120*'Input data'!$C$9</f>
        <v>807.27742121229016</v>
      </c>
      <c r="H120" s="602">
        <f>'Input data'!I141</f>
        <v>424.26313389388866</v>
      </c>
      <c r="I120" s="607">
        <f>'Input data'!K141</f>
        <v>30470.15401312519</v>
      </c>
      <c r="J120" s="623">
        <f t="shared" si="99"/>
        <v>39.432581034713571</v>
      </c>
      <c r="K120" s="609">
        <f t="shared" si="74"/>
        <v>157.73032413885434</v>
      </c>
      <c r="L120" s="483">
        <f t="shared" si="98"/>
        <v>0.7</v>
      </c>
      <c r="M120" s="483">
        <f t="shared" si="95"/>
        <v>0.6</v>
      </c>
      <c r="N120" s="483">
        <f t="shared" si="95"/>
        <v>0.9</v>
      </c>
      <c r="O120" s="483">
        <f t="shared" si="95"/>
        <v>0.9</v>
      </c>
      <c r="P120" s="483">
        <f t="shared" si="95"/>
        <v>0.23600000000000002</v>
      </c>
      <c r="Q120" s="602">
        <f t="shared" si="29"/>
        <v>26.499337920908175</v>
      </c>
      <c r="R120" s="608">
        <f t="shared" si="30"/>
        <v>11.668960878701492</v>
      </c>
      <c r="S120" s="608">
        <f t="shared" si="31"/>
        <v>44.441191234244087</v>
      </c>
      <c r="T120" s="608">
        <f t="shared" si="32"/>
        <v>56.256962339656091</v>
      </c>
      <c r="U120" s="727">
        <f t="shared" si="33"/>
        <v>0.67710709475193609</v>
      </c>
      <c r="V120" s="602">
        <f t="shared" si="13"/>
        <v>139.54355946826178</v>
      </c>
      <c r="W120" s="730">
        <f t="shared" si="94"/>
        <v>0.5</v>
      </c>
      <c r="X120" s="606">
        <f t="shared" si="14"/>
        <v>53.669159952994768</v>
      </c>
      <c r="Y120" s="606">
        <f t="shared" si="15"/>
        <v>76.916015953074577</v>
      </c>
      <c r="Z120" s="607">
        <f t="shared" si="78"/>
        <v>120.24688922049333</v>
      </c>
      <c r="AA120" s="623">
        <f t="shared" si="16"/>
        <v>80.814308185779765</v>
      </c>
      <c r="AB120" s="811">
        <f t="shared" si="34"/>
        <v>0.67206984488050125</v>
      </c>
      <c r="AC120" s="135" t="str">
        <f t="shared" si="35"/>
        <v>Policies met</v>
      </c>
      <c r="AD120" s="1240">
        <f t="shared" si="36"/>
        <v>0.67206984488050125</v>
      </c>
      <c r="AE120" s="135" t="str">
        <f t="shared" si="37"/>
        <v>No</v>
      </c>
      <c r="AF120" s="1293">
        <f t="shared" si="38"/>
        <v>139.12867530930757</v>
      </c>
      <c r="AG120" s="118">
        <f t="shared" si="39"/>
        <v>39.432581034713564</v>
      </c>
      <c r="AH120" s="118">
        <f t="shared" si="17"/>
        <v>45.760541102354082</v>
      </c>
      <c r="AI120" s="118">
        <f t="shared" si="18"/>
        <v>37.035832164635039</v>
      </c>
      <c r="AJ120" s="118">
        <f t="shared" si="19"/>
        <v>16.899721007604906</v>
      </c>
      <c r="AK120" s="118">
        <f t="shared" si="40"/>
        <v>139.1286753093076</v>
      </c>
      <c r="AL120" s="828">
        <f t="shared" si="20"/>
        <v>0</v>
      </c>
      <c r="AM120" s="730">
        <f t="shared" si="79"/>
        <v>0.2834252604436</v>
      </c>
      <c r="AN120" s="483">
        <f t="shared" si="80"/>
        <v>0.32890804861485473</v>
      </c>
      <c r="AO120" s="483">
        <f t="shared" si="81"/>
        <v>0.26619841008546835</v>
      </c>
      <c r="AP120" s="483">
        <f t="shared" si="82"/>
        <v>0.1214682808560769</v>
      </c>
      <c r="AQ120" s="483">
        <f t="shared" si="45"/>
        <v>0.99999999999999989</v>
      </c>
      <c r="AR120" s="834">
        <f t="shared" si="83"/>
        <v>6.718330286861506</v>
      </c>
      <c r="AS120" s="835">
        <f t="shared" si="84"/>
        <v>10.881405661657253</v>
      </c>
      <c r="AT120" s="835">
        <f t="shared" si="85"/>
        <v>2.3248676805531701</v>
      </c>
      <c r="AU120" s="835">
        <f t="shared" si="46"/>
        <v>0</v>
      </c>
      <c r="AV120" s="835">
        <f t="shared" si="47"/>
        <v>0</v>
      </c>
      <c r="AW120" s="835">
        <f t="shared" si="48"/>
        <v>0</v>
      </c>
      <c r="AX120" s="1228">
        <f t="shared" si="21"/>
        <v>16.236099971375594</v>
      </c>
      <c r="AY120" s="835">
        <f t="shared" si="86"/>
        <v>1.307809078845948</v>
      </c>
      <c r="AZ120" s="835">
        <f t="shared" si="87"/>
        <v>0.36762547566046921</v>
      </c>
      <c r="BA120" s="835">
        <f t="shared" si="88"/>
        <v>0.94950499551831991</v>
      </c>
      <c r="BB120" s="835">
        <f t="shared" si="89"/>
        <v>0.64693788424127452</v>
      </c>
      <c r="BC120" s="608">
        <f t="shared" si="90"/>
        <v>39.432581034713529</v>
      </c>
      <c r="BD120" s="840">
        <f t="shared" si="50"/>
        <v>0</v>
      </c>
      <c r="BE120" s="760">
        <f t="shared" si="51"/>
        <v>0.17037510887119423</v>
      </c>
      <c r="BF120" s="705">
        <f t="shared" si="52"/>
        <v>0.2759496177051679</v>
      </c>
      <c r="BG120" s="705">
        <f t="shared" si="53"/>
        <v>5.8958039761752561E-2</v>
      </c>
      <c r="BH120" s="705">
        <f t="shared" si="54"/>
        <v>0</v>
      </c>
      <c r="BI120" s="705">
        <f t="shared" si="55"/>
        <v>0</v>
      </c>
      <c r="BJ120" s="705">
        <f t="shared" si="56"/>
        <v>0</v>
      </c>
      <c r="BK120" s="705">
        <f t="shared" si="57"/>
        <v>0.49471723366188552</v>
      </c>
      <c r="BL120" s="705">
        <f t="shared" si="58"/>
        <v>1.0000000000000002</v>
      </c>
      <c r="BM120" s="730">
        <f t="shared" si="100"/>
        <v>0.29028184578274857</v>
      </c>
      <c r="BN120" s="483">
        <f t="shared" si="100"/>
        <v>0.30317187715157518</v>
      </c>
      <c r="BO120" s="483">
        <f t="shared" si="100"/>
        <v>8.2805443243048754E-2</v>
      </c>
      <c r="BP120" s="483">
        <f t="shared" si="100"/>
        <v>0</v>
      </c>
      <c r="BQ120" s="483">
        <f t="shared" si="100"/>
        <v>0</v>
      </c>
      <c r="BR120" s="483">
        <f t="shared" si="100"/>
        <v>0</v>
      </c>
      <c r="BS120" s="483">
        <f t="shared" si="100"/>
        <v>0.32374083382262742</v>
      </c>
      <c r="BT120" s="604">
        <f t="shared" si="92"/>
        <v>0.99999999999999989</v>
      </c>
      <c r="BV120" s="606">
        <f t="shared" si="60"/>
        <v>48.556333734962038</v>
      </c>
      <c r="BW120" s="114">
        <f t="shared" si="61"/>
        <v>0.82952457660225665</v>
      </c>
      <c r="BX120" s="1503">
        <f t="shared" si="22"/>
        <v>19.664699523913871</v>
      </c>
      <c r="BY120" s="606">
        <f t="shared" si="23"/>
        <v>68.841983673297804</v>
      </c>
      <c r="BZ120" s="114">
        <f t="shared" si="62"/>
        <v>0.79259195130135063</v>
      </c>
      <c r="CA120" s="765">
        <f t="shared" si="24"/>
        <v>50.172070130067617</v>
      </c>
      <c r="CB120" s="114">
        <f t="shared" si="25"/>
        <v>0.67206984488050125</v>
      </c>
      <c r="CC120" s="114">
        <f t="shared" si="26"/>
        <v>0.67331321468947369</v>
      </c>
      <c r="CD120" s="730">
        <f t="shared" si="63"/>
        <v>0.67206984488050125</v>
      </c>
      <c r="CE120" s="604">
        <f t="shared" si="64"/>
        <v>0.85</v>
      </c>
      <c r="CG120" s="602">
        <f t="shared" si="65"/>
        <v>8.6899319949674325</v>
      </c>
      <c r="CH120" s="704">
        <f t="shared" si="66"/>
        <v>3.8266041510359425</v>
      </c>
      <c r="CI120" s="704">
        <f t="shared" si="67"/>
        <v>14.573606735140972</v>
      </c>
      <c r="CJ120" s="704">
        <f t="shared" si="68"/>
        <v>18.44835438659522</v>
      </c>
      <c r="CK120" s="704">
        <f t="shared" si="69"/>
        <v>0.22204383461451555</v>
      </c>
      <c r="CL120" s="704">
        <f t="shared" si="70"/>
        <v>45.760541102354082</v>
      </c>
      <c r="CM120" s="727">
        <f t="shared" si="71"/>
        <v>0</v>
      </c>
    </row>
    <row r="121" spans="1:91">
      <c r="A121" s="127">
        <f>'Input data'!A142</f>
        <v>2042</v>
      </c>
      <c r="B121" s="748">
        <f>'Input data'!B142</f>
        <v>72.265000000000001</v>
      </c>
      <c r="C121" s="236">
        <f>'Input data'!C142</f>
        <v>5188.1000000000004</v>
      </c>
      <c r="D121" s="236">
        <f>'Input data'!D142</f>
        <v>18383718.586317491</v>
      </c>
      <c r="E121" s="730">
        <f t="shared" si="96"/>
        <v>1</v>
      </c>
      <c r="F121" s="483">
        <f t="shared" si="97"/>
        <v>0.36725000000000002</v>
      </c>
      <c r="G121" s="609">
        <f>B121*F121*'Input data'!$C$9</f>
        <v>812.29065907219729</v>
      </c>
      <c r="H121" s="602">
        <f>'Input data'!I142</f>
        <v>424.26313389388866</v>
      </c>
      <c r="I121" s="607">
        <f>'Input data'!K142</f>
        <v>30659.375370841866</v>
      </c>
      <c r="J121" s="623">
        <f t="shared" si="99"/>
        <v>39.432581034713571</v>
      </c>
      <c r="K121" s="609">
        <f t="shared" si="74"/>
        <v>157.73032413885434</v>
      </c>
      <c r="L121" s="483">
        <f t="shared" si="98"/>
        <v>0.7</v>
      </c>
      <c r="M121" s="483">
        <f t="shared" si="95"/>
        <v>0.6</v>
      </c>
      <c r="N121" s="483">
        <f t="shared" si="95"/>
        <v>0.9</v>
      </c>
      <c r="O121" s="483">
        <f t="shared" si="95"/>
        <v>0.9</v>
      </c>
      <c r="P121" s="483">
        <f t="shared" si="95"/>
        <v>0.23600000000000002</v>
      </c>
      <c r="Q121" s="602">
        <f t="shared" si="29"/>
        <v>26.499337920908175</v>
      </c>
      <c r="R121" s="608">
        <f t="shared" si="30"/>
        <v>11.668960878701492</v>
      </c>
      <c r="S121" s="608">
        <f t="shared" si="31"/>
        <v>44.441191234244087</v>
      </c>
      <c r="T121" s="608">
        <f t="shared" si="32"/>
        <v>56.256962339656091</v>
      </c>
      <c r="U121" s="727">
        <f t="shared" si="33"/>
        <v>0.67710709475193609</v>
      </c>
      <c r="V121" s="602">
        <f t="shared" si="13"/>
        <v>139.54355946826178</v>
      </c>
      <c r="W121" s="730">
        <f t="shared" si="94"/>
        <v>0.5</v>
      </c>
      <c r="X121" s="606">
        <f t="shared" si="14"/>
        <v>53.669159952994768</v>
      </c>
      <c r="Y121" s="606">
        <f t="shared" si="15"/>
        <v>76.916015953074577</v>
      </c>
      <c r="Z121" s="607">
        <f t="shared" si="78"/>
        <v>120.24688922049333</v>
      </c>
      <c r="AA121" s="623">
        <f t="shared" si="16"/>
        <v>80.814308185779765</v>
      </c>
      <c r="AB121" s="811">
        <f t="shared" si="34"/>
        <v>0.67206984488050125</v>
      </c>
      <c r="AC121" s="135" t="str">
        <f t="shared" si="35"/>
        <v>Policies met</v>
      </c>
      <c r="AD121" s="1240">
        <f t="shared" si="36"/>
        <v>0.67206984488050125</v>
      </c>
      <c r="AE121" s="135" t="str">
        <f t="shared" si="37"/>
        <v>No</v>
      </c>
      <c r="AF121" s="1293">
        <f t="shared" si="38"/>
        <v>139.12867530930757</v>
      </c>
      <c r="AG121" s="118">
        <f t="shared" si="39"/>
        <v>39.432581034713564</v>
      </c>
      <c r="AH121" s="118">
        <f t="shared" si="17"/>
        <v>45.760541102354082</v>
      </c>
      <c r="AI121" s="118">
        <f t="shared" si="18"/>
        <v>37.035832164635039</v>
      </c>
      <c r="AJ121" s="118">
        <f t="shared" si="19"/>
        <v>16.899721007604906</v>
      </c>
      <c r="AK121" s="118">
        <f t="shared" si="40"/>
        <v>139.1286753093076</v>
      </c>
      <c r="AL121" s="828">
        <f t="shared" si="20"/>
        <v>0</v>
      </c>
      <c r="AM121" s="730">
        <f t="shared" si="79"/>
        <v>0.2834252604436</v>
      </c>
      <c r="AN121" s="483">
        <f t="shared" si="80"/>
        <v>0.32890804861485473</v>
      </c>
      <c r="AO121" s="483">
        <f t="shared" si="81"/>
        <v>0.26619841008546835</v>
      </c>
      <c r="AP121" s="483">
        <f t="shared" si="82"/>
        <v>0.1214682808560769</v>
      </c>
      <c r="AQ121" s="483">
        <f t="shared" si="45"/>
        <v>0.99999999999999989</v>
      </c>
      <c r="AR121" s="834">
        <f t="shared" si="83"/>
        <v>6.718330286861506</v>
      </c>
      <c r="AS121" s="835">
        <f t="shared" si="84"/>
        <v>10.881405661657253</v>
      </c>
      <c r="AT121" s="835">
        <f t="shared" si="85"/>
        <v>2.3248676805531701</v>
      </c>
      <c r="AU121" s="835">
        <f t="shared" si="46"/>
        <v>0</v>
      </c>
      <c r="AV121" s="835">
        <f t="shared" si="47"/>
        <v>0</v>
      </c>
      <c r="AW121" s="835">
        <f t="shared" si="48"/>
        <v>0</v>
      </c>
      <c r="AX121" s="1228">
        <f t="shared" si="21"/>
        <v>16.236099971375594</v>
      </c>
      <c r="AY121" s="835">
        <f t="shared" si="86"/>
        <v>1.307809078845948</v>
      </c>
      <c r="AZ121" s="835">
        <f t="shared" si="87"/>
        <v>0.36762547566046921</v>
      </c>
      <c r="BA121" s="835">
        <f t="shared" si="88"/>
        <v>0.94950499551831991</v>
      </c>
      <c r="BB121" s="835">
        <f t="shared" si="89"/>
        <v>0.64693788424127452</v>
      </c>
      <c r="BC121" s="608">
        <f t="shared" si="90"/>
        <v>39.432581034713529</v>
      </c>
      <c r="BD121" s="840">
        <f t="shared" si="50"/>
        <v>0</v>
      </c>
      <c r="BE121" s="760">
        <f t="shared" si="51"/>
        <v>0.17037510887119423</v>
      </c>
      <c r="BF121" s="705">
        <f t="shared" si="52"/>
        <v>0.2759496177051679</v>
      </c>
      <c r="BG121" s="705">
        <f t="shared" si="53"/>
        <v>5.8958039761752561E-2</v>
      </c>
      <c r="BH121" s="705">
        <f t="shared" si="54"/>
        <v>0</v>
      </c>
      <c r="BI121" s="705">
        <f t="shared" si="55"/>
        <v>0</v>
      </c>
      <c r="BJ121" s="705">
        <f t="shared" si="56"/>
        <v>0</v>
      </c>
      <c r="BK121" s="705">
        <f t="shared" si="57"/>
        <v>0.49471723366188552</v>
      </c>
      <c r="BL121" s="705">
        <f t="shared" si="58"/>
        <v>1.0000000000000002</v>
      </c>
      <c r="BM121" s="730">
        <f t="shared" si="100"/>
        <v>0.29028184578274857</v>
      </c>
      <c r="BN121" s="483">
        <f t="shared" si="100"/>
        <v>0.30317187715157518</v>
      </c>
      <c r="BO121" s="483">
        <f t="shared" si="100"/>
        <v>8.2805443243048754E-2</v>
      </c>
      <c r="BP121" s="483">
        <f t="shared" si="100"/>
        <v>0</v>
      </c>
      <c r="BQ121" s="483">
        <f t="shared" si="100"/>
        <v>0</v>
      </c>
      <c r="BR121" s="483">
        <f t="shared" si="100"/>
        <v>0</v>
      </c>
      <c r="BS121" s="483">
        <f t="shared" si="100"/>
        <v>0.32374083382262742</v>
      </c>
      <c r="BT121" s="604">
        <f t="shared" si="92"/>
        <v>0.99999999999999989</v>
      </c>
      <c r="BV121" s="606">
        <f t="shared" si="60"/>
        <v>49.750914010731776</v>
      </c>
      <c r="BW121" s="114">
        <f t="shared" si="61"/>
        <v>0.82169142216068014</v>
      </c>
      <c r="BX121" s="1503">
        <f t="shared" si="22"/>
        <v>18.383718586317492</v>
      </c>
      <c r="BY121" s="606">
        <f t="shared" si="23"/>
        <v>69.179390284490111</v>
      </c>
      <c r="BZ121" s="114">
        <f t="shared" si="62"/>
        <v>0.79245819927103844</v>
      </c>
      <c r="CA121" s="765">
        <f t="shared" si="24"/>
        <v>50.172070130067617</v>
      </c>
      <c r="CB121" s="114">
        <f t="shared" si="25"/>
        <v>0.67206984488050125</v>
      </c>
      <c r="CC121" s="114">
        <f t="shared" si="26"/>
        <v>0.64292497656199366</v>
      </c>
      <c r="CD121" s="730">
        <f t="shared" si="63"/>
        <v>0.67206984488050125</v>
      </c>
      <c r="CE121" s="604">
        <f t="shared" si="64"/>
        <v>0.85</v>
      </c>
      <c r="CG121" s="602">
        <f t="shared" si="65"/>
        <v>8.6899319949674325</v>
      </c>
      <c r="CH121" s="704">
        <f t="shared" si="66"/>
        <v>3.8266041510359425</v>
      </c>
      <c r="CI121" s="704">
        <f t="shared" si="67"/>
        <v>14.573606735140972</v>
      </c>
      <c r="CJ121" s="704">
        <f t="shared" si="68"/>
        <v>18.44835438659522</v>
      </c>
      <c r="CK121" s="704">
        <f t="shared" si="69"/>
        <v>0.22204383461451555</v>
      </c>
      <c r="CL121" s="704">
        <f t="shared" si="70"/>
        <v>45.760541102354082</v>
      </c>
      <c r="CM121" s="727">
        <f t="shared" si="71"/>
        <v>0</v>
      </c>
    </row>
    <row r="122" spans="1:91">
      <c r="A122" s="127">
        <f>'Input data'!A143</f>
        <v>2043</v>
      </c>
      <c r="B122" s="748">
        <f>'Input data'!B143</f>
        <v>72.713999999999999</v>
      </c>
      <c r="C122" s="236">
        <f>'Input data'!C143</f>
        <v>5353.7899999999991</v>
      </c>
      <c r="D122" s="236">
        <f>'Input data'!D143</f>
        <v>17102737.64872111</v>
      </c>
      <c r="E122" s="730">
        <f t="shared" si="96"/>
        <v>1</v>
      </c>
      <c r="F122" s="483">
        <f t="shared" si="97"/>
        <v>0.36725000000000002</v>
      </c>
      <c r="G122" s="609">
        <f>B122*F122*'Input data'!$C$9</f>
        <v>817.33761826300088</v>
      </c>
      <c r="H122" s="602">
        <f>'Input data'!I143</f>
        <v>424.26313389388866</v>
      </c>
      <c r="I122" s="607">
        <f>'Input data'!K143</f>
        <v>30849.869517960218</v>
      </c>
      <c r="J122" s="623">
        <f t="shared" si="99"/>
        <v>39.432581034713571</v>
      </c>
      <c r="K122" s="609">
        <f t="shared" si="74"/>
        <v>157.73032413885434</v>
      </c>
      <c r="L122" s="483">
        <f t="shared" si="98"/>
        <v>0.7</v>
      </c>
      <c r="M122" s="483">
        <f t="shared" si="95"/>
        <v>0.6</v>
      </c>
      <c r="N122" s="483">
        <f t="shared" si="95"/>
        <v>0.9</v>
      </c>
      <c r="O122" s="483">
        <f t="shared" si="95"/>
        <v>0.9</v>
      </c>
      <c r="P122" s="483">
        <f t="shared" si="95"/>
        <v>0.23600000000000002</v>
      </c>
      <c r="Q122" s="602">
        <f t="shared" si="29"/>
        <v>26.499337920908175</v>
      </c>
      <c r="R122" s="608">
        <f t="shared" si="30"/>
        <v>11.668960878701492</v>
      </c>
      <c r="S122" s="608">
        <f t="shared" si="31"/>
        <v>44.441191234244087</v>
      </c>
      <c r="T122" s="608">
        <f t="shared" si="32"/>
        <v>56.256962339656091</v>
      </c>
      <c r="U122" s="727">
        <f t="shared" si="33"/>
        <v>0.67710709475193609</v>
      </c>
      <c r="V122" s="602">
        <f t="shared" si="13"/>
        <v>139.54355946826178</v>
      </c>
      <c r="W122" s="730">
        <f t="shared" si="94"/>
        <v>0.5</v>
      </c>
      <c r="X122" s="606">
        <f t="shared" si="14"/>
        <v>53.669159952994768</v>
      </c>
      <c r="Y122" s="606">
        <f t="shared" si="15"/>
        <v>76.916015953074577</v>
      </c>
      <c r="Z122" s="607">
        <f t="shared" si="78"/>
        <v>120.24688922049333</v>
      </c>
      <c r="AA122" s="623">
        <f t="shared" si="16"/>
        <v>80.814308185779765</v>
      </c>
      <c r="AB122" s="811">
        <f t="shared" si="34"/>
        <v>0.67206984488050125</v>
      </c>
      <c r="AC122" s="135" t="str">
        <f t="shared" si="35"/>
        <v>Policies met</v>
      </c>
      <c r="AD122" s="1240">
        <f t="shared" si="36"/>
        <v>0.67206984488050125</v>
      </c>
      <c r="AE122" s="135" t="str">
        <f t="shared" si="37"/>
        <v>No</v>
      </c>
      <c r="AF122" s="1293">
        <f t="shared" si="38"/>
        <v>139.12867530930757</v>
      </c>
      <c r="AG122" s="118">
        <f t="shared" si="39"/>
        <v>39.432581034713564</v>
      </c>
      <c r="AH122" s="118">
        <f t="shared" si="17"/>
        <v>45.760541102354082</v>
      </c>
      <c r="AI122" s="118">
        <f t="shared" si="18"/>
        <v>37.035832164635039</v>
      </c>
      <c r="AJ122" s="118">
        <f t="shared" si="19"/>
        <v>16.899721007604906</v>
      </c>
      <c r="AK122" s="118">
        <f t="shared" si="40"/>
        <v>139.1286753093076</v>
      </c>
      <c r="AL122" s="828">
        <f t="shared" si="20"/>
        <v>0</v>
      </c>
      <c r="AM122" s="730">
        <f t="shared" si="41"/>
        <v>0.2834252604436</v>
      </c>
      <c r="AN122" s="483">
        <f t="shared" si="42"/>
        <v>0.32890804861485473</v>
      </c>
      <c r="AO122" s="483">
        <f t="shared" si="43"/>
        <v>0.26619841008546835</v>
      </c>
      <c r="AP122" s="483">
        <f t="shared" si="44"/>
        <v>0.1214682808560769</v>
      </c>
      <c r="AQ122" s="483">
        <f t="shared" si="45"/>
        <v>0.99999999999999989</v>
      </c>
      <c r="AR122" s="834">
        <f t="shared" si="83"/>
        <v>6.718330286861506</v>
      </c>
      <c r="AS122" s="835">
        <f t="shared" si="84"/>
        <v>10.881405661657253</v>
      </c>
      <c r="AT122" s="835">
        <f t="shared" si="85"/>
        <v>2.3248676805531701</v>
      </c>
      <c r="AU122" s="835">
        <f t="shared" si="46"/>
        <v>0</v>
      </c>
      <c r="AV122" s="835">
        <f t="shared" si="47"/>
        <v>0</v>
      </c>
      <c r="AW122" s="835">
        <f t="shared" si="48"/>
        <v>0</v>
      </c>
      <c r="AX122" s="1228">
        <f t="shared" si="21"/>
        <v>16.236099971375594</v>
      </c>
      <c r="AY122" s="835">
        <f t="shared" si="86"/>
        <v>1.307809078845948</v>
      </c>
      <c r="AZ122" s="835">
        <f t="shared" si="87"/>
        <v>0.36762547566046921</v>
      </c>
      <c r="BA122" s="835">
        <f t="shared" si="88"/>
        <v>0.94950499551831991</v>
      </c>
      <c r="BB122" s="835">
        <f t="shared" si="89"/>
        <v>0.64693788424127452</v>
      </c>
      <c r="BC122" s="608">
        <f t="shared" si="90"/>
        <v>39.432581034713529</v>
      </c>
      <c r="BD122" s="840">
        <f t="shared" si="50"/>
        <v>0</v>
      </c>
      <c r="BE122" s="760">
        <f t="shared" si="51"/>
        <v>0.17037510887119423</v>
      </c>
      <c r="BF122" s="705">
        <f t="shared" si="52"/>
        <v>0.2759496177051679</v>
      </c>
      <c r="BG122" s="705">
        <f t="shared" si="53"/>
        <v>5.8958039761752561E-2</v>
      </c>
      <c r="BH122" s="705">
        <f t="shared" si="54"/>
        <v>0</v>
      </c>
      <c r="BI122" s="705">
        <f t="shared" si="55"/>
        <v>0</v>
      </c>
      <c r="BJ122" s="705">
        <f t="shared" si="56"/>
        <v>0</v>
      </c>
      <c r="BK122" s="705">
        <f t="shared" si="57"/>
        <v>0.49471723366188552</v>
      </c>
      <c r="BL122" s="705">
        <f t="shared" si="58"/>
        <v>1.0000000000000002</v>
      </c>
      <c r="BM122" s="730">
        <f t="shared" si="100"/>
        <v>0.29028184578274857</v>
      </c>
      <c r="BN122" s="483">
        <f t="shared" si="100"/>
        <v>0.30317187715157518</v>
      </c>
      <c r="BO122" s="483">
        <f t="shared" si="100"/>
        <v>8.2805443243048754E-2</v>
      </c>
      <c r="BP122" s="483">
        <f t="shared" si="100"/>
        <v>0</v>
      </c>
      <c r="BQ122" s="483">
        <f t="shared" si="100"/>
        <v>0</v>
      </c>
      <c r="BR122" s="483">
        <f t="shared" si="100"/>
        <v>0</v>
      </c>
      <c r="BS122" s="483">
        <f t="shared" si="100"/>
        <v>0.32374083382262742</v>
      </c>
      <c r="BT122" s="604">
        <f t="shared" si="92"/>
        <v>0.99999999999999989</v>
      </c>
      <c r="BV122" s="606">
        <f t="shared" si="60"/>
        <v>50.991776083637212</v>
      </c>
      <c r="BW122" s="114">
        <f t="shared" si="61"/>
        <v>0.81406122796454849</v>
      </c>
      <c r="BX122" s="1503">
        <f t="shared" si="22"/>
        <v>17.10273764872111</v>
      </c>
      <c r="BY122" s="606">
        <f t="shared" si="23"/>
        <v>69.527792919906389</v>
      </c>
      <c r="BZ122" s="114">
        <f t="shared" si="62"/>
        <v>0.79229576189754736</v>
      </c>
      <c r="CA122" s="765">
        <f t="shared" si="24"/>
        <v>50.172070130067617</v>
      </c>
      <c r="CB122" s="114">
        <f t="shared" si="25"/>
        <v>0.67206984488050125</v>
      </c>
      <c r="CC122" s="114">
        <f t="shared" si="26"/>
        <v>0.61404708700249144</v>
      </c>
      <c r="CD122" s="730">
        <f t="shared" si="63"/>
        <v>0.67206984488050125</v>
      </c>
      <c r="CE122" s="604">
        <f t="shared" si="64"/>
        <v>0.85</v>
      </c>
      <c r="CG122" s="602">
        <f t="shared" si="65"/>
        <v>8.6899319949674325</v>
      </c>
      <c r="CH122" s="704">
        <f t="shared" si="66"/>
        <v>3.8266041510359425</v>
      </c>
      <c r="CI122" s="704">
        <f t="shared" si="67"/>
        <v>14.573606735140972</v>
      </c>
      <c r="CJ122" s="704">
        <f t="shared" si="68"/>
        <v>18.44835438659522</v>
      </c>
      <c r="CK122" s="704">
        <f t="shared" si="69"/>
        <v>0.22204383461451555</v>
      </c>
      <c r="CL122" s="704">
        <f t="shared" si="70"/>
        <v>45.760541102354082</v>
      </c>
      <c r="CM122" s="727">
        <f t="shared" si="71"/>
        <v>0</v>
      </c>
    </row>
    <row r="123" spans="1:91">
      <c r="A123" s="127">
        <f>'Input data'!A144</f>
        <v>2044</v>
      </c>
      <c r="B123" s="748">
        <f>'Input data'!B144</f>
        <v>73.165000000000006</v>
      </c>
      <c r="C123" s="236">
        <f>'Input data'!C144</f>
        <v>5526.5000000000018</v>
      </c>
      <c r="D123" s="236">
        <f>'Input data'!D144</f>
        <v>15821756.711124728</v>
      </c>
      <c r="E123" s="730">
        <f t="shared" si="96"/>
        <v>1</v>
      </c>
      <c r="F123" s="483">
        <f t="shared" si="97"/>
        <v>0.36725000000000002</v>
      </c>
      <c r="G123" s="609">
        <f>B123*F123*'Input data'!$C$9</f>
        <v>822.4070583410687</v>
      </c>
      <c r="H123" s="602">
        <f>'Input data'!I144</f>
        <v>424.26313389388866</v>
      </c>
      <c r="I123" s="607">
        <f>'Input data'!K144</f>
        <v>31041.212191346367</v>
      </c>
      <c r="J123" s="623">
        <f t="shared" si="99"/>
        <v>39.432581034713571</v>
      </c>
      <c r="K123" s="609">
        <f t="shared" si="74"/>
        <v>157.73032413885434</v>
      </c>
      <c r="L123" s="483">
        <f t="shared" si="98"/>
        <v>0.7</v>
      </c>
      <c r="M123" s="483">
        <f t="shared" si="95"/>
        <v>0.6</v>
      </c>
      <c r="N123" s="483">
        <f t="shared" si="95"/>
        <v>0.9</v>
      </c>
      <c r="O123" s="483">
        <f t="shared" si="95"/>
        <v>0.9</v>
      </c>
      <c r="P123" s="483">
        <f t="shared" si="95"/>
        <v>0.23600000000000002</v>
      </c>
      <c r="Q123" s="602">
        <f t="shared" si="29"/>
        <v>26.499337920908175</v>
      </c>
      <c r="R123" s="608">
        <f t="shared" si="30"/>
        <v>11.668960878701492</v>
      </c>
      <c r="S123" s="608">
        <f t="shared" si="31"/>
        <v>44.441191234244087</v>
      </c>
      <c r="T123" s="608">
        <f t="shared" si="32"/>
        <v>56.256962339656091</v>
      </c>
      <c r="U123" s="727">
        <f t="shared" si="33"/>
        <v>0.67710709475193609</v>
      </c>
      <c r="V123" s="602">
        <f t="shared" si="13"/>
        <v>139.54355946826178</v>
      </c>
      <c r="W123" s="730">
        <f t="shared" si="94"/>
        <v>0.5</v>
      </c>
      <c r="X123" s="606">
        <f t="shared" si="14"/>
        <v>53.669159952994768</v>
      </c>
      <c r="Y123" s="606">
        <f t="shared" si="15"/>
        <v>76.916015953074577</v>
      </c>
      <c r="Z123" s="607">
        <f t="shared" si="78"/>
        <v>120.24688922049333</v>
      </c>
      <c r="AA123" s="623">
        <f t="shared" si="16"/>
        <v>80.814308185779765</v>
      </c>
      <c r="AB123" s="811">
        <f t="shared" si="34"/>
        <v>0.67206984488050125</v>
      </c>
      <c r="AC123" s="135" t="str">
        <f t="shared" si="35"/>
        <v>Policies met</v>
      </c>
      <c r="AD123" s="1240">
        <f t="shared" si="36"/>
        <v>0.67206984488050125</v>
      </c>
      <c r="AE123" s="135" t="str">
        <f t="shared" si="37"/>
        <v>No</v>
      </c>
      <c r="AF123" s="1293">
        <f t="shared" si="38"/>
        <v>139.12867530930757</v>
      </c>
      <c r="AG123" s="118">
        <f t="shared" si="39"/>
        <v>39.432581034713564</v>
      </c>
      <c r="AH123" s="118">
        <f t="shared" si="17"/>
        <v>45.760541102354082</v>
      </c>
      <c r="AI123" s="118">
        <f t="shared" si="18"/>
        <v>37.035832164635039</v>
      </c>
      <c r="AJ123" s="118">
        <f t="shared" si="19"/>
        <v>16.899721007604906</v>
      </c>
      <c r="AK123" s="118">
        <f t="shared" si="40"/>
        <v>139.1286753093076</v>
      </c>
      <c r="AL123" s="828">
        <f t="shared" si="20"/>
        <v>0</v>
      </c>
      <c r="AM123" s="730">
        <f t="shared" si="41"/>
        <v>0.2834252604436</v>
      </c>
      <c r="AN123" s="483">
        <f t="shared" si="42"/>
        <v>0.32890804861485473</v>
      </c>
      <c r="AO123" s="483">
        <f t="shared" si="43"/>
        <v>0.26619841008546835</v>
      </c>
      <c r="AP123" s="483">
        <f t="shared" si="44"/>
        <v>0.1214682808560769</v>
      </c>
      <c r="AQ123" s="483">
        <f t="shared" si="45"/>
        <v>0.99999999999999989</v>
      </c>
      <c r="AR123" s="834">
        <f t="shared" si="83"/>
        <v>6.718330286861506</v>
      </c>
      <c r="AS123" s="835">
        <f t="shared" si="84"/>
        <v>10.881405661657253</v>
      </c>
      <c r="AT123" s="835">
        <f t="shared" si="85"/>
        <v>2.3248676805531701</v>
      </c>
      <c r="AU123" s="835">
        <f t="shared" si="46"/>
        <v>0</v>
      </c>
      <c r="AV123" s="835">
        <f t="shared" si="47"/>
        <v>0</v>
      </c>
      <c r="AW123" s="835">
        <f t="shared" si="48"/>
        <v>0</v>
      </c>
      <c r="AX123" s="1228">
        <f t="shared" si="21"/>
        <v>16.236099971375594</v>
      </c>
      <c r="AY123" s="835">
        <f t="shared" si="86"/>
        <v>1.307809078845948</v>
      </c>
      <c r="AZ123" s="835">
        <f t="shared" si="87"/>
        <v>0.36762547566046921</v>
      </c>
      <c r="BA123" s="835">
        <f t="shared" si="88"/>
        <v>0.94950499551831991</v>
      </c>
      <c r="BB123" s="835">
        <f t="shared" si="89"/>
        <v>0.64693788424127452</v>
      </c>
      <c r="BC123" s="608">
        <f t="shared" si="49"/>
        <v>39.432581034713529</v>
      </c>
      <c r="BD123" s="840">
        <f t="shared" si="50"/>
        <v>0</v>
      </c>
      <c r="BE123" s="760">
        <f t="shared" si="51"/>
        <v>0.17037510887119423</v>
      </c>
      <c r="BF123" s="705">
        <f t="shared" si="52"/>
        <v>0.2759496177051679</v>
      </c>
      <c r="BG123" s="705">
        <f t="shared" si="53"/>
        <v>5.8958039761752561E-2</v>
      </c>
      <c r="BH123" s="705">
        <f t="shared" si="54"/>
        <v>0</v>
      </c>
      <c r="BI123" s="705">
        <f t="shared" si="55"/>
        <v>0</v>
      </c>
      <c r="BJ123" s="705">
        <f t="shared" si="56"/>
        <v>0</v>
      </c>
      <c r="BK123" s="705">
        <f t="shared" si="57"/>
        <v>0.49471723366188552</v>
      </c>
      <c r="BL123" s="705">
        <f t="shared" si="58"/>
        <v>1.0000000000000002</v>
      </c>
      <c r="BM123" s="730">
        <f t="shared" si="100"/>
        <v>0.29028184578274857</v>
      </c>
      <c r="BN123" s="483">
        <f t="shared" si="100"/>
        <v>0.30317187715157518</v>
      </c>
      <c r="BO123" s="483">
        <f t="shared" si="100"/>
        <v>8.2805443243048754E-2</v>
      </c>
      <c r="BP123" s="483">
        <f t="shared" si="100"/>
        <v>0</v>
      </c>
      <c r="BQ123" s="483">
        <f t="shared" si="100"/>
        <v>0</v>
      </c>
      <c r="BR123" s="483">
        <f t="shared" si="100"/>
        <v>0</v>
      </c>
      <c r="BS123" s="483">
        <f t="shared" si="100"/>
        <v>0.32374083382262742</v>
      </c>
      <c r="BT123" s="604">
        <f t="shared" si="92"/>
        <v>0.99999999999999989</v>
      </c>
      <c r="BV123" s="606">
        <f t="shared" si="60"/>
        <v>52.285439768867342</v>
      </c>
      <c r="BW123" s="114">
        <f t="shared" si="61"/>
        <v>0.80660593745077303</v>
      </c>
      <c r="BX123" s="1503">
        <f t="shared" si="22"/>
        <v>15.821756711124728</v>
      </c>
      <c r="BY123" s="606">
        <f t="shared" si="23"/>
        <v>69.88858833798335</v>
      </c>
      <c r="BZ123" s="114">
        <f t="shared" si="62"/>
        <v>0.79209831292977029</v>
      </c>
      <c r="CA123" s="765">
        <f t="shared" si="24"/>
        <v>50.172070130067617</v>
      </c>
      <c r="CB123" s="114">
        <f t="shared" si="25"/>
        <v>0.67206984488050125</v>
      </c>
      <c r="CC123" s="114">
        <f t="shared" si="26"/>
        <v>0.58660162548775696</v>
      </c>
      <c r="CD123" s="730">
        <f t="shared" si="63"/>
        <v>0.67206984488050125</v>
      </c>
      <c r="CE123" s="604">
        <f t="shared" si="64"/>
        <v>0.85</v>
      </c>
      <c r="CG123" s="602">
        <f t="shared" si="65"/>
        <v>8.6899319949674325</v>
      </c>
      <c r="CH123" s="704">
        <f t="shared" si="66"/>
        <v>3.8266041510359425</v>
      </c>
      <c r="CI123" s="704">
        <f t="shared" si="67"/>
        <v>14.573606735140972</v>
      </c>
      <c r="CJ123" s="704">
        <f t="shared" si="68"/>
        <v>18.44835438659522</v>
      </c>
      <c r="CK123" s="704">
        <f t="shared" si="69"/>
        <v>0.22204383461451555</v>
      </c>
      <c r="CL123" s="704">
        <f t="shared" si="70"/>
        <v>45.760541102354082</v>
      </c>
      <c r="CM123" s="727">
        <f t="shared" si="71"/>
        <v>0</v>
      </c>
    </row>
    <row r="124" spans="1:91">
      <c r="A124" s="127">
        <f>'Input data'!A145</f>
        <v>2045</v>
      </c>
      <c r="B124" s="748">
        <f>'Input data'!B145</f>
        <v>73.62</v>
      </c>
      <c r="C124" s="236">
        <f>'Input data'!C145</f>
        <v>5709.93</v>
      </c>
      <c r="D124" s="236">
        <f>'Input data'!D145</f>
        <v>14540775.773528345</v>
      </c>
      <c r="E124" s="730">
        <f t="shared" si="96"/>
        <v>1</v>
      </c>
      <c r="F124" s="483">
        <f t="shared" si="97"/>
        <v>0.36725000000000002</v>
      </c>
      <c r="G124" s="609">
        <f>B124*F124*'Input data'!$C$9</f>
        <v>827.52146019366455</v>
      </c>
      <c r="H124" s="602">
        <f>'Input data'!I145</f>
        <v>424.26313389388866</v>
      </c>
      <c r="I124" s="607">
        <f>'Input data'!K145</f>
        <v>31234.251917268084</v>
      </c>
      <c r="J124" s="623">
        <f t="shared" si="99"/>
        <v>39.432581034713571</v>
      </c>
      <c r="K124" s="609">
        <f t="shared" si="74"/>
        <v>157.73032413885434</v>
      </c>
      <c r="L124" s="483">
        <f t="shared" si="98"/>
        <v>0.7</v>
      </c>
      <c r="M124" s="483">
        <f t="shared" si="95"/>
        <v>0.6</v>
      </c>
      <c r="N124" s="483">
        <f t="shared" si="95"/>
        <v>0.9</v>
      </c>
      <c r="O124" s="483">
        <f t="shared" si="95"/>
        <v>0.9</v>
      </c>
      <c r="P124" s="483">
        <f t="shared" si="95"/>
        <v>0.23600000000000002</v>
      </c>
      <c r="Q124" s="602">
        <f t="shared" si="29"/>
        <v>26.499337920908175</v>
      </c>
      <c r="R124" s="608">
        <f t="shared" si="30"/>
        <v>11.668960878701492</v>
      </c>
      <c r="S124" s="608">
        <f t="shared" si="31"/>
        <v>44.441191234244087</v>
      </c>
      <c r="T124" s="608">
        <f t="shared" si="32"/>
        <v>56.256962339656091</v>
      </c>
      <c r="U124" s="727">
        <f t="shared" si="33"/>
        <v>0.67710709475193609</v>
      </c>
      <c r="V124" s="602">
        <f t="shared" si="13"/>
        <v>139.54355946826178</v>
      </c>
      <c r="W124" s="730">
        <f t="shared" si="94"/>
        <v>0.5</v>
      </c>
      <c r="X124" s="606">
        <f t="shared" si="14"/>
        <v>53.669159952994768</v>
      </c>
      <c r="Y124" s="606">
        <f t="shared" si="15"/>
        <v>76.916015953074577</v>
      </c>
      <c r="Z124" s="607">
        <f t="shared" si="78"/>
        <v>120.24688922049333</v>
      </c>
      <c r="AA124" s="623">
        <f t="shared" si="16"/>
        <v>80.814308185779765</v>
      </c>
      <c r="AB124" s="811">
        <f t="shared" si="34"/>
        <v>0.67206984488050125</v>
      </c>
      <c r="AC124" s="135" t="str">
        <f t="shared" si="35"/>
        <v>Policies met</v>
      </c>
      <c r="AD124" s="1240">
        <f t="shared" si="36"/>
        <v>0.67206984488050125</v>
      </c>
      <c r="AE124" s="135" t="str">
        <f t="shared" si="37"/>
        <v>No</v>
      </c>
      <c r="AF124" s="1293">
        <f t="shared" si="38"/>
        <v>139.12867530930757</v>
      </c>
      <c r="AG124" s="118">
        <f t="shared" si="39"/>
        <v>39.432581034713564</v>
      </c>
      <c r="AH124" s="118">
        <f t="shared" si="17"/>
        <v>45.760541102354082</v>
      </c>
      <c r="AI124" s="118">
        <f t="shared" si="18"/>
        <v>37.035832164635039</v>
      </c>
      <c r="AJ124" s="118">
        <f t="shared" si="19"/>
        <v>16.899721007604906</v>
      </c>
      <c r="AK124" s="118">
        <f t="shared" si="40"/>
        <v>139.1286753093076</v>
      </c>
      <c r="AL124" s="828">
        <f t="shared" si="20"/>
        <v>0</v>
      </c>
      <c r="AM124" s="730">
        <f t="shared" si="41"/>
        <v>0.2834252604436</v>
      </c>
      <c r="AN124" s="483">
        <f t="shared" si="42"/>
        <v>0.32890804861485473</v>
      </c>
      <c r="AO124" s="483">
        <f t="shared" si="43"/>
        <v>0.26619841008546835</v>
      </c>
      <c r="AP124" s="483">
        <f t="shared" si="44"/>
        <v>0.1214682808560769</v>
      </c>
      <c r="AQ124" s="483">
        <f t="shared" si="45"/>
        <v>0.99999999999999989</v>
      </c>
      <c r="AR124" s="834">
        <f t="shared" si="83"/>
        <v>6.718330286861506</v>
      </c>
      <c r="AS124" s="835">
        <f t="shared" si="84"/>
        <v>10.881405661657253</v>
      </c>
      <c r="AT124" s="835">
        <f t="shared" si="85"/>
        <v>2.3248676805531701</v>
      </c>
      <c r="AU124" s="835">
        <f t="shared" si="46"/>
        <v>0</v>
      </c>
      <c r="AV124" s="835">
        <f t="shared" si="47"/>
        <v>0</v>
      </c>
      <c r="AW124" s="835">
        <f t="shared" si="48"/>
        <v>0</v>
      </c>
      <c r="AX124" s="1228">
        <f t="shared" si="21"/>
        <v>16.236099971375594</v>
      </c>
      <c r="AY124" s="835">
        <f t="shared" si="86"/>
        <v>1.307809078845948</v>
      </c>
      <c r="AZ124" s="835">
        <f t="shared" si="87"/>
        <v>0.36762547566046921</v>
      </c>
      <c r="BA124" s="835">
        <f t="shared" si="88"/>
        <v>0.94950499551831991</v>
      </c>
      <c r="BB124" s="835">
        <f t="shared" si="89"/>
        <v>0.64693788424127452</v>
      </c>
      <c r="BC124" s="608">
        <f t="shared" si="49"/>
        <v>39.432581034713529</v>
      </c>
      <c r="BD124" s="840">
        <f t="shared" si="50"/>
        <v>0</v>
      </c>
      <c r="BE124" s="760">
        <f t="shared" si="51"/>
        <v>0.17037510887119423</v>
      </c>
      <c r="BF124" s="705">
        <f t="shared" si="52"/>
        <v>0.2759496177051679</v>
      </c>
      <c r="BG124" s="705">
        <f t="shared" si="53"/>
        <v>5.8958039761752561E-2</v>
      </c>
      <c r="BH124" s="705">
        <f t="shared" si="54"/>
        <v>0</v>
      </c>
      <c r="BI124" s="705">
        <f t="shared" si="55"/>
        <v>0</v>
      </c>
      <c r="BJ124" s="705">
        <f t="shared" si="56"/>
        <v>0</v>
      </c>
      <c r="BK124" s="705">
        <f t="shared" si="57"/>
        <v>0.49471723366188552</v>
      </c>
      <c r="BL124" s="705">
        <f t="shared" si="58"/>
        <v>1.0000000000000002</v>
      </c>
      <c r="BM124" s="730">
        <f t="shared" si="100"/>
        <v>0.29028184578274857</v>
      </c>
      <c r="BN124" s="483">
        <f t="shared" si="100"/>
        <v>0.30317187715157518</v>
      </c>
      <c r="BO124" s="483">
        <f t="shared" si="100"/>
        <v>8.2805443243048754E-2</v>
      </c>
      <c r="BP124" s="483">
        <f t="shared" si="100"/>
        <v>0</v>
      </c>
      <c r="BQ124" s="483">
        <f t="shared" si="100"/>
        <v>0</v>
      </c>
      <c r="BR124" s="483">
        <f t="shared" si="100"/>
        <v>0</v>
      </c>
      <c r="BS124" s="483">
        <f t="shared" si="100"/>
        <v>0.32374083382262742</v>
      </c>
      <c r="BT124" s="604">
        <f t="shared" si="92"/>
        <v>0.99999999999999989</v>
      </c>
      <c r="BV124" s="606">
        <f t="shared" si="60"/>
        <v>53.65986657354533</v>
      </c>
      <c r="BW124" s="114">
        <f t="shared" si="61"/>
        <v>0.79921612323790836</v>
      </c>
      <c r="BX124" s="1503">
        <f t="shared" si="22"/>
        <v>14.540775773528345</v>
      </c>
      <c r="BY124" s="606">
        <f t="shared" si="23"/>
        <v>70.268439944739271</v>
      </c>
      <c r="BZ124" s="114">
        <f t="shared" si="62"/>
        <v>0.79184898362168576</v>
      </c>
      <c r="CA124" s="765">
        <f t="shared" si="24"/>
        <v>50.172070130067617</v>
      </c>
      <c r="CB124" s="114">
        <f t="shared" si="25"/>
        <v>0.67206984488050125</v>
      </c>
      <c r="CC124" s="114">
        <f t="shared" si="26"/>
        <v>0.56042316076715204</v>
      </c>
      <c r="CD124" s="730">
        <f t="shared" si="63"/>
        <v>0.67206984488050125</v>
      </c>
      <c r="CE124" s="604">
        <f t="shared" si="64"/>
        <v>0.85</v>
      </c>
      <c r="CG124" s="602">
        <f t="shared" si="65"/>
        <v>8.6899319949674325</v>
      </c>
      <c r="CH124" s="704">
        <f t="shared" si="66"/>
        <v>3.8266041510359425</v>
      </c>
      <c r="CI124" s="704">
        <f t="shared" si="67"/>
        <v>14.573606735140972</v>
      </c>
      <c r="CJ124" s="704">
        <f t="shared" si="68"/>
        <v>18.44835438659522</v>
      </c>
      <c r="CK124" s="704">
        <f t="shared" si="69"/>
        <v>0.22204383461451555</v>
      </c>
      <c r="CL124" s="704">
        <f t="shared" si="70"/>
        <v>45.760541102354082</v>
      </c>
      <c r="CM124" s="727">
        <f t="shared" si="71"/>
        <v>0</v>
      </c>
    </row>
    <row r="125" spans="1:91">
      <c r="A125" s="127">
        <f>'Input data'!A146</f>
        <v>2046</v>
      </c>
      <c r="B125" s="748">
        <f>'Input data'!B146</f>
        <v>73.995000000000005</v>
      </c>
      <c r="C125" s="236">
        <f>'Input data'!C146</f>
        <v>5902.43</v>
      </c>
      <c r="D125" s="236">
        <f>'Input data'!D146</f>
        <v>13259794.835931966</v>
      </c>
      <c r="E125" s="730">
        <f t="shared" si="96"/>
        <v>1</v>
      </c>
      <c r="F125" s="483">
        <f t="shared" si="97"/>
        <v>0.36725000000000002</v>
      </c>
      <c r="G125" s="609">
        <f>B125*F125*'Input data'!$C$9</f>
        <v>831.73662655569433</v>
      </c>
      <c r="H125" s="602">
        <f>'Input data'!I146</f>
        <v>424.26313389388866</v>
      </c>
      <c r="I125" s="607">
        <f>'Input data'!K146</f>
        <v>31393.350592478295</v>
      </c>
      <c r="J125" s="623">
        <f t="shared" si="99"/>
        <v>39.432581034713571</v>
      </c>
      <c r="K125" s="609">
        <f t="shared" si="74"/>
        <v>157.73032413885434</v>
      </c>
      <c r="L125" s="483">
        <f t="shared" si="98"/>
        <v>0.7</v>
      </c>
      <c r="M125" s="483">
        <f t="shared" si="95"/>
        <v>0.6</v>
      </c>
      <c r="N125" s="483">
        <f t="shared" si="95"/>
        <v>0.9</v>
      </c>
      <c r="O125" s="483">
        <f t="shared" si="95"/>
        <v>0.9</v>
      </c>
      <c r="P125" s="483">
        <f t="shared" si="95"/>
        <v>0.23600000000000002</v>
      </c>
      <c r="Q125" s="602">
        <f t="shared" si="29"/>
        <v>26.499337920908175</v>
      </c>
      <c r="R125" s="608">
        <f t="shared" si="30"/>
        <v>11.668960878701492</v>
      </c>
      <c r="S125" s="608">
        <f t="shared" si="31"/>
        <v>44.441191234244087</v>
      </c>
      <c r="T125" s="608">
        <f t="shared" si="32"/>
        <v>56.256962339656091</v>
      </c>
      <c r="U125" s="727">
        <f t="shared" si="33"/>
        <v>0.67710709475193609</v>
      </c>
      <c r="V125" s="602">
        <f t="shared" si="13"/>
        <v>139.54355946826178</v>
      </c>
      <c r="W125" s="730">
        <f t="shared" si="94"/>
        <v>0.5</v>
      </c>
      <c r="X125" s="606">
        <f t="shared" si="14"/>
        <v>53.669159952994768</v>
      </c>
      <c r="Y125" s="606">
        <f t="shared" si="15"/>
        <v>76.916015953074577</v>
      </c>
      <c r="Z125" s="607">
        <f t="shared" si="78"/>
        <v>120.24688922049333</v>
      </c>
      <c r="AA125" s="623">
        <f t="shared" si="16"/>
        <v>80.814308185779765</v>
      </c>
      <c r="AB125" s="811">
        <f t="shared" si="34"/>
        <v>0.67206984488050125</v>
      </c>
      <c r="AC125" s="135" t="str">
        <f t="shared" si="35"/>
        <v>Policies met</v>
      </c>
      <c r="AD125" s="1240">
        <f t="shared" si="36"/>
        <v>0.67206984488050125</v>
      </c>
      <c r="AE125" s="135" t="str">
        <f t="shared" si="37"/>
        <v>No</v>
      </c>
      <c r="AF125" s="1293">
        <f t="shared" si="38"/>
        <v>139.12867530930757</v>
      </c>
      <c r="AG125" s="118">
        <f t="shared" si="39"/>
        <v>39.432581034713564</v>
      </c>
      <c r="AH125" s="118">
        <f t="shared" si="17"/>
        <v>45.760541102354082</v>
      </c>
      <c r="AI125" s="118">
        <f t="shared" si="18"/>
        <v>37.035832164635039</v>
      </c>
      <c r="AJ125" s="118">
        <f t="shared" si="19"/>
        <v>16.899721007604906</v>
      </c>
      <c r="AK125" s="118">
        <f t="shared" si="40"/>
        <v>139.1286753093076</v>
      </c>
      <c r="AL125" s="828">
        <f t="shared" si="20"/>
        <v>0</v>
      </c>
      <c r="AM125" s="730">
        <f t="shared" si="41"/>
        <v>0.2834252604436</v>
      </c>
      <c r="AN125" s="483">
        <f t="shared" si="42"/>
        <v>0.32890804861485473</v>
      </c>
      <c r="AO125" s="483">
        <f t="shared" si="43"/>
        <v>0.26619841008546835</v>
      </c>
      <c r="AP125" s="483">
        <f t="shared" si="44"/>
        <v>0.1214682808560769</v>
      </c>
      <c r="AQ125" s="483">
        <f t="shared" si="45"/>
        <v>0.99999999999999989</v>
      </c>
      <c r="AR125" s="834">
        <f t="shared" si="83"/>
        <v>6.718330286861506</v>
      </c>
      <c r="AS125" s="835">
        <f t="shared" si="84"/>
        <v>10.881405661657253</v>
      </c>
      <c r="AT125" s="835">
        <f t="shared" si="85"/>
        <v>2.3248676805531701</v>
      </c>
      <c r="AU125" s="835">
        <f t="shared" si="46"/>
        <v>0</v>
      </c>
      <c r="AV125" s="835">
        <f t="shared" si="47"/>
        <v>0</v>
      </c>
      <c r="AW125" s="835">
        <f t="shared" si="48"/>
        <v>0</v>
      </c>
      <c r="AX125" s="1228">
        <f t="shared" si="21"/>
        <v>16.236099971375594</v>
      </c>
      <c r="AY125" s="835">
        <f t="shared" si="86"/>
        <v>1.307809078845948</v>
      </c>
      <c r="AZ125" s="835">
        <f t="shared" si="87"/>
        <v>0.36762547566046921</v>
      </c>
      <c r="BA125" s="835">
        <f t="shared" si="88"/>
        <v>0.94950499551831991</v>
      </c>
      <c r="BB125" s="835">
        <f t="shared" si="89"/>
        <v>0.64693788424127452</v>
      </c>
      <c r="BC125" s="608">
        <f t="shared" si="49"/>
        <v>39.432581034713529</v>
      </c>
      <c r="BD125" s="840">
        <f t="shared" si="50"/>
        <v>0</v>
      </c>
      <c r="BE125" s="760">
        <f t="shared" si="51"/>
        <v>0.17037510887119423</v>
      </c>
      <c r="BF125" s="705">
        <f t="shared" si="52"/>
        <v>0.2759496177051679</v>
      </c>
      <c r="BG125" s="705">
        <f t="shared" si="53"/>
        <v>5.8958039761752561E-2</v>
      </c>
      <c r="BH125" s="705">
        <f t="shared" si="54"/>
        <v>0</v>
      </c>
      <c r="BI125" s="705">
        <f t="shared" si="55"/>
        <v>0</v>
      </c>
      <c r="BJ125" s="705">
        <f t="shared" si="56"/>
        <v>0</v>
      </c>
      <c r="BK125" s="705">
        <f t="shared" si="57"/>
        <v>0.49471723366188552</v>
      </c>
      <c r="BL125" s="705">
        <f t="shared" si="58"/>
        <v>1.0000000000000002</v>
      </c>
      <c r="BM125" s="730">
        <f t="shared" si="100"/>
        <v>0.29028184578274857</v>
      </c>
      <c r="BN125" s="483">
        <f t="shared" si="100"/>
        <v>0.30317187715157518</v>
      </c>
      <c r="BO125" s="483">
        <f t="shared" si="100"/>
        <v>8.2805443243048754E-2</v>
      </c>
      <c r="BP125" s="483">
        <f t="shared" si="100"/>
        <v>0</v>
      </c>
      <c r="BQ125" s="483">
        <f t="shared" si="100"/>
        <v>0</v>
      </c>
      <c r="BR125" s="483">
        <f t="shared" si="100"/>
        <v>0</v>
      </c>
      <c r="BS125" s="483">
        <f t="shared" si="100"/>
        <v>0.32374083382262742</v>
      </c>
      <c r="BT125" s="604">
        <f t="shared" si="92"/>
        <v>0.99999999999999989</v>
      </c>
      <c r="BV125" s="606">
        <f t="shared" si="60"/>
        <v>55.091024455938516</v>
      </c>
      <c r="BW125" s="114">
        <f t="shared" si="61"/>
        <v>0.7917875026663157</v>
      </c>
      <c r="BX125" s="1503">
        <f t="shared" si="22"/>
        <v>13.259794835931967</v>
      </c>
      <c r="BY125" s="606">
        <f t="shared" si="23"/>
        <v>70.652813500285546</v>
      </c>
      <c r="BZ125" s="114">
        <f t="shared" si="62"/>
        <v>0.79141230762401338</v>
      </c>
      <c r="CA125" s="765">
        <f t="shared" si="24"/>
        <v>50.172070130067617</v>
      </c>
      <c r="CB125" s="114">
        <f t="shared" si="25"/>
        <v>0.67206984488050125</v>
      </c>
      <c r="CC125" s="114">
        <f t="shared" si="26"/>
        <v>0.535588158172707</v>
      </c>
      <c r="CD125" s="730">
        <f t="shared" si="63"/>
        <v>0.67206984488050125</v>
      </c>
      <c r="CE125" s="604">
        <f t="shared" si="64"/>
        <v>0.85</v>
      </c>
      <c r="CG125" s="602">
        <f t="shared" si="65"/>
        <v>8.6899319949674325</v>
      </c>
      <c r="CH125" s="704">
        <f t="shared" si="66"/>
        <v>3.8266041510359425</v>
      </c>
      <c r="CI125" s="704">
        <f t="shared" si="67"/>
        <v>14.573606735140972</v>
      </c>
      <c r="CJ125" s="704">
        <f t="shared" si="68"/>
        <v>18.44835438659522</v>
      </c>
      <c r="CK125" s="704">
        <f t="shared" si="69"/>
        <v>0.22204383461451555</v>
      </c>
      <c r="CL125" s="704">
        <f t="shared" si="70"/>
        <v>45.760541102354082</v>
      </c>
      <c r="CM125" s="727">
        <f t="shared" si="71"/>
        <v>0</v>
      </c>
    </row>
    <row r="126" spans="1:91" s="1" customFormat="1">
      <c r="A126" s="157">
        <f>'Input data'!A147</f>
        <v>2047</v>
      </c>
      <c r="B126" s="749">
        <f>'Input data'!B147</f>
        <v>74.373000000000005</v>
      </c>
      <c r="C126" s="605">
        <f>'Input data'!C147</f>
        <v>6104.119999999999</v>
      </c>
      <c r="D126" s="605">
        <f>'Input data'!D147</f>
        <v>11978813.898335585</v>
      </c>
      <c r="E126" s="730">
        <f t="shared" si="96"/>
        <v>1</v>
      </c>
      <c r="F126" s="483">
        <f t="shared" si="97"/>
        <v>0.36725000000000002</v>
      </c>
      <c r="G126" s="863">
        <f>B126*F126*'Input data'!$C$9</f>
        <v>835.98551424862012</v>
      </c>
      <c r="H126" s="734">
        <f>'Input data'!I147</f>
        <v>424.26313389388866</v>
      </c>
      <c r="I126" s="770">
        <f>'Input data'!K147</f>
        <v>31553.722057090185</v>
      </c>
      <c r="J126" s="623">
        <f t="shared" si="99"/>
        <v>39.432581034713571</v>
      </c>
      <c r="K126" s="609">
        <f t="shared" si="74"/>
        <v>157.73032413885434</v>
      </c>
      <c r="L126" s="477">
        <f t="shared" si="98"/>
        <v>0.7</v>
      </c>
      <c r="M126" s="477">
        <f t="shared" si="98"/>
        <v>0.6</v>
      </c>
      <c r="N126" s="477">
        <f t="shared" si="98"/>
        <v>0.9</v>
      </c>
      <c r="O126" s="477">
        <f t="shared" si="98"/>
        <v>0.9</v>
      </c>
      <c r="P126" s="477">
        <f t="shared" si="98"/>
        <v>0.23600000000000002</v>
      </c>
      <c r="Q126" s="602">
        <f t="shared" si="29"/>
        <v>26.499337920908175</v>
      </c>
      <c r="R126" s="608">
        <f t="shared" si="30"/>
        <v>11.668960878701492</v>
      </c>
      <c r="S126" s="608">
        <f t="shared" si="31"/>
        <v>44.441191234244087</v>
      </c>
      <c r="T126" s="608">
        <f t="shared" si="32"/>
        <v>56.256962339656091</v>
      </c>
      <c r="U126" s="727">
        <f t="shared" si="33"/>
        <v>0.67710709475193609</v>
      </c>
      <c r="V126" s="602">
        <f t="shared" si="13"/>
        <v>139.54355946826178</v>
      </c>
      <c r="W126" s="730">
        <f t="shared" si="94"/>
        <v>0.5</v>
      </c>
      <c r="X126" s="606">
        <f t="shared" si="14"/>
        <v>53.669159952994768</v>
      </c>
      <c r="Y126" s="606">
        <f t="shared" si="15"/>
        <v>76.916015953074577</v>
      </c>
      <c r="Z126" s="607">
        <f t="shared" si="78"/>
        <v>120.24688922049333</v>
      </c>
      <c r="AA126" s="623">
        <f t="shared" si="16"/>
        <v>80.814308185779765</v>
      </c>
      <c r="AB126" s="811">
        <f t="shared" si="34"/>
        <v>0.67206984488050125</v>
      </c>
      <c r="AC126" s="135" t="str">
        <f t="shared" si="35"/>
        <v>Policies met</v>
      </c>
      <c r="AD126" s="1240">
        <f t="shared" si="36"/>
        <v>0.67206984488050125</v>
      </c>
      <c r="AE126" s="135" t="str">
        <f t="shared" si="37"/>
        <v>No</v>
      </c>
      <c r="AF126" s="1293">
        <f t="shared" si="38"/>
        <v>139.12867530930757</v>
      </c>
      <c r="AG126" s="118">
        <f t="shared" si="39"/>
        <v>39.432581034713564</v>
      </c>
      <c r="AH126" s="118">
        <f t="shared" si="17"/>
        <v>45.760541102354082</v>
      </c>
      <c r="AI126" s="118">
        <f t="shared" si="18"/>
        <v>37.035832164635039</v>
      </c>
      <c r="AJ126" s="118">
        <f t="shared" si="19"/>
        <v>16.899721007604906</v>
      </c>
      <c r="AK126" s="118">
        <f t="shared" si="40"/>
        <v>139.1286753093076</v>
      </c>
      <c r="AL126" s="828">
        <f t="shared" si="20"/>
        <v>0</v>
      </c>
      <c r="AM126" s="730">
        <f t="shared" si="41"/>
        <v>0.2834252604436</v>
      </c>
      <c r="AN126" s="483">
        <f t="shared" si="42"/>
        <v>0.32890804861485473</v>
      </c>
      <c r="AO126" s="483">
        <f t="shared" si="43"/>
        <v>0.26619841008546835</v>
      </c>
      <c r="AP126" s="483">
        <f t="shared" si="44"/>
        <v>0.1214682808560769</v>
      </c>
      <c r="AQ126" s="483">
        <f t="shared" si="45"/>
        <v>0.99999999999999989</v>
      </c>
      <c r="AR126" s="834">
        <f t="shared" si="83"/>
        <v>6.718330286861506</v>
      </c>
      <c r="AS126" s="835">
        <f t="shared" si="84"/>
        <v>10.881405661657253</v>
      </c>
      <c r="AT126" s="835">
        <f t="shared" si="85"/>
        <v>2.3248676805531701</v>
      </c>
      <c r="AU126" s="835">
        <f t="shared" si="46"/>
        <v>0</v>
      </c>
      <c r="AV126" s="835">
        <f t="shared" si="47"/>
        <v>0</v>
      </c>
      <c r="AW126" s="835">
        <f t="shared" si="48"/>
        <v>0</v>
      </c>
      <c r="AX126" s="1228">
        <f t="shared" si="21"/>
        <v>16.236099971375594</v>
      </c>
      <c r="AY126" s="835">
        <f t="shared" si="86"/>
        <v>1.307809078845948</v>
      </c>
      <c r="AZ126" s="835">
        <f t="shared" si="87"/>
        <v>0.36762547566046921</v>
      </c>
      <c r="BA126" s="835">
        <f t="shared" si="88"/>
        <v>0.94950499551831991</v>
      </c>
      <c r="BB126" s="835">
        <f t="shared" si="89"/>
        <v>0.64693788424127452</v>
      </c>
      <c r="BC126" s="608">
        <f t="shared" si="49"/>
        <v>39.432581034713529</v>
      </c>
      <c r="BD126" s="840">
        <f t="shared" si="50"/>
        <v>0</v>
      </c>
      <c r="BE126" s="760">
        <f t="shared" si="51"/>
        <v>0.17037510887119423</v>
      </c>
      <c r="BF126" s="705">
        <f t="shared" si="52"/>
        <v>0.2759496177051679</v>
      </c>
      <c r="BG126" s="705">
        <f t="shared" si="53"/>
        <v>5.8958039761752561E-2</v>
      </c>
      <c r="BH126" s="705">
        <f t="shared" si="54"/>
        <v>0</v>
      </c>
      <c r="BI126" s="705">
        <f t="shared" si="55"/>
        <v>0</v>
      </c>
      <c r="BJ126" s="705">
        <f t="shared" si="56"/>
        <v>0</v>
      </c>
      <c r="BK126" s="705">
        <f t="shared" si="57"/>
        <v>0.49471723366188552</v>
      </c>
      <c r="BL126" s="705">
        <f t="shared" si="58"/>
        <v>1.0000000000000002</v>
      </c>
      <c r="BM126" s="730">
        <f t="shared" si="100"/>
        <v>0.29028184578274857</v>
      </c>
      <c r="BN126" s="483">
        <f t="shared" si="100"/>
        <v>0.30317187715157518</v>
      </c>
      <c r="BO126" s="483">
        <f t="shared" si="100"/>
        <v>8.2805443243048754E-2</v>
      </c>
      <c r="BP126" s="483">
        <f t="shared" si="100"/>
        <v>0</v>
      </c>
      <c r="BQ126" s="483">
        <f t="shared" si="100"/>
        <v>0</v>
      </c>
      <c r="BR126" s="483">
        <f t="shared" si="100"/>
        <v>0</v>
      </c>
      <c r="BS126" s="483">
        <f t="shared" si="100"/>
        <v>0.32374083382262742</v>
      </c>
      <c r="BT126" s="604">
        <f t="shared" si="92"/>
        <v>0.99999999999999989</v>
      </c>
      <c r="BV126" s="606">
        <f t="shared" si="60"/>
        <v>56.591358931225336</v>
      </c>
      <c r="BW126" s="114">
        <f t="shared" si="61"/>
        <v>0.78452776141344993</v>
      </c>
      <c r="BX126" s="1503">
        <f t="shared" si="22"/>
        <v>11.978813898335586</v>
      </c>
      <c r="BY126" s="606">
        <f t="shared" si="23"/>
        <v>71.053463770575604</v>
      </c>
      <c r="BZ126" s="114">
        <f t="shared" si="62"/>
        <v>0.79093434427047604</v>
      </c>
      <c r="CA126" s="765">
        <f t="shared" si="24"/>
        <v>50.172070130067617</v>
      </c>
      <c r="CB126" s="114">
        <f t="shared" si="25"/>
        <v>0.67206984488050125</v>
      </c>
      <c r="CC126" s="114">
        <f t="shared" si="26"/>
        <v>0.51207702752838513</v>
      </c>
      <c r="CD126" s="730">
        <f t="shared" si="63"/>
        <v>0.67206984488050125</v>
      </c>
      <c r="CE126" s="604">
        <f t="shared" si="64"/>
        <v>0.85</v>
      </c>
      <c r="CG126" s="602">
        <f t="shared" si="65"/>
        <v>8.6899319949674325</v>
      </c>
      <c r="CH126" s="704">
        <f t="shared" si="66"/>
        <v>3.8266041510359425</v>
      </c>
      <c r="CI126" s="704">
        <f t="shared" si="67"/>
        <v>14.573606735140972</v>
      </c>
      <c r="CJ126" s="704">
        <f t="shared" si="68"/>
        <v>18.44835438659522</v>
      </c>
      <c r="CK126" s="704">
        <f t="shared" si="69"/>
        <v>0.22204383461451555</v>
      </c>
      <c r="CL126" s="704">
        <f t="shared" si="70"/>
        <v>45.760541102354082</v>
      </c>
      <c r="CM126" s="727">
        <f t="shared" si="71"/>
        <v>0</v>
      </c>
    </row>
    <row r="127" spans="1:91">
      <c r="A127" s="127">
        <f>'Input data'!A148</f>
        <v>2048</v>
      </c>
      <c r="B127" s="748">
        <f>'Input data'!B148</f>
        <v>74.753</v>
      </c>
      <c r="C127" s="236">
        <f>'Input data'!C148</f>
        <v>6308.13</v>
      </c>
      <c r="D127" s="236">
        <f>'Input data'!D148</f>
        <v>10697832.960739207</v>
      </c>
      <c r="E127" s="730">
        <f t="shared" si="96"/>
        <v>1</v>
      </c>
      <c r="F127" s="483">
        <f t="shared" si="97"/>
        <v>0.36725000000000002</v>
      </c>
      <c r="G127" s="609">
        <f>B127*F127*'Input data'!$C$9</f>
        <v>840.25688282881026</v>
      </c>
      <c r="H127" s="602">
        <f>'Input data'!I148</f>
        <v>424.26313389388866</v>
      </c>
      <c r="I127" s="607">
        <f>'Input data'!K148</f>
        <v>31714.94204796986</v>
      </c>
      <c r="J127" s="623">
        <f t="shared" si="99"/>
        <v>39.432581034713571</v>
      </c>
      <c r="K127" s="609">
        <f t="shared" si="74"/>
        <v>157.73032413885434</v>
      </c>
      <c r="L127" s="483">
        <f t="shared" ref="L127:P129" si="101">L126</f>
        <v>0.7</v>
      </c>
      <c r="M127" s="483">
        <f t="shared" si="101"/>
        <v>0.6</v>
      </c>
      <c r="N127" s="483">
        <f t="shared" si="101"/>
        <v>0.9</v>
      </c>
      <c r="O127" s="483">
        <f t="shared" si="101"/>
        <v>0.9</v>
      </c>
      <c r="P127" s="483">
        <f t="shared" si="101"/>
        <v>0.23600000000000002</v>
      </c>
      <c r="Q127" s="602">
        <f t="shared" si="29"/>
        <v>26.499337920908175</v>
      </c>
      <c r="R127" s="608">
        <f t="shared" si="30"/>
        <v>11.668960878701492</v>
      </c>
      <c r="S127" s="608">
        <f t="shared" si="31"/>
        <v>44.441191234244087</v>
      </c>
      <c r="T127" s="608">
        <f t="shared" si="32"/>
        <v>56.256962339656091</v>
      </c>
      <c r="U127" s="727">
        <f t="shared" si="33"/>
        <v>0.67710709475193609</v>
      </c>
      <c r="V127" s="602">
        <f t="shared" si="13"/>
        <v>139.54355946826178</v>
      </c>
      <c r="W127" s="730">
        <f t="shared" si="94"/>
        <v>0.5</v>
      </c>
      <c r="X127" s="606">
        <f t="shared" si="14"/>
        <v>53.669159952994768</v>
      </c>
      <c r="Y127" s="606">
        <f t="shared" si="15"/>
        <v>76.916015953074577</v>
      </c>
      <c r="Z127" s="607">
        <f t="shared" si="78"/>
        <v>120.24688922049333</v>
      </c>
      <c r="AA127" s="623">
        <f t="shared" si="16"/>
        <v>80.814308185779765</v>
      </c>
      <c r="AB127" s="811">
        <f t="shared" si="34"/>
        <v>0.67206984488050125</v>
      </c>
      <c r="AC127" s="135" t="str">
        <f t="shared" si="35"/>
        <v>Policies met</v>
      </c>
      <c r="AD127" s="1240">
        <f t="shared" si="36"/>
        <v>0.67206984488050125</v>
      </c>
      <c r="AE127" s="135" t="str">
        <f t="shared" si="37"/>
        <v>No</v>
      </c>
      <c r="AF127" s="1293">
        <f t="shared" si="38"/>
        <v>139.12867530930757</v>
      </c>
      <c r="AG127" s="118">
        <f t="shared" si="39"/>
        <v>39.432581034713564</v>
      </c>
      <c r="AH127" s="118">
        <f t="shared" si="17"/>
        <v>45.760541102354082</v>
      </c>
      <c r="AI127" s="118">
        <f t="shared" si="18"/>
        <v>37.035832164635039</v>
      </c>
      <c r="AJ127" s="118">
        <f t="shared" si="19"/>
        <v>16.899721007604906</v>
      </c>
      <c r="AK127" s="118">
        <f t="shared" si="40"/>
        <v>139.1286753093076</v>
      </c>
      <c r="AL127" s="828">
        <f t="shared" si="20"/>
        <v>0</v>
      </c>
      <c r="AM127" s="730">
        <f t="shared" si="41"/>
        <v>0.2834252604436</v>
      </c>
      <c r="AN127" s="483">
        <f t="shared" si="42"/>
        <v>0.32890804861485473</v>
      </c>
      <c r="AO127" s="483">
        <f t="shared" si="43"/>
        <v>0.26619841008546835</v>
      </c>
      <c r="AP127" s="483">
        <f t="shared" si="44"/>
        <v>0.1214682808560769</v>
      </c>
      <c r="AQ127" s="483">
        <f t="shared" si="45"/>
        <v>0.99999999999999989</v>
      </c>
      <c r="AR127" s="834">
        <f t="shared" si="83"/>
        <v>6.718330286861506</v>
      </c>
      <c r="AS127" s="835">
        <f t="shared" si="84"/>
        <v>10.881405661657253</v>
      </c>
      <c r="AT127" s="835">
        <f t="shared" si="85"/>
        <v>2.3248676805531701</v>
      </c>
      <c r="AU127" s="835">
        <f t="shared" si="46"/>
        <v>0</v>
      </c>
      <c r="AV127" s="835">
        <f t="shared" si="47"/>
        <v>0</v>
      </c>
      <c r="AW127" s="835">
        <f t="shared" si="48"/>
        <v>0</v>
      </c>
      <c r="AX127" s="1228">
        <f t="shared" si="21"/>
        <v>16.236099971375594</v>
      </c>
      <c r="AY127" s="835">
        <f t="shared" si="86"/>
        <v>1.307809078845948</v>
      </c>
      <c r="AZ127" s="835">
        <f t="shared" si="87"/>
        <v>0.36762547566046921</v>
      </c>
      <c r="BA127" s="835">
        <f t="shared" si="88"/>
        <v>0.94950499551831991</v>
      </c>
      <c r="BB127" s="835">
        <f t="shared" si="89"/>
        <v>0.64693788424127452</v>
      </c>
      <c r="BC127" s="608">
        <f t="shared" si="49"/>
        <v>39.432581034713529</v>
      </c>
      <c r="BD127" s="840">
        <f t="shared" si="50"/>
        <v>0</v>
      </c>
      <c r="BE127" s="760">
        <f t="shared" si="51"/>
        <v>0.17037510887119423</v>
      </c>
      <c r="BF127" s="705">
        <f t="shared" si="52"/>
        <v>0.2759496177051679</v>
      </c>
      <c r="BG127" s="705">
        <f t="shared" si="53"/>
        <v>5.8958039761752561E-2</v>
      </c>
      <c r="BH127" s="705">
        <f t="shared" si="54"/>
        <v>0</v>
      </c>
      <c r="BI127" s="705">
        <f t="shared" si="55"/>
        <v>0</v>
      </c>
      <c r="BJ127" s="705">
        <f t="shared" si="56"/>
        <v>0</v>
      </c>
      <c r="BK127" s="705">
        <f t="shared" si="57"/>
        <v>0.49471723366188552</v>
      </c>
      <c r="BL127" s="705">
        <f t="shared" si="58"/>
        <v>1.0000000000000002</v>
      </c>
      <c r="BM127" s="730">
        <f t="shared" si="100"/>
        <v>0.29028184578274857</v>
      </c>
      <c r="BN127" s="483">
        <f t="shared" si="100"/>
        <v>0.30317187715157518</v>
      </c>
      <c r="BO127" s="483">
        <f t="shared" si="100"/>
        <v>8.2805443243048754E-2</v>
      </c>
      <c r="BP127" s="483">
        <f t="shared" si="100"/>
        <v>0</v>
      </c>
      <c r="BQ127" s="483">
        <f t="shared" si="100"/>
        <v>0</v>
      </c>
      <c r="BR127" s="483">
        <f t="shared" si="100"/>
        <v>0</v>
      </c>
      <c r="BS127" s="483">
        <f t="shared" si="100"/>
        <v>0.32374083382262742</v>
      </c>
      <c r="BT127" s="604">
        <f t="shared" si="92"/>
        <v>0.99999999999999989</v>
      </c>
      <c r="BV127" s="606">
        <f t="shared" si="60"/>
        <v>58.109329809666157</v>
      </c>
      <c r="BW127" s="114">
        <f t="shared" si="61"/>
        <v>0.77763754189993606</v>
      </c>
      <c r="BX127" s="1503">
        <f t="shared" si="22"/>
        <v>10.697832960739207</v>
      </c>
      <c r="BY127" s="606">
        <f t="shared" si="23"/>
        <v>71.45839595900253</v>
      </c>
      <c r="BZ127" s="114">
        <f t="shared" si="62"/>
        <v>0.79045255888919375</v>
      </c>
      <c r="CA127" s="765">
        <f t="shared" si="24"/>
        <v>50.172070130067617</v>
      </c>
      <c r="CB127" s="114">
        <f t="shared" si="25"/>
        <v>0.67206984488050125</v>
      </c>
      <c r="CC127" s="114">
        <f t="shared" si="26"/>
        <v>0.49001825584653547</v>
      </c>
      <c r="CD127" s="730">
        <f t="shared" si="63"/>
        <v>0.67206984488050125</v>
      </c>
      <c r="CE127" s="604">
        <f t="shared" si="64"/>
        <v>0.85</v>
      </c>
      <c r="CG127" s="602">
        <f t="shared" si="65"/>
        <v>8.6899319949674325</v>
      </c>
      <c r="CH127" s="704">
        <f t="shared" si="66"/>
        <v>3.8266041510359425</v>
      </c>
      <c r="CI127" s="704">
        <f t="shared" si="67"/>
        <v>14.573606735140972</v>
      </c>
      <c r="CJ127" s="704">
        <f t="shared" si="68"/>
        <v>18.44835438659522</v>
      </c>
      <c r="CK127" s="704">
        <f t="shared" si="69"/>
        <v>0.22204383461451555</v>
      </c>
      <c r="CL127" s="704">
        <f t="shared" si="70"/>
        <v>45.760541102354082</v>
      </c>
      <c r="CM127" s="727">
        <f t="shared" si="71"/>
        <v>0</v>
      </c>
    </row>
    <row r="128" spans="1:91">
      <c r="A128" s="127">
        <f>'Input data'!A149</f>
        <v>2049</v>
      </c>
      <c r="B128" s="748">
        <f>'Input data'!B149</f>
        <v>75.134</v>
      </c>
      <c r="C128" s="236">
        <f>'Input data'!C149</f>
        <v>6522.2000000000007</v>
      </c>
      <c r="D128" s="236">
        <f>'Input data'!D149</f>
        <v>9416852.0231428221</v>
      </c>
      <c r="E128" s="730">
        <f t="shared" si="96"/>
        <v>1</v>
      </c>
      <c r="F128" s="483">
        <f t="shared" si="97"/>
        <v>0.36725000000000002</v>
      </c>
      <c r="G128" s="609">
        <f>B128*F128*'Input data'!$C$9</f>
        <v>844.5394918526323</v>
      </c>
      <c r="H128" s="602">
        <f>'Input data'!I149</f>
        <v>424.26313389388866</v>
      </c>
      <c r="I128" s="607">
        <f>'Input data'!K149</f>
        <v>31876.586301983432</v>
      </c>
      <c r="J128" s="623">
        <f t="shared" si="99"/>
        <v>39.432581034713571</v>
      </c>
      <c r="K128" s="609">
        <f t="shared" si="74"/>
        <v>157.73032413885434</v>
      </c>
      <c r="L128" s="483">
        <f t="shared" si="101"/>
        <v>0.7</v>
      </c>
      <c r="M128" s="483">
        <f t="shared" si="101"/>
        <v>0.6</v>
      </c>
      <c r="N128" s="483">
        <f t="shared" si="101"/>
        <v>0.9</v>
      </c>
      <c r="O128" s="483">
        <f t="shared" si="101"/>
        <v>0.9</v>
      </c>
      <c r="P128" s="483">
        <f t="shared" si="101"/>
        <v>0.23600000000000002</v>
      </c>
      <c r="Q128" s="602">
        <f t="shared" si="29"/>
        <v>26.499337920908175</v>
      </c>
      <c r="R128" s="608">
        <f t="shared" si="30"/>
        <v>11.668960878701492</v>
      </c>
      <c r="S128" s="608">
        <f t="shared" si="31"/>
        <v>44.441191234244087</v>
      </c>
      <c r="T128" s="608">
        <f t="shared" si="32"/>
        <v>56.256962339656091</v>
      </c>
      <c r="U128" s="727">
        <f t="shared" si="33"/>
        <v>0.67710709475193609</v>
      </c>
      <c r="V128" s="602">
        <f t="shared" si="13"/>
        <v>139.54355946826178</v>
      </c>
      <c r="W128" s="730">
        <f t="shared" si="94"/>
        <v>0.5</v>
      </c>
      <c r="X128" s="606">
        <f t="shared" si="14"/>
        <v>53.669159952994768</v>
      </c>
      <c r="Y128" s="606">
        <f t="shared" si="15"/>
        <v>76.916015953074577</v>
      </c>
      <c r="Z128" s="607">
        <f t="shared" si="78"/>
        <v>120.24688922049333</v>
      </c>
      <c r="AA128" s="623">
        <f t="shared" si="16"/>
        <v>80.814308185779765</v>
      </c>
      <c r="AB128" s="811">
        <f t="shared" si="34"/>
        <v>0.67206984488050125</v>
      </c>
      <c r="AC128" s="135" t="str">
        <f t="shared" si="35"/>
        <v>Policies met</v>
      </c>
      <c r="AD128" s="1240">
        <f t="shared" si="36"/>
        <v>0.67206984488050125</v>
      </c>
      <c r="AE128" s="135" t="str">
        <f t="shared" si="37"/>
        <v>No</v>
      </c>
      <c r="AF128" s="1293">
        <f t="shared" si="38"/>
        <v>139.12867530930757</v>
      </c>
      <c r="AG128" s="118">
        <f t="shared" si="39"/>
        <v>39.432581034713564</v>
      </c>
      <c r="AH128" s="118">
        <f t="shared" si="17"/>
        <v>45.760541102354082</v>
      </c>
      <c r="AI128" s="118">
        <f t="shared" si="18"/>
        <v>37.035832164635039</v>
      </c>
      <c r="AJ128" s="118">
        <f t="shared" si="19"/>
        <v>16.899721007604906</v>
      </c>
      <c r="AK128" s="118">
        <f t="shared" si="40"/>
        <v>139.1286753093076</v>
      </c>
      <c r="AL128" s="828">
        <f t="shared" si="20"/>
        <v>0</v>
      </c>
      <c r="AM128" s="730">
        <f t="shared" si="41"/>
        <v>0.2834252604436</v>
      </c>
      <c r="AN128" s="483">
        <f t="shared" si="42"/>
        <v>0.32890804861485473</v>
      </c>
      <c r="AO128" s="483">
        <f t="shared" si="43"/>
        <v>0.26619841008546835</v>
      </c>
      <c r="AP128" s="483">
        <f t="shared" si="44"/>
        <v>0.1214682808560769</v>
      </c>
      <c r="AQ128" s="483">
        <f t="shared" si="45"/>
        <v>0.99999999999999989</v>
      </c>
      <c r="AR128" s="834">
        <f t="shared" si="83"/>
        <v>6.718330286861506</v>
      </c>
      <c r="AS128" s="835">
        <f t="shared" si="84"/>
        <v>10.881405661657253</v>
      </c>
      <c r="AT128" s="835">
        <f t="shared" si="85"/>
        <v>2.3248676805531701</v>
      </c>
      <c r="AU128" s="835">
        <f t="shared" si="46"/>
        <v>0</v>
      </c>
      <c r="AV128" s="835">
        <f t="shared" si="47"/>
        <v>0</v>
      </c>
      <c r="AW128" s="835">
        <f t="shared" si="48"/>
        <v>0</v>
      </c>
      <c r="AX128" s="1228">
        <f t="shared" si="21"/>
        <v>16.236099971375594</v>
      </c>
      <c r="AY128" s="835">
        <f t="shared" si="86"/>
        <v>1.307809078845948</v>
      </c>
      <c r="AZ128" s="835">
        <f t="shared" si="87"/>
        <v>0.36762547566046921</v>
      </c>
      <c r="BA128" s="835">
        <f t="shared" si="88"/>
        <v>0.94950499551831991</v>
      </c>
      <c r="BB128" s="835">
        <f t="shared" si="89"/>
        <v>0.64693788424127452</v>
      </c>
      <c r="BC128" s="608">
        <f t="shared" si="49"/>
        <v>39.432581034713529</v>
      </c>
      <c r="BD128" s="840">
        <f t="shared" si="50"/>
        <v>0</v>
      </c>
      <c r="BE128" s="760">
        <f t="shared" si="51"/>
        <v>0.17037510887119423</v>
      </c>
      <c r="BF128" s="705">
        <f t="shared" si="52"/>
        <v>0.2759496177051679</v>
      </c>
      <c r="BG128" s="705">
        <f t="shared" si="53"/>
        <v>5.8958039761752561E-2</v>
      </c>
      <c r="BH128" s="705">
        <f t="shared" si="54"/>
        <v>0</v>
      </c>
      <c r="BI128" s="705">
        <f t="shared" si="55"/>
        <v>0</v>
      </c>
      <c r="BJ128" s="705">
        <f t="shared" si="56"/>
        <v>0</v>
      </c>
      <c r="BK128" s="705">
        <f t="shared" si="57"/>
        <v>0.49471723366188552</v>
      </c>
      <c r="BL128" s="705">
        <f t="shared" si="58"/>
        <v>1.0000000000000002</v>
      </c>
      <c r="BM128" s="730">
        <f t="shared" si="100"/>
        <v>0.29028184578274857</v>
      </c>
      <c r="BN128" s="483">
        <f t="shared" si="100"/>
        <v>0.30317187715157518</v>
      </c>
      <c r="BO128" s="483">
        <f t="shared" si="100"/>
        <v>8.2805443243048754E-2</v>
      </c>
      <c r="BP128" s="483">
        <f t="shared" si="100"/>
        <v>0</v>
      </c>
      <c r="BQ128" s="483">
        <f t="shared" si="100"/>
        <v>0</v>
      </c>
      <c r="BR128" s="483">
        <f t="shared" si="100"/>
        <v>0</v>
      </c>
      <c r="BS128" s="483">
        <f t="shared" si="100"/>
        <v>0.32374083382262742</v>
      </c>
      <c r="BT128" s="604">
        <f t="shared" si="92"/>
        <v>0.99999999999999989</v>
      </c>
      <c r="BV128" s="606">
        <f t="shared" si="60"/>
        <v>59.702708328326267</v>
      </c>
      <c r="BW128" s="114">
        <f t="shared" si="61"/>
        <v>0.77089004315281895</v>
      </c>
      <c r="BX128" s="1503">
        <f t="shared" si="22"/>
        <v>9.4168520231428214</v>
      </c>
      <c r="BY128" s="606">
        <f t="shared" si="23"/>
        <v>71.880827977617415</v>
      </c>
      <c r="BZ128" s="114">
        <f t="shared" si="62"/>
        <v>0.7899228486263834</v>
      </c>
      <c r="CA128" s="765">
        <f t="shared" si="24"/>
        <v>50.172070130067617</v>
      </c>
      <c r="CB128" s="114">
        <f t="shared" si="25"/>
        <v>0.67206984488050125</v>
      </c>
      <c r="CC128" s="114">
        <f t="shared" si="26"/>
        <v>0.46915699032269942</v>
      </c>
      <c r="CD128" s="730">
        <f t="shared" si="63"/>
        <v>0.67206984488050125</v>
      </c>
      <c r="CE128" s="604">
        <f t="shared" si="64"/>
        <v>0.85</v>
      </c>
      <c r="CG128" s="602">
        <f t="shared" si="65"/>
        <v>8.6899319949674325</v>
      </c>
      <c r="CH128" s="704">
        <f t="shared" si="66"/>
        <v>3.8266041510359425</v>
      </c>
      <c r="CI128" s="704">
        <f t="shared" si="67"/>
        <v>14.573606735140972</v>
      </c>
      <c r="CJ128" s="704">
        <f t="shared" si="68"/>
        <v>18.44835438659522</v>
      </c>
      <c r="CK128" s="704">
        <f t="shared" si="69"/>
        <v>0.22204383461451555</v>
      </c>
      <c r="CL128" s="704">
        <f t="shared" si="70"/>
        <v>45.760541102354082</v>
      </c>
      <c r="CM128" s="727">
        <f t="shared" si="71"/>
        <v>0</v>
      </c>
    </row>
    <row r="129" spans="1:91" ht="15" thickBot="1">
      <c r="A129" s="172">
        <f>'Input data'!A150</f>
        <v>2050</v>
      </c>
      <c r="B129" s="751">
        <f>'Input data'!B150</f>
        <v>75.518000000000001</v>
      </c>
      <c r="C129" s="239">
        <f>'Input data'!C150</f>
        <v>6747.1300000000019</v>
      </c>
      <c r="D129" s="239">
        <f>'Input data'!D150</f>
        <v>8135871.0855464395</v>
      </c>
      <c r="E129" s="731">
        <f t="shared" si="96"/>
        <v>1</v>
      </c>
      <c r="F129" s="732">
        <f t="shared" si="97"/>
        <v>0.36725000000000002</v>
      </c>
      <c r="G129" s="745">
        <f>B129*F129*'Input data'!$C$9</f>
        <v>848.8558222073508</v>
      </c>
      <c r="H129" s="735">
        <f>'Input data'!I150</f>
        <v>424.26313389388866</v>
      </c>
      <c r="I129" s="754">
        <f>'Input data'!K150</f>
        <v>32039.503345398683</v>
      </c>
      <c r="J129" s="769">
        <f t="shared" si="99"/>
        <v>39.432581034713571</v>
      </c>
      <c r="K129" s="745">
        <f t="shared" si="74"/>
        <v>157.73032413885434</v>
      </c>
      <c r="L129" s="732">
        <f t="shared" si="101"/>
        <v>0.7</v>
      </c>
      <c r="M129" s="732">
        <f t="shared" si="101"/>
        <v>0.6</v>
      </c>
      <c r="N129" s="732">
        <f t="shared" si="101"/>
        <v>0.9</v>
      </c>
      <c r="O129" s="732">
        <f t="shared" si="101"/>
        <v>0.9</v>
      </c>
      <c r="P129" s="732">
        <f t="shared" si="101"/>
        <v>0.23600000000000002</v>
      </c>
      <c r="Q129" s="735">
        <f t="shared" si="29"/>
        <v>26.499337920908175</v>
      </c>
      <c r="R129" s="739">
        <f t="shared" si="30"/>
        <v>11.668960878701492</v>
      </c>
      <c r="S129" s="739">
        <f t="shared" si="31"/>
        <v>44.441191234244087</v>
      </c>
      <c r="T129" s="739">
        <f t="shared" si="32"/>
        <v>56.256962339656091</v>
      </c>
      <c r="U129" s="736">
        <f t="shared" si="33"/>
        <v>0.67710709475193609</v>
      </c>
      <c r="V129" s="735">
        <f t="shared" si="13"/>
        <v>139.54355946826178</v>
      </c>
      <c r="W129" s="731">
        <f t="shared" si="94"/>
        <v>0.5</v>
      </c>
      <c r="X129" s="757">
        <f t="shared" si="14"/>
        <v>53.669159952994768</v>
      </c>
      <c r="Y129" s="757">
        <f t="shared" si="15"/>
        <v>76.916015953074577</v>
      </c>
      <c r="Z129" s="754">
        <f t="shared" si="78"/>
        <v>120.24688922049333</v>
      </c>
      <c r="AA129" s="769">
        <f t="shared" si="16"/>
        <v>80.814308185779765</v>
      </c>
      <c r="AB129" s="812">
        <f t="shared" si="34"/>
        <v>0.67206984488050125</v>
      </c>
      <c r="AC129" s="1267" t="str">
        <f t="shared" si="35"/>
        <v>Policies met</v>
      </c>
      <c r="AD129" s="1249">
        <f t="shared" si="36"/>
        <v>0.67206984488050125</v>
      </c>
      <c r="AE129" s="1267" t="str">
        <f t="shared" si="37"/>
        <v>No</v>
      </c>
      <c r="AF129" s="1294">
        <f t="shared" si="38"/>
        <v>139.12867530930757</v>
      </c>
      <c r="AG129" s="121">
        <f t="shared" si="39"/>
        <v>39.432581034713564</v>
      </c>
      <c r="AH129" s="121">
        <f t="shared" si="17"/>
        <v>45.760541102354082</v>
      </c>
      <c r="AI129" s="121">
        <f t="shared" si="18"/>
        <v>37.035832164635039</v>
      </c>
      <c r="AJ129" s="121">
        <f t="shared" si="19"/>
        <v>16.899721007604906</v>
      </c>
      <c r="AK129" s="121">
        <f t="shared" si="40"/>
        <v>139.1286753093076</v>
      </c>
      <c r="AL129" s="829">
        <f t="shared" si="20"/>
        <v>0</v>
      </c>
      <c r="AM129" s="731">
        <f t="shared" si="41"/>
        <v>0.2834252604436</v>
      </c>
      <c r="AN129" s="732">
        <f t="shared" si="42"/>
        <v>0.32890804861485473</v>
      </c>
      <c r="AO129" s="732">
        <f t="shared" si="43"/>
        <v>0.26619841008546835</v>
      </c>
      <c r="AP129" s="732">
        <f t="shared" si="44"/>
        <v>0.1214682808560769</v>
      </c>
      <c r="AQ129" s="732">
        <f t="shared" si="45"/>
        <v>0.99999999999999989</v>
      </c>
      <c r="AR129" s="836">
        <f t="shared" si="83"/>
        <v>6.718330286861506</v>
      </c>
      <c r="AS129" s="837">
        <f t="shared" si="84"/>
        <v>10.881405661657253</v>
      </c>
      <c r="AT129" s="837">
        <f t="shared" si="85"/>
        <v>2.3248676805531701</v>
      </c>
      <c r="AU129" s="837">
        <f t="shared" si="46"/>
        <v>0</v>
      </c>
      <c r="AV129" s="837">
        <f t="shared" si="47"/>
        <v>0</v>
      </c>
      <c r="AW129" s="837">
        <f t="shared" si="48"/>
        <v>0</v>
      </c>
      <c r="AX129" s="1357">
        <f t="shared" si="21"/>
        <v>16.236099971375594</v>
      </c>
      <c r="AY129" s="837">
        <f t="shared" si="86"/>
        <v>1.307809078845948</v>
      </c>
      <c r="AZ129" s="837">
        <f t="shared" si="87"/>
        <v>0.36762547566046921</v>
      </c>
      <c r="BA129" s="837">
        <f t="shared" si="88"/>
        <v>0.94950499551831991</v>
      </c>
      <c r="BB129" s="837">
        <f t="shared" si="89"/>
        <v>0.64693788424127452</v>
      </c>
      <c r="BC129" s="739">
        <f t="shared" si="49"/>
        <v>39.432581034713529</v>
      </c>
      <c r="BD129" s="841">
        <f t="shared" si="50"/>
        <v>0</v>
      </c>
      <c r="BE129" s="768">
        <f t="shared" si="51"/>
        <v>0.17037510887119423</v>
      </c>
      <c r="BF129" s="777">
        <f t="shared" si="52"/>
        <v>0.2759496177051679</v>
      </c>
      <c r="BG129" s="777">
        <f t="shared" si="53"/>
        <v>5.8958039761752561E-2</v>
      </c>
      <c r="BH129" s="777">
        <f t="shared" si="54"/>
        <v>0</v>
      </c>
      <c r="BI129" s="777">
        <f t="shared" si="55"/>
        <v>0</v>
      </c>
      <c r="BJ129" s="777">
        <f t="shared" si="56"/>
        <v>0</v>
      </c>
      <c r="BK129" s="777">
        <f t="shared" si="57"/>
        <v>0.49471723366188552</v>
      </c>
      <c r="BL129" s="777">
        <f t="shared" si="58"/>
        <v>1.0000000000000002</v>
      </c>
      <c r="BM129" s="731">
        <f t="shared" si="100"/>
        <v>0.29028184578274857</v>
      </c>
      <c r="BN129" s="732">
        <f t="shared" si="100"/>
        <v>0.30317187715157518</v>
      </c>
      <c r="BO129" s="732">
        <f t="shared" si="100"/>
        <v>8.2805443243048754E-2</v>
      </c>
      <c r="BP129" s="732">
        <f t="shared" si="100"/>
        <v>0</v>
      </c>
      <c r="BQ129" s="732">
        <f t="shared" si="100"/>
        <v>0</v>
      </c>
      <c r="BR129" s="732">
        <f t="shared" si="100"/>
        <v>0</v>
      </c>
      <c r="BS129" s="732">
        <f t="shared" si="100"/>
        <v>0.32374083382262742</v>
      </c>
      <c r="BT129" s="733">
        <f t="shared" si="92"/>
        <v>0.99999999999999989</v>
      </c>
      <c r="BV129" s="757">
        <f t="shared" si="60"/>
        <v>61.37775831207469</v>
      </c>
      <c r="BW129" s="732">
        <f t="shared" si="61"/>
        <v>0.76428504859512059</v>
      </c>
      <c r="BX129" s="769">
        <f t="shared" si="22"/>
        <v>8.1358710855464391</v>
      </c>
      <c r="BY129" s="757">
        <f t="shared" si="23"/>
        <v>72.322418656455824</v>
      </c>
      <c r="BZ129" s="732">
        <f t="shared" si="62"/>
        <v>0.78934556267027101</v>
      </c>
      <c r="CA129" s="766">
        <f t="shared" si="24"/>
        <v>50.172070130067617</v>
      </c>
      <c r="CB129" s="732">
        <f t="shared" si="25"/>
        <v>0.67206984488050125</v>
      </c>
      <c r="CC129" s="732">
        <f t="shared" si="26"/>
        <v>0.44946072524742625</v>
      </c>
      <c r="CD129" s="731">
        <f t="shared" si="63"/>
        <v>0.67206984488050125</v>
      </c>
      <c r="CE129" s="733">
        <f t="shared" si="64"/>
        <v>0.85</v>
      </c>
      <c r="CG129" s="735">
        <f t="shared" si="65"/>
        <v>8.6899319949674325</v>
      </c>
      <c r="CH129" s="739">
        <f t="shared" si="66"/>
        <v>3.8266041510359425</v>
      </c>
      <c r="CI129" s="739">
        <f t="shared" si="67"/>
        <v>14.573606735140972</v>
      </c>
      <c r="CJ129" s="739">
        <f t="shared" si="68"/>
        <v>18.44835438659522</v>
      </c>
      <c r="CK129" s="739">
        <f t="shared" si="69"/>
        <v>0.22204383461451555</v>
      </c>
      <c r="CL129" s="739">
        <f t="shared" si="70"/>
        <v>45.760541102354082</v>
      </c>
      <c r="CM129" s="736">
        <f t="shared" si="71"/>
        <v>0</v>
      </c>
    </row>
    <row r="130" spans="1:91">
      <c r="AM130" s="607"/>
      <c r="AN130" s="704"/>
      <c r="AO130" s="704"/>
      <c r="AP130" s="704"/>
      <c r="AS130" s="114"/>
    </row>
    <row r="131" spans="1:91" ht="23.4">
      <c r="A131" s="783" t="s">
        <v>764</v>
      </c>
      <c r="AM131" s="607"/>
      <c r="AO131" s="704"/>
      <c r="AS131" s="114"/>
    </row>
    <row r="132" spans="1:91" ht="15" thickBot="1">
      <c r="AM132" s="607"/>
    </row>
    <row r="133" spans="1:91" ht="21.6" customHeight="1" thickBot="1">
      <c r="A133" s="1652" t="s">
        <v>687</v>
      </c>
      <c r="B133" s="1760"/>
      <c r="C133" s="1760"/>
      <c r="D133" s="1761"/>
      <c r="E133" s="1796" t="s">
        <v>689</v>
      </c>
      <c r="F133" s="1797"/>
      <c r="G133" s="1797"/>
      <c r="H133" s="1797"/>
      <c r="I133" s="1798"/>
      <c r="J133" s="1799" t="s">
        <v>690</v>
      </c>
      <c r="K133" s="1800"/>
      <c r="L133" s="1801"/>
      <c r="M133" s="1802" t="s">
        <v>697</v>
      </c>
      <c r="N133" s="1804" t="s">
        <v>695</v>
      </c>
      <c r="O133" s="1805"/>
      <c r="P133" s="1767" t="s">
        <v>674</v>
      </c>
      <c r="Q133" s="1769" t="s">
        <v>680</v>
      </c>
      <c r="R133" s="1769" t="s">
        <v>661</v>
      </c>
      <c r="S133" s="1769" t="s">
        <v>726</v>
      </c>
      <c r="T133" s="1774" t="s">
        <v>728</v>
      </c>
      <c r="U133" s="1769" t="s">
        <v>727</v>
      </c>
      <c r="V133" s="1774" t="s">
        <v>730</v>
      </c>
      <c r="W133" s="1777" t="s">
        <v>698</v>
      </c>
      <c r="X133" s="1854" t="s">
        <v>672</v>
      </c>
      <c r="Y133" s="1855"/>
      <c r="Z133" s="1855"/>
      <c r="AA133" s="1855"/>
      <c r="AB133" s="1855"/>
      <c r="AC133" s="1855"/>
      <c r="AD133" s="1855"/>
      <c r="AE133" s="1855"/>
      <c r="AF133" s="1855"/>
      <c r="AG133" s="1855"/>
      <c r="AH133" s="1855"/>
      <c r="AI133" s="1855"/>
      <c r="AJ133" s="1856"/>
      <c r="AK133" s="1749" t="s">
        <v>855</v>
      </c>
      <c r="AL133" s="1750"/>
      <c r="AM133" s="1750"/>
      <c r="AN133" s="1750"/>
      <c r="AO133" s="1751"/>
    </row>
    <row r="134" spans="1:91" ht="51.6" customHeight="1">
      <c r="A134" s="1790" t="s">
        <v>217</v>
      </c>
      <c r="B134" s="802" t="s">
        <v>218</v>
      </c>
      <c r="C134" s="802" t="s">
        <v>464</v>
      </c>
      <c r="D134" s="592" t="s">
        <v>721</v>
      </c>
      <c r="E134" s="804" t="s">
        <v>551</v>
      </c>
      <c r="F134" s="803" t="s">
        <v>555</v>
      </c>
      <c r="G134" s="803" t="s">
        <v>676</v>
      </c>
      <c r="H134" s="805" t="s">
        <v>679</v>
      </c>
      <c r="I134" s="805" t="s">
        <v>718</v>
      </c>
      <c r="J134" s="582" t="s">
        <v>367</v>
      </c>
      <c r="K134" s="1371" t="s">
        <v>367</v>
      </c>
      <c r="L134" s="806" t="s">
        <v>692</v>
      </c>
      <c r="M134" s="1803"/>
      <c r="N134" s="587" t="s">
        <v>693</v>
      </c>
      <c r="O134" s="590" t="s">
        <v>694</v>
      </c>
      <c r="P134" s="1768"/>
      <c r="Q134" s="1770"/>
      <c r="R134" s="1770"/>
      <c r="S134" s="1770"/>
      <c r="T134" s="1775"/>
      <c r="U134" s="1770"/>
      <c r="V134" s="1775"/>
      <c r="W134" s="1778"/>
      <c r="X134" s="1247" t="s">
        <v>549</v>
      </c>
      <c r="Y134" s="819" t="s">
        <v>565</v>
      </c>
      <c r="Z134" s="819" t="s">
        <v>428</v>
      </c>
      <c r="AA134" s="819" t="s">
        <v>429</v>
      </c>
      <c r="AB134" s="819" t="s">
        <v>553</v>
      </c>
      <c r="AC134" s="819" t="s">
        <v>225</v>
      </c>
      <c r="AD134" s="823" t="s">
        <v>671</v>
      </c>
      <c r="AE134" s="818" t="s">
        <v>549</v>
      </c>
      <c r="AF134" s="819" t="s">
        <v>565</v>
      </c>
      <c r="AG134" s="819" t="s">
        <v>428</v>
      </c>
      <c r="AH134" s="819" t="s">
        <v>429</v>
      </c>
      <c r="AI134" s="819" t="s">
        <v>553</v>
      </c>
      <c r="AJ134" s="820" t="s">
        <v>225</v>
      </c>
      <c r="AK134" s="189" t="s">
        <v>851</v>
      </c>
      <c r="AL134" s="822" t="s">
        <v>569</v>
      </c>
      <c r="AM134" s="822" t="s">
        <v>852</v>
      </c>
      <c r="AN134" s="822" t="s">
        <v>225</v>
      </c>
      <c r="AO134" s="1399" t="s">
        <v>708</v>
      </c>
    </row>
    <row r="135" spans="1:91" ht="30" customHeight="1" thickBot="1">
      <c r="A135" s="1806"/>
      <c r="B135" s="524" t="s">
        <v>232</v>
      </c>
      <c r="C135" s="525" t="s">
        <v>558</v>
      </c>
      <c r="D135" s="556" t="s">
        <v>556</v>
      </c>
      <c r="E135" s="1243" t="s">
        <v>688</v>
      </c>
      <c r="F135" s="1244" t="s">
        <v>688</v>
      </c>
      <c r="G135" s="1244" t="str">
        <f>F135</f>
        <v>Gg/GDP ZAR billion</v>
      </c>
      <c r="H135" s="1245" t="str">
        <f>G135</f>
        <v>Gg/GDP ZAR billion</v>
      </c>
      <c r="I135" s="1245" t="s">
        <v>691</v>
      </c>
      <c r="J135" s="807" t="s">
        <v>229</v>
      </c>
      <c r="K135" s="808" t="s">
        <v>691</v>
      </c>
      <c r="L135" s="810" t="s">
        <v>691</v>
      </c>
      <c r="M135" s="1246" t="s">
        <v>691</v>
      </c>
      <c r="N135" s="786" t="s">
        <v>229</v>
      </c>
      <c r="O135" s="788" t="s">
        <v>670</v>
      </c>
      <c r="P135" s="813" t="s">
        <v>670</v>
      </c>
      <c r="Q135" s="814" t="s">
        <v>670</v>
      </c>
      <c r="R135" s="814" t="s">
        <v>670</v>
      </c>
      <c r="S135" s="1284" t="s">
        <v>28</v>
      </c>
      <c r="T135" s="1776"/>
      <c r="U135" s="1284" t="s">
        <v>28</v>
      </c>
      <c r="V135" s="1776"/>
      <c r="W135" s="1253" t="s">
        <v>691</v>
      </c>
      <c r="X135" s="1283" t="s">
        <v>228</v>
      </c>
      <c r="Y135" s="1254" t="s">
        <v>228</v>
      </c>
      <c r="Z135" s="1254" t="s">
        <v>228</v>
      </c>
      <c r="AA135" s="1254" t="s">
        <v>228</v>
      </c>
      <c r="AB135" s="1254" t="s">
        <v>228</v>
      </c>
      <c r="AC135" s="1254" t="s">
        <v>228</v>
      </c>
      <c r="AD135" s="1255" t="s">
        <v>669</v>
      </c>
      <c r="AE135" s="826" t="s">
        <v>229</v>
      </c>
      <c r="AF135" s="821" t="s">
        <v>229</v>
      </c>
      <c r="AG135" s="821" t="s">
        <v>229</v>
      </c>
      <c r="AH135" s="821" t="s">
        <v>229</v>
      </c>
      <c r="AI135" s="821" t="s">
        <v>229</v>
      </c>
      <c r="AJ135" s="824" t="s">
        <v>229</v>
      </c>
      <c r="AK135" s="191" t="s">
        <v>691</v>
      </c>
      <c r="AL135" s="1254" t="s">
        <v>691</v>
      </c>
      <c r="AM135" s="1254" t="s">
        <v>691</v>
      </c>
      <c r="AN135" s="1254" t="s">
        <v>691</v>
      </c>
      <c r="AO135" s="1255" t="s">
        <v>669</v>
      </c>
    </row>
    <row r="136" spans="1:91">
      <c r="A136" s="852">
        <f>'Input data'!A117</f>
        <v>2017</v>
      </c>
      <c r="B136" s="853">
        <f>'Input data'!B117</f>
        <v>56.521999999999998</v>
      </c>
      <c r="C136" s="854">
        <f>'Input data'!C117</f>
        <v>3120.54</v>
      </c>
      <c r="D136" s="855">
        <f>'Input data'!D117</f>
        <v>49995051</v>
      </c>
      <c r="E136" s="737">
        <f>'Input data'!J117</f>
        <v>11.504772374209397</v>
      </c>
      <c r="F136" s="738">
        <f>'Input data'!L117/C96</f>
        <v>27.526054267727826</v>
      </c>
      <c r="G136" s="771">
        <f>F136*B11</f>
        <v>23.573842715560573</v>
      </c>
      <c r="H136" s="623">
        <f t="shared" ref="H136:H169" si="102">E136*$B$12+I136*$E$80-G136</f>
        <v>0</v>
      </c>
      <c r="I136" s="1238">
        <f t="shared" ref="I136:I169" si="103">D136/1000/C136</f>
        <v>16.021281893518431</v>
      </c>
      <c r="J136" s="730">
        <f>H17</f>
        <v>6.154773859516615E-2</v>
      </c>
      <c r="K136" s="623">
        <f>(I136)*J136</f>
        <v>0.98607366994174095</v>
      </c>
      <c r="L136" s="608">
        <f t="shared" ref="L136:L169" si="104">(E136)*$C$12*$G$12</f>
        <v>0.96248877021284696</v>
      </c>
      <c r="M136" s="727">
        <f>L136+K136</f>
        <v>1.9485624401545878</v>
      </c>
      <c r="N136" s="730">
        <v>0</v>
      </c>
      <c r="O136" s="1280">
        <f t="shared" ref="O136:O169" si="105">N136*E136*($C$84)*$B$12</f>
        <v>0</v>
      </c>
      <c r="P136" s="779">
        <f>O136+(K136-I136*$J$136)</f>
        <v>0</v>
      </c>
      <c r="Q136" s="623">
        <f t="shared" ref="Q136:Q169" si="106">E136*$B$12+I136*(1-$H$80)-P136</f>
        <v>23.573842715560573</v>
      </c>
      <c r="R136" s="608">
        <f t="shared" ref="R136:R169" si="107">Q136-G136</f>
        <v>0</v>
      </c>
      <c r="S136" s="1240">
        <f>R136/(Q136-(I136-K136))</f>
        <v>0</v>
      </c>
      <c r="T136" s="135" t="str">
        <f>IF(AND(S136&gt;=0,S136&lt;=0.85),"Policies met","Policies not met")</f>
        <v>Policies met</v>
      </c>
      <c r="U136" s="1240">
        <f>IF(S136&lt;=0,0,IF(S136&gt;=0.85,0.85,S136))</f>
        <v>0</v>
      </c>
      <c r="V136" s="135" t="str">
        <f>IF(AND(S136&gt;=0,S136&lt;=0.85),"No","Yes")</f>
        <v>No</v>
      </c>
      <c r="W136" s="1241">
        <f>($E$136)*(1-U136)+I136</f>
        <v>27.526054267727829</v>
      </c>
      <c r="X136" s="623">
        <f>Q136-U136*(Q136-(I136-K136))</f>
        <v>23.573842715560573</v>
      </c>
      <c r="Y136" s="118">
        <f>(L136)*(1-U136)+K136</f>
        <v>1.9485624401545878</v>
      </c>
      <c r="Z136" s="608">
        <f t="shared" ref="Z136:Z169" si="108">($C$12*$H$12*$E$136+O136)*(1-U136)</f>
        <v>1.9789482589551808</v>
      </c>
      <c r="AA136" s="608">
        <f t="shared" ref="AA136:AA169" si="109">$F$136*$D$11*(1-U136)</f>
        <v>0</v>
      </c>
      <c r="AB136" s="608">
        <f t="shared" ref="AB136:AB169" si="110">$E$136*$E$12*(1-U136)</f>
        <v>2.4700853057483641E-2</v>
      </c>
      <c r="AC136" s="608">
        <f>SUM(X136:AB136)</f>
        <v>27.526054267727829</v>
      </c>
      <c r="AD136" s="609">
        <f t="shared" ref="AD136:AD154" si="111">AC136-W136</f>
        <v>0</v>
      </c>
      <c r="AE136" s="809">
        <f>X136/AC136</f>
        <v>0.85641924869700925</v>
      </c>
      <c r="AF136" s="728">
        <f>Y136/AC136</f>
        <v>7.0789747822270571E-2</v>
      </c>
      <c r="AG136" s="728">
        <f>Z136/AC136</f>
        <v>7.1893640828694608E-2</v>
      </c>
      <c r="AH136" s="728">
        <f>AB136/AC136</f>
        <v>8.9736265202541149E-4</v>
      </c>
      <c r="AI136" s="728">
        <f>AB136/AC136</f>
        <v>8.9736265202541149E-4</v>
      </c>
      <c r="AJ136" s="825">
        <f>SUM(AE136:AI136)</f>
        <v>1.0008973626520252</v>
      </c>
      <c r="AK136" s="1400">
        <f>(I136-K136)</f>
        <v>15.03520822357669</v>
      </c>
      <c r="AL136" s="608">
        <f>E136*$C$85*$B$12</f>
        <v>5.9608665077198184</v>
      </c>
      <c r="AM136" s="608">
        <f>(E136*($C$84)*$B$12-O136)</f>
        <v>2.5777679842640651</v>
      </c>
      <c r="AN136" s="1401">
        <f>SUM(AK136:AM136)</f>
        <v>23.573842715560573</v>
      </c>
      <c r="AO136" s="1402">
        <f>AN136-X136</f>
        <v>0</v>
      </c>
    </row>
    <row r="137" spans="1:91">
      <c r="A137" s="127">
        <f>'Input data'!A118</f>
        <v>2018</v>
      </c>
      <c r="B137" s="748">
        <f>'Input data'!B118</f>
        <v>57.436</v>
      </c>
      <c r="C137" s="236">
        <f>'Input data'!C118</f>
        <v>3152.24</v>
      </c>
      <c r="D137" s="237">
        <f>'Input data'!D118</f>
        <v>50172070.130067617</v>
      </c>
      <c r="E137" s="602">
        <f>'Input data'!J118</f>
        <v>11.504772374209397</v>
      </c>
      <c r="F137" s="608">
        <f>'Input data'!L118/C97</f>
        <v>27.421095411182346</v>
      </c>
      <c r="G137" s="623">
        <f>G136*0.94</f>
        <v>22.159412152626938</v>
      </c>
      <c r="H137" s="623">
        <f t="shared" si="102"/>
        <v>1.3159316866540678</v>
      </c>
      <c r="I137" s="1238">
        <f t="shared" si="103"/>
        <v>15.916323036972953</v>
      </c>
      <c r="J137" s="730">
        <f>($J$149-$J$136)/($A$149-$A$136)+J136</f>
        <v>8.7582527933999524E-2</v>
      </c>
      <c r="K137" s="623">
        <f>(I137)*J137</f>
        <v>1.3939918069922437</v>
      </c>
      <c r="L137" s="608">
        <f t="shared" si="104"/>
        <v>0.96248877021284696</v>
      </c>
      <c r="M137" s="727">
        <f t="shared" ref="M137:M169" si="112">L137+K137</f>
        <v>2.3564805772050907</v>
      </c>
      <c r="N137" s="730">
        <v>0.05</v>
      </c>
      <c r="O137" s="1280">
        <f t="shared" si="105"/>
        <v>0.12888839921320328</v>
      </c>
      <c r="P137" s="779">
        <f>O137+(K137-I137*$J$136)</f>
        <v>0.54326651652961466</v>
      </c>
      <c r="Q137" s="623">
        <f t="shared" si="106"/>
        <v>22.93207732275139</v>
      </c>
      <c r="R137" s="608">
        <f t="shared" si="107"/>
        <v>0.77266517012445135</v>
      </c>
      <c r="S137" s="1240">
        <f>R137/(Q137-(I137-K137))</f>
        <v>9.1877348210151324E-2</v>
      </c>
      <c r="T137" s="135" t="str">
        <f t="shared" ref="T137:T169" si="113">IF(AND(S137&gt;=0,S137&lt;=0.85),"Policies met","Policies not met")</f>
        <v>Policies met</v>
      </c>
      <c r="U137" s="1240">
        <f t="shared" ref="U137:U169" si="114">IF(S137&lt;=0,0,IF(S137&gt;=0.85,0.85,S137))</f>
        <v>9.1877348210151324E-2</v>
      </c>
      <c r="V137" s="135" t="str">
        <f t="shared" ref="V137:V169" si="115">IF(AND(S137&gt;=0,S137&lt;=0.85),"No","Yes")</f>
        <v>No</v>
      </c>
      <c r="W137" s="1241">
        <f t="shared" ref="W137:W169" si="116">($E$136)*(1-U137)+I137</f>
        <v>26.364067433678585</v>
      </c>
      <c r="X137" s="623">
        <f t="shared" ref="X137:X169" si="117">Q137-U137*(Q137-(I137-K137))</f>
        <v>22.159412152626938</v>
      </c>
      <c r="Y137" s="118">
        <f t="shared" ref="Y137:Y169" si="118">(L137)*(1-U137)+K137</f>
        <v>2.2680496613158843</v>
      </c>
      <c r="Z137" s="608">
        <f t="shared" si="108"/>
        <v>1.9141742155557255</v>
      </c>
      <c r="AA137" s="608">
        <f t="shared" si="109"/>
        <v>0</v>
      </c>
      <c r="AB137" s="608">
        <f t="shared" si="110"/>
        <v>2.2431404180033435E-2</v>
      </c>
      <c r="AC137" s="608">
        <f t="shared" ref="AC137:AC169" si="119">SUM(X137:AB137)</f>
        <v>26.364067433678581</v>
      </c>
      <c r="AD137" s="767">
        <f t="shared" si="111"/>
        <v>0</v>
      </c>
      <c r="AE137" s="730">
        <f t="shared" ref="AE137:AE169" si="120">X137/AC137</f>
        <v>0.84051568326363646</v>
      </c>
      <c r="AF137" s="483">
        <f t="shared" ref="AF137:AF169" si="121">Y137/AC137</f>
        <v>8.6028063272914443E-2</v>
      </c>
      <c r="AG137" s="483">
        <f t="shared" ref="AG137:AG169" si="122">Z137/AC137</f>
        <v>7.2605421009903734E-2</v>
      </c>
      <c r="AH137" s="483">
        <f t="shared" ref="AH137:AH169" si="123">AB137/AC137</f>
        <v>8.5083245354541177E-4</v>
      </c>
      <c r="AI137" s="483">
        <f t="shared" ref="AI137:AI168" si="124">AB137/AC137</f>
        <v>8.5083245354541177E-4</v>
      </c>
      <c r="AJ137" s="604">
        <f t="shared" ref="AJ137:AJ169" si="125">SUM(AE137:AI137)</f>
        <v>1.0008508324535454</v>
      </c>
      <c r="AK137" s="1400">
        <f>(I137-K137)</f>
        <v>14.522331229980709</v>
      </c>
      <c r="AL137" s="608">
        <f>$AL$176*(1-U137)</f>
        <v>5.4131978999558159</v>
      </c>
      <c r="AM137" s="608">
        <f>($AM$176-O137)*(1-U137)</f>
        <v>2.2238830226904129</v>
      </c>
      <c r="AN137" s="1401">
        <f t="shared" ref="AN137:AN169" si="126">SUM(AK137:AM137)</f>
        <v>22.159412152626938</v>
      </c>
      <c r="AO137" s="1402">
        <f t="shared" ref="AO137:AO169" si="127">AN137-X137</f>
        <v>0</v>
      </c>
    </row>
    <row r="138" spans="1:91">
      <c r="A138" s="127">
        <f>'Input data'!A119</f>
        <v>2019</v>
      </c>
      <c r="B138" s="748">
        <f>'Input data'!B119</f>
        <v>58.365000000000002</v>
      </c>
      <c r="C138" s="236">
        <f>'Input data'!C119</f>
        <v>3179.2899999999995</v>
      </c>
      <c r="D138" s="237">
        <f>'Input data'!D119</f>
        <v>49847473.41597119</v>
      </c>
      <c r="E138" s="602">
        <f>'Input data'!J119</f>
        <v>11.504772374209397</v>
      </c>
      <c r="F138" s="608">
        <f>'Input data'!L119/C98</f>
        <v>27.183579093939649</v>
      </c>
      <c r="G138" s="623">
        <f>G136*0.89</f>
        <v>20.98072001684891</v>
      </c>
      <c r="H138" s="623">
        <f t="shared" si="102"/>
        <v>2.2717260973951348</v>
      </c>
      <c r="I138" s="1238">
        <f t="shared" si="103"/>
        <v>15.678806719730252</v>
      </c>
      <c r="J138" s="730">
        <f t="shared" ref="J138:J148" si="128">($J$149-$J$136)/($A$149-$A$136)+J137</f>
        <v>0.11361731727283289</v>
      </c>
      <c r="K138" s="623">
        <f t="shared" ref="K138:K169" si="129">(I138)*J138</f>
        <v>1.7813839575350163</v>
      </c>
      <c r="L138" s="608">
        <f t="shared" si="104"/>
        <v>0.96248877021284696</v>
      </c>
      <c r="M138" s="727">
        <f t="shared" si="112"/>
        <v>2.7438727277478634</v>
      </c>
      <c r="N138" s="730">
        <v>0.1</v>
      </c>
      <c r="O138" s="1280">
        <f t="shared" si="105"/>
        <v>0.25777679842640655</v>
      </c>
      <c r="P138" s="779">
        <f t="shared" ref="P138:P169" si="130">O138+(K138-I138*$J$136)</f>
        <v>1.0741656584913308</v>
      </c>
      <c r="Q138" s="623">
        <f t="shared" si="106"/>
        <v>22.178280455752713</v>
      </c>
      <c r="R138" s="608">
        <f t="shared" si="107"/>
        <v>1.1975604389038033</v>
      </c>
      <c r="S138" s="1240">
        <f t="shared" ref="S138:S169" si="131">R138/(Q138-(I138-K138))</f>
        <v>0.14461792283129168</v>
      </c>
      <c r="T138" s="135" t="str">
        <f t="shared" si="113"/>
        <v>Policies met</v>
      </c>
      <c r="U138" s="1240">
        <f t="shared" si="114"/>
        <v>0.14461792283129168</v>
      </c>
      <c r="V138" s="135" t="str">
        <f t="shared" si="115"/>
        <v>No</v>
      </c>
      <c r="W138" s="1241">
        <f t="shared" si="116"/>
        <v>25.519782810534657</v>
      </c>
      <c r="X138" s="623">
        <f t="shared" si="117"/>
        <v>20.98072001684891</v>
      </c>
      <c r="Y138" s="118">
        <f t="shared" si="118"/>
        <v>2.6046796010512372</v>
      </c>
      <c r="Z138" s="608">
        <f t="shared" si="108"/>
        <v>1.9132545256383604</v>
      </c>
      <c r="AA138" s="608">
        <f t="shared" si="109"/>
        <v>0</v>
      </c>
      <c r="AB138" s="608">
        <f t="shared" si="110"/>
        <v>2.1128666996149396E-2</v>
      </c>
      <c r="AC138" s="608">
        <f t="shared" si="119"/>
        <v>25.519782810534657</v>
      </c>
      <c r="AD138" s="767">
        <f t="shared" si="111"/>
        <v>0</v>
      </c>
      <c r="AE138" s="730">
        <f t="shared" si="120"/>
        <v>0.82213552413886504</v>
      </c>
      <c r="AF138" s="483">
        <f t="shared" si="121"/>
        <v>0.10206511632128845</v>
      </c>
      <c r="AG138" s="483">
        <f t="shared" si="122"/>
        <v>7.497142667094181E-2</v>
      </c>
      <c r="AH138" s="483">
        <f t="shared" si="123"/>
        <v>8.2793286890464471E-4</v>
      </c>
      <c r="AI138" s="483">
        <f t="shared" si="124"/>
        <v>8.2793286890464471E-4</v>
      </c>
      <c r="AJ138" s="604">
        <f t="shared" si="125"/>
        <v>1.0008279328689045</v>
      </c>
      <c r="AK138" s="1400">
        <f t="shared" ref="AK138:AK169" si="132">(I138-K138)</f>
        <v>13.897422762195236</v>
      </c>
      <c r="AL138" s="608">
        <f t="shared" ref="AL138:AL169" si="133">$AL$176*(1-U138)</f>
        <v>5.0988183750987623</v>
      </c>
      <c r="AM138" s="608">
        <f t="shared" ref="AM138:AM169" si="134">($AM$176-O138)*(1-U138)</f>
        <v>1.9844788795549111</v>
      </c>
      <c r="AN138" s="1401">
        <f t="shared" si="126"/>
        <v>20.98072001684891</v>
      </c>
      <c r="AO138" s="1402">
        <f t="shared" si="127"/>
        <v>0</v>
      </c>
    </row>
    <row r="139" spans="1:91">
      <c r="A139" s="127">
        <f>'Input data'!A120</f>
        <v>2020</v>
      </c>
      <c r="B139" s="748">
        <f>'Input data'!B120</f>
        <v>59.308999999999997</v>
      </c>
      <c r="C139" s="236">
        <f>'Input data'!C120</f>
        <v>2948.9199999999987</v>
      </c>
      <c r="D139" s="237">
        <f>'Input data'!D120</f>
        <v>47586944.933914557</v>
      </c>
      <c r="E139" s="602">
        <f>'Input data'!J120</f>
        <v>11.504772374209397</v>
      </c>
      <c r="F139" s="608">
        <f>'Input data'!L120/C99</f>
        <v>27.641847959140343</v>
      </c>
      <c r="G139" s="623">
        <f>G136*0.81</f>
        <v>19.094812599604065</v>
      </c>
      <c r="H139" s="623">
        <f t="shared" si="102"/>
        <v>4.5876969675190047</v>
      </c>
      <c r="I139" s="1238">
        <f t="shared" si="103"/>
        <v>16.137075584930951</v>
      </c>
      <c r="J139" s="730">
        <f t="shared" si="128"/>
        <v>0.13965210661166627</v>
      </c>
      <c r="K139" s="623">
        <f t="shared" si="129"/>
        <v>2.2535765999872939</v>
      </c>
      <c r="L139" s="608">
        <f t="shared" si="104"/>
        <v>0.96248877021284696</v>
      </c>
      <c r="M139" s="727">
        <f t="shared" si="112"/>
        <v>3.2160653702001407</v>
      </c>
      <c r="N139" s="730">
        <f>($N$141-$N$136)/($A$101-$A$96)+N138</f>
        <v>0.2</v>
      </c>
      <c r="O139" s="1280">
        <f t="shared" si="105"/>
        <v>0.5155535968528131</v>
      </c>
      <c r="P139" s="779">
        <f t="shared" si="130"/>
        <v>1.7759296870483388</v>
      </c>
      <c r="Q139" s="623">
        <f t="shared" si="106"/>
        <v>21.90657988007473</v>
      </c>
      <c r="R139" s="608">
        <f t="shared" si="107"/>
        <v>2.811767280470665</v>
      </c>
      <c r="S139" s="1240">
        <f t="shared" si="131"/>
        <v>0.35045979433873437</v>
      </c>
      <c r="T139" s="135" t="str">
        <f t="shared" si="113"/>
        <v>Policies met</v>
      </c>
      <c r="U139" s="1240">
        <f t="shared" si="114"/>
        <v>0.35045979433873437</v>
      </c>
      <c r="V139" s="135" t="str">
        <f t="shared" si="115"/>
        <v>No</v>
      </c>
      <c r="W139" s="1241">
        <f t="shared" si="116"/>
        <v>23.609887798960969</v>
      </c>
      <c r="X139" s="623">
        <f t="shared" si="117"/>
        <v>19.094812599604065</v>
      </c>
      <c r="Y139" s="118">
        <f t="shared" si="118"/>
        <v>2.8787517537380052</v>
      </c>
      <c r="Z139" s="608">
        <f t="shared" si="108"/>
        <v>1.620279248443933</v>
      </c>
      <c r="AA139" s="608">
        <f t="shared" si="109"/>
        <v>0</v>
      </c>
      <c r="AB139" s="608">
        <f t="shared" si="110"/>
        <v>1.6044197174966624E-2</v>
      </c>
      <c r="AC139" s="608">
        <f t="shared" si="119"/>
        <v>23.609887798960969</v>
      </c>
      <c r="AD139" s="767">
        <f t="shared" si="111"/>
        <v>0</v>
      </c>
      <c r="AE139" s="730">
        <f t="shared" si="120"/>
        <v>0.80876337753898164</v>
      </c>
      <c r="AF139" s="483">
        <f t="shared" si="121"/>
        <v>0.12192992098271192</v>
      </c>
      <c r="AG139" s="483">
        <f t="shared" si="122"/>
        <v>6.8627147330841562E-2</v>
      </c>
      <c r="AH139" s="483">
        <f t="shared" si="123"/>
        <v>6.7955414746497444E-4</v>
      </c>
      <c r="AI139" s="483">
        <f t="shared" si="124"/>
        <v>6.7955414746497444E-4</v>
      </c>
      <c r="AJ139" s="604">
        <f t="shared" si="125"/>
        <v>1.0006795541474649</v>
      </c>
      <c r="AK139" s="1400">
        <f t="shared" si="132"/>
        <v>13.883498984943657</v>
      </c>
      <c r="AL139" s="608">
        <f t="shared" si="133"/>
        <v>3.8718224573436806</v>
      </c>
      <c r="AM139" s="608">
        <f t="shared" si="134"/>
        <v>1.3394911573167254</v>
      </c>
      <c r="AN139" s="1401">
        <f t="shared" si="126"/>
        <v>19.094812599604062</v>
      </c>
      <c r="AO139" s="1402">
        <f t="shared" si="127"/>
        <v>0</v>
      </c>
    </row>
    <row r="140" spans="1:91">
      <c r="A140" s="127">
        <f>'Input data'!A121</f>
        <v>2021</v>
      </c>
      <c r="B140" s="748">
        <f>'Input data'!B121</f>
        <v>59.991999999999997</v>
      </c>
      <c r="C140" s="236">
        <f>'Input data'!C121</f>
        <v>3014.38</v>
      </c>
      <c r="D140" s="237">
        <f>'Input data'!D121</f>
        <v>47328556.831579238</v>
      </c>
      <c r="E140" s="602">
        <f>'Input data'!J121</f>
        <v>11.504772374209397</v>
      </c>
      <c r="F140" s="608">
        <f>'Input data'!L121/C100</f>
        <v>27.205698213545922</v>
      </c>
      <c r="G140" s="623">
        <f>G136*0.65</f>
        <v>15.322997765114373</v>
      </c>
      <c r="H140" s="623">
        <f t="shared" si="102"/>
        <v>7.9502060869444655</v>
      </c>
      <c r="I140" s="1238">
        <f t="shared" si="103"/>
        <v>15.700925839336527</v>
      </c>
      <c r="J140" s="730">
        <f t="shared" si="128"/>
        <v>0.16568689595049965</v>
      </c>
      <c r="K140" s="623">
        <f t="shared" si="129"/>
        <v>2.6014376658686627</v>
      </c>
      <c r="L140" s="608">
        <f t="shared" si="104"/>
        <v>0.96248877021284696</v>
      </c>
      <c r="M140" s="727">
        <f t="shared" si="112"/>
        <v>3.5639264360815095</v>
      </c>
      <c r="N140" s="730">
        <v>0.4</v>
      </c>
      <c r="O140" s="1280">
        <f t="shared" si="105"/>
        <v>1.0311071937056262</v>
      </c>
      <c r="P140" s="779">
        <f t="shared" si="130"/>
        <v>2.6661883803127147</v>
      </c>
      <c r="Q140" s="623">
        <f t="shared" si="106"/>
        <v>20.607015471746124</v>
      </c>
      <c r="R140" s="608">
        <f t="shared" si="107"/>
        <v>5.2840177066317509</v>
      </c>
      <c r="S140" s="1240">
        <f t="shared" si="131"/>
        <v>0.70382930313734093</v>
      </c>
      <c r="T140" s="135" t="str">
        <f t="shared" si="113"/>
        <v>Policies met</v>
      </c>
      <c r="U140" s="1240">
        <f t="shared" si="114"/>
        <v>0.70382930313734093</v>
      </c>
      <c r="V140" s="135" t="str">
        <f t="shared" si="115"/>
        <v>No</v>
      </c>
      <c r="W140" s="1241">
        <f t="shared" si="116"/>
        <v>19.108302290652393</v>
      </c>
      <c r="X140" s="623">
        <f t="shared" si="117"/>
        <v>15.322997765114373</v>
      </c>
      <c r="Y140" s="118">
        <f t="shared" si="118"/>
        <v>2.8864986356650855</v>
      </c>
      <c r="Z140" s="608">
        <f t="shared" si="108"/>
        <v>0.89149022100979791</v>
      </c>
      <c r="AA140" s="608">
        <f t="shared" si="109"/>
        <v>0</v>
      </c>
      <c r="AB140" s="608">
        <f t="shared" si="110"/>
        <v>7.3156688631370731E-3</v>
      </c>
      <c r="AC140" s="608">
        <f t="shared" si="119"/>
        <v>19.108302290652389</v>
      </c>
      <c r="AD140" s="767">
        <f t="shared" si="111"/>
        <v>0</v>
      </c>
      <c r="AE140" s="730">
        <f t="shared" si="120"/>
        <v>0.80190262494487785</v>
      </c>
      <c r="AF140" s="483">
        <f t="shared" si="121"/>
        <v>0.15105992106253913</v>
      </c>
      <c r="AG140" s="483">
        <f t="shared" si="122"/>
        <v>4.6654601096922509E-2</v>
      </c>
      <c r="AH140" s="483">
        <f t="shared" si="123"/>
        <v>3.8285289566074288E-4</v>
      </c>
      <c r="AI140" s="483">
        <f t="shared" si="124"/>
        <v>3.8285289566074288E-4</v>
      </c>
      <c r="AJ140" s="604">
        <f t="shared" si="125"/>
        <v>1.0003828528956609</v>
      </c>
      <c r="AK140" s="1400">
        <f t="shared" si="132"/>
        <v>13.099488173467865</v>
      </c>
      <c r="AL140" s="608">
        <f t="shared" si="133"/>
        <v>1.7654339874966636</v>
      </c>
      <c r="AM140" s="608">
        <f t="shared" si="134"/>
        <v>0.458075604149844</v>
      </c>
      <c r="AN140" s="1401">
        <f t="shared" si="126"/>
        <v>15.322997765114373</v>
      </c>
      <c r="AO140" s="1402">
        <f t="shared" si="127"/>
        <v>0</v>
      </c>
    </row>
    <row r="141" spans="1:91">
      <c r="A141" s="127">
        <f>'Input data'!A122</f>
        <v>2022</v>
      </c>
      <c r="B141" s="749">
        <f>'Input data'!B122</f>
        <v>60.682000000000002</v>
      </c>
      <c r="C141" s="605">
        <f>'Input data'!C122</f>
        <v>3077.2</v>
      </c>
      <c r="D141" s="750">
        <f>'Input data'!D122</f>
        <v>45903210.392984279</v>
      </c>
      <c r="E141" s="734">
        <f>'Input data'!J122</f>
        <v>11.504772374209397</v>
      </c>
      <c r="F141" s="608">
        <f>'Input data'!L122/C101</f>
        <v>26.421973203854616</v>
      </c>
      <c r="G141" s="858">
        <f>G136*(1-E4)</f>
        <v>11.786921357780287</v>
      </c>
      <c r="H141" s="623">
        <f t="shared" si="102"/>
        <v>10.750793986614219</v>
      </c>
      <c r="I141" s="1238">
        <f t="shared" si="103"/>
        <v>14.917200829645223</v>
      </c>
      <c r="J141" s="730">
        <f t="shared" si="128"/>
        <v>0.19172168528933303</v>
      </c>
      <c r="K141" s="623">
        <f t="shared" si="129"/>
        <v>2.8599508828590192</v>
      </c>
      <c r="L141" s="608">
        <f t="shared" si="104"/>
        <v>0.96248877021284696</v>
      </c>
      <c r="M141" s="727">
        <f t="shared" si="112"/>
        <v>3.8224396530718661</v>
      </c>
      <c r="N141" s="729">
        <f>$E$26</f>
        <v>0.5</v>
      </c>
      <c r="O141" s="1280">
        <f t="shared" si="105"/>
        <v>1.2888839921320325</v>
      </c>
      <c r="P141" s="779">
        <f t="shared" si="130"/>
        <v>3.2307148977564522</v>
      </c>
      <c r="Q141" s="623">
        <f t="shared" si="106"/>
        <v>19.307000446638053</v>
      </c>
      <c r="R141" s="608">
        <f t="shared" si="107"/>
        <v>7.5200790888577664</v>
      </c>
      <c r="S141" s="1240">
        <f t="shared" si="131"/>
        <v>1.037287985153619</v>
      </c>
      <c r="T141" s="135" t="str">
        <f t="shared" si="113"/>
        <v>Policies not met</v>
      </c>
      <c r="U141" s="1240">
        <f t="shared" si="114"/>
        <v>0.85</v>
      </c>
      <c r="V141" s="135" t="str">
        <f t="shared" si="115"/>
        <v>Yes</v>
      </c>
      <c r="W141" s="1241">
        <f t="shared" si="116"/>
        <v>16.642916685776633</v>
      </c>
      <c r="X141" s="623">
        <f t="shared" si="117"/>
        <v>13.144712521763982</v>
      </c>
      <c r="Y141" s="118">
        <f t="shared" si="118"/>
        <v>3.0043241983909463</v>
      </c>
      <c r="Z141" s="608">
        <f t="shared" si="108"/>
        <v>0.49017483766308212</v>
      </c>
      <c r="AA141" s="608">
        <f t="shared" si="109"/>
        <v>0</v>
      </c>
      <c r="AB141" s="608">
        <f t="shared" si="110"/>
        <v>3.7051279586225467E-3</v>
      </c>
      <c r="AC141" s="608">
        <f t="shared" si="119"/>
        <v>16.642916685776633</v>
      </c>
      <c r="AD141" s="767">
        <f t="shared" si="111"/>
        <v>0</v>
      </c>
      <c r="AE141" s="730">
        <f t="shared" si="120"/>
        <v>0.78980822712389787</v>
      </c>
      <c r="AF141" s="483">
        <f t="shared" si="121"/>
        <v>0.1805166879768437</v>
      </c>
      <c r="AG141" s="483">
        <f t="shared" si="122"/>
        <v>2.9452459981488415E-2</v>
      </c>
      <c r="AH141" s="483">
        <f t="shared" si="123"/>
        <v>2.2262491776991366E-4</v>
      </c>
      <c r="AI141" s="483">
        <f t="shared" si="124"/>
        <v>2.2262491776991366E-4</v>
      </c>
      <c r="AJ141" s="604">
        <f t="shared" si="125"/>
        <v>1.0002226249177697</v>
      </c>
      <c r="AK141" s="1400">
        <f t="shared" si="132"/>
        <v>12.057249946786204</v>
      </c>
      <c r="AL141" s="608">
        <f t="shared" si="133"/>
        <v>0.89412997615797285</v>
      </c>
      <c r="AM141" s="608">
        <f t="shared" si="134"/>
        <v>0.19333259881980491</v>
      </c>
      <c r="AN141" s="1401">
        <f t="shared" si="126"/>
        <v>13.144712521763982</v>
      </c>
      <c r="AO141" s="1402">
        <f t="shared" si="127"/>
        <v>0</v>
      </c>
    </row>
    <row r="142" spans="1:91">
      <c r="A142" s="127">
        <f>'Input data'!A123</f>
        <v>2023</v>
      </c>
      <c r="B142" s="748">
        <f>'Input data'!B123</f>
        <v>61.381</v>
      </c>
      <c r="C142" s="236">
        <f>'Input data'!C123</f>
        <v>3140.61</v>
      </c>
      <c r="D142" s="237">
        <f>'Input data'!D123</f>
        <v>44745286.877069645</v>
      </c>
      <c r="E142" s="602">
        <f>'Input data'!J123</f>
        <v>11.504772374209397</v>
      </c>
      <c r="F142" s="608">
        <f>'Input data'!L123/C102</f>
        <v>25.752095944174989</v>
      </c>
      <c r="G142" s="623">
        <f>($G$146-$G$141)/($A$146-$A$141)+G141</f>
        <v>11.079706076313469</v>
      </c>
      <c r="H142" s="623">
        <f t="shared" si="102"/>
        <v>10.829361438871016</v>
      </c>
      <c r="I142" s="1238">
        <f t="shared" si="103"/>
        <v>14.247323569965593</v>
      </c>
      <c r="J142" s="730">
        <f t="shared" si="128"/>
        <v>0.21775647462816641</v>
      </c>
      <c r="K142" s="623">
        <f t="shared" si="129"/>
        <v>3.1024469534824899</v>
      </c>
      <c r="L142" s="608">
        <f t="shared" si="104"/>
        <v>0.96248877021284696</v>
      </c>
      <c r="M142" s="727">
        <f t="shared" si="112"/>
        <v>4.0649357236953367</v>
      </c>
      <c r="N142" s="730">
        <f>($N$146-$N$141)/($A$106-$A$101)+N141</f>
        <v>0.5</v>
      </c>
      <c r="O142" s="1280">
        <f t="shared" si="105"/>
        <v>1.2888839921320325</v>
      </c>
      <c r="P142" s="779">
        <f t="shared" si="130"/>
        <v>3.5144403988495307</v>
      </c>
      <c r="Q142" s="623">
        <f t="shared" si="106"/>
        <v>18.394627116334956</v>
      </c>
      <c r="R142" s="608">
        <f t="shared" si="107"/>
        <v>7.3149210400214866</v>
      </c>
      <c r="S142" s="1240">
        <f t="shared" si="131"/>
        <v>1.0089893493811912</v>
      </c>
      <c r="T142" s="135" t="str">
        <f t="shared" si="113"/>
        <v>Policies not met</v>
      </c>
      <c r="U142" s="1240">
        <f t="shared" si="114"/>
        <v>0.85</v>
      </c>
      <c r="V142" s="135" t="str">
        <f t="shared" si="115"/>
        <v>Yes</v>
      </c>
      <c r="W142" s="1241">
        <f t="shared" si="116"/>
        <v>15.973039426097003</v>
      </c>
      <c r="X142" s="623">
        <f t="shared" si="117"/>
        <v>12.232339191460881</v>
      </c>
      <c r="Y142" s="118">
        <f t="shared" si="118"/>
        <v>3.246820269014417</v>
      </c>
      <c r="Z142" s="608">
        <f t="shared" si="108"/>
        <v>0.49017483766308212</v>
      </c>
      <c r="AA142" s="608">
        <f t="shared" si="109"/>
        <v>0</v>
      </c>
      <c r="AB142" s="608">
        <f t="shared" si="110"/>
        <v>3.7051279586225467E-3</v>
      </c>
      <c r="AC142" s="608">
        <f t="shared" si="119"/>
        <v>15.973039426097003</v>
      </c>
      <c r="AD142" s="767">
        <f t="shared" si="111"/>
        <v>0</v>
      </c>
      <c r="AE142" s="730">
        <f t="shared" si="120"/>
        <v>0.7658116195140352</v>
      </c>
      <c r="AF142" s="483">
        <f t="shared" si="121"/>
        <v>0.20326878200210982</v>
      </c>
      <c r="AG142" s="483">
        <f t="shared" si="122"/>
        <v>3.0687637123228206E-2</v>
      </c>
      <c r="AH142" s="483">
        <f t="shared" si="123"/>
        <v>2.3196136062677279E-4</v>
      </c>
      <c r="AI142" s="483">
        <f t="shared" si="124"/>
        <v>2.3196136062677279E-4</v>
      </c>
      <c r="AJ142" s="604">
        <f t="shared" si="125"/>
        <v>1.0002319613606268</v>
      </c>
      <c r="AK142" s="1400">
        <f t="shared" si="132"/>
        <v>11.144876616483103</v>
      </c>
      <c r="AL142" s="608">
        <f t="shared" si="133"/>
        <v>0.89412997615797285</v>
      </c>
      <c r="AM142" s="608">
        <f t="shared" si="134"/>
        <v>0.19333259881980491</v>
      </c>
      <c r="AN142" s="1401">
        <f t="shared" si="126"/>
        <v>12.232339191460881</v>
      </c>
      <c r="AO142" s="1402">
        <f t="shared" si="127"/>
        <v>0</v>
      </c>
    </row>
    <row r="143" spans="1:91">
      <c r="A143" s="127">
        <f>'Input data'!A124</f>
        <v>2024</v>
      </c>
      <c r="B143" s="748">
        <f>'Input data'!B124</f>
        <v>62.088000000000001</v>
      </c>
      <c r="C143" s="236">
        <f>'Input data'!C124</f>
        <v>3201.77</v>
      </c>
      <c r="D143" s="237">
        <f>'Input data'!D124</f>
        <v>43251251.992583826</v>
      </c>
      <c r="E143" s="602">
        <f>'Input data'!J124</f>
        <v>11.504772374209397</v>
      </c>
      <c r="F143" s="608">
        <f>'Input data'!L124/C103</f>
        <v>25.013316708307045</v>
      </c>
      <c r="G143" s="623">
        <f t="shared" ref="G143:G145" si="135">($G$146-$G$141)/($A$146-$A$141)+G142</f>
        <v>10.372490794846652</v>
      </c>
      <c r="H143" s="623">
        <f t="shared" si="102"/>
        <v>10.843267675758629</v>
      </c>
      <c r="I143" s="1238">
        <f t="shared" si="103"/>
        <v>13.508544334097648</v>
      </c>
      <c r="J143" s="730">
        <f t="shared" si="128"/>
        <v>0.24379126396699979</v>
      </c>
      <c r="K143" s="623">
        <f t="shared" si="129"/>
        <v>3.2932650975639191</v>
      </c>
      <c r="L143" s="608">
        <f t="shared" si="104"/>
        <v>0.96248877021284696</v>
      </c>
      <c r="M143" s="727">
        <f t="shared" si="112"/>
        <v>4.2557538677767663</v>
      </c>
      <c r="N143" s="730">
        <f>($N$146-$N$141)/($A$106-$A$101)+N142</f>
        <v>0.5</v>
      </c>
      <c r="O143" s="1280">
        <f t="shared" si="105"/>
        <v>1.2888839921320325</v>
      </c>
      <c r="P143" s="779">
        <f t="shared" si="130"/>
        <v>3.7507287342196971</v>
      </c>
      <c r="Q143" s="623">
        <f t="shared" si="106"/>
        <v>17.465029736385581</v>
      </c>
      <c r="R143" s="608">
        <f t="shared" si="107"/>
        <v>7.0925389415389297</v>
      </c>
      <c r="S143" s="1240">
        <f t="shared" si="131"/>
        <v>0.97831490086229367</v>
      </c>
      <c r="T143" s="135" t="str">
        <f t="shared" si="113"/>
        <v>Policies not met</v>
      </c>
      <c r="U143" s="1240">
        <f t="shared" si="114"/>
        <v>0.85</v>
      </c>
      <c r="V143" s="135" t="str">
        <f t="shared" si="115"/>
        <v>Yes</v>
      </c>
      <c r="W143" s="1241">
        <f t="shared" si="116"/>
        <v>15.234260190229058</v>
      </c>
      <c r="X143" s="623">
        <f t="shared" si="117"/>
        <v>11.302741811511506</v>
      </c>
      <c r="Y143" s="118">
        <f t="shared" si="118"/>
        <v>3.4376384130958462</v>
      </c>
      <c r="Z143" s="608">
        <f t="shared" si="108"/>
        <v>0.49017483766308212</v>
      </c>
      <c r="AA143" s="608">
        <f t="shared" si="109"/>
        <v>0</v>
      </c>
      <c r="AB143" s="608">
        <f t="shared" si="110"/>
        <v>3.7051279586225467E-3</v>
      </c>
      <c r="AC143" s="608">
        <f t="shared" si="119"/>
        <v>15.234260190229058</v>
      </c>
      <c r="AD143" s="767">
        <f t="shared" si="111"/>
        <v>0</v>
      </c>
      <c r="AE143" s="730">
        <f t="shared" si="120"/>
        <v>0.74192915641291546</v>
      </c>
      <c r="AF143" s="483">
        <f t="shared" si="121"/>
        <v>0.22565181178280497</v>
      </c>
      <c r="AG143" s="483">
        <f t="shared" si="122"/>
        <v>3.2175821572055743E-2</v>
      </c>
      <c r="AH143" s="483">
        <f t="shared" si="123"/>
        <v>2.4321023222374395E-4</v>
      </c>
      <c r="AI143" s="483">
        <f t="shared" si="124"/>
        <v>2.4321023222374395E-4</v>
      </c>
      <c r="AJ143" s="604">
        <f t="shared" si="125"/>
        <v>1.0002432102322236</v>
      </c>
      <c r="AK143" s="1400">
        <f t="shared" si="132"/>
        <v>10.215279236533728</v>
      </c>
      <c r="AL143" s="608">
        <f t="shared" si="133"/>
        <v>0.89412997615797285</v>
      </c>
      <c r="AM143" s="608">
        <f t="shared" si="134"/>
        <v>0.19333259881980491</v>
      </c>
      <c r="AN143" s="1401">
        <f t="shared" si="126"/>
        <v>11.302741811511506</v>
      </c>
      <c r="AO143" s="1402">
        <f t="shared" si="127"/>
        <v>0</v>
      </c>
    </row>
    <row r="144" spans="1:91">
      <c r="A144" s="127">
        <f>'Input data'!A125</f>
        <v>2025</v>
      </c>
      <c r="B144" s="748">
        <f>'Input data'!B125</f>
        <v>62.802999999999997</v>
      </c>
      <c r="C144" s="236">
        <f>'Input data'!C125</f>
        <v>3265.54</v>
      </c>
      <c r="D144" s="237">
        <f>'Input data'!D125</f>
        <v>40955103.194912732</v>
      </c>
      <c r="E144" s="602">
        <f>'Input data'!J125</f>
        <v>11.504772374209397</v>
      </c>
      <c r="F144" s="608">
        <f>'Input data'!L125/C104</f>
        <v>24.046374435403784</v>
      </c>
      <c r="G144" s="608">
        <f t="shared" si="135"/>
        <v>9.665275513379834</v>
      </c>
      <c r="H144" s="623">
        <f t="shared" si="102"/>
        <v>10.643053794571449</v>
      </c>
      <c r="I144" s="1238">
        <f t="shared" si="103"/>
        <v>12.541602061194389</v>
      </c>
      <c r="J144" s="730">
        <f t="shared" si="128"/>
        <v>0.26982605330583315</v>
      </c>
      <c r="K144" s="623">
        <f t="shared" si="129"/>
        <v>3.3840509863043842</v>
      </c>
      <c r="L144" s="608">
        <f t="shared" si="104"/>
        <v>0.96248877021284696</v>
      </c>
      <c r="M144" s="727">
        <f t="shared" si="112"/>
        <v>4.346539756517231</v>
      </c>
      <c r="N144" s="730">
        <f>($N$146-$N$141)/($A$106-$A$101)+N143</f>
        <v>0.5</v>
      </c>
      <c r="O144" s="1280">
        <f t="shared" si="105"/>
        <v>1.2888839921320325</v>
      </c>
      <c r="P144" s="779">
        <f t="shared" si="130"/>
        <v>3.9010277332094274</v>
      </c>
      <c r="Q144" s="623">
        <f t="shared" si="106"/>
        <v>16.407301574741854</v>
      </c>
      <c r="R144" s="608">
        <f t="shared" si="107"/>
        <v>6.7420260613620204</v>
      </c>
      <c r="S144" s="1240">
        <f t="shared" si="131"/>
        <v>0.92996663285168168</v>
      </c>
      <c r="T144" s="135" t="str">
        <f t="shared" si="113"/>
        <v>Policies not met</v>
      </c>
      <c r="U144" s="1240">
        <f t="shared" si="114"/>
        <v>0.85</v>
      </c>
      <c r="V144" s="135" t="str">
        <f t="shared" si="115"/>
        <v>Yes</v>
      </c>
      <c r="W144" s="1241">
        <f t="shared" si="116"/>
        <v>14.2673179173258</v>
      </c>
      <c r="X144" s="623">
        <f t="shared" si="117"/>
        <v>10.245013649867783</v>
      </c>
      <c r="Y144" s="118">
        <f t="shared" si="118"/>
        <v>3.5284243018363113</v>
      </c>
      <c r="Z144" s="608">
        <f t="shared" si="108"/>
        <v>0.49017483766308212</v>
      </c>
      <c r="AA144" s="608">
        <f t="shared" si="109"/>
        <v>0</v>
      </c>
      <c r="AB144" s="608">
        <f t="shared" si="110"/>
        <v>3.7051279586225467E-3</v>
      </c>
      <c r="AC144" s="608">
        <f t="shared" si="119"/>
        <v>14.2673179173258</v>
      </c>
      <c r="AD144" s="767">
        <f t="shared" si="111"/>
        <v>0</v>
      </c>
      <c r="AE144" s="730">
        <f t="shared" si="120"/>
        <v>0.71807565438957155</v>
      </c>
      <c r="AF144" s="483">
        <f t="shared" si="121"/>
        <v>0.24730817118412279</v>
      </c>
      <c r="AG144" s="483">
        <f t="shared" si="122"/>
        <v>3.4356481050150892E-2</v>
      </c>
      <c r="AH144" s="483">
        <f t="shared" si="123"/>
        <v>2.5969337615468365E-4</v>
      </c>
      <c r="AI144" s="483">
        <f t="shared" si="124"/>
        <v>2.5969337615468365E-4</v>
      </c>
      <c r="AJ144" s="604">
        <f t="shared" si="125"/>
        <v>1.0002596933761547</v>
      </c>
      <c r="AK144" s="1400">
        <f t="shared" si="132"/>
        <v>9.1575510748900051</v>
      </c>
      <c r="AL144" s="608">
        <f t="shared" si="133"/>
        <v>0.89412997615797285</v>
      </c>
      <c r="AM144" s="608">
        <f t="shared" si="134"/>
        <v>0.19333259881980491</v>
      </c>
      <c r="AN144" s="1401">
        <f t="shared" si="126"/>
        <v>10.245013649867783</v>
      </c>
      <c r="AO144" s="1402">
        <f t="shared" si="127"/>
        <v>0</v>
      </c>
    </row>
    <row r="145" spans="1:41">
      <c r="A145" s="127">
        <f>'Input data'!A126</f>
        <v>2026</v>
      </c>
      <c r="B145" s="748">
        <f>'Input data'!B126</f>
        <v>63.420999999999999</v>
      </c>
      <c r="C145" s="236">
        <f>'Input data'!C126</f>
        <v>3341.28</v>
      </c>
      <c r="D145" s="237">
        <f>'Input data'!D126</f>
        <v>39969673.998818383</v>
      </c>
      <c r="E145" s="602">
        <f>'Input data'!J126</f>
        <v>11.504772374209397</v>
      </c>
      <c r="F145" s="608">
        <f>'Input data'!L126/C105</f>
        <v>23.467156250693375</v>
      </c>
      <c r="G145" s="608">
        <f t="shared" si="135"/>
        <v>8.9580602319130165</v>
      </c>
      <c r="H145" s="623">
        <f t="shared" si="102"/>
        <v>10.80670046074998</v>
      </c>
      <c r="I145" s="1238">
        <f t="shared" si="103"/>
        <v>11.962383876483976</v>
      </c>
      <c r="J145" s="730">
        <f t="shared" si="128"/>
        <v>0.2958608426446665</v>
      </c>
      <c r="K145" s="623">
        <f t="shared" si="129"/>
        <v>3.5392009737355212</v>
      </c>
      <c r="L145" s="608">
        <f t="shared" si="104"/>
        <v>0.96248877021284696</v>
      </c>
      <c r="M145" s="727">
        <f t="shared" si="112"/>
        <v>4.5016897439483685</v>
      </c>
      <c r="N145" s="730">
        <f>($N$146-$N$141)/($A$106-$A$101)+N144</f>
        <v>0.5</v>
      </c>
      <c r="O145" s="1280">
        <f t="shared" si="105"/>
        <v>1.2888839921320325</v>
      </c>
      <c r="P145" s="779">
        <f t="shared" si="130"/>
        <v>4.091827290062688</v>
      </c>
      <c r="Q145" s="623">
        <f t="shared" si="106"/>
        <v>15.672933402600307</v>
      </c>
      <c r="R145" s="608">
        <f t="shared" si="107"/>
        <v>6.7148731706872908</v>
      </c>
      <c r="S145" s="1240">
        <f t="shared" si="131"/>
        <v>0.92622127765976325</v>
      </c>
      <c r="T145" s="135" t="str">
        <f t="shared" si="113"/>
        <v>Policies not met</v>
      </c>
      <c r="U145" s="1240">
        <f t="shared" si="114"/>
        <v>0.85</v>
      </c>
      <c r="V145" s="135" t="str">
        <f t="shared" si="115"/>
        <v>Yes</v>
      </c>
      <c r="W145" s="1241">
        <f t="shared" si="116"/>
        <v>13.688099732615386</v>
      </c>
      <c r="X145" s="623">
        <f t="shared" si="117"/>
        <v>9.5106454777262321</v>
      </c>
      <c r="Y145" s="118">
        <f t="shared" si="118"/>
        <v>3.6835742892674483</v>
      </c>
      <c r="Z145" s="608">
        <f t="shared" si="108"/>
        <v>0.49017483766308212</v>
      </c>
      <c r="AA145" s="608">
        <f t="shared" si="109"/>
        <v>0</v>
      </c>
      <c r="AB145" s="608">
        <f t="shared" si="110"/>
        <v>3.7051279586225467E-3</v>
      </c>
      <c r="AC145" s="608">
        <f t="shared" si="119"/>
        <v>13.688099732615385</v>
      </c>
      <c r="AD145" s="767">
        <f t="shared" si="111"/>
        <v>0</v>
      </c>
      <c r="AE145" s="730">
        <f t="shared" si="120"/>
        <v>0.69481123483230445</v>
      </c>
      <c r="AF145" s="483">
        <f t="shared" si="121"/>
        <v>0.26910779152860748</v>
      </c>
      <c r="AG145" s="483">
        <f t="shared" si="122"/>
        <v>3.5810291219249057E-2</v>
      </c>
      <c r="AH145" s="483">
        <f t="shared" si="123"/>
        <v>2.7068241983904716E-4</v>
      </c>
      <c r="AI145" s="483">
        <f t="shared" si="124"/>
        <v>2.7068241983904716E-4</v>
      </c>
      <c r="AJ145" s="604">
        <f t="shared" si="125"/>
        <v>1.0002706824198391</v>
      </c>
      <c r="AK145" s="1400">
        <f t="shared" si="132"/>
        <v>8.4231829027484544</v>
      </c>
      <c r="AL145" s="608">
        <f t="shared" si="133"/>
        <v>0.89412997615797285</v>
      </c>
      <c r="AM145" s="608">
        <f t="shared" si="134"/>
        <v>0.19333259881980491</v>
      </c>
      <c r="AN145" s="1401">
        <f t="shared" si="126"/>
        <v>9.5106454777262321</v>
      </c>
      <c r="AO145" s="1402">
        <f t="shared" si="127"/>
        <v>0</v>
      </c>
    </row>
    <row r="146" spans="1:41">
      <c r="A146" s="127">
        <f>'Input data'!A127</f>
        <v>2027</v>
      </c>
      <c r="B146" s="749">
        <f>'Input data'!B127</f>
        <v>64.046000000000006</v>
      </c>
      <c r="C146" s="605">
        <f>'Input data'!C127</f>
        <v>3416.2799999999997</v>
      </c>
      <c r="D146" s="750">
        <f>'Input data'!D127</f>
        <v>38984244.802724026</v>
      </c>
      <c r="E146" s="734">
        <f>'Input data'!J127</f>
        <v>11.504772374209397</v>
      </c>
      <c r="F146" s="608">
        <f>'Input data'!L127/C106</f>
        <v>22.916086670087964</v>
      </c>
      <c r="G146" s="856">
        <f>G136*(1-E5)</f>
        <v>8.2508449504462007</v>
      </c>
      <c r="H146" s="623">
        <f t="shared" si="102"/>
        <v>10.996763248106234</v>
      </c>
      <c r="I146" s="1238">
        <f t="shared" si="103"/>
        <v>11.411314295878565</v>
      </c>
      <c r="J146" s="730">
        <f t="shared" si="128"/>
        <v>0.32189563198349985</v>
      </c>
      <c r="K146" s="623">
        <f t="shared" si="129"/>
        <v>3.6732522270341774</v>
      </c>
      <c r="L146" s="608">
        <f t="shared" si="104"/>
        <v>0.96248877021284696</v>
      </c>
      <c r="M146" s="727">
        <f t="shared" si="112"/>
        <v>4.6357409972470247</v>
      </c>
      <c r="N146" s="729">
        <f>$C$27</f>
        <v>0.5</v>
      </c>
      <c r="O146" s="1280">
        <f t="shared" si="105"/>
        <v>1.2888839921320325</v>
      </c>
      <c r="P146" s="779">
        <f t="shared" si="130"/>
        <v>4.2597956298561934</v>
      </c>
      <c r="Q146" s="623">
        <f t="shared" si="106"/>
        <v>14.987812568696242</v>
      </c>
      <c r="R146" s="608">
        <f t="shared" si="107"/>
        <v>6.7369676182500413</v>
      </c>
      <c r="S146" s="1240">
        <f t="shared" si="131"/>
        <v>0.92926889254846878</v>
      </c>
      <c r="T146" s="135" t="str">
        <f t="shared" si="113"/>
        <v>Policies not met</v>
      </c>
      <c r="U146" s="1240">
        <f t="shared" si="114"/>
        <v>0.85</v>
      </c>
      <c r="V146" s="135" t="str">
        <f t="shared" si="115"/>
        <v>Yes</v>
      </c>
      <c r="W146" s="1241">
        <f t="shared" si="116"/>
        <v>13.137030152009975</v>
      </c>
      <c r="X146" s="623">
        <f t="shared" si="117"/>
        <v>8.8255246438221668</v>
      </c>
      <c r="Y146" s="118">
        <f t="shared" si="118"/>
        <v>3.8176255425661045</v>
      </c>
      <c r="Z146" s="608">
        <f t="shared" si="108"/>
        <v>0.49017483766308212</v>
      </c>
      <c r="AA146" s="608">
        <f t="shared" si="109"/>
        <v>0</v>
      </c>
      <c r="AB146" s="608">
        <f t="shared" si="110"/>
        <v>3.7051279586225467E-3</v>
      </c>
      <c r="AC146" s="608">
        <f t="shared" si="119"/>
        <v>13.137030152009977</v>
      </c>
      <c r="AD146" s="767">
        <f t="shared" si="111"/>
        <v>0</v>
      </c>
      <c r="AE146" s="730">
        <f t="shared" si="120"/>
        <v>0.67180516004767288</v>
      </c>
      <c r="AF146" s="483">
        <f t="shared" si="121"/>
        <v>0.29060034866266971</v>
      </c>
      <c r="AG146" s="483">
        <f t="shared" si="122"/>
        <v>3.7312454336422829E-2</v>
      </c>
      <c r="AH146" s="483">
        <f t="shared" si="123"/>
        <v>2.8203695323449182E-4</v>
      </c>
      <c r="AI146" s="483">
        <f t="shared" si="124"/>
        <v>2.8203695323449182E-4</v>
      </c>
      <c r="AJ146" s="604">
        <f t="shared" si="125"/>
        <v>1.0002820369532344</v>
      </c>
      <c r="AK146" s="1400">
        <f t="shared" si="132"/>
        <v>7.7380620688443873</v>
      </c>
      <c r="AL146" s="608">
        <f t="shared" si="133"/>
        <v>0.89412997615797285</v>
      </c>
      <c r="AM146" s="608">
        <f t="shared" si="134"/>
        <v>0.19333259881980491</v>
      </c>
      <c r="AN146" s="1401">
        <f t="shared" si="126"/>
        <v>8.8255246438221651</v>
      </c>
      <c r="AO146" s="1402">
        <f t="shared" si="127"/>
        <v>0</v>
      </c>
    </row>
    <row r="147" spans="1:41">
      <c r="A147" s="127">
        <f>'Input data'!A128</f>
        <v>2028</v>
      </c>
      <c r="B147" s="748">
        <f>'Input data'!B128</f>
        <v>64.676000000000002</v>
      </c>
      <c r="C147" s="236">
        <f>'Input data'!C128</f>
        <v>3494.8800000000006</v>
      </c>
      <c r="D147" s="237">
        <f>'Input data'!D128</f>
        <v>37998815.60662967</v>
      </c>
      <c r="E147" s="602">
        <f>'Input data'!J128</f>
        <v>11.504772374209397</v>
      </c>
      <c r="F147" s="608">
        <f>'Input data'!L128/C107</f>
        <v>22.377482054264124</v>
      </c>
      <c r="G147" s="608">
        <f>($G$151-$G$146)/($A$151-$A$146)+G146</f>
        <v>7.5436296689793831</v>
      </c>
      <c r="H147" s="623">
        <f t="shared" si="102"/>
        <v>11.198523809850089</v>
      </c>
      <c r="I147" s="1238">
        <f t="shared" si="103"/>
        <v>10.872709680054728</v>
      </c>
      <c r="J147" s="730">
        <f t="shared" si="128"/>
        <v>0.34793042132233321</v>
      </c>
      <c r="K147" s="623">
        <f t="shared" si="129"/>
        <v>3.7829464598968521</v>
      </c>
      <c r="L147" s="608">
        <f t="shared" si="104"/>
        <v>0.96248877021284696</v>
      </c>
      <c r="M147" s="727">
        <f t="shared" si="112"/>
        <v>4.7454352301096989</v>
      </c>
      <c r="N147" s="730">
        <f>N146</f>
        <v>0.5</v>
      </c>
      <c r="O147" s="1280">
        <f t="shared" si="105"/>
        <v>1.2888839921320325</v>
      </c>
      <c r="P147" s="779">
        <f t="shared" si="130"/>
        <v>4.4026397588197437</v>
      </c>
      <c r="Q147" s="623">
        <f t="shared" si="106"/>
        <v>14.339513720009728</v>
      </c>
      <c r="R147" s="608">
        <f t="shared" si="107"/>
        <v>6.7958840510303453</v>
      </c>
      <c r="S147" s="1240">
        <f t="shared" si="131"/>
        <v>0.93739557674008478</v>
      </c>
      <c r="T147" s="135" t="str">
        <f t="shared" si="113"/>
        <v>Policies not met</v>
      </c>
      <c r="U147" s="1240">
        <f t="shared" si="114"/>
        <v>0.85</v>
      </c>
      <c r="V147" s="135" t="str">
        <f t="shared" si="115"/>
        <v>Yes</v>
      </c>
      <c r="W147" s="1241">
        <f t="shared" si="116"/>
        <v>12.598425536186138</v>
      </c>
      <c r="X147" s="623">
        <f t="shared" si="117"/>
        <v>8.1772257951356533</v>
      </c>
      <c r="Y147" s="118">
        <f t="shared" si="118"/>
        <v>3.9273197754287792</v>
      </c>
      <c r="Z147" s="608">
        <f t="shared" si="108"/>
        <v>0.49017483766308212</v>
      </c>
      <c r="AA147" s="608">
        <f t="shared" si="109"/>
        <v>0</v>
      </c>
      <c r="AB147" s="608">
        <f t="shared" si="110"/>
        <v>3.7051279586225467E-3</v>
      </c>
      <c r="AC147" s="608">
        <f t="shared" si="119"/>
        <v>12.598425536186138</v>
      </c>
      <c r="AD147" s="767">
        <f t="shared" si="111"/>
        <v>0</v>
      </c>
      <c r="AE147" s="730">
        <f t="shared" si="120"/>
        <v>0.64906728000641156</v>
      </c>
      <c r="AF147" s="483">
        <f t="shared" si="121"/>
        <v>0.31173099877825511</v>
      </c>
      <c r="AG147" s="483">
        <f t="shared" si="122"/>
        <v>3.8907626691538987E-2</v>
      </c>
      <c r="AH147" s="483">
        <f t="shared" si="123"/>
        <v>2.9409452379429489E-4</v>
      </c>
      <c r="AI147" s="483">
        <f t="shared" si="124"/>
        <v>2.9409452379429489E-4</v>
      </c>
      <c r="AJ147" s="604">
        <f t="shared" si="125"/>
        <v>1.0002940945237944</v>
      </c>
      <c r="AK147" s="1400">
        <f t="shared" si="132"/>
        <v>7.0897632201578755</v>
      </c>
      <c r="AL147" s="608">
        <f t="shared" si="133"/>
        <v>0.89412997615797285</v>
      </c>
      <c r="AM147" s="608">
        <f t="shared" si="134"/>
        <v>0.19333259881980491</v>
      </c>
      <c r="AN147" s="1401">
        <f t="shared" si="126"/>
        <v>8.1772257951356533</v>
      </c>
      <c r="AO147" s="1402">
        <f t="shared" si="127"/>
        <v>0</v>
      </c>
    </row>
    <row r="148" spans="1:41">
      <c r="A148" s="127">
        <f>'Input data'!A129</f>
        <v>2029</v>
      </c>
      <c r="B148" s="748">
        <f>'Input data'!B129</f>
        <v>65.313000000000002</v>
      </c>
      <c r="C148" s="236">
        <f>'Input data'!C129</f>
        <v>3576.08</v>
      </c>
      <c r="D148" s="237">
        <f>'Input data'!D129</f>
        <v>37013386.410535313</v>
      </c>
      <c r="E148" s="602">
        <f>'Input data'!J129</f>
        <v>11.504772374209397</v>
      </c>
      <c r="F148" s="608">
        <f>'Input data'!L129/C108</f>
        <v>21.855040380108402</v>
      </c>
      <c r="G148" s="608">
        <f t="shared" ref="G148:G150" si="136">($G$151-$G$146)/($A$151-$A$146)+G147</f>
        <v>6.8364143875125656</v>
      </c>
      <c r="H148" s="623">
        <f t="shared" si="102"/>
        <v>11.415452520753341</v>
      </c>
      <c r="I148" s="1238">
        <f t="shared" si="103"/>
        <v>10.350268005899006</v>
      </c>
      <c r="J148" s="730">
        <f t="shared" si="128"/>
        <v>0.37396521066116656</v>
      </c>
      <c r="K148" s="623">
        <f t="shared" si="129"/>
        <v>3.870640155225554</v>
      </c>
      <c r="L148" s="608">
        <f t="shared" si="104"/>
        <v>0.96248877021284696</v>
      </c>
      <c r="M148" s="727">
        <f t="shared" si="112"/>
        <v>4.8331289254384009</v>
      </c>
      <c r="N148" s="730">
        <f t="shared" ref="N148:N169" si="137">N147</f>
        <v>0.5</v>
      </c>
      <c r="O148" s="1280">
        <f t="shared" si="105"/>
        <v>1.2888839921320325</v>
      </c>
      <c r="P148" s="779">
        <f t="shared" si="130"/>
        <v>4.5224885577406031</v>
      </c>
      <c r="Q148" s="623">
        <f t="shared" si="106"/>
        <v>13.729378350525304</v>
      </c>
      <c r="R148" s="608">
        <f t="shared" si="107"/>
        <v>6.8929639630127379</v>
      </c>
      <c r="S148" s="1240">
        <f t="shared" si="131"/>
        <v>0.95078637025558255</v>
      </c>
      <c r="T148" s="135" t="str">
        <f t="shared" si="113"/>
        <v>Policies not met</v>
      </c>
      <c r="U148" s="1240">
        <f t="shared" si="114"/>
        <v>0.85</v>
      </c>
      <c r="V148" s="135" t="str">
        <f t="shared" si="115"/>
        <v>Yes</v>
      </c>
      <c r="W148" s="1241">
        <f t="shared" si="116"/>
        <v>12.075983862030416</v>
      </c>
      <c r="X148" s="623">
        <f t="shared" si="117"/>
        <v>7.5670904256512292</v>
      </c>
      <c r="Y148" s="118">
        <f t="shared" si="118"/>
        <v>4.0150134707574807</v>
      </c>
      <c r="Z148" s="608">
        <f t="shared" si="108"/>
        <v>0.49017483766308212</v>
      </c>
      <c r="AA148" s="608">
        <f t="shared" si="109"/>
        <v>0</v>
      </c>
      <c r="AB148" s="608">
        <f t="shared" si="110"/>
        <v>3.7051279586225467E-3</v>
      </c>
      <c r="AC148" s="608">
        <f t="shared" si="119"/>
        <v>12.075983862030416</v>
      </c>
      <c r="AD148" s="767">
        <f t="shared" si="111"/>
        <v>0</v>
      </c>
      <c r="AE148" s="730">
        <f t="shared" si="120"/>
        <v>0.62662309854883524</v>
      </c>
      <c r="AF148" s="483">
        <f t="shared" si="121"/>
        <v>0.33247920141576021</v>
      </c>
      <c r="AG148" s="483">
        <f t="shared" si="122"/>
        <v>4.0590882139574652E-2</v>
      </c>
      <c r="AH148" s="483">
        <f t="shared" si="123"/>
        <v>3.0681789582977952E-4</v>
      </c>
      <c r="AI148" s="483">
        <f t="shared" si="124"/>
        <v>3.0681789582977952E-4</v>
      </c>
      <c r="AJ148" s="604">
        <f t="shared" si="125"/>
        <v>1.0003068178958296</v>
      </c>
      <c r="AK148" s="1400">
        <f t="shared" si="132"/>
        <v>6.4796278506734515</v>
      </c>
      <c r="AL148" s="608">
        <f t="shared" si="133"/>
        <v>0.89412997615797285</v>
      </c>
      <c r="AM148" s="608">
        <f t="shared" si="134"/>
        <v>0.19333259881980491</v>
      </c>
      <c r="AN148" s="1401">
        <f t="shared" si="126"/>
        <v>7.5670904256512292</v>
      </c>
      <c r="AO148" s="1402">
        <f t="shared" si="127"/>
        <v>0</v>
      </c>
    </row>
    <row r="149" spans="1:41">
      <c r="A149" s="127">
        <f>'Input data'!A130</f>
        <v>2030</v>
      </c>
      <c r="B149" s="749">
        <f>'Input data'!B130</f>
        <v>65.956000000000003</v>
      </c>
      <c r="C149" s="605">
        <f>'Input data'!C130</f>
        <v>3660.12</v>
      </c>
      <c r="D149" s="750">
        <f>'Input data'!D130</f>
        <v>36027957.214440949</v>
      </c>
      <c r="E149" s="734">
        <f>'Input data'!J130</f>
        <v>11.504772374209397</v>
      </c>
      <c r="F149" s="608">
        <f>'Input data'!L130/C109</f>
        <v>21.348153797343326</v>
      </c>
      <c r="G149" s="608">
        <f t="shared" si="136"/>
        <v>6.129199106045748</v>
      </c>
      <c r="H149" s="623">
        <f t="shared" si="102"/>
        <v>11.646978942348502</v>
      </c>
      <c r="I149" s="1238">
        <f t="shared" si="103"/>
        <v>9.8433814231339269</v>
      </c>
      <c r="J149" s="729">
        <f>$H$19</f>
        <v>0.4</v>
      </c>
      <c r="K149" s="623">
        <f t="shared" si="129"/>
        <v>3.9373525692535711</v>
      </c>
      <c r="L149" s="608">
        <f t="shared" si="104"/>
        <v>0.96248877021284696</v>
      </c>
      <c r="M149" s="727">
        <f t="shared" si="112"/>
        <v>4.899841339466418</v>
      </c>
      <c r="N149" s="730">
        <f t="shared" si="137"/>
        <v>0.5</v>
      </c>
      <c r="O149" s="1280">
        <f t="shared" si="105"/>
        <v>1.2888839921320325</v>
      </c>
      <c r="P149" s="779">
        <f t="shared" si="130"/>
        <v>4.6203986946620423</v>
      </c>
      <c r="Q149" s="623">
        <f t="shared" si="106"/>
        <v>13.155779353732207</v>
      </c>
      <c r="R149" s="608">
        <f t="shared" si="107"/>
        <v>7.0265802476864589</v>
      </c>
      <c r="S149" s="1240">
        <f t="shared" si="131"/>
        <v>0.96921683688701388</v>
      </c>
      <c r="T149" s="135" t="str">
        <f t="shared" si="113"/>
        <v>Policies not met</v>
      </c>
      <c r="U149" s="1240">
        <f t="shared" si="114"/>
        <v>0.85</v>
      </c>
      <c r="V149" s="135" t="str">
        <f t="shared" si="115"/>
        <v>Yes</v>
      </c>
      <c r="W149" s="1241">
        <f t="shared" si="116"/>
        <v>11.569097279265337</v>
      </c>
      <c r="X149" s="623">
        <f t="shared" si="117"/>
        <v>6.9934914288581336</v>
      </c>
      <c r="Y149" s="118">
        <f t="shared" si="118"/>
        <v>4.0817258847854978</v>
      </c>
      <c r="Z149" s="608">
        <f t="shared" si="108"/>
        <v>0.49017483766308212</v>
      </c>
      <c r="AA149" s="608">
        <f t="shared" si="109"/>
        <v>0</v>
      </c>
      <c r="AB149" s="608">
        <f t="shared" si="110"/>
        <v>3.7051279586225467E-3</v>
      </c>
      <c r="AC149" s="608">
        <f t="shared" si="119"/>
        <v>11.569097279265335</v>
      </c>
      <c r="AD149" s="767">
        <f t="shared" si="111"/>
        <v>0</v>
      </c>
      <c r="AE149" s="730">
        <f t="shared" si="120"/>
        <v>0.60449759043794959</v>
      </c>
      <c r="AF149" s="483">
        <f t="shared" si="121"/>
        <v>0.35281282422103522</v>
      </c>
      <c r="AG149" s="483">
        <f t="shared" si="122"/>
        <v>4.2369324574839204E-2</v>
      </c>
      <c r="AH149" s="483">
        <f t="shared" si="123"/>
        <v>3.2026076617603055E-4</v>
      </c>
      <c r="AI149" s="483">
        <f t="shared" si="124"/>
        <v>3.2026076617603055E-4</v>
      </c>
      <c r="AJ149" s="604">
        <f t="shared" si="125"/>
        <v>1.0003202607661761</v>
      </c>
      <c r="AK149" s="1400">
        <f t="shared" si="132"/>
        <v>5.9060288538803558</v>
      </c>
      <c r="AL149" s="608">
        <f t="shared" si="133"/>
        <v>0.89412997615797285</v>
      </c>
      <c r="AM149" s="608">
        <f t="shared" si="134"/>
        <v>0.19333259881980491</v>
      </c>
      <c r="AN149" s="1401">
        <f t="shared" si="126"/>
        <v>6.9934914288581336</v>
      </c>
      <c r="AO149" s="1402">
        <f t="shared" si="127"/>
        <v>0</v>
      </c>
    </row>
    <row r="150" spans="1:41">
      <c r="A150" s="127">
        <f>'Input data'!A131</f>
        <v>2031</v>
      </c>
      <c r="B150" s="748">
        <f>'Input data'!B131</f>
        <v>66.519000000000005</v>
      </c>
      <c r="C150" s="236">
        <f>'Input data'!C131</f>
        <v>3761.03</v>
      </c>
      <c r="D150" s="237">
        <f>'Input data'!D131</f>
        <v>35846430.699385166</v>
      </c>
      <c r="E150" s="602">
        <f>'Input data'!J131</f>
        <v>11.504772374209397</v>
      </c>
      <c r="F150" s="608">
        <f>'Input data'!L131/C110</f>
        <v>21.035786670661476</v>
      </c>
      <c r="G150" s="608">
        <f t="shared" si="136"/>
        <v>5.4219838245789305</v>
      </c>
      <c r="H150" s="623">
        <f t="shared" si="102"/>
        <v>12.061052587392211</v>
      </c>
      <c r="I150" s="1238">
        <f t="shared" si="103"/>
        <v>9.5310142964520796</v>
      </c>
      <c r="J150" s="730">
        <f>J149</f>
        <v>0.4</v>
      </c>
      <c r="K150" s="623">
        <f t="shared" si="129"/>
        <v>3.8124057185808322</v>
      </c>
      <c r="L150" s="608">
        <f t="shared" si="104"/>
        <v>0.96248877021284696</v>
      </c>
      <c r="M150" s="727">
        <f t="shared" si="112"/>
        <v>4.7748944887936791</v>
      </c>
      <c r="N150" s="730">
        <f t="shared" si="137"/>
        <v>0.5</v>
      </c>
      <c r="O150" s="1280">
        <f t="shared" si="105"/>
        <v>1.2888839921320325</v>
      </c>
      <c r="P150" s="779">
        <f t="shared" si="130"/>
        <v>4.5146773342480406</v>
      </c>
      <c r="Q150" s="623">
        <f t="shared" si="106"/>
        <v>12.9683590777231</v>
      </c>
      <c r="R150" s="608">
        <f t="shared" si="107"/>
        <v>7.5463752531441699</v>
      </c>
      <c r="S150" s="1240">
        <f t="shared" si="131"/>
        <v>1.0409151671217345</v>
      </c>
      <c r="T150" s="135" t="str">
        <f t="shared" si="113"/>
        <v>Policies not met</v>
      </c>
      <c r="U150" s="1240">
        <f t="shared" si="114"/>
        <v>0.85</v>
      </c>
      <c r="V150" s="135" t="str">
        <f t="shared" si="115"/>
        <v>Yes</v>
      </c>
      <c r="W150" s="1241">
        <f t="shared" si="116"/>
        <v>11.25673015258349</v>
      </c>
      <c r="X150" s="623">
        <f t="shared" si="117"/>
        <v>6.8060711528490252</v>
      </c>
      <c r="Y150" s="118">
        <f t="shared" si="118"/>
        <v>3.9567790341127593</v>
      </c>
      <c r="Z150" s="608">
        <f t="shared" si="108"/>
        <v>0.49017483766308212</v>
      </c>
      <c r="AA150" s="608">
        <f t="shared" si="109"/>
        <v>0</v>
      </c>
      <c r="AB150" s="608">
        <f t="shared" si="110"/>
        <v>3.7051279586225467E-3</v>
      </c>
      <c r="AC150" s="608">
        <f t="shared" si="119"/>
        <v>11.25673015258349</v>
      </c>
      <c r="AD150" s="767">
        <f t="shared" si="111"/>
        <v>0</v>
      </c>
      <c r="AE150" s="730">
        <f t="shared" si="120"/>
        <v>0.60462239572181531</v>
      </c>
      <c r="AF150" s="483">
        <f t="shared" si="121"/>
        <v>0.35150341000265106</v>
      </c>
      <c r="AG150" s="483">
        <f t="shared" si="122"/>
        <v>4.3545046476092697E-2</v>
      </c>
      <c r="AH150" s="483">
        <f t="shared" si="123"/>
        <v>3.2914779944087018E-4</v>
      </c>
      <c r="AI150" s="483">
        <f t="shared" si="124"/>
        <v>3.2914779944087018E-4</v>
      </c>
      <c r="AJ150" s="604">
        <f t="shared" si="125"/>
        <v>1.0003291477994407</v>
      </c>
      <c r="AK150" s="1400">
        <f t="shared" si="132"/>
        <v>5.7186085778712474</v>
      </c>
      <c r="AL150" s="608">
        <f t="shared" si="133"/>
        <v>0.89412997615797285</v>
      </c>
      <c r="AM150" s="608">
        <f t="shared" si="134"/>
        <v>0.19333259881980491</v>
      </c>
      <c r="AN150" s="1401">
        <f t="shared" si="126"/>
        <v>6.8060711528490252</v>
      </c>
      <c r="AO150" s="1402">
        <f t="shared" si="127"/>
        <v>0</v>
      </c>
    </row>
    <row r="151" spans="1:41">
      <c r="A151" s="127">
        <f>'Input data'!A132</f>
        <v>2032</v>
      </c>
      <c r="B151" s="748">
        <f>'Input data'!B132</f>
        <v>67.087000000000003</v>
      </c>
      <c r="C151" s="236">
        <f>'Input data'!C132</f>
        <v>3857.2</v>
      </c>
      <c r="D151" s="237">
        <f>'Input data'!D132</f>
        <v>35664904.184329376</v>
      </c>
      <c r="E151" s="602">
        <f>'Input data'!J132</f>
        <v>11.504772374209397</v>
      </c>
      <c r="F151" s="608">
        <f>'Input data'!L132/C111</f>
        <v>20.751092032077636</v>
      </c>
      <c r="G151" s="857">
        <f>G136*(1-E6)</f>
        <v>4.7147685431121138</v>
      </c>
      <c r="H151" s="623">
        <f t="shared" si="102"/>
        <v>12.501095541470189</v>
      </c>
      <c r="I151" s="1238">
        <f t="shared" si="103"/>
        <v>9.2463196578682396</v>
      </c>
      <c r="J151" s="730">
        <f t="shared" ref="J151:J169" si="138">J150</f>
        <v>0.4</v>
      </c>
      <c r="K151" s="623">
        <f t="shared" si="129"/>
        <v>3.6985278631472962</v>
      </c>
      <c r="L151" s="608">
        <f t="shared" si="104"/>
        <v>0.96248877021284696</v>
      </c>
      <c r="M151" s="727">
        <f t="shared" si="112"/>
        <v>4.661016633360143</v>
      </c>
      <c r="N151" s="730">
        <f t="shared" si="137"/>
        <v>0.5</v>
      </c>
      <c r="O151" s="1280">
        <f t="shared" si="105"/>
        <v>1.2888839921320325</v>
      </c>
      <c r="P151" s="779">
        <f t="shared" si="130"/>
        <v>4.4183217900095082</v>
      </c>
      <c r="Q151" s="623">
        <f t="shared" si="106"/>
        <v>12.797542294572796</v>
      </c>
      <c r="R151" s="608">
        <f t="shared" si="107"/>
        <v>8.0827737514606817</v>
      </c>
      <c r="S151" s="1240">
        <f t="shared" si="131"/>
        <v>1.114903713117555</v>
      </c>
      <c r="T151" s="135" t="str">
        <f t="shared" si="113"/>
        <v>Policies not met</v>
      </c>
      <c r="U151" s="1240">
        <f t="shared" si="114"/>
        <v>0.85</v>
      </c>
      <c r="V151" s="135" t="str">
        <f t="shared" si="115"/>
        <v>Yes</v>
      </c>
      <c r="W151" s="1241">
        <f t="shared" si="116"/>
        <v>10.97203551399965</v>
      </c>
      <c r="X151" s="623">
        <f t="shared" si="117"/>
        <v>6.6352543696987212</v>
      </c>
      <c r="Y151" s="118">
        <f t="shared" si="118"/>
        <v>3.8429011786792233</v>
      </c>
      <c r="Z151" s="608">
        <f t="shared" si="108"/>
        <v>0.49017483766308212</v>
      </c>
      <c r="AA151" s="608">
        <f t="shared" si="109"/>
        <v>0</v>
      </c>
      <c r="AB151" s="608">
        <f t="shared" si="110"/>
        <v>3.7051279586225467E-3</v>
      </c>
      <c r="AC151" s="608">
        <f t="shared" si="119"/>
        <v>10.97203551399965</v>
      </c>
      <c r="AD151" s="767">
        <f t="shared" si="111"/>
        <v>0</v>
      </c>
      <c r="AE151" s="730">
        <f t="shared" si="120"/>
        <v>0.60474233438567893</v>
      </c>
      <c r="AF151" s="483">
        <f t="shared" si="121"/>
        <v>0.3502450546916217</v>
      </c>
      <c r="AG151" s="483">
        <f t="shared" si="122"/>
        <v>4.4674922628317126E-2</v>
      </c>
      <c r="AH151" s="483">
        <f t="shared" si="123"/>
        <v>3.3768829438211612E-4</v>
      </c>
      <c r="AI151" s="483">
        <f t="shared" si="124"/>
        <v>3.3768829438211612E-4</v>
      </c>
      <c r="AJ151" s="604">
        <f t="shared" si="125"/>
        <v>1.000337688294382</v>
      </c>
      <c r="AK151" s="1400">
        <f t="shared" si="132"/>
        <v>5.5477917947209434</v>
      </c>
      <c r="AL151" s="608">
        <f t="shared" si="133"/>
        <v>0.89412997615797285</v>
      </c>
      <c r="AM151" s="608">
        <f t="shared" si="134"/>
        <v>0.19333259881980491</v>
      </c>
      <c r="AN151" s="1401">
        <f t="shared" si="126"/>
        <v>6.6352543696987212</v>
      </c>
      <c r="AO151" s="1402">
        <f t="shared" si="127"/>
        <v>0</v>
      </c>
    </row>
    <row r="152" spans="1:41">
      <c r="A152" s="127">
        <f>'Input data'!A133</f>
        <v>2033</v>
      </c>
      <c r="B152" s="748">
        <f>'Input data'!B133</f>
        <v>67.659000000000006</v>
      </c>
      <c r="C152" s="236">
        <f>'Input data'!C133</f>
        <v>3964.01</v>
      </c>
      <c r="D152" s="237">
        <f>'Input data'!D133</f>
        <v>35483377.6692736</v>
      </c>
      <c r="E152" s="602">
        <f>'Input data'!J133</f>
        <v>11.504772374209397</v>
      </c>
      <c r="F152" s="608">
        <f>'Input data'!L133/C112</f>
        <v>20.456156873560708</v>
      </c>
      <c r="G152" s="608">
        <f>G151</f>
        <v>4.7147685431121138</v>
      </c>
      <c r="H152" s="623">
        <f t="shared" si="102"/>
        <v>12.224312974992188</v>
      </c>
      <c r="I152" s="1238">
        <f t="shared" si="103"/>
        <v>8.9513844993513132</v>
      </c>
      <c r="J152" s="730">
        <f t="shared" si="138"/>
        <v>0.4</v>
      </c>
      <c r="K152" s="623">
        <f t="shared" si="129"/>
        <v>3.5805537997405255</v>
      </c>
      <c r="L152" s="608">
        <f t="shared" si="104"/>
        <v>0.96248877021284696</v>
      </c>
      <c r="M152" s="727">
        <f t="shared" si="112"/>
        <v>4.5430425699533723</v>
      </c>
      <c r="N152" s="730">
        <f t="shared" si="137"/>
        <v>0.5</v>
      </c>
      <c r="O152" s="1280">
        <f t="shared" si="105"/>
        <v>1.2888839921320325</v>
      </c>
      <c r="P152" s="779">
        <f t="shared" si="130"/>
        <v>4.3185003186416608</v>
      </c>
      <c r="Q152" s="623">
        <f t="shared" si="106"/>
        <v>12.620581199462642</v>
      </c>
      <c r="R152" s="608">
        <f t="shared" si="107"/>
        <v>7.9058126563505278</v>
      </c>
      <c r="S152" s="1240">
        <f t="shared" si="131"/>
        <v>1.0904944461898489</v>
      </c>
      <c r="T152" s="135" t="str">
        <f t="shared" si="113"/>
        <v>Policies not met</v>
      </c>
      <c r="U152" s="1240">
        <f t="shared" si="114"/>
        <v>0.85</v>
      </c>
      <c r="V152" s="135" t="str">
        <f t="shared" si="115"/>
        <v>Yes</v>
      </c>
      <c r="W152" s="1241">
        <f t="shared" si="116"/>
        <v>10.677100355482724</v>
      </c>
      <c r="X152" s="623">
        <f t="shared" si="117"/>
        <v>6.4582932745885664</v>
      </c>
      <c r="Y152" s="118">
        <f t="shared" si="118"/>
        <v>3.7249271152724526</v>
      </c>
      <c r="Z152" s="608">
        <f t="shared" si="108"/>
        <v>0.49017483766308212</v>
      </c>
      <c r="AA152" s="608">
        <f t="shared" si="109"/>
        <v>0</v>
      </c>
      <c r="AB152" s="608">
        <f t="shared" si="110"/>
        <v>3.7051279586225467E-3</v>
      </c>
      <c r="AC152" s="608">
        <f t="shared" si="119"/>
        <v>10.677100355482724</v>
      </c>
      <c r="AD152" s="767">
        <f t="shared" si="111"/>
        <v>0</v>
      </c>
      <c r="AE152" s="730">
        <f t="shared" si="120"/>
        <v>0.60487333260590859</v>
      </c>
      <c r="AF152" s="483">
        <f t="shared" si="121"/>
        <v>0.34887066630966818</v>
      </c>
      <c r="AG152" s="483">
        <f t="shared" si="122"/>
        <v>4.5908984775194686E-2</v>
      </c>
      <c r="AH152" s="483">
        <f t="shared" si="123"/>
        <v>3.4701630922855868E-4</v>
      </c>
      <c r="AI152" s="483">
        <f t="shared" si="124"/>
        <v>3.4701630922855868E-4</v>
      </c>
      <c r="AJ152" s="604">
        <f t="shared" si="125"/>
        <v>1.0003470163092285</v>
      </c>
      <c r="AK152" s="1400">
        <f t="shared" si="132"/>
        <v>5.3708306996107877</v>
      </c>
      <c r="AL152" s="608">
        <f t="shared" si="133"/>
        <v>0.89412997615797285</v>
      </c>
      <c r="AM152" s="608">
        <f t="shared" si="134"/>
        <v>0.19333259881980491</v>
      </c>
      <c r="AN152" s="1401">
        <f t="shared" si="126"/>
        <v>6.4582932745885655</v>
      </c>
      <c r="AO152" s="1402">
        <f t="shared" si="127"/>
        <v>0</v>
      </c>
    </row>
    <row r="153" spans="1:41">
      <c r="A153" s="127">
        <f>'Input data'!A134</f>
        <v>2034</v>
      </c>
      <c r="B153" s="748">
        <f>'Input data'!B134</f>
        <v>68.236999999999995</v>
      </c>
      <c r="C153" s="236">
        <f>'Input data'!C134</f>
        <v>4078.22</v>
      </c>
      <c r="D153" s="237">
        <f>'Input data'!D134</f>
        <v>35301851.154217809</v>
      </c>
      <c r="E153" s="602">
        <f>'Input data'!J134</f>
        <v>11.504772374209397</v>
      </c>
      <c r="F153" s="608">
        <f>'Input data'!L134/C113</f>
        <v>20.160963348266169</v>
      </c>
      <c r="G153" s="608">
        <f t="shared" ref="G153:G169" si="139">G152</f>
        <v>4.7147685431121138</v>
      </c>
      <c r="H153" s="623">
        <f t="shared" si="102"/>
        <v>11.947287943627458</v>
      </c>
      <c r="I153" s="1238">
        <f t="shared" si="103"/>
        <v>8.6561909740567717</v>
      </c>
      <c r="J153" s="730">
        <f t="shared" si="138"/>
        <v>0.4</v>
      </c>
      <c r="K153" s="623">
        <f t="shared" si="129"/>
        <v>3.4624763896227089</v>
      </c>
      <c r="L153" s="608">
        <f t="shared" si="104"/>
        <v>0.96248877021284696</v>
      </c>
      <c r="M153" s="727">
        <f t="shared" si="112"/>
        <v>4.4249651598355557</v>
      </c>
      <c r="N153" s="730">
        <f t="shared" si="137"/>
        <v>0.5</v>
      </c>
      <c r="O153" s="1280">
        <f t="shared" si="105"/>
        <v>1.2888839921320325</v>
      </c>
      <c r="P153" s="779">
        <f t="shared" si="130"/>
        <v>4.2185914024536588</v>
      </c>
      <c r="Q153" s="623">
        <f t="shared" si="106"/>
        <v>12.443465084285915</v>
      </c>
      <c r="R153" s="608">
        <f t="shared" si="107"/>
        <v>7.7286965411738011</v>
      </c>
      <c r="S153" s="1240">
        <f t="shared" si="131"/>
        <v>1.066063796448131</v>
      </c>
      <c r="T153" s="135" t="str">
        <f t="shared" si="113"/>
        <v>Policies not met</v>
      </c>
      <c r="U153" s="1240">
        <f t="shared" si="114"/>
        <v>0.85</v>
      </c>
      <c r="V153" s="135" t="str">
        <f t="shared" si="115"/>
        <v>Yes</v>
      </c>
      <c r="W153" s="1241">
        <f t="shared" si="116"/>
        <v>10.381906830188182</v>
      </c>
      <c r="X153" s="623">
        <f t="shared" si="117"/>
        <v>6.2811771594118406</v>
      </c>
      <c r="Y153" s="118">
        <f t="shared" si="118"/>
        <v>3.606849705154636</v>
      </c>
      <c r="Z153" s="608">
        <f t="shared" si="108"/>
        <v>0.49017483766308212</v>
      </c>
      <c r="AA153" s="608">
        <f t="shared" si="109"/>
        <v>0</v>
      </c>
      <c r="AB153" s="608">
        <f t="shared" si="110"/>
        <v>3.7051279586225467E-3</v>
      </c>
      <c r="AC153" s="608">
        <f t="shared" si="119"/>
        <v>10.381906830188182</v>
      </c>
      <c r="AD153" s="767">
        <f t="shared" si="111"/>
        <v>0</v>
      </c>
      <c r="AE153" s="730">
        <f t="shared" si="120"/>
        <v>0.60501189831020552</v>
      </c>
      <c r="AF153" s="483">
        <f t="shared" si="121"/>
        <v>0.3474168824812367</v>
      </c>
      <c r="AG153" s="483">
        <f t="shared" si="122"/>
        <v>4.721433602522488E-2</v>
      </c>
      <c r="AH153" s="483">
        <f t="shared" si="123"/>
        <v>3.5688318333284327E-4</v>
      </c>
      <c r="AI153" s="483">
        <f t="shared" si="124"/>
        <v>3.5688318333284327E-4</v>
      </c>
      <c r="AJ153" s="604">
        <f t="shared" si="125"/>
        <v>1.0003568831833327</v>
      </c>
      <c r="AK153" s="1400">
        <f t="shared" si="132"/>
        <v>5.1937145844340629</v>
      </c>
      <c r="AL153" s="608">
        <f t="shared" si="133"/>
        <v>0.89412997615797285</v>
      </c>
      <c r="AM153" s="608">
        <f t="shared" si="134"/>
        <v>0.19333259881980491</v>
      </c>
      <c r="AN153" s="1401">
        <f t="shared" si="126"/>
        <v>6.2811771594118406</v>
      </c>
      <c r="AO153" s="1402">
        <f t="shared" si="127"/>
        <v>0</v>
      </c>
    </row>
    <row r="154" spans="1:41">
      <c r="A154" s="127">
        <f>'Input data'!A135</f>
        <v>2035</v>
      </c>
      <c r="B154" s="748">
        <f>'Input data'!B135</f>
        <v>68.819000000000003</v>
      </c>
      <c r="C154" s="236">
        <f>'Input data'!C135</f>
        <v>4200.2899999999991</v>
      </c>
      <c r="D154" s="237">
        <f>'Input data'!D135</f>
        <v>35120324.639162026</v>
      </c>
      <c r="E154" s="602">
        <f>'Input data'!J135</f>
        <v>11.504772374209397</v>
      </c>
      <c r="F154" s="608">
        <f>'Input data'!L135/C114</f>
        <v>19.866177096064803</v>
      </c>
      <c r="G154" s="608">
        <f t="shared" si="139"/>
        <v>4.7147685431121138</v>
      </c>
      <c r="H154" s="623">
        <f t="shared" si="102"/>
        <v>11.67064511861803</v>
      </c>
      <c r="I154" s="1238">
        <f t="shared" si="103"/>
        <v>8.3614047218554042</v>
      </c>
      <c r="J154" s="730">
        <f t="shared" si="138"/>
        <v>0.4</v>
      </c>
      <c r="K154" s="623">
        <f t="shared" si="129"/>
        <v>3.3445618887421618</v>
      </c>
      <c r="L154" s="608">
        <f t="shared" si="104"/>
        <v>0.96248877021284696</v>
      </c>
      <c r="M154" s="727">
        <f t="shared" si="112"/>
        <v>4.307050658955009</v>
      </c>
      <c r="N154" s="730">
        <f t="shared" si="137"/>
        <v>0.5</v>
      </c>
      <c r="O154" s="1280">
        <f t="shared" si="105"/>
        <v>1.2888839921320325</v>
      </c>
      <c r="P154" s="779">
        <f t="shared" si="130"/>
        <v>4.1188203287650502</v>
      </c>
      <c r="Q154" s="623">
        <f t="shared" si="106"/>
        <v>12.266593332965094</v>
      </c>
      <c r="R154" s="608">
        <f t="shared" si="107"/>
        <v>7.5518247898529802</v>
      </c>
      <c r="S154" s="1240">
        <f t="shared" si="131"/>
        <v>1.0416668532258182</v>
      </c>
      <c r="T154" s="135" t="str">
        <f t="shared" si="113"/>
        <v>Policies not met</v>
      </c>
      <c r="U154" s="1240">
        <f t="shared" si="114"/>
        <v>0.85</v>
      </c>
      <c r="V154" s="135" t="str">
        <f t="shared" si="115"/>
        <v>Yes</v>
      </c>
      <c r="W154" s="1241">
        <f t="shared" si="116"/>
        <v>10.087120577986814</v>
      </c>
      <c r="X154" s="623">
        <f t="shared" si="117"/>
        <v>6.1043054080910206</v>
      </c>
      <c r="Y154" s="118">
        <f t="shared" si="118"/>
        <v>3.4889352042740889</v>
      </c>
      <c r="Z154" s="608">
        <f t="shared" si="108"/>
        <v>0.49017483766308212</v>
      </c>
      <c r="AA154" s="608">
        <f t="shared" si="109"/>
        <v>0</v>
      </c>
      <c r="AB154" s="608">
        <f t="shared" si="110"/>
        <v>3.7051279586225467E-3</v>
      </c>
      <c r="AC154" s="608">
        <f t="shared" si="119"/>
        <v>10.087120577986814</v>
      </c>
      <c r="AD154" s="767">
        <f t="shared" si="111"/>
        <v>0</v>
      </c>
      <c r="AE154" s="730">
        <f t="shared" si="120"/>
        <v>0.60515836614588348</v>
      </c>
      <c r="AF154" s="483">
        <f t="shared" si="121"/>
        <v>0.3458801922015301</v>
      </c>
      <c r="AG154" s="483">
        <f t="shared" si="122"/>
        <v>4.859412890659736E-2</v>
      </c>
      <c r="AH154" s="483">
        <f t="shared" si="123"/>
        <v>3.6731274598900604E-4</v>
      </c>
      <c r="AI154" s="483">
        <f t="shared" si="124"/>
        <v>3.6731274598900604E-4</v>
      </c>
      <c r="AJ154" s="604">
        <f t="shared" si="125"/>
        <v>1.0003673127459889</v>
      </c>
      <c r="AK154" s="1400">
        <f t="shared" si="132"/>
        <v>5.0168428331132429</v>
      </c>
      <c r="AL154" s="608">
        <f t="shared" si="133"/>
        <v>0.89412997615797285</v>
      </c>
      <c r="AM154" s="608">
        <f t="shared" si="134"/>
        <v>0.19333259881980491</v>
      </c>
      <c r="AN154" s="1401">
        <f t="shared" si="126"/>
        <v>6.1043054080910206</v>
      </c>
      <c r="AO154" s="1402">
        <f t="shared" si="127"/>
        <v>0</v>
      </c>
    </row>
    <row r="155" spans="1:41">
      <c r="A155" s="127">
        <f>'Input data'!A136</f>
        <v>2036</v>
      </c>
      <c r="B155" s="748">
        <f>'Input data'!B136</f>
        <v>69.322999999999993</v>
      </c>
      <c r="C155" s="236">
        <f>'Input data'!C136</f>
        <v>4325.9699999999993</v>
      </c>
      <c r="D155" s="237">
        <f>'Input data'!D136</f>
        <v>32285395.803631678</v>
      </c>
      <c r="E155" s="602">
        <f>'Input data'!J136</f>
        <v>11.504772374209397</v>
      </c>
      <c r="F155" s="608">
        <f>'Input data'!L136/C115</f>
        <v>18.967929955892046</v>
      </c>
      <c r="G155" s="608">
        <f t="shared" si="139"/>
        <v>4.7147685431121138</v>
      </c>
      <c r="H155" s="623">
        <f t="shared" si="102"/>
        <v>10.827683058622483</v>
      </c>
      <c r="I155" s="1238">
        <f t="shared" si="103"/>
        <v>7.4631575816826476</v>
      </c>
      <c r="J155" s="730">
        <f t="shared" si="138"/>
        <v>0.4</v>
      </c>
      <c r="K155" s="623">
        <f t="shared" si="129"/>
        <v>2.9852630326730591</v>
      </c>
      <c r="L155" s="608">
        <f t="shared" si="104"/>
        <v>0.96248877021284696</v>
      </c>
      <c r="M155" s="727">
        <f t="shared" si="112"/>
        <v>3.947751802885906</v>
      </c>
      <c r="N155" s="730">
        <f t="shared" si="137"/>
        <v>0.5</v>
      </c>
      <c r="O155" s="1280">
        <f t="shared" si="105"/>
        <v>1.2888839921320325</v>
      </c>
      <c r="P155" s="779">
        <f t="shared" si="130"/>
        <v>3.8148065528731561</v>
      </c>
      <c r="Q155" s="623">
        <f t="shared" si="106"/>
        <v>11.72764504886144</v>
      </c>
      <c r="R155" s="608">
        <f t="shared" si="107"/>
        <v>7.0128765057493263</v>
      </c>
      <c r="S155" s="1240">
        <f t="shared" si="131"/>
        <v>0.967326600535099</v>
      </c>
      <c r="T155" s="135" t="str">
        <f t="shared" si="113"/>
        <v>Policies not met</v>
      </c>
      <c r="U155" s="1240">
        <f t="shared" si="114"/>
        <v>0.85</v>
      </c>
      <c r="V155" s="135" t="str">
        <f t="shared" si="115"/>
        <v>Yes</v>
      </c>
      <c r="W155" s="1241">
        <f t="shared" si="116"/>
        <v>9.188873437814058</v>
      </c>
      <c r="X155" s="623">
        <f t="shared" si="117"/>
        <v>5.5653571239873667</v>
      </c>
      <c r="Y155" s="118">
        <f t="shared" si="118"/>
        <v>3.1296363482049863</v>
      </c>
      <c r="Z155" s="608">
        <f t="shared" si="108"/>
        <v>0.49017483766308212</v>
      </c>
      <c r="AA155" s="608">
        <f t="shared" si="109"/>
        <v>0</v>
      </c>
      <c r="AB155" s="608">
        <f t="shared" si="110"/>
        <v>3.7051279586225467E-3</v>
      </c>
      <c r="AC155" s="608">
        <f t="shared" si="119"/>
        <v>9.188873437814058</v>
      </c>
      <c r="AD155" s="767">
        <f>AC155-W155</f>
        <v>0</v>
      </c>
      <c r="AE155" s="730">
        <f t="shared" si="120"/>
        <v>0.60566261595080906</v>
      </c>
      <c r="AF155" s="483">
        <f t="shared" si="121"/>
        <v>0.3405897762533005</v>
      </c>
      <c r="AG155" s="483">
        <f t="shared" si="122"/>
        <v>5.3344388839432079E-2</v>
      </c>
      <c r="AH155" s="483">
        <f t="shared" si="123"/>
        <v>4.0321895645827505E-4</v>
      </c>
      <c r="AI155" s="483">
        <f t="shared" si="124"/>
        <v>4.0321895645827505E-4</v>
      </c>
      <c r="AJ155" s="604">
        <f t="shared" si="125"/>
        <v>1.000403218956458</v>
      </c>
      <c r="AK155" s="1400">
        <f t="shared" si="132"/>
        <v>4.4778945490095889</v>
      </c>
      <c r="AL155" s="608">
        <f t="shared" si="133"/>
        <v>0.89412997615797285</v>
      </c>
      <c r="AM155" s="608">
        <f t="shared" si="134"/>
        <v>0.19333259881980491</v>
      </c>
      <c r="AN155" s="1401">
        <f t="shared" si="126"/>
        <v>5.5653571239873667</v>
      </c>
      <c r="AO155" s="1402">
        <f t="shared" si="127"/>
        <v>0</v>
      </c>
    </row>
    <row r="156" spans="1:41">
      <c r="A156" s="127">
        <f>'Input data'!A137</f>
        <v>2037</v>
      </c>
      <c r="B156" s="749">
        <f>'Input data'!B137</f>
        <v>69.83</v>
      </c>
      <c r="C156" s="605">
        <f>'Input data'!C137</f>
        <v>4457.0000000000018</v>
      </c>
      <c r="D156" s="750">
        <f>'Input data'!D137</f>
        <v>29450466.968101323</v>
      </c>
      <c r="E156" s="734">
        <f>'Input data'!J137</f>
        <v>11.504772374209397</v>
      </c>
      <c r="F156" s="608">
        <f>'Input data'!L137/C116</f>
        <v>18.112460722448418</v>
      </c>
      <c r="G156" s="608">
        <f t="shared" si="139"/>
        <v>4.7147685431121138</v>
      </c>
      <c r="H156" s="623">
        <f t="shared" si="102"/>
        <v>10.02486602193505</v>
      </c>
      <c r="I156" s="1238">
        <f t="shared" si="103"/>
        <v>6.6076883482390194</v>
      </c>
      <c r="J156" s="729">
        <f t="shared" si="138"/>
        <v>0.4</v>
      </c>
      <c r="K156" s="623">
        <f t="shared" si="129"/>
        <v>2.6430753392956081</v>
      </c>
      <c r="L156" s="608">
        <f t="shared" si="104"/>
        <v>0.96248877021284696</v>
      </c>
      <c r="M156" s="727">
        <f t="shared" si="112"/>
        <v>3.605564109508455</v>
      </c>
      <c r="N156" s="730">
        <f t="shared" si="137"/>
        <v>0.5</v>
      </c>
      <c r="O156" s="1280">
        <f t="shared" si="105"/>
        <v>1.2888839921320325</v>
      </c>
      <c r="P156" s="779">
        <f t="shared" si="130"/>
        <v>3.5252710562519001</v>
      </c>
      <c r="Q156" s="623">
        <f t="shared" si="106"/>
        <v>11.214363508795262</v>
      </c>
      <c r="R156" s="608">
        <f t="shared" si="107"/>
        <v>6.4995949656831487</v>
      </c>
      <c r="S156" s="1240">
        <f t="shared" si="131"/>
        <v>0.8965267102386445</v>
      </c>
      <c r="T156" s="135" t="str">
        <f t="shared" si="113"/>
        <v>Policies not met</v>
      </c>
      <c r="U156" s="1240">
        <f t="shared" si="114"/>
        <v>0.85</v>
      </c>
      <c r="V156" s="135" t="str">
        <f t="shared" si="115"/>
        <v>Yes</v>
      </c>
      <c r="W156" s="1241">
        <f t="shared" si="116"/>
        <v>8.3334042043704297</v>
      </c>
      <c r="X156" s="623">
        <f t="shared" si="117"/>
        <v>5.0520755839211891</v>
      </c>
      <c r="Y156" s="118">
        <f t="shared" si="118"/>
        <v>2.7874486548275352</v>
      </c>
      <c r="Z156" s="608">
        <f t="shared" si="108"/>
        <v>0.49017483766308212</v>
      </c>
      <c r="AA156" s="608">
        <f t="shared" si="109"/>
        <v>0</v>
      </c>
      <c r="AB156" s="608">
        <f t="shared" si="110"/>
        <v>3.7051279586225467E-3</v>
      </c>
      <c r="AC156" s="608">
        <f t="shared" si="119"/>
        <v>8.3334042043704297</v>
      </c>
      <c r="AD156" s="767">
        <f t="shared" ref="AD156:AD169" si="140">AC156-W156</f>
        <v>0</v>
      </c>
      <c r="AE156" s="730">
        <f t="shared" si="120"/>
        <v>0.60624391425435031</v>
      </c>
      <c r="AF156" s="483">
        <f t="shared" si="121"/>
        <v>0.33449099389246784</v>
      </c>
      <c r="AG156" s="483">
        <f t="shared" si="122"/>
        <v>5.8820480279357067E-2</v>
      </c>
      <c r="AH156" s="483">
        <f t="shared" si="123"/>
        <v>4.4461157382470458E-4</v>
      </c>
      <c r="AI156" s="483">
        <f t="shared" si="124"/>
        <v>4.4461157382470458E-4</v>
      </c>
      <c r="AJ156" s="604">
        <f t="shared" si="125"/>
        <v>1.0004446115738246</v>
      </c>
      <c r="AK156" s="1400">
        <f t="shared" si="132"/>
        <v>3.9646130089434113</v>
      </c>
      <c r="AL156" s="608">
        <f t="shared" si="133"/>
        <v>0.89412997615797285</v>
      </c>
      <c r="AM156" s="608">
        <f t="shared" si="134"/>
        <v>0.19333259881980491</v>
      </c>
      <c r="AN156" s="1401">
        <f t="shared" si="126"/>
        <v>5.0520755839211891</v>
      </c>
      <c r="AO156" s="1402">
        <f t="shared" si="127"/>
        <v>0</v>
      </c>
    </row>
    <row r="157" spans="1:41">
      <c r="A157" s="127">
        <f>'Input data'!A138</f>
        <v>2038</v>
      </c>
      <c r="B157" s="748">
        <f>'Input data'!B138</f>
        <v>70.341999999999999</v>
      </c>
      <c r="C157" s="236">
        <f>'Input data'!C138</f>
        <v>4590.03</v>
      </c>
      <c r="D157" s="237">
        <f>'Input data'!D138</f>
        <v>26615538.132570967</v>
      </c>
      <c r="E157" s="602">
        <f>'Input data'!J138</f>
        <v>11.504772374209397</v>
      </c>
      <c r="F157" s="608">
        <f>'Input data'!L138/C117</f>
        <v>17.303326660907082</v>
      </c>
      <c r="G157" s="608">
        <f t="shared" si="139"/>
        <v>4.7147685431121138</v>
      </c>
      <c r="H157" s="623">
        <f t="shared" si="102"/>
        <v>9.2655323321019054</v>
      </c>
      <c r="I157" s="1238">
        <f t="shared" si="103"/>
        <v>5.7985542866976836</v>
      </c>
      <c r="J157" s="730">
        <f t="shared" si="138"/>
        <v>0.4</v>
      </c>
      <c r="K157" s="623">
        <f t="shared" si="129"/>
        <v>2.3194217146790734</v>
      </c>
      <c r="L157" s="608">
        <f t="shared" si="104"/>
        <v>0.96248877021284696</v>
      </c>
      <c r="M157" s="727">
        <f t="shared" si="112"/>
        <v>3.2819104848919203</v>
      </c>
      <c r="N157" s="730">
        <f t="shared" si="137"/>
        <v>0.5</v>
      </c>
      <c r="O157" s="1280">
        <f t="shared" si="105"/>
        <v>1.2888839921320325</v>
      </c>
      <c r="P157" s="779">
        <f t="shared" si="130"/>
        <v>3.251417803343557</v>
      </c>
      <c r="Q157" s="623">
        <f t="shared" si="106"/>
        <v>10.728883071870463</v>
      </c>
      <c r="R157" s="608">
        <f t="shared" si="107"/>
        <v>6.0141145287583493</v>
      </c>
      <c r="S157" s="1240">
        <f t="shared" si="131"/>
        <v>0.8295615868271945</v>
      </c>
      <c r="T157" s="135" t="str">
        <f t="shared" si="113"/>
        <v>Policies met</v>
      </c>
      <c r="U157" s="1240">
        <f t="shared" si="114"/>
        <v>0.8295615868271945</v>
      </c>
      <c r="V157" s="135" t="str">
        <f t="shared" si="115"/>
        <v>No</v>
      </c>
      <c r="W157" s="1241">
        <f t="shared" si="116"/>
        <v>7.7594094340722632</v>
      </c>
      <c r="X157" s="623">
        <f t="shared" si="117"/>
        <v>4.7147685431121138</v>
      </c>
      <c r="Y157" s="118">
        <f t="shared" si="118"/>
        <v>2.4834667733707962</v>
      </c>
      <c r="Z157" s="608">
        <f t="shared" si="108"/>
        <v>0.5569641433902216</v>
      </c>
      <c r="AA157" s="608">
        <f t="shared" si="109"/>
        <v>0</v>
      </c>
      <c r="AB157" s="608">
        <f t="shared" si="110"/>
        <v>4.2099741991321526E-3</v>
      </c>
      <c r="AC157" s="608">
        <f t="shared" si="119"/>
        <v>7.7594094340722632</v>
      </c>
      <c r="AD157" s="767">
        <f t="shared" si="140"/>
        <v>0</v>
      </c>
      <c r="AE157" s="730">
        <f t="shared" si="120"/>
        <v>0.60761950805291209</v>
      </c>
      <c r="AF157" s="483">
        <f t="shared" si="121"/>
        <v>0.32005873571584853</v>
      </c>
      <c r="AG157" s="483">
        <f t="shared" si="122"/>
        <v>7.1779192491704599E-2</v>
      </c>
      <c r="AH157" s="483">
        <f t="shared" si="123"/>
        <v>5.4256373953483856E-4</v>
      </c>
      <c r="AI157" s="483">
        <f t="shared" si="124"/>
        <v>5.4256373953483856E-4</v>
      </c>
      <c r="AJ157" s="604">
        <f t="shared" si="125"/>
        <v>1.0005425637395349</v>
      </c>
      <c r="AK157" s="1400">
        <f t="shared" si="132"/>
        <v>3.4791325720186101</v>
      </c>
      <c r="AL157" s="608">
        <f t="shared" si="133"/>
        <v>1.0159606287106886</v>
      </c>
      <c r="AM157" s="608">
        <f t="shared" si="134"/>
        <v>0.21967534238281436</v>
      </c>
      <c r="AN157" s="1401">
        <f t="shared" si="126"/>
        <v>4.7147685431121129</v>
      </c>
      <c r="AO157" s="1402">
        <f t="shared" si="127"/>
        <v>0</v>
      </c>
    </row>
    <row r="158" spans="1:41">
      <c r="A158" s="127">
        <f>'Input data'!A139</f>
        <v>2039</v>
      </c>
      <c r="B158" s="748">
        <f>'Input data'!B139</f>
        <v>70.856999999999999</v>
      </c>
      <c r="C158" s="236">
        <f>'Input data'!C139</f>
        <v>4728.5300000000007</v>
      </c>
      <c r="D158" s="237">
        <f>'Input data'!D139</f>
        <v>23780609.297040608</v>
      </c>
      <c r="E158" s="602">
        <f>'Input data'!J139</f>
        <v>11.504772374209397</v>
      </c>
      <c r="F158" s="608">
        <f>'Input data'!L139/C118</f>
        <v>16.533948311982996</v>
      </c>
      <c r="G158" s="608">
        <f t="shared" si="139"/>
        <v>4.7147685431121138</v>
      </c>
      <c r="H158" s="623">
        <f t="shared" si="102"/>
        <v>8.5435074806781834</v>
      </c>
      <c r="I158" s="1238">
        <f t="shared" si="103"/>
        <v>5.0291759377736005</v>
      </c>
      <c r="J158" s="730">
        <f t="shared" si="138"/>
        <v>0.4</v>
      </c>
      <c r="K158" s="623">
        <f t="shared" si="129"/>
        <v>2.0116703751094405</v>
      </c>
      <c r="L158" s="608">
        <f t="shared" si="104"/>
        <v>0.96248877021284696</v>
      </c>
      <c r="M158" s="727">
        <f t="shared" si="112"/>
        <v>2.9741591453222873</v>
      </c>
      <c r="N158" s="730">
        <f t="shared" si="137"/>
        <v>0.5</v>
      </c>
      <c r="O158" s="1280">
        <f t="shared" si="105"/>
        <v>1.2888839921320325</v>
      </c>
      <c r="P158" s="779">
        <f t="shared" si="130"/>
        <v>2.9910199612742838</v>
      </c>
      <c r="Q158" s="623">
        <f t="shared" si="106"/>
        <v>10.267256062516012</v>
      </c>
      <c r="R158" s="608">
        <f t="shared" si="107"/>
        <v>5.5524875194038978</v>
      </c>
      <c r="S158" s="1240">
        <f t="shared" si="131"/>
        <v>0.76588670458622865</v>
      </c>
      <c r="T158" s="135" t="str">
        <f t="shared" si="113"/>
        <v>Policies met</v>
      </c>
      <c r="U158" s="1240">
        <f t="shared" si="114"/>
        <v>0.76588670458622865</v>
      </c>
      <c r="V158" s="135" t="str">
        <f t="shared" si="115"/>
        <v>No</v>
      </c>
      <c r="W158" s="1241">
        <f t="shared" si="116"/>
        <v>7.7225961112850801</v>
      </c>
      <c r="X158" s="623">
        <f t="shared" si="117"/>
        <v>4.7147685431121138</v>
      </c>
      <c r="Y158" s="118">
        <f t="shared" si="118"/>
        <v>2.2370017929027184</v>
      </c>
      <c r="Z158" s="608">
        <f t="shared" si="108"/>
        <v>0.76504297716143022</v>
      </c>
      <c r="AA158" s="608">
        <f t="shared" si="109"/>
        <v>0</v>
      </c>
      <c r="AB158" s="608">
        <f t="shared" si="110"/>
        <v>5.7827981088188251E-3</v>
      </c>
      <c r="AC158" s="608">
        <f t="shared" si="119"/>
        <v>7.7225961112850809</v>
      </c>
      <c r="AD158" s="767">
        <f t="shared" si="140"/>
        <v>0</v>
      </c>
      <c r="AE158" s="730">
        <f t="shared" si="120"/>
        <v>0.61051600720415655</v>
      </c>
      <c r="AF158" s="483">
        <f t="shared" si="121"/>
        <v>0.28966966039228348</v>
      </c>
      <c r="AG158" s="483">
        <f t="shared" si="122"/>
        <v>9.9065517105506512E-2</v>
      </c>
      <c r="AH158" s="483">
        <f t="shared" si="123"/>
        <v>7.4881529805351124E-4</v>
      </c>
      <c r="AI158" s="483">
        <f t="shared" si="124"/>
        <v>7.4881529805351124E-4</v>
      </c>
      <c r="AJ158" s="604">
        <f t="shared" si="125"/>
        <v>1.0007488152980535</v>
      </c>
      <c r="AK158" s="1400">
        <f t="shared" si="132"/>
        <v>3.01750556266416</v>
      </c>
      <c r="AL158" s="608">
        <f t="shared" si="133"/>
        <v>1.3955181016438654</v>
      </c>
      <c r="AM158" s="608">
        <f t="shared" si="134"/>
        <v>0.30174487880408746</v>
      </c>
      <c r="AN158" s="1401">
        <f t="shared" si="126"/>
        <v>4.7147685431121129</v>
      </c>
      <c r="AO158" s="1402">
        <f t="shared" si="127"/>
        <v>0</v>
      </c>
    </row>
    <row r="159" spans="1:41">
      <c r="A159" s="127">
        <f>'Input data'!A140</f>
        <v>2040</v>
      </c>
      <c r="B159" s="748">
        <f>'Input data'!B140</f>
        <v>71.375</v>
      </c>
      <c r="C159" s="236">
        <f>'Input data'!C140</f>
        <v>4875.51</v>
      </c>
      <c r="D159" s="237">
        <f>'Input data'!D140</f>
        <v>20945680.461510252</v>
      </c>
      <c r="E159" s="602">
        <f>'Input data'!J140</f>
        <v>11.504772374209397</v>
      </c>
      <c r="F159" s="608">
        <f>'Input data'!L140/C119</f>
        <v>15.800872774272213</v>
      </c>
      <c r="G159" s="608">
        <f t="shared" si="139"/>
        <v>4.7147685431121138</v>
      </c>
      <c r="H159" s="623">
        <f t="shared" si="102"/>
        <v>7.855551084532931</v>
      </c>
      <c r="I159" s="1238">
        <f t="shared" si="103"/>
        <v>4.296100400062814</v>
      </c>
      <c r="J159" s="730">
        <f t="shared" si="138"/>
        <v>0.4</v>
      </c>
      <c r="K159" s="623">
        <f t="shared" si="129"/>
        <v>1.7184401600251258</v>
      </c>
      <c r="L159" s="608">
        <f t="shared" si="104"/>
        <v>0.96248877021284696</v>
      </c>
      <c r="M159" s="727">
        <f t="shared" si="112"/>
        <v>2.6809289302379726</v>
      </c>
      <c r="N159" s="730">
        <f t="shared" si="137"/>
        <v>0.5</v>
      </c>
      <c r="O159" s="1280">
        <f t="shared" si="105"/>
        <v>1.2888839921320325</v>
      </c>
      <c r="P159" s="779">
        <f t="shared" si="130"/>
        <v>2.7429088877555037</v>
      </c>
      <c r="Q159" s="623">
        <f t="shared" si="106"/>
        <v>9.8274107398895403</v>
      </c>
      <c r="R159" s="608">
        <f t="shared" si="107"/>
        <v>5.1126421967774265</v>
      </c>
      <c r="S159" s="1240">
        <f t="shared" si="131"/>
        <v>0.70521629632383942</v>
      </c>
      <c r="T159" s="135" t="str">
        <f t="shared" si="113"/>
        <v>Policies met</v>
      </c>
      <c r="U159" s="1240">
        <f t="shared" si="114"/>
        <v>0.70521629632383942</v>
      </c>
      <c r="V159" s="135" t="str">
        <f t="shared" si="115"/>
        <v>No</v>
      </c>
      <c r="W159" s="1241">
        <f t="shared" si="116"/>
        <v>7.687519810483435</v>
      </c>
      <c r="X159" s="623">
        <f t="shared" si="117"/>
        <v>4.7147685431121138</v>
      </c>
      <c r="Y159" s="118">
        <f t="shared" si="118"/>
        <v>2.0021661644551818</v>
      </c>
      <c r="Z159" s="608">
        <f t="shared" si="108"/>
        <v>0.96330369396789395</v>
      </c>
      <c r="AA159" s="608">
        <f t="shared" si="109"/>
        <v>0</v>
      </c>
      <c r="AB159" s="608">
        <f t="shared" si="110"/>
        <v>7.2814089482456431E-3</v>
      </c>
      <c r="AC159" s="608">
        <f t="shared" si="119"/>
        <v>7.687519810483435</v>
      </c>
      <c r="AD159" s="767">
        <f t="shared" si="140"/>
        <v>0</v>
      </c>
      <c r="AE159" s="730">
        <f t="shared" si="120"/>
        <v>0.61330164465821679</v>
      </c>
      <c r="AF159" s="483">
        <f t="shared" si="121"/>
        <v>0.26044370795959931</v>
      </c>
      <c r="AG159" s="483">
        <f t="shared" si="122"/>
        <v>0.12530747467528358</v>
      </c>
      <c r="AH159" s="483">
        <f t="shared" si="123"/>
        <v>9.4717270690034775E-4</v>
      </c>
      <c r="AI159" s="483">
        <f t="shared" si="124"/>
        <v>9.4717270690034775E-4</v>
      </c>
      <c r="AJ159" s="604">
        <f t="shared" si="125"/>
        <v>1.0009471727069004</v>
      </c>
      <c r="AK159" s="1400">
        <f t="shared" si="132"/>
        <v>2.5776602400376882</v>
      </c>
      <c r="AL159" s="608">
        <f t="shared" si="133"/>
        <v>1.7571663062648291</v>
      </c>
      <c r="AM159" s="608">
        <f t="shared" si="134"/>
        <v>0.37994199680959595</v>
      </c>
      <c r="AN159" s="1401">
        <f t="shared" si="126"/>
        <v>4.7147685431121138</v>
      </c>
      <c r="AO159" s="1402">
        <f t="shared" si="127"/>
        <v>0</v>
      </c>
    </row>
    <row r="160" spans="1:41">
      <c r="A160" s="127">
        <f>'Input data'!A141</f>
        <v>2041</v>
      </c>
      <c r="B160" s="748">
        <f>'Input data'!B141</f>
        <v>71.819000000000003</v>
      </c>
      <c r="C160" s="236">
        <f>'Input data'!C141</f>
        <v>5028.54</v>
      </c>
      <c r="D160" s="237">
        <f>'Input data'!D141</f>
        <v>19664699.523913871</v>
      </c>
      <c r="E160" s="602">
        <f>'Input data'!J141</f>
        <v>11.504772374209397</v>
      </c>
      <c r="F160" s="608">
        <f>'Input data'!L141/C120</f>
        <v>15.415390470896282</v>
      </c>
      <c r="G160" s="608">
        <f t="shared" si="139"/>
        <v>4.7147685431121138</v>
      </c>
      <c r="H160" s="623">
        <f t="shared" si="102"/>
        <v>7.4937943451982454</v>
      </c>
      <c r="I160" s="1238">
        <f t="shared" si="103"/>
        <v>3.9106180966868855</v>
      </c>
      <c r="J160" s="730">
        <f t="shared" si="138"/>
        <v>0.4</v>
      </c>
      <c r="K160" s="623">
        <f t="shared" si="129"/>
        <v>1.5642472386747543</v>
      </c>
      <c r="L160" s="608">
        <f t="shared" si="104"/>
        <v>0.96248877021284696</v>
      </c>
      <c r="M160" s="727">
        <f t="shared" si="112"/>
        <v>2.5267360088876014</v>
      </c>
      <c r="N160" s="730">
        <f t="shared" si="137"/>
        <v>0.5</v>
      </c>
      <c r="O160" s="1280">
        <f t="shared" si="105"/>
        <v>1.2888839921320325</v>
      </c>
      <c r="P160" s="779">
        <f t="shared" si="130"/>
        <v>2.6124415304463762</v>
      </c>
      <c r="Q160" s="623">
        <f t="shared" si="106"/>
        <v>9.5961213578639821</v>
      </c>
      <c r="R160" s="608">
        <f t="shared" si="107"/>
        <v>4.8813528147518683</v>
      </c>
      <c r="S160" s="1240">
        <f t="shared" si="131"/>
        <v>0.67331321468947369</v>
      </c>
      <c r="T160" s="135" t="str">
        <f t="shared" si="113"/>
        <v>Policies met</v>
      </c>
      <c r="U160" s="1240">
        <f t="shared" si="114"/>
        <v>0.67331321468947369</v>
      </c>
      <c r="V160" s="135" t="str">
        <f t="shared" si="115"/>
        <v>No</v>
      </c>
      <c r="W160" s="1241">
        <f t="shared" si="116"/>
        <v>7.6690751993467048</v>
      </c>
      <c r="X160" s="623">
        <f t="shared" si="117"/>
        <v>4.7147685431121138</v>
      </c>
      <c r="Y160" s="118">
        <f t="shared" si="118"/>
        <v>1.8786796009130713</v>
      </c>
      <c r="Z160" s="608">
        <f t="shared" si="108"/>
        <v>1.0675576130417423</v>
      </c>
      <c r="AA160" s="608">
        <f t="shared" si="109"/>
        <v>0</v>
      </c>
      <c r="AB160" s="608">
        <f t="shared" si="110"/>
        <v>8.0694422797770154E-3</v>
      </c>
      <c r="AC160" s="608">
        <f t="shared" si="119"/>
        <v>7.6690751993467048</v>
      </c>
      <c r="AD160" s="767">
        <f t="shared" si="140"/>
        <v>0</v>
      </c>
      <c r="AE160" s="730">
        <f t="shared" si="120"/>
        <v>0.61477667392200619</v>
      </c>
      <c r="AF160" s="483">
        <f t="shared" si="121"/>
        <v>0.24496820699751487</v>
      </c>
      <c r="AG160" s="483">
        <f t="shared" si="122"/>
        <v>0.13920291368803933</v>
      </c>
      <c r="AH160" s="483">
        <f t="shared" si="123"/>
        <v>1.0522053924395495E-3</v>
      </c>
      <c r="AI160" s="483">
        <f t="shared" si="124"/>
        <v>1.0522053924395495E-3</v>
      </c>
      <c r="AJ160" s="604">
        <f t="shared" si="125"/>
        <v>1.0010522053924396</v>
      </c>
      <c r="AK160" s="1400">
        <f t="shared" si="132"/>
        <v>2.346370858012131</v>
      </c>
      <c r="AL160" s="608">
        <f t="shared" si="133"/>
        <v>1.9473363170721709</v>
      </c>
      <c r="AM160" s="608">
        <f t="shared" si="134"/>
        <v>0.42106136802781141</v>
      </c>
      <c r="AN160" s="1401">
        <f t="shared" si="126"/>
        <v>4.7147685431121138</v>
      </c>
      <c r="AO160" s="1402">
        <f t="shared" si="127"/>
        <v>0</v>
      </c>
    </row>
    <row r="161" spans="1:41">
      <c r="A161" s="127">
        <f>'Input data'!A142</f>
        <v>2042</v>
      </c>
      <c r="B161" s="748">
        <f>'Input data'!B142</f>
        <v>72.265000000000001</v>
      </c>
      <c r="C161" s="236">
        <f>'Input data'!C142</f>
        <v>5188.1000000000004</v>
      </c>
      <c r="D161" s="237">
        <f>'Input data'!D142</f>
        <v>18383718.586317491</v>
      </c>
      <c r="E161" s="602">
        <f>'Input data'!J142</f>
        <v>11.504772374209397</v>
      </c>
      <c r="F161" s="608">
        <f>'Input data'!L142/C121</f>
        <v>15.04821189663909</v>
      </c>
      <c r="G161" s="608">
        <f t="shared" si="139"/>
        <v>4.7147685431121138</v>
      </c>
      <c r="H161" s="623">
        <f t="shared" si="102"/>
        <v>7.1492147818471805</v>
      </c>
      <c r="I161" s="1238">
        <f t="shared" si="103"/>
        <v>3.5434395224296926</v>
      </c>
      <c r="J161" s="730">
        <f t="shared" si="138"/>
        <v>0.4</v>
      </c>
      <c r="K161" s="623">
        <f t="shared" si="129"/>
        <v>1.4173758089718771</v>
      </c>
      <c r="L161" s="608">
        <f t="shared" si="104"/>
        <v>0.96248877021284696</v>
      </c>
      <c r="M161" s="727">
        <f t="shared" si="112"/>
        <v>2.3798645791847242</v>
      </c>
      <c r="N161" s="730">
        <f t="shared" si="137"/>
        <v>0.5</v>
      </c>
      <c r="O161" s="1280">
        <f t="shared" si="105"/>
        <v>1.2888839921320325</v>
      </c>
      <c r="P161" s="779">
        <f t="shared" si="130"/>
        <v>2.4881691116496265</v>
      </c>
      <c r="Q161" s="623">
        <f t="shared" si="106"/>
        <v>9.3758142133096669</v>
      </c>
      <c r="R161" s="608">
        <f t="shared" si="107"/>
        <v>4.6610456701975531</v>
      </c>
      <c r="S161" s="1240">
        <f t="shared" si="131"/>
        <v>0.64292497656199366</v>
      </c>
      <c r="T161" s="135" t="str">
        <f t="shared" si="113"/>
        <v>Policies met</v>
      </c>
      <c r="U161" s="1240">
        <f t="shared" si="114"/>
        <v>0.64292497656199366</v>
      </c>
      <c r="V161" s="135" t="str">
        <f t="shared" si="115"/>
        <v>No</v>
      </c>
      <c r="W161" s="1241">
        <f t="shared" si="116"/>
        <v>7.6515063875994409</v>
      </c>
      <c r="X161" s="623">
        <f t="shared" si="117"/>
        <v>4.7147685431121138</v>
      </c>
      <c r="Y161" s="118">
        <f t="shared" si="118"/>
        <v>1.7610565091544474</v>
      </c>
      <c r="Z161" s="608">
        <f t="shared" si="108"/>
        <v>1.1668612776484397</v>
      </c>
      <c r="AA161" s="608">
        <f t="shared" si="109"/>
        <v>0</v>
      </c>
      <c r="AB161" s="608">
        <f t="shared" si="110"/>
        <v>8.8200576844397211E-3</v>
      </c>
      <c r="AC161" s="608">
        <f t="shared" si="119"/>
        <v>7.6515063875994409</v>
      </c>
      <c r="AD161" s="767">
        <f t="shared" si="140"/>
        <v>0</v>
      </c>
      <c r="AE161" s="730">
        <f t="shared" si="120"/>
        <v>0.61618827774269302</v>
      </c>
      <c r="AF161" s="483">
        <f t="shared" si="121"/>
        <v>0.23015814402357909</v>
      </c>
      <c r="AG161" s="483">
        <f t="shared" si="122"/>
        <v>0.15250085650317638</v>
      </c>
      <c r="AH161" s="483">
        <f t="shared" si="123"/>
        <v>1.1527217305515309E-3</v>
      </c>
      <c r="AI161" s="483">
        <f t="shared" si="124"/>
        <v>1.1527217305515309E-3</v>
      </c>
      <c r="AJ161" s="604">
        <f t="shared" si="125"/>
        <v>1.0011527217305516</v>
      </c>
      <c r="AK161" s="1400">
        <f t="shared" si="132"/>
        <v>2.1260637134578158</v>
      </c>
      <c r="AL161" s="608">
        <f t="shared" si="133"/>
        <v>2.1284765479548811</v>
      </c>
      <c r="AM161" s="608">
        <f t="shared" si="134"/>
        <v>0.46022828169941671</v>
      </c>
      <c r="AN161" s="1401">
        <f t="shared" si="126"/>
        <v>4.7147685431121129</v>
      </c>
      <c r="AO161" s="1402">
        <f t="shared" si="127"/>
        <v>0</v>
      </c>
    </row>
    <row r="162" spans="1:41">
      <c r="A162" s="127">
        <f>'Input data'!A143</f>
        <v>2043</v>
      </c>
      <c r="B162" s="748">
        <f>'Input data'!B143</f>
        <v>72.713999999999999</v>
      </c>
      <c r="C162" s="236">
        <f>'Input data'!C143</f>
        <v>5353.7899999999991</v>
      </c>
      <c r="D162" s="237">
        <f>'Input data'!D143</f>
        <v>17102737.64872111</v>
      </c>
      <c r="E162" s="602">
        <f>'Input data'!J143</f>
        <v>11.504772374209397</v>
      </c>
      <c r="F162" s="608">
        <f>'Input data'!L143/C122</f>
        <v>14.699282739524643</v>
      </c>
      <c r="G162" s="608">
        <f t="shared" si="139"/>
        <v>4.7147685431121138</v>
      </c>
      <c r="H162" s="623">
        <f t="shared" si="102"/>
        <v>6.8217614252830456</v>
      </c>
      <c r="I162" s="1238">
        <f t="shared" si="103"/>
        <v>3.1945103653152467</v>
      </c>
      <c r="J162" s="730">
        <f t="shared" si="138"/>
        <v>0.4</v>
      </c>
      <c r="K162" s="623">
        <f t="shared" si="129"/>
        <v>1.2778041461260987</v>
      </c>
      <c r="L162" s="608">
        <f t="shared" si="104"/>
        <v>0.96248877021284696</v>
      </c>
      <c r="M162" s="727">
        <f t="shared" si="112"/>
        <v>2.2402929163389458</v>
      </c>
      <c r="N162" s="730">
        <f t="shared" si="137"/>
        <v>0.5</v>
      </c>
      <c r="O162" s="1280">
        <f t="shared" si="105"/>
        <v>1.2888839921320325</v>
      </c>
      <c r="P162" s="779">
        <f t="shared" si="130"/>
        <v>2.3700732493541596</v>
      </c>
      <c r="Q162" s="623">
        <f t="shared" si="106"/>
        <v>9.1664567190409993</v>
      </c>
      <c r="R162" s="608">
        <f t="shared" si="107"/>
        <v>4.4516881759288855</v>
      </c>
      <c r="S162" s="1240">
        <f t="shared" si="131"/>
        <v>0.61404708700249144</v>
      </c>
      <c r="T162" s="135" t="str">
        <f t="shared" si="113"/>
        <v>Policies met</v>
      </c>
      <c r="U162" s="1240">
        <f t="shared" si="114"/>
        <v>0.61404708700249144</v>
      </c>
      <c r="V162" s="135" t="str">
        <f t="shared" si="115"/>
        <v>No</v>
      </c>
      <c r="W162" s="1241">
        <f t="shared" si="116"/>
        <v>7.6348107765146258</v>
      </c>
      <c r="X162" s="623">
        <f t="shared" si="117"/>
        <v>4.7147685431121138</v>
      </c>
      <c r="Y162" s="118">
        <f t="shared" si="118"/>
        <v>1.6492794907171366</v>
      </c>
      <c r="Z162" s="608">
        <f t="shared" si="108"/>
        <v>1.2612293764943159</v>
      </c>
      <c r="AA162" s="608">
        <f t="shared" si="109"/>
        <v>0</v>
      </c>
      <c r="AB162" s="608">
        <f t="shared" si="110"/>
        <v>9.5333661910592272E-3</v>
      </c>
      <c r="AC162" s="608">
        <f t="shared" si="119"/>
        <v>7.6348107765146258</v>
      </c>
      <c r="AD162" s="767">
        <f t="shared" si="140"/>
        <v>0</v>
      </c>
      <c r="AE162" s="730">
        <f t="shared" si="120"/>
        <v>0.61753574268208089</v>
      </c>
      <c r="AF162" s="483">
        <f t="shared" si="121"/>
        <v>0.21602100418657011</v>
      </c>
      <c r="AG162" s="483">
        <f t="shared" si="122"/>
        <v>0.1651945822120402</v>
      </c>
      <c r="AH162" s="483">
        <f t="shared" si="123"/>
        <v>1.248670919308797E-3</v>
      </c>
      <c r="AI162" s="483">
        <f t="shared" si="124"/>
        <v>1.248670919308797E-3</v>
      </c>
      <c r="AJ162" s="604">
        <f t="shared" si="125"/>
        <v>1.0012486709193087</v>
      </c>
      <c r="AK162" s="1400">
        <f t="shared" si="132"/>
        <v>1.916706219189148</v>
      </c>
      <c r="AL162" s="608">
        <f t="shared" si="133"/>
        <v>2.3006137926437495</v>
      </c>
      <c r="AM162" s="608">
        <f t="shared" si="134"/>
        <v>0.49744853127921584</v>
      </c>
      <c r="AN162" s="1401">
        <f t="shared" si="126"/>
        <v>4.7147685431121129</v>
      </c>
      <c r="AO162" s="1402">
        <f t="shared" si="127"/>
        <v>0</v>
      </c>
    </row>
    <row r="163" spans="1:41">
      <c r="A163" s="127">
        <f>'Input data'!A144</f>
        <v>2044</v>
      </c>
      <c r="B163" s="748">
        <f>'Input data'!B144</f>
        <v>73.165000000000006</v>
      </c>
      <c r="C163" s="236">
        <f>'Input data'!C144</f>
        <v>5526.5000000000018</v>
      </c>
      <c r="D163" s="237">
        <f>'Input data'!D144</f>
        <v>15821756.711124728</v>
      </c>
      <c r="E163" s="602">
        <f>'Input data'!J144</f>
        <v>11.504772374209397</v>
      </c>
      <c r="F163" s="608">
        <f>'Input data'!L144/C123</f>
        <v>14.367661492299458</v>
      </c>
      <c r="G163" s="608">
        <f t="shared" si="139"/>
        <v>4.7147685431121138</v>
      </c>
      <c r="H163" s="623">
        <f t="shared" si="102"/>
        <v>6.5105507158946798</v>
      </c>
      <c r="I163" s="1238">
        <f t="shared" si="103"/>
        <v>2.8628891180900613</v>
      </c>
      <c r="J163" s="730">
        <f t="shared" si="138"/>
        <v>0.4</v>
      </c>
      <c r="K163" s="623">
        <f t="shared" si="129"/>
        <v>1.1451556472360245</v>
      </c>
      <c r="L163" s="608">
        <f t="shared" si="104"/>
        <v>0.96248877021284696</v>
      </c>
      <c r="M163" s="727">
        <f t="shared" si="112"/>
        <v>2.1076444174488715</v>
      </c>
      <c r="N163" s="730">
        <f t="shared" si="137"/>
        <v>0.5</v>
      </c>
      <c r="O163" s="1280">
        <f t="shared" si="105"/>
        <v>1.2888839921320325</v>
      </c>
      <c r="P163" s="779">
        <f t="shared" si="130"/>
        <v>2.2578352883009041</v>
      </c>
      <c r="Q163" s="623">
        <f t="shared" si="106"/>
        <v>8.9674839707058887</v>
      </c>
      <c r="R163" s="608">
        <f t="shared" si="107"/>
        <v>4.2527154275937749</v>
      </c>
      <c r="S163" s="1240">
        <f t="shared" si="131"/>
        <v>0.58660162548775696</v>
      </c>
      <c r="T163" s="135" t="str">
        <f t="shared" si="113"/>
        <v>Policies met</v>
      </c>
      <c r="U163" s="1240">
        <f t="shared" si="114"/>
        <v>0.58660162548775696</v>
      </c>
      <c r="V163" s="135" t="str">
        <f t="shared" si="115"/>
        <v>No</v>
      </c>
      <c r="W163" s="1241">
        <f t="shared" si="116"/>
        <v>7.6189433167215848</v>
      </c>
      <c r="X163" s="623">
        <f t="shared" si="117"/>
        <v>4.7147685431121138</v>
      </c>
      <c r="Y163" s="118">
        <f t="shared" si="118"/>
        <v>1.5430469403283031</v>
      </c>
      <c r="Z163" s="608">
        <f t="shared" si="108"/>
        <v>1.3509165407781381</v>
      </c>
      <c r="AA163" s="608">
        <f t="shared" si="109"/>
        <v>0</v>
      </c>
      <c r="AB163" s="608">
        <f t="shared" si="110"/>
        <v>1.0211292503029505E-2</v>
      </c>
      <c r="AC163" s="608">
        <f t="shared" si="119"/>
        <v>7.6189433167215856</v>
      </c>
      <c r="AD163" s="767">
        <f t="shared" si="140"/>
        <v>0</v>
      </c>
      <c r="AE163" s="730">
        <f t="shared" si="120"/>
        <v>0.61882184275664986</v>
      </c>
      <c r="AF163" s="483">
        <f t="shared" si="121"/>
        <v>0.20252768345732658</v>
      </c>
      <c r="AG163" s="483">
        <f t="shared" si="122"/>
        <v>0.17731022329740004</v>
      </c>
      <c r="AH163" s="483">
        <f t="shared" si="123"/>
        <v>1.3402504886233229E-3</v>
      </c>
      <c r="AI163" s="483">
        <f t="shared" si="124"/>
        <v>1.3402504886233229E-3</v>
      </c>
      <c r="AJ163" s="604">
        <f t="shared" si="125"/>
        <v>1.0013402504886231</v>
      </c>
      <c r="AK163" s="1400">
        <f t="shared" si="132"/>
        <v>1.7177334708540368</v>
      </c>
      <c r="AL163" s="608">
        <f t="shared" si="133"/>
        <v>2.4642125249758435</v>
      </c>
      <c r="AM163" s="608">
        <f t="shared" si="134"/>
        <v>0.53282254728223288</v>
      </c>
      <c r="AN163" s="1401">
        <f t="shared" si="126"/>
        <v>4.7147685431121138</v>
      </c>
      <c r="AO163" s="1402">
        <f t="shared" si="127"/>
        <v>0</v>
      </c>
    </row>
    <row r="164" spans="1:41">
      <c r="A164" s="127">
        <f>'Input data'!A145</f>
        <v>2045</v>
      </c>
      <c r="B164" s="748">
        <f>'Input data'!B145</f>
        <v>73.62</v>
      </c>
      <c r="C164" s="236">
        <f>'Input data'!C145</f>
        <v>5709.93</v>
      </c>
      <c r="D164" s="237">
        <f>'Input data'!D145</f>
        <v>14540775.773528345</v>
      </c>
      <c r="E164" s="602">
        <f>'Input data'!J145</f>
        <v>11.504772374209397</v>
      </c>
      <c r="F164" s="608">
        <f>'Input data'!L145/C124</f>
        <v>14.051349262810195</v>
      </c>
      <c r="G164" s="608">
        <f t="shared" si="139"/>
        <v>4.7147685431121138</v>
      </c>
      <c r="H164" s="623">
        <f t="shared" si="102"/>
        <v>6.2137067888204731</v>
      </c>
      <c r="I164" s="1238">
        <f t="shared" si="103"/>
        <v>2.546576888600796</v>
      </c>
      <c r="J164" s="730">
        <f t="shared" si="138"/>
        <v>0.4</v>
      </c>
      <c r="K164" s="623">
        <f t="shared" si="129"/>
        <v>1.0186307554403184</v>
      </c>
      <c r="L164" s="608">
        <f t="shared" si="104"/>
        <v>0.96248877021284696</v>
      </c>
      <c r="M164" s="727">
        <f t="shared" si="112"/>
        <v>1.9811195256531655</v>
      </c>
      <c r="N164" s="730">
        <f t="shared" si="137"/>
        <v>0.5</v>
      </c>
      <c r="O164" s="1280">
        <f t="shared" si="105"/>
        <v>1.2888839921320325</v>
      </c>
      <c r="P164" s="779">
        <f t="shared" si="130"/>
        <v>2.1507786989202575</v>
      </c>
      <c r="Q164" s="623">
        <f t="shared" si="106"/>
        <v>8.7776966330123294</v>
      </c>
      <c r="R164" s="608">
        <f t="shared" si="107"/>
        <v>4.0629280899002156</v>
      </c>
      <c r="S164" s="1240">
        <f t="shared" si="131"/>
        <v>0.56042316076715204</v>
      </c>
      <c r="T164" s="135" t="str">
        <f t="shared" si="113"/>
        <v>Policies met</v>
      </c>
      <c r="U164" s="1240">
        <f t="shared" si="114"/>
        <v>0.56042316076715204</v>
      </c>
      <c r="V164" s="135" t="str">
        <f t="shared" si="115"/>
        <v>No</v>
      </c>
      <c r="W164" s="1241">
        <f t="shared" si="116"/>
        <v>7.6038083649491508</v>
      </c>
      <c r="X164" s="623">
        <f t="shared" si="117"/>
        <v>4.7147685431121138</v>
      </c>
      <c r="Y164" s="118">
        <f t="shared" si="118"/>
        <v>1.4417185268475925</v>
      </c>
      <c r="Z164" s="608">
        <f t="shared" si="108"/>
        <v>1.4364633720760798</v>
      </c>
      <c r="AA164" s="608">
        <f t="shared" si="109"/>
        <v>0</v>
      </c>
      <c r="AB164" s="608">
        <f t="shared" si="110"/>
        <v>1.0857922913363688E-2</v>
      </c>
      <c r="AC164" s="608">
        <f t="shared" si="119"/>
        <v>7.6038083649491499</v>
      </c>
      <c r="AD164" s="767">
        <f t="shared" si="140"/>
        <v>0</v>
      </c>
      <c r="AE164" s="730">
        <f t="shared" si="120"/>
        <v>0.62005357273935502</v>
      </c>
      <c r="AF164" s="483">
        <f t="shared" si="121"/>
        <v>0.18960479507787201</v>
      </c>
      <c r="AG164" s="483">
        <f t="shared" si="122"/>
        <v>0.18891367366616768</v>
      </c>
      <c r="AH164" s="483">
        <f t="shared" si="123"/>
        <v>1.4279585166052905E-3</v>
      </c>
      <c r="AI164" s="483">
        <f t="shared" si="124"/>
        <v>1.4279585166052905E-3</v>
      </c>
      <c r="AJ164" s="604">
        <f t="shared" si="125"/>
        <v>1.0014279585166053</v>
      </c>
      <c r="AK164" s="1400">
        <f t="shared" si="132"/>
        <v>1.5279461331604776</v>
      </c>
      <c r="AL164" s="608">
        <f t="shared" si="133"/>
        <v>2.6202588585524227</v>
      </c>
      <c r="AM164" s="608">
        <f t="shared" si="134"/>
        <v>0.56656355139921377</v>
      </c>
      <c r="AN164" s="1401">
        <f t="shared" si="126"/>
        <v>4.7147685431121138</v>
      </c>
      <c r="AO164" s="1402">
        <f t="shared" si="127"/>
        <v>0</v>
      </c>
    </row>
    <row r="165" spans="1:41">
      <c r="A165" s="127">
        <f>'Input data'!A146</f>
        <v>2046</v>
      </c>
      <c r="B165" s="748">
        <f>'Input data'!B146</f>
        <v>73.995000000000005</v>
      </c>
      <c r="C165" s="236">
        <f>'Input data'!C146</f>
        <v>5902.43</v>
      </c>
      <c r="D165" s="237">
        <f>'Input data'!D146</f>
        <v>13259794.835931966</v>
      </c>
      <c r="E165" s="602">
        <f>'Input data'!J146</f>
        <v>11.504772374209397</v>
      </c>
      <c r="F165" s="608">
        <f>'Input data'!L146/C125</f>
        <v>13.751269975355362</v>
      </c>
      <c r="G165" s="608">
        <f t="shared" si="139"/>
        <v>4.7147685431121138</v>
      </c>
      <c r="H165" s="623">
        <f t="shared" si="102"/>
        <v>5.9320967029077343</v>
      </c>
      <c r="I165" s="1238">
        <f t="shared" si="103"/>
        <v>2.2464976011459625</v>
      </c>
      <c r="J165" s="730">
        <f t="shared" si="138"/>
        <v>0.4</v>
      </c>
      <c r="K165" s="623">
        <f t="shared" si="129"/>
        <v>0.89859904045838501</v>
      </c>
      <c r="L165" s="608">
        <f t="shared" si="104"/>
        <v>0.96248877021284696</v>
      </c>
      <c r="M165" s="727">
        <f t="shared" si="112"/>
        <v>1.8610878106712319</v>
      </c>
      <c r="N165" s="730">
        <f t="shared" si="137"/>
        <v>0.5</v>
      </c>
      <c r="O165" s="1280">
        <f t="shared" si="105"/>
        <v>1.2888839921320325</v>
      </c>
      <c r="P165" s="779">
        <f t="shared" si="130"/>
        <v>2.0492161854804181</v>
      </c>
      <c r="Q165" s="623">
        <f t="shared" si="106"/>
        <v>8.59764906053943</v>
      </c>
      <c r="R165" s="608">
        <f t="shared" si="107"/>
        <v>3.8828805174273162</v>
      </c>
      <c r="S165" s="1240">
        <f t="shared" si="131"/>
        <v>0.535588158172707</v>
      </c>
      <c r="T165" s="135" t="str">
        <f t="shared" si="113"/>
        <v>Policies met</v>
      </c>
      <c r="U165" s="1240">
        <f t="shared" si="114"/>
        <v>0.535588158172707</v>
      </c>
      <c r="V165" s="135" t="str">
        <f t="shared" si="115"/>
        <v>No</v>
      </c>
      <c r="W165" s="1241">
        <f t="shared" si="116"/>
        <v>7.5894501292563064</v>
      </c>
      <c r="X165" s="623">
        <f t="shared" si="117"/>
        <v>4.7147685431121147</v>
      </c>
      <c r="Y165" s="118">
        <f t="shared" si="118"/>
        <v>1.3455902229710195</v>
      </c>
      <c r="Z165" s="608">
        <f t="shared" si="108"/>
        <v>1.5176199945100419</v>
      </c>
      <c r="AA165" s="608">
        <f t="shared" si="109"/>
        <v>0</v>
      </c>
      <c r="AB165" s="608">
        <f t="shared" si="110"/>
        <v>1.1471368663131299E-2</v>
      </c>
      <c r="AC165" s="608">
        <f t="shared" si="119"/>
        <v>7.5894501292563072</v>
      </c>
      <c r="AD165" s="767">
        <f t="shared" si="140"/>
        <v>0</v>
      </c>
      <c r="AE165" s="730">
        <f t="shared" si="120"/>
        <v>0.62122663207671891</v>
      </c>
      <c r="AF165" s="483">
        <f t="shared" si="121"/>
        <v>0.17729745897979493</v>
      </c>
      <c r="AG165" s="483">
        <f t="shared" si="122"/>
        <v>0.19996442017054983</v>
      </c>
      <c r="AH165" s="483">
        <f t="shared" si="123"/>
        <v>1.511488772936358E-3</v>
      </c>
      <c r="AI165" s="483">
        <f t="shared" si="124"/>
        <v>1.511488772936358E-3</v>
      </c>
      <c r="AJ165" s="604">
        <f t="shared" si="125"/>
        <v>1.0015114887729364</v>
      </c>
      <c r="AK165" s="1400">
        <f t="shared" si="132"/>
        <v>1.3478985606875775</v>
      </c>
      <c r="AL165" s="608">
        <f t="shared" si="133"/>
        <v>2.7682969937367847</v>
      </c>
      <c r="AM165" s="608">
        <f t="shared" si="134"/>
        <v>0.59857298868775144</v>
      </c>
      <c r="AN165" s="1401">
        <f t="shared" si="126"/>
        <v>4.7147685431121129</v>
      </c>
      <c r="AO165" s="1402">
        <f t="shared" si="127"/>
        <v>0</v>
      </c>
    </row>
    <row r="166" spans="1:41">
      <c r="A166" s="127">
        <f>'Input data'!A147</f>
        <v>2047</v>
      </c>
      <c r="B166" s="749">
        <f>'Input data'!B147</f>
        <v>74.373000000000005</v>
      </c>
      <c r="C166" s="605">
        <f>'Input data'!C147</f>
        <v>6104.119999999999</v>
      </c>
      <c r="D166" s="750">
        <f>'Input data'!D147</f>
        <v>11978813.898335585</v>
      </c>
      <c r="E166" s="734">
        <f>'Input data'!J147</f>
        <v>11.504772374209397</v>
      </c>
      <c r="F166" s="608">
        <f>'Input data'!L147/C126</f>
        <v>13.467186923454101</v>
      </c>
      <c r="G166" s="608">
        <f t="shared" si="139"/>
        <v>4.7147685431121138</v>
      </c>
      <c r="H166" s="623">
        <f t="shared" si="102"/>
        <v>5.665498320424212</v>
      </c>
      <c r="I166" s="1238">
        <f t="shared" si="103"/>
        <v>1.9624145492447049</v>
      </c>
      <c r="J166" s="729">
        <f t="shared" si="138"/>
        <v>0.4</v>
      </c>
      <c r="K166" s="623">
        <f t="shared" si="129"/>
        <v>0.78496581969788204</v>
      </c>
      <c r="L166" s="608">
        <f t="shared" si="104"/>
        <v>0.96248877021284696</v>
      </c>
      <c r="M166" s="727">
        <f t="shared" si="112"/>
        <v>1.747454589910729</v>
      </c>
      <c r="N166" s="730">
        <f t="shared" si="137"/>
        <v>0.5</v>
      </c>
      <c r="O166" s="1280">
        <f t="shared" si="105"/>
        <v>1.2888839921320325</v>
      </c>
      <c r="P166" s="779">
        <f t="shared" si="130"/>
        <v>1.9530676341376507</v>
      </c>
      <c r="Q166" s="623">
        <f t="shared" si="106"/>
        <v>8.4271992293986742</v>
      </c>
      <c r="R166" s="608">
        <f t="shared" si="107"/>
        <v>3.7124306862865604</v>
      </c>
      <c r="S166" s="1240">
        <f t="shared" si="131"/>
        <v>0.51207702752838513</v>
      </c>
      <c r="T166" s="135" t="str">
        <f t="shared" si="113"/>
        <v>Policies met</v>
      </c>
      <c r="U166" s="1240">
        <f t="shared" si="114"/>
        <v>0.51207702752838513</v>
      </c>
      <c r="V166" s="135" t="str">
        <f t="shared" si="115"/>
        <v>No</v>
      </c>
      <c r="W166" s="1241">
        <f t="shared" si="116"/>
        <v>7.5758572836782712</v>
      </c>
      <c r="X166" s="623">
        <f t="shared" si="117"/>
        <v>4.7147685431121138</v>
      </c>
      <c r="Y166" s="118">
        <f t="shared" si="118"/>
        <v>1.2545862014306834</v>
      </c>
      <c r="Z166" s="608">
        <f t="shared" si="108"/>
        <v>1.5944504254890817</v>
      </c>
      <c r="AA166" s="608">
        <f t="shared" si="109"/>
        <v>0</v>
      </c>
      <c r="AB166" s="608">
        <f t="shared" si="110"/>
        <v>1.2052113646391995E-2</v>
      </c>
      <c r="AC166" s="608">
        <f t="shared" si="119"/>
        <v>7.5758572836782703</v>
      </c>
      <c r="AD166" s="767">
        <f t="shared" si="140"/>
        <v>0</v>
      </c>
      <c r="AE166" s="730">
        <f t="shared" si="120"/>
        <v>0.62234125678024577</v>
      </c>
      <c r="AF166" s="483">
        <f t="shared" si="121"/>
        <v>0.16560319901136655</v>
      </c>
      <c r="AG166" s="483">
        <f t="shared" si="122"/>
        <v>0.21046468614505573</v>
      </c>
      <c r="AH166" s="483">
        <f t="shared" si="123"/>
        <v>1.5908580633319943E-3</v>
      </c>
      <c r="AI166" s="483">
        <f t="shared" si="124"/>
        <v>1.5908580633319943E-3</v>
      </c>
      <c r="AJ166" s="604">
        <f t="shared" si="125"/>
        <v>1.0015908580633319</v>
      </c>
      <c r="AK166" s="1400">
        <f t="shared" si="132"/>
        <v>1.177448729546823</v>
      </c>
      <c r="AL166" s="608">
        <f t="shared" si="133"/>
        <v>2.908443704953148</v>
      </c>
      <c r="AM166" s="608">
        <f t="shared" si="134"/>
        <v>0.62887610861214283</v>
      </c>
      <c r="AN166" s="1401">
        <f t="shared" si="126"/>
        <v>4.7147685431121147</v>
      </c>
      <c r="AO166" s="1402">
        <f t="shared" si="127"/>
        <v>0</v>
      </c>
    </row>
    <row r="167" spans="1:41">
      <c r="A167" s="127">
        <f>'Input data'!A148</f>
        <v>2048</v>
      </c>
      <c r="B167" s="748">
        <f>'Input data'!B148</f>
        <v>74.753</v>
      </c>
      <c r="C167" s="236">
        <f>'Input data'!C148</f>
        <v>6308.13</v>
      </c>
      <c r="D167" s="237">
        <f>'Input data'!D148</f>
        <v>10697832.960739207</v>
      </c>
      <c r="E167" s="602">
        <f>'Input data'!J148</f>
        <v>11.504772374209397</v>
      </c>
      <c r="F167" s="608">
        <f>'Input data'!L148/C127</f>
        <v>13.200652605076423</v>
      </c>
      <c r="G167" s="608">
        <f t="shared" si="139"/>
        <v>4.7147685431121138</v>
      </c>
      <c r="H167" s="623">
        <f t="shared" si="102"/>
        <v>5.4153685866006827</v>
      </c>
      <c r="I167" s="1238">
        <f t="shared" si="103"/>
        <v>1.6958802308670249</v>
      </c>
      <c r="J167" s="730">
        <f t="shared" si="138"/>
        <v>0.4</v>
      </c>
      <c r="K167" s="623">
        <f t="shared" si="129"/>
        <v>0.67835209234681004</v>
      </c>
      <c r="L167" s="608">
        <f t="shared" si="104"/>
        <v>0.96248877021284696</v>
      </c>
      <c r="M167" s="727">
        <f t="shared" si="112"/>
        <v>1.6408408625596569</v>
      </c>
      <c r="N167" s="730">
        <f t="shared" si="137"/>
        <v>0.5</v>
      </c>
      <c r="O167" s="1280">
        <f t="shared" si="105"/>
        <v>1.2888839921320325</v>
      </c>
      <c r="P167" s="779">
        <f t="shared" si="130"/>
        <v>1.8628584913407289</v>
      </c>
      <c r="Q167" s="623">
        <f t="shared" si="106"/>
        <v>8.2672786383720673</v>
      </c>
      <c r="R167" s="608">
        <f t="shared" si="107"/>
        <v>3.5525100952599535</v>
      </c>
      <c r="S167" s="1240">
        <f t="shared" si="131"/>
        <v>0.49001825584653547</v>
      </c>
      <c r="T167" s="135" t="str">
        <f t="shared" si="113"/>
        <v>Policies met</v>
      </c>
      <c r="U167" s="1240">
        <f t="shared" si="114"/>
        <v>0.49001825584653547</v>
      </c>
      <c r="V167" s="135" t="str">
        <f t="shared" si="115"/>
        <v>No</v>
      </c>
      <c r="W167" s="1241">
        <f t="shared" si="116"/>
        <v>7.5631041123549281</v>
      </c>
      <c r="X167" s="623">
        <f t="shared" si="117"/>
        <v>4.7147685431121138</v>
      </c>
      <c r="Y167" s="118">
        <f t="shared" si="118"/>
        <v>1.1692037941080808</v>
      </c>
      <c r="Z167" s="608">
        <f t="shared" si="108"/>
        <v>1.6665347910103994</v>
      </c>
      <c r="AA167" s="608">
        <f t="shared" si="109"/>
        <v>0</v>
      </c>
      <c r="AB167" s="608">
        <f t="shared" si="110"/>
        <v>1.2596984124333944E-2</v>
      </c>
      <c r="AC167" s="608">
        <f t="shared" si="119"/>
        <v>7.5631041123549281</v>
      </c>
      <c r="AD167" s="767">
        <f t="shared" si="140"/>
        <v>0</v>
      </c>
      <c r="AE167" s="730">
        <f t="shared" si="120"/>
        <v>0.62339067042726104</v>
      </c>
      <c r="AF167" s="483">
        <f t="shared" si="121"/>
        <v>0.15459311107433971</v>
      </c>
      <c r="AG167" s="483">
        <f t="shared" si="122"/>
        <v>0.22035063464060783</v>
      </c>
      <c r="AH167" s="483">
        <f t="shared" si="123"/>
        <v>1.6655838577913763E-3</v>
      </c>
      <c r="AI167" s="483">
        <f t="shared" si="124"/>
        <v>1.6655838577913763E-3</v>
      </c>
      <c r="AJ167" s="604">
        <f t="shared" si="125"/>
        <v>1.0016655838577913</v>
      </c>
      <c r="AK167" s="1400">
        <f t="shared" si="132"/>
        <v>1.0175281385202148</v>
      </c>
      <c r="AL167" s="608">
        <f t="shared" si="133"/>
        <v>3.039933098272924</v>
      </c>
      <c r="AM167" s="608">
        <f t="shared" si="134"/>
        <v>0.65730730631897416</v>
      </c>
      <c r="AN167" s="1401">
        <f t="shared" si="126"/>
        <v>4.7147685431121129</v>
      </c>
      <c r="AO167" s="1402">
        <f t="shared" si="127"/>
        <v>0</v>
      </c>
    </row>
    <row r="168" spans="1:41">
      <c r="A168" s="127">
        <f>'Input data'!A149</f>
        <v>2049</v>
      </c>
      <c r="B168" s="748">
        <f>'Input data'!B149</f>
        <v>75.134</v>
      </c>
      <c r="C168" s="236">
        <f>'Input data'!C149</f>
        <v>6522.2000000000007</v>
      </c>
      <c r="D168" s="237">
        <f>'Input data'!D149</f>
        <v>9416852.0231428221</v>
      </c>
      <c r="E168" s="602">
        <f>'Input data'!J149</f>
        <v>11.504772374209397</v>
      </c>
      <c r="F168" s="608">
        <f>'Input data'!L149/C128</f>
        <v>12.948587654811467</v>
      </c>
      <c r="G168" s="608">
        <f t="shared" si="139"/>
        <v>4.7147685431121138</v>
      </c>
      <c r="H168" s="623">
        <f t="shared" si="102"/>
        <v>5.1788176640036392</v>
      </c>
      <c r="I168" s="1238">
        <f t="shared" si="103"/>
        <v>1.4438152806020701</v>
      </c>
      <c r="J168" s="730">
        <f t="shared" si="138"/>
        <v>0.4</v>
      </c>
      <c r="K168" s="623">
        <f t="shared" si="129"/>
        <v>0.57752611224082806</v>
      </c>
      <c r="L168" s="608">
        <f t="shared" si="104"/>
        <v>0.96248877021284696</v>
      </c>
      <c r="M168" s="727">
        <f t="shared" si="112"/>
        <v>1.540014882453675</v>
      </c>
      <c r="N168" s="730">
        <f t="shared" si="137"/>
        <v>0.5</v>
      </c>
      <c r="O168" s="1280">
        <f t="shared" si="105"/>
        <v>1.2888839921320325</v>
      </c>
      <c r="P168" s="779">
        <f t="shared" si="130"/>
        <v>1.7775465389026579</v>
      </c>
      <c r="Q168" s="623">
        <f t="shared" si="106"/>
        <v>8.1160396682130944</v>
      </c>
      <c r="R168" s="608">
        <f t="shared" si="107"/>
        <v>3.4012711251009806</v>
      </c>
      <c r="S168" s="1240">
        <f t="shared" si="131"/>
        <v>0.46915699032269942</v>
      </c>
      <c r="T168" s="135" t="str">
        <f t="shared" si="113"/>
        <v>Policies met</v>
      </c>
      <c r="U168" s="1240">
        <f t="shared" si="114"/>
        <v>0.46915699032269942</v>
      </c>
      <c r="V168" s="135" t="str">
        <f t="shared" si="115"/>
        <v>No</v>
      </c>
      <c r="W168" s="1241">
        <f t="shared" si="116"/>
        <v>7.5510432733796495</v>
      </c>
      <c r="X168" s="623">
        <f t="shared" si="117"/>
        <v>4.7147685431121138</v>
      </c>
      <c r="Y168" s="118">
        <f t="shared" si="118"/>
        <v>1.0884565478012194</v>
      </c>
      <c r="Z168" s="608">
        <f t="shared" si="108"/>
        <v>1.7347059072876847</v>
      </c>
      <c r="AA168" s="608">
        <f t="shared" si="109"/>
        <v>0</v>
      </c>
      <c r="AB168" s="608">
        <f t="shared" si="110"/>
        <v>1.3112275178631368E-2</v>
      </c>
      <c r="AC168" s="608">
        <f t="shared" si="119"/>
        <v>7.5510432733796495</v>
      </c>
      <c r="AD168" s="767">
        <f t="shared" si="140"/>
        <v>0</v>
      </c>
      <c r="AE168" s="730">
        <f t="shared" si="120"/>
        <v>0.62438637581822609</v>
      </c>
      <c r="AF168" s="483">
        <f t="shared" si="121"/>
        <v>0.14414651173281579</v>
      </c>
      <c r="AG168" s="483">
        <f t="shared" si="122"/>
        <v>0.22973062721057294</v>
      </c>
      <c r="AH168" s="483">
        <f t="shared" si="123"/>
        <v>1.7364852383851665E-3</v>
      </c>
      <c r="AI168" s="483">
        <f t="shared" si="124"/>
        <v>1.7364852383851665E-3</v>
      </c>
      <c r="AJ168" s="604">
        <f t="shared" si="125"/>
        <v>1.0017364852383852</v>
      </c>
      <c r="AK168" s="1400">
        <f t="shared" si="132"/>
        <v>0.86628916836124203</v>
      </c>
      <c r="AL168" s="608">
        <f t="shared" si="133"/>
        <v>3.1642843172426085</v>
      </c>
      <c r="AM168" s="608">
        <f t="shared" si="134"/>
        <v>0.68419505750826237</v>
      </c>
      <c r="AN168" s="1401">
        <f t="shared" si="126"/>
        <v>4.7147685431121129</v>
      </c>
      <c r="AO168" s="1402">
        <f t="shared" si="127"/>
        <v>0</v>
      </c>
    </row>
    <row r="169" spans="1:41" ht="15" thickBot="1">
      <c r="A169" s="172">
        <f>'Input data'!A150</f>
        <v>2050</v>
      </c>
      <c r="B169" s="751">
        <f>'Input data'!B150</f>
        <v>75.518000000000001</v>
      </c>
      <c r="C169" s="239">
        <f>'Input data'!C150</f>
        <v>6747.1300000000019</v>
      </c>
      <c r="D169" s="240">
        <f>'Input data'!D150</f>
        <v>8135871.0855464395</v>
      </c>
      <c r="E169" s="735">
        <f>'Input data'!J150</f>
        <v>11.504772374209397</v>
      </c>
      <c r="F169" s="739">
        <f>'Input data'!L150/C129</f>
        <v>12.710599308853674</v>
      </c>
      <c r="G169" s="739">
        <f t="shared" si="139"/>
        <v>4.7147685431121138</v>
      </c>
      <c r="H169" s="769">
        <f t="shared" si="102"/>
        <v>4.9554769625515513</v>
      </c>
      <c r="I169" s="1239">
        <f t="shared" si="103"/>
        <v>1.2058269346442765</v>
      </c>
      <c r="J169" s="731">
        <f t="shared" si="138"/>
        <v>0.4</v>
      </c>
      <c r="K169" s="769">
        <f t="shared" si="129"/>
        <v>0.48233077385771062</v>
      </c>
      <c r="L169" s="739">
        <f t="shared" si="104"/>
        <v>0.96248877021284696</v>
      </c>
      <c r="M169" s="736">
        <f t="shared" si="112"/>
        <v>1.4448195440705576</v>
      </c>
      <c r="N169" s="731">
        <f t="shared" si="137"/>
        <v>0.5</v>
      </c>
      <c r="O169" s="1281">
        <f t="shared" si="105"/>
        <v>1.2888839921320325</v>
      </c>
      <c r="P169" s="780">
        <f t="shared" si="130"/>
        <v>1.6969988450252467</v>
      </c>
      <c r="Q169" s="769">
        <f t="shared" si="106"/>
        <v>7.9732466606384182</v>
      </c>
      <c r="R169" s="739">
        <f t="shared" si="107"/>
        <v>3.2584781175263045</v>
      </c>
      <c r="S169" s="1249">
        <f t="shared" si="131"/>
        <v>0.44946072524742625</v>
      </c>
      <c r="T169" s="1267" t="str">
        <f t="shared" si="113"/>
        <v>Policies met</v>
      </c>
      <c r="U169" s="1249">
        <f t="shared" si="114"/>
        <v>0.44946072524742625</v>
      </c>
      <c r="V169" s="1267" t="str">
        <f t="shared" si="115"/>
        <v>No</v>
      </c>
      <c r="W169" s="1242">
        <f t="shared" si="116"/>
        <v>7.5396559737349635</v>
      </c>
      <c r="X169" s="769">
        <f t="shared" si="117"/>
        <v>4.7147685431121138</v>
      </c>
      <c r="Y169" s="121">
        <f t="shared" si="118"/>
        <v>1.0122186433681879</v>
      </c>
      <c r="Z169" s="739">
        <f t="shared" si="108"/>
        <v>1.7990699975266249</v>
      </c>
      <c r="AA169" s="739">
        <f t="shared" si="109"/>
        <v>0</v>
      </c>
      <c r="AB169" s="739">
        <f t="shared" si="110"/>
        <v>1.3598789728036936E-2</v>
      </c>
      <c r="AC169" s="739">
        <f t="shared" si="119"/>
        <v>7.5396559737349635</v>
      </c>
      <c r="AD169" s="778">
        <f t="shared" si="140"/>
        <v>0</v>
      </c>
      <c r="AE169" s="731">
        <f t="shared" si="120"/>
        <v>0.62532939958221079</v>
      </c>
      <c r="AF169" s="732">
        <f t="shared" si="121"/>
        <v>0.13425262994682227</v>
      </c>
      <c r="AG169" s="732">
        <f t="shared" si="122"/>
        <v>0.23861433516248476</v>
      </c>
      <c r="AH169" s="732">
        <f t="shared" si="123"/>
        <v>1.8036353084821752E-3</v>
      </c>
      <c r="AI169" s="732">
        <f>AB169/AC169</f>
        <v>1.8036353084821752E-3</v>
      </c>
      <c r="AJ169" s="733">
        <f t="shared" si="125"/>
        <v>1.0018036353084823</v>
      </c>
      <c r="AK169" s="1403">
        <f t="shared" si="132"/>
        <v>0.72349616078656587</v>
      </c>
      <c r="AL169" s="739">
        <f t="shared" si="133"/>
        <v>3.2816911240569757</v>
      </c>
      <c r="AM169" s="739">
        <f t="shared" si="134"/>
        <v>0.7095812582685711</v>
      </c>
      <c r="AN169" s="1404">
        <f t="shared" si="126"/>
        <v>4.7147685431121129</v>
      </c>
      <c r="AO169" s="1405">
        <f t="shared" si="127"/>
        <v>0</v>
      </c>
    </row>
    <row r="171" spans="1:41" ht="23.4">
      <c r="A171" s="783" t="s">
        <v>763</v>
      </c>
    </row>
    <row r="172" spans="1:41" ht="24" thickBot="1">
      <c r="A172" s="783"/>
    </row>
    <row r="173" spans="1:41" ht="21.6" customHeight="1" thickBot="1">
      <c r="A173" s="1793" t="s">
        <v>687</v>
      </c>
      <c r="B173" s="1794"/>
      <c r="C173" s="1794"/>
      <c r="D173" s="1795"/>
      <c r="E173" s="1796" t="s">
        <v>689</v>
      </c>
      <c r="F173" s="1797"/>
      <c r="G173" s="1797"/>
      <c r="H173" s="1797"/>
      <c r="I173" s="1798"/>
      <c r="J173" s="1799" t="s">
        <v>690</v>
      </c>
      <c r="K173" s="1800"/>
      <c r="L173" s="1801"/>
      <c r="M173" s="1802" t="s">
        <v>697</v>
      </c>
      <c r="N173" s="1804" t="s">
        <v>695</v>
      </c>
      <c r="O173" s="1852"/>
      <c r="P173" s="1791" t="s">
        <v>674</v>
      </c>
      <c r="Q173" s="1791" t="s">
        <v>680</v>
      </c>
      <c r="R173" s="1787" t="s">
        <v>661</v>
      </c>
      <c r="S173" s="1787" t="s">
        <v>726</v>
      </c>
      <c r="T173" s="1771" t="s">
        <v>728</v>
      </c>
      <c r="U173" s="1787" t="s">
        <v>727</v>
      </c>
      <c r="V173" s="1771" t="s">
        <v>730</v>
      </c>
      <c r="W173" s="1822" t="s">
        <v>729</v>
      </c>
      <c r="X173" s="1854" t="s">
        <v>672</v>
      </c>
      <c r="Y173" s="1855"/>
      <c r="Z173" s="1855"/>
      <c r="AA173" s="1855"/>
      <c r="AB173" s="1855"/>
      <c r="AC173" s="1855"/>
      <c r="AD173" s="1855"/>
      <c r="AE173" s="1855"/>
      <c r="AF173" s="1855"/>
      <c r="AG173" s="1855"/>
      <c r="AH173" s="1855"/>
      <c r="AI173" s="1855"/>
      <c r="AJ173" s="1856"/>
      <c r="AK173" s="1746" t="s">
        <v>850</v>
      </c>
      <c r="AL173" s="1747"/>
      <c r="AM173" s="1747"/>
      <c r="AN173" s="1747"/>
      <c r="AO173" s="1748"/>
    </row>
    <row r="174" spans="1:41" ht="43.2" customHeight="1">
      <c r="A174" s="1789" t="s">
        <v>217</v>
      </c>
      <c r="B174" s="802" t="s">
        <v>218</v>
      </c>
      <c r="C174" s="802" t="s">
        <v>464</v>
      </c>
      <c r="D174" s="535" t="s">
        <v>722</v>
      </c>
      <c r="E174" s="804" t="s">
        <v>551</v>
      </c>
      <c r="F174" s="803" t="s">
        <v>555</v>
      </c>
      <c r="G174" s="803" t="s">
        <v>676</v>
      </c>
      <c r="H174" s="805" t="s">
        <v>679</v>
      </c>
      <c r="I174" s="805" t="s">
        <v>718</v>
      </c>
      <c r="J174" s="582" t="s">
        <v>367</v>
      </c>
      <c r="K174" s="1273" t="s">
        <v>367</v>
      </c>
      <c r="L174" s="806" t="s">
        <v>692</v>
      </c>
      <c r="M174" s="1803"/>
      <c r="N174" s="587" t="s">
        <v>693</v>
      </c>
      <c r="O174" s="590" t="s">
        <v>694</v>
      </c>
      <c r="P174" s="1792"/>
      <c r="Q174" s="1792"/>
      <c r="R174" s="1788"/>
      <c r="S174" s="1788"/>
      <c r="T174" s="1772"/>
      <c r="U174" s="1788"/>
      <c r="V174" s="1772"/>
      <c r="W174" s="1823"/>
      <c r="X174" s="818" t="s">
        <v>549</v>
      </c>
      <c r="Y174" s="819" t="s">
        <v>565</v>
      </c>
      <c r="Z174" s="819" t="s">
        <v>428</v>
      </c>
      <c r="AA174" s="819" t="s">
        <v>429</v>
      </c>
      <c r="AB174" s="819" t="s">
        <v>553</v>
      </c>
      <c r="AC174" s="819" t="s">
        <v>225</v>
      </c>
      <c r="AD174" s="823" t="s">
        <v>671</v>
      </c>
      <c r="AE174" s="818" t="s">
        <v>549</v>
      </c>
      <c r="AF174" s="819" t="s">
        <v>565</v>
      </c>
      <c r="AG174" s="819" t="s">
        <v>428</v>
      </c>
      <c r="AH174" s="819" t="s">
        <v>429</v>
      </c>
      <c r="AI174" s="819" t="s">
        <v>553</v>
      </c>
      <c r="AJ174" s="820" t="s">
        <v>225</v>
      </c>
      <c r="AK174" s="189" t="s">
        <v>851</v>
      </c>
      <c r="AL174" s="822" t="s">
        <v>569</v>
      </c>
      <c r="AM174" s="822" t="s">
        <v>852</v>
      </c>
      <c r="AN174" s="822" t="s">
        <v>225</v>
      </c>
      <c r="AO174" s="1399" t="s">
        <v>708</v>
      </c>
    </row>
    <row r="175" spans="1:41" ht="36.6" customHeight="1" thickBot="1">
      <c r="A175" s="1813"/>
      <c r="B175" s="524" t="s">
        <v>232</v>
      </c>
      <c r="C175" s="525" t="s">
        <v>558</v>
      </c>
      <c r="D175" s="556" t="s">
        <v>556</v>
      </c>
      <c r="E175" s="1306" t="s">
        <v>688</v>
      </c>
      <c r="F175" s="1307" t="s">
        <v>688</v>
      </c>
      <c r="G175" s="1307" t="str">
        <f>F175</f>
        <v>Gg/GDP ZAR billion</v>
      </c>
      <c r="H175" s="1308" t="str">
        <f>G175</f>
        <v>Gg/GDP ZAR billion</v>
      </c>
      <c r="I175" s="1308" t="s">
        <v>691</v>
      </c>
      <c r="J175" s="807" t="s">
        <v>229</v>
      </c>
      <c r="K175" s="808" t="s">
        <v>691</v>
      </c>
      <c r="L175" s="810" t="s">
        <v>691</v>
      </c>
      <c r="M175" s="1246" t="s">
        <v>691</v>
      </c>
      <c r="N175" s="786" t="s">
        <v>229</v>
      </c>
      <c r="O175" s="788" t="s">
        <v>670</v>
      </c>
      <c r="P175" s="1287" t="s">
        <v>670</v>
      </c>
      <c r="Q175" s="813" t="s">
        <v>670</v>
      </c>
      <c r="R175" s="814" t="s">
        <v>670</v>
      </c>
      <c r="S175" s="1284" t="s">
        <v>28</v>
      </c>
      <c r="T175" s="1773"/>
      <c r="U175" s="1284" t="s">
        <v>28</v>
      </c>
      <c r="V175" s="1773"/>
      <c r="W175" s="1253" t="s">
        <v>691</v>
      </c>
      <c r="X175" s="191" t="s">
        <v>228</v>
      </c>
      <c r="Y175" s="1254" t="s">
        <v>228</v>
      </c>
      <c r="Z175" s="1254" t="s">
        <v>228</v>
      </c>
      <c r="AA175" s="1254" t="s">
        <v>228</v>
      </c>
      <c r="AB175" s="1254" t="s">
        <v>228</v>
      </c>
      <c r="AC175" s="1254" t="s">
        <v>228</v>
      </c>
      <c r="AD175" s="1255" t="s">
        <v>669</v>
      </c>
      <c r="AE175" s="826" t="s">
        <v>229</v>
      </c>
      <c r="AF175" s="821" t="s">
        <v>229</v>
      </c>
      <c r="AG175" s="821" t="s">
        <v>229</v>
      </c>
      <c r="AH175" s="821" t="s">
        <v>229</v>
      </c>
      <c r="AI175" s="821" t="s">
        <v>229</v>
      </c>
      <c r="AJ175" s="824" t="s">
        <v>229</v>
      </c>
      <c r="AK175" s="191" t="s">
        <v>691</v>
      </c>
      <c r="AL175" s="1254" t="s">
        <v>691</v>
      </c>
      <c r="AM175" s="1254" t="s">
        <v>691</v>
      </c>
      <c r="AN175" s="1254" t="s">
        <v>691</v>
      </c>
      <c r="AO175" s="1255" t="s">
        <v>669</v>
      </c>
    </row>
    <row r="176" spans="1:41">
      <c r="A176" s="1416">
        <f>'Input data'!A117</f>
        <v>2017</v>
      </c>
      <c r="B176" s="1417">
        <f>'Input data'!B117</f>
        <v>56.521999999999998</v>
      </c>
      <c r="C176" s="1418">
        <f>'Input data'!C117</f>
        <v>3120.54</v>
      </c>
      <c r="D176" s="1418">
        <f>'Input data'!E117</f>
        <v>49995051</v>
      </c>
      <c r="E176" s="1354">
        <f>'Input data'!J117</f>
        <v>11.504772374209397</v>
      </c>
      <c r="F176" s="1354">
        <f>'Input data'!L117/C136</f>
        <v>27.526054267727826</v>
      </c>
      <c r="G176" s="1355">
        <f>F176*B11</f>
        <v>23.573842715560573</v>
      </c>
      <c r="H176" s="1355">
        <f t="shared" ref="H176:H209" si="141">E176*$B$12+I176*$E$80-G176</f>
        <v>0</v>
      </c>
      <c r="I176" s="1411">
        <f t="shared" ref="I176:I209" si="142">D176/1000/C176</f>
        <v>16.021281893518431</v>
      </c>
      <c r="J176" s="483">
        <f>H17</f>
        <v>6.154773859516615E-2</v>
      </c>
      <c r="K176" s="623">
        <f>(I176)*J176</f>
        <v>0.98607366994174095</v>
      </c>
      <c r="L176" s="608">
        <f t="shared" ref="L176:L209" si="143">(E176)*$C$12*$G$12</f>
        <v>0.96248877021284696</v>
      </c>
      <c r="M176" s="727">
        <f>L176+K176</f>
        <v>1.9485624401545878</v>
      </c>
      <c r="N176" s="730">
        <v>0</v>
      </c>
      <c r="O176" s="767">
        <f t="shared" ref="O176:O209" si="144">N176*E176*($C$84)*$B$12</f>
        <v>0</v>
      </c>
      <c r="P176" s="779">
        <f>O176+(K176-I176*$J$136)</f>
        <v>0</v>
      </c>
      <c r="Q176" s="779">
        <f t="shared" ref="Q176:Q209" si="145">E176*$B$12+I176*(1-$H$80)-P176</f>
        <v>23.573842715560573</v>
      </c>
      <c r="R176" s="608">
        <f>Q176-G176</f>
        <v>0</v>
      </c>
      <c r="S176" s="1240">
        <f>R176/(Q176-(I176-K176))</f>
        <v>0</v>
      </c>
      <c r="T176" s="135" t="str">
        <f>IF(AND(S176&gt;=0,S176&lt;=0.85),"Policies met","Policies not met")</f>
        <v>Policies met</v>
      </c>
      <c r="U176" s="1240">
        <f>IF(S176&lt;=0,0,IF(S176&gt;=0.85,0.85,S176))</f>
        <v>0</v>
      </c>
      <c r="V176" s="135" t="str">
        <f>IF(AND(S176&gt;=0,S176&lt;=0.85),"No","Yes")</f>
        <v>No</v>
      </c>
      <c r="W176" s="1241">
        <f>($E$136)*(1-U176)+I176</f>
        <v>27.526054267727829</v>
      </c>
      <c r="X176" s="623">
        <f>Q176-U176*(Q176-(I176-K176))</f>
        <v>23.573842715560573</v>
      </c>
      <c r="Y176" s="118">
        <f>(L176)*(1-U176)+K176</f>
        <v>1.9485624401545878</v>
      </c>
      <c r="Z176" s="608">
        <f t="shared" ref="Z176:Z209" si="146">($C$12*$H$12*$E$136+O176)*(1-U176)</f>
        <v>1.9789482589551808</v>
      </c>
      <c r="AA176" s="608">
        <f t="shared" ref="AA176:AA209" si="147">$F$136*$D$11*(1-U176)</f>
        <v>0</v>
      </c>
      <c r="AB176" s="608">
        <f t="shared" ref="AB176:AB209" si="148">$E$136*$E$12*(1-U176)</f>
        <v>2.4700853057483641E-2</v>
      </c>
      <c r="AC176" s="608">
        <f>SUM(X176:AB176)</f>
        <v>27.526054267727829</v>
      </c>
      <c r="AD176" s="609">
        <f t="shared" ref="AD176:AD194" si="149">AC176-W176</f>
        <v>0</v>
      </c>
      <c r="AE176" s="809">
        <f>X176/AC176</f>
        <v>0.85641924869700925</v>
      </c>
      <c r="AF176" s="728">
        <f>Y176/AC176</f>
        <v>7.0789747822270571E-2</v>
      </c>
      <c r="AG176" s="728">
        <f>Z176/AC176</f>
        <v>7.1893640828694608E-2</v>
      </c>
      <c r="AH176" s="728">
        <f>AB176/AC176</f>
        <v>8.9736265202541149E-4</v>
      </c>
      <c r="AI176" s="728">
        <f>AB176/AC176</f>
        <v>8.9736265202541149E-4</v>
      </c>
      <c r="AJ176" s="825">
        <f>SUM(AE176:AI176)</f>
        <v>1.0008973626520252</v>
      </c>
      <c r="AK176" s="1400">
        <f>(I176-K176)</f>
        <v>15.03520822357669</v>
      </c>
      <c r="AL176" s="608">
        <f>E176*C85*B12</f>
        <v>5.9608665077198184</v>
      </c>
      <c r="AM176" s="608">
        <f>(E176*($C$84)*$B$12-O176)</f>
        <v>2.5777679842640651</v>
      </c>
      <c r="AN176" s="1401">
        <f>SUM(AK176:AM176)</f>
        <v>23.573842715560573</v>
      </c>
      <c r="AO176" s="1402">
        <f>AN176-X176</f>
        <v>0</v>
      </c>
    </row>
    <row r="177" spans="1:41">
      <c r="A177" s="100">
        <f>'Input data'!A118</f>
        <v>2018</v>
      </c>
      <c r="B177" s="1231">
        <f>'Input data'!B118</f>
        <v>57.436</v>
      </c>
      <c r="C177" s="1232">
        <f>'Input data'!C118</f>
        <v>3152.24</v>
      </c>
      <c r="D177" s="1232">
        <f>'Input data'!E118</f>
        <v>50172070.130067617</v>
      </c>
      <c r="E177" s="835">
        <f>'Input data'!J118</f>
        <v>11.504772374209397</v>
      </c>
      <c r="F177" s="835">
        <f>'Input data'!L118/C137</f>
        <v>27.421095411182346</v>
      </c>
      <c r="G177" s="1228">
        <f>G176*0.94</f>
        <v>22.159412152626938</v>
      </c>
      <c r="H177" s="1228">
        <f t="shared" si="141"/>
        <v>1.3159316866540678</v>
      </c>
      <c r="I177" s="1382">
        <f t="shared" si="142"/>
        <v>15.916323036972953</v>
      </c>
      <c r="J177" s="730">
        <f>($J$189-$J$176)/($A$189-$A$176)+J176</f>
        <v>8.7582527933999524E-2</v>
      </c>
      <c r="K177" s="623">
        <f>(I177)*J177</f>
        <v>1.3939918069922437</v>
      </c>
      <c r="L177" s="608">
        <f t="shared" si="143"/>
        <v>0.96248877021284696</v>
      </c>
      <c r="M177" s="727">
        <f t="shared" ref="M177:M209" si="150">L177+K177</f>
        <v>2.3564805772050907</v>
      </c>
      <c r="N177" s="730">
        <v>0.05</v>
      </c>
      <c r="O177" s="767">
        <f t="shared" si="144"/>
        <v>0.12888839921320328</v>
      </c>
      <c r="P177" s="779">
        <f>O177+(K177-I177*$J$136)</f>
        <v>0.54326651652961466</v>
      </c>
      <c r="Q177" s="779">
        <f t="shared" si="145"/>
        <v>22.93207732275139</v>
      </c>
      <c r="R177" s="608">
        <f t="shared" ref="R177:R209" si="151">Q177-G177</f>
        <v>0.77266517012445135</v>
      </c>
      <c r="S177" s="1240">
        <f>R177/(Q177-(I177-K177))</f>
        <v>9.1877348210151324E-2</v>
      </c>
      <c r="T177" s="135" t="str">
        <f t="shared" ref="T177:T209" si="152">IF(AND(S177&gt;=0,S177&lt;=0.85),"Policies met","Policies not met")</f>
        <v>Policies met</v>
      </c>
      <c r="U177" s="1240">
        <f t="shared" ref="U177:U209" si="153">IF(S177&lt;=0,0,IF(S177&gt;=0.85,0.85,S177))</f>
        <v>9.1877348210151324E-2</v>
      </c>
      <c r="V177" s="135" t="str">
        <f t="shared" ref="V177:V209" si="154">IF(AND(S177&gt;=0,S177&lt;=0.85),"No","Yes")</f>
        <v>No</v>
      </c>
      <c r="W177" s="1241">
        <f t="shared" ref="W177:W209" si="155">($E$136)*(1-U177)+I177</f>
        <v>26.364067433678585</v>
      </c>
      <c r="X177" s="623">
        <f t="shared" ref="X177:X209" si="156">Q177-U177*(Q177-(I177-K177))</f>
        <v>22.159412152626938</v>
      </c>
      <c r="Y177" s="118">
        <f t="shared" ref="Y177:Y209" si="157">(L177)*(1-U177)+K177</f>
        <v>2.2680496613158843</v>
      </c>
      <c r="Z177" s="608">
        <f t="shared" si="146"/>
        <v>1.9141742155557255</v>
      </c>
      <c r="AA177" s="608">
        <f t="shared" si="147"/>
        <v>0</v>
      </c>
      <c r="AB177" s="608">
        <f t="shared" si="148"/>
        <v>2.2431404180033435E-2</v>
      </c>
      <c r="AC177" s="608">
        <f t="shared" ref="AC177:AC209" si="158">SUM(X177:AB177)</f>
        <v>26.364067433678581</v>
      </c>
      <c r="AD177" s="767">
        <f t="shared" si="149"/>
        <v>0</v>
      </c>
      <c r="AE177" s="730">
        <f t="shared" ref="AE177:AE209" si="159">X177/AC177</f>
        <v>0.84051568326363646</v>
      </c>
      <c r="AF177" s="483">
        <f t="shared" ref="AF177:AF209" si="160">Y177/AC177</f>
        <v>8.6028063272914443E-2</v>
      </c>
      <c r="AG177" s="483">
        <f t="shared" ref="AG177:AG209" si="161">Z177/AC177</f>
        <v>7.2605421009903734E-2</v>
      </c>
      <c r="AH177" s="483">
        <f t="shared" ref="AH177:AH209" si="162">AB177/AC177</f>
        <v>8.5083245354541177E-4</v>
      </c>
      <c r="AI177" s="483">
        <f t="shared" ref="AI177:AI208" si="163">AB177/AC177</f>
        <v>8.5083245354541177E-4</v>
      </c>
      <c r="AJ177" s="604">
        <f t="shared" ref="AJ177:AJ209" si="164">SUM(AE177:AI177)</f>
        <v>1.0008508324535454</v>
      </c>
      <c r="AK177" s="1400">
        <f>(I177-K177)</f>
        <v>14.522331229980709</v>
      </c>
      <c r="AL177" s="608">
        <f>$AL$176*(1-U177)</f>
        <v>5.4131978999558159</v>
      </c>
      <c r="AM177" s="608">
        <f>($AM$176-O177)*(1-U177)</f>
        <v>2.2238830226904129</v>
      </c>
      <c r="AN177" s="1401">
        <f t="shared" ref="AN177:AN209" si="165">SUM(AK177:AM177)</f>
        <v>22.159412152626938</v>
      </c>
      <c r="AO177" s="1402">
        <f t="shared" ref="AO177:AO209" si="166">AN177-X177</f>
        <v>0</v>
      </c>
    </row>
    <row r="178" spans="1:41">
      <c r="A178" s="100">
        <f>'Input data'!A119</f>
        <v>2019</v>
      </c>
      <c r="B178" s="1231">
        <f>'Input data'!B119</f>
        <v>58.365000000000002</v>
      </c>
      <c r="C178" s="1232">
        <f>'Input data'!C119</f>
        <v>3179.2899999999995</v>
      </c>
      <c r="D178" s="1232">
        <f>'Input data'!E119</f>
        <v>50172070.130067617</v>
      </c>
      <c r="E178" s="835">
        <f>'Input data'!J119</f>
        <v>11.504772374209397</v>
      </c>
      <c r="F178" s="835">
        <f>'Input data'!L119/C138</f>
        <v>27.183579093939649</v>
      </c>
      <c r="G178" s="1228">
        <f>G176*0.89</f>
        <v>20.98072001684891</v>
      </c>
      <c r="H178" s="1228">
        <f t="shared" si="141"/>
        <v>2.3675394772341498</v>
      </c>
      <c r="I178" s="1382">
        <f t="shared" si="142"/>
        <v>15.780903953419671</v>
      </c>
      <c r="J178" s="730">
        <f t="shared" ref="J178:J188" si="167">($J$189-$J$176)/($A$189-$A$176)+J177</f>
        <v>0.11361731727283289</v>
      </c>
      <c r="K178" s="623">
        <f t="shared" ref="K178:K209" si="168">(I178)*J178</f>
        <v>1.7929839713277855</v>
      </c>
      <c r="L178" s="608">
        <f t="shared" si="143"/>
        <v>0.96248877021284696</v>
      </c>
      <c r="M178" s="727">
        <f t="shared" si="150"/>
        <v>2.7554727415406326</v>
      </c>
      <c r="N178" s="730">
        <v>0.1</v>
      </c>
      <c r="O178" s="767">
        <f t="shared" si="144"/>
        <v>0.25777679842640655</v>
      </c>
      <c r="P178" s="779">
        <f t="shared" ref="P178:P209" si="169">O178+(K178-I178*$J$136)</f>
        <v>1.0794818184336941</v>
      </c>
      <c r="Q178" s="779">
        <f t="shared" si="145"/>
        <v>22.268777675649364</v>
      </c>
      <c r="R178" s="608">
        <f t="shared" si="151"/>
        <v>1.2880576588004544</v>
      </c>
      <c r="S178" s="1240">
        <f t="shared" ref="S178:S209" si="170">R178/(Q178-(I178-K178))</f>
        <v>0.15554640672095663</v>
      </c>
      <c r="T178" s="135" t="str">
        <f t="shared" si="152"/>
        <v>Policies met</v>
      </c>
      <c r="U178" s="1240">
        <f t="shared" si="153"/>
        <v>0.15554640672095663</v>
      </c>
      <c r="V178" s="135" t="str">
        <f t="shared" si="154"/>
        <v>No</v>
      </c>
      <c r="W178" s="1241">
        <f t="shared" si="155"/>
        <v>25.496150324678268</v>
      </c>
      <c r="X178" s="623">
        <f t="shared" si="156"/>
        <v>20.98072001684891</v>
      </c>
      <c r="Y178" s="118">
        <f t="shared" si="157"/>
        <v>2.6057610718247517</v>
      </c>
      <c r="Z178" s="608">
        <f t="shared" si="146"/>
        <v>1.8888105118831557</v>
      </c>
      <c r="AA178" s="608">
        <f t="shared" si="147"/>
        <v>0</v>
      </c>
      <c r="AB178" s="608">
        <f t="shared" si="148"/>
        <v>2.0858724121449707E-2</v>
      </c>
      <c r="AC178" s="608">
        <f t="shared" si="158"/>
        <v>25.496150324678265</v>
      </c>
      <c r="AD178" s="767">
        <f t="shared" si="149"/>
        <v>0</v>
      </c>
      <c r="AE178" s="730">
        <f t="shared" si="159"/>
        <v>0.82289756491360289</v>
      </c>
      <c r="AF178" s="483">
        <f t="shared" si="160"/>
        <v>0.10220213791658501</v>
      </c>
      <c r="AG178" s="483">
        <f t="shared" si="161"/>
        <v>7.4082184480020727E-2</v>
      </c>
      <c r="AH178" s="483">
        <f t="shared" si="162"/>
        <v>8.1811268979145081E-4</v>
      </c>
      <c r="AI178" s="483">
        <f t="shared" si="163"/>
        <v>8.1811268979145081E-4</v>
      </c>
      <c r="AJ178" s="604">
        <f t="shared" si="164"/>
        <v>1.0008181126897915</v>
      </c>
      <c r="AK178" s="1400">
        <f t="shared" ref="AK178:AK209" si="171">(I178-K178)</f>
        <v>13.987919982091885</v>
      </c>
      <c r="AL178" s="608">
        <f t="shared" ref="AL178:AL209" si="172">$AL$176*(1-U178)</f>
        <v>5.0336751415007033</v>
      </c>
      <c r="AM178" s="608">
        <f t="shared" ref="AM178:AM209" si="173">($AM$176-O178)*(1-U178)</f>
        <v>1.9591248932563194</v>
      </c>
      <c r="AN178" s="1401">
        <f t="shared" si="165"/>
        <v>20.98072001684891</v>
      </c>
      <c r="AO178" s="1402">
        <f t="shared" si="166"/>
        <v>0</v>
      </c>
    </row>
    <row r="179" spans="1:41">
      <c r="A179" s="100">
        <f>'Input data'!A120</f>
        <v>2020</v>
      </c>
      <c r="B179" s="1231">
        <f>'Input data'!B120</f>
        <v>59.308999999999997</v>
      </c>
      <c r="C179" s="1232">
        <f>'Input data'!C120</f>
        <v>2948.9199999999987</v>
      </c>
      <c r="D179" s="1232">
        <f>'Input data'!E120</f>
        <v>50172070.130067617</v>
      </c>
      <c r="E179" s="835">
        <f>'Input data'!J120</f>
        <v>11.504772374209397</v>
      </c>
      <c r="F179" s="835">
        <f>'Input data'!L120/C139</f>
        <v>27.641847959140343</v>
      </c>
      <c r="G179" s="1228">
        <f>G176*0.81</f>
        <v>19.094812599604065</v>
      </c>
      <c r="H179" s="1228">
        <f t="shared" si="141"/>
        <v>5.4103766557928274</v>
      </c>
      <c r="I179" s="1382">
        <f t="shared" si="142"/>
        <v>17.013710148144959</v>
      </c>
      <c r="J179" s="730">
        <f t="shared" si="167"/>
        <v>0.13965210661166627</v>
      </c>
      <c r="K179" s="623">
        <f t="shared" si="168"/>
        <v>2.3760004634687282</v>
      </c>
      <c r="L179" s="608">
        <f t="shared" si="143"/>
        <v>0.96248877021284696</v>
      </c>
      <c r="M179" s="727">
        <f t="shared" si="150"/>
        <v>3.338489233681575</v>
      </c>
      <c r="N179" s="730">
        <f>($N$141-$N$136)/($A$101-$A$96)+N178</f>
        <v>0.2</v>
      </c>
      <c r="O179" s="767">
        <f t="shared" si="144"/>
        <v>0.5155535968528131</v>
      </c>
      <c r="P179" s="779">
        <f t="shared" si="169"/>
        <v>1.8443986755895898</v>
      </c>
      <c r="Q179" s="779">
        <f t="shared" si="145"/>
        <v>22.660790579807301</v>
      </c>
      <c r="R179" s="608">
        <f t="shared" si="151"/>
        <v>3.5659779802032361</v>
      </c>
      <c r="S179" s="1240">
        <f t="shared" si="170"/>
        <v>0.44446491650948011</v>
      </c>
      <c r="T179" s="135" t="str">
        <f t="shared" si="152"/>
        <v>Policies met</v>
      </c>
      <c r="U179" s="1240">
        <f t="shared" si="153"/>
        <v>0.44446491650948011</v>
      </c>
      <c r="V179" s="135" t="str">
        <f t="shared" si="154"/>
        <v>No</v>
      </c>
      <c r="W179" s="1241">
        <f t="shared" si="155"/>
        <v>23.405014829590804</v>
      </c>
      <c r="X179" s="623">
        <f t="shared" si="156"/>
        <v>19.094812599604065</v>
      </c>
      <c r="Y179" s="118">
        <f t="shared" si="157"/>
        <v>2.9106967427876098</v>
      </c>
      <c r="Z179" s="608">
        <f t="shared" si="146"/>
        <v>1.3857832967335508</v>
      </c>
      <c r="AA179" s="608">
        <f t="shared" si="147"/>
        <v>0</v>
      </c>
      <c r="AB179" s="608">
        <f t="shared" si="148"/>
        <v>1.3722190465576239E-2</v>
      </c>
      <c r="AC179" s="608">
        <f t="shared" si="158"/>
        <v>23.405014829590801</v>
      </c>
      <c r="AD179" s="767">
        <f t="shared" si="149"/>
        <v>0</v>
      </c>
      <c r="AE179" s="730">
        <f t="shared" si="159"/>
        <v>0.81584279004440641</v>
      </c>
      <c r="AF179" s="483">
        <f t="shared" si="160"/>
        <v>0.1243620977803285</v>
      </c>
      <c r="AG179" s="483">
        <f t="shared" si="161"/>
        <v>5.9208819427087667E-2</v>
      </c>
      <c r="AH179" s="483">
        <f t="shared" si="162"/>
        <v>5.8629274817751308E-4</v>
      </c>
      <c r="AI179" s="483">
        <f t="shared" si="163"/>
        <v>5.8629274817751308E-4</v>
      </c>
      <c r="AJ179" s="604">
        <f t="shared" si="164"/>
        <v>1.0005862927481775</v>
      </c>
      <c r="AK179" s="1400">
        <f t="shared" si="171"/>
        <v>14.637709684676231</v>
      </c>
      <c r="AL179" s="608">
        <f t="shared" si="172"/>
        <v>3.3114704730419735</v>
      </c>
      <c r="AM179" s="608">
        <f t="shared" si="173"/>
        <v>1.1456324418858612</v>
      </c>
      <c r="AN179" s="1401">
        <f t="shared" si="165"/>
        <v>19.094812599604065</v>
      </c>
      <c r="AO179" s="1402">
        <f t="shared" si="166"/>
        <v>0</v>
      </c>
    </row>
    <row r="180" spans="1:41">
      <c r="A180" s="100">
        <f>'Input data'!A121</f>
        <v>2021</v>
      </c>
      <c r="B180" s="1231">
        <f>'Input data'!B121</f>
        <v>59.991999999999997</v>
      </c>
      <c r="C180" s="1232">
        <f>'Input data'!C121</f>
        <v>3014.38</v>
      </c>
      <c r="D180" s="1232">
        <f>'Input data'!E121</f>
        <v>50172070.130067617</v>
      </c>
      <c r="E180" s="835">
        <f>'Input data'!J121</f>
        <v>11.504772374209397</v>
      </c>
      <c r="F180" s="835">
        <f>'Input data'!L121/C140</f>
        <v>27.205698213545922</v>
      </c>
      <c r="G180" s="1228">
        <f>G176*0.65</f>
        <v>15.322997765114373</v>
      </c>
      <c r="H180" s="1228">
        <f t="shared" si="141"/>
        <v>8.8354632493795719</v>
      </c>
      <c r="I180" s="1382">
        <f t="shared" si="142"/>
        <v>16.644241976813678</v>
      </c>
      <c r="J180" s="730">
        <f t="shared" si="167"/>
        <v>0.16568689595049965</v>
      </c>
      <c r="K180" s="623">
        <f t="shared" si="168"/>
        <v>2.7577327885872664</v>
      </c>
      <c r="L180" s="608">
        <f t="shared" si="143"/>
        <v>0.96248877021284696</v>
      </c>
      <c r="M180" s="727">
        <f t="shared" si="150"/>
        <v>3.7202215588001133</v>
      </c>
      <c r="N180" s="730">
        <v>0.4</v>
      </c>
      <c r="O180" s="767">
        <f t="shared" si="144"/>
        <v>1.0311071937056262</v>
      </c>
      <c r="P180" s="779">
        <f t="shared" si="169"/>
        <v>2.7644245279892727</v>
      </c>
      <c r="Q180" s="779">
        <f t="shared" si="145"/>
        <v>21.394036486504671</v>
      </c>
      <c r="R180" s="608">
        <f t="shared" si="151"/>
        <v>6.0710387213902983</v>
      </c>
      <c r="S180" s="1240">
        <f t="shared" si="170"/>
        <v>0.80866022595516929</v>
      </c>
      <c r="T180" s="135" t="str">
        <f t="shared" si="152"/>
        <v>Policies met</v>
      </c>
      <c r="U180" s="1240">
        <f t="shared" si="153"/>
        <v>0.80866022595516929</v>
      </c>
      <c r="V180" s="135" t="str">
        <f t="shared" si="154"/>
        <v>No</v>
      </c>
      <c r="W180" s="1241">
        <f t="shared" si="155"/>
        <v>18.845562523332113</v>
      </c>
      <c r="X180" s="623">
        <f t="shared" si="156"/>
        <v>15.322997765114373</v>
      </c>
      <c r="Y180" s="118">
        <f t="shared" si="157"/>
        <v>2.9418951724004794</v>
      </c>
      <c r="Z180" s="608">
        <f t="shared" si="146"/>
        <v>0.57594333017452948</v>
      </c>
      <c r="AA180" s="608">
        <f t="shared" si="147"/>
        <v>0</v>
      </c>
      <c r="AB180" s="608">
        <f t="shared" si="148"/>
        <v>4.7262556427334857E-3</v>
      </c>
      <c r="AC180" s="608">
        <f t="shared" si="158"/>
        <v>18.845562523332113</v>
      </c>
      <c r="AD180" s="767">
        <f t="shared" si="149"/>
        <v>0</v>
      </c>
      <c r="AE180" s="730">
        <f t="shared" si="159"/>
        <v>0.81308253580350487</v>
      </c>
      <c r="AF180" s="483">
        <f t="shared" si="160"/>
        <v>0.15610545818190405</v>
      </c>
      <c r="AG180" s="483">
        <f t="shared" si="161"/>
        <v>3.0561217234108651E-2</v>
      </c>
      <c r="AH180" s="483">
        <f t="shared" si="162"/>
        <v>2.5078878048251694E-4</v>
      </c>
      <c r="AI180" s="483">
        <f t="shared" si="163"/>
        <v>2.5078878048251694E-4</v>
      </c>
      <c r="AJ180" s="604">
        <f t="shared" si="164"/>
        <v>1.0002507887804826</v>
      </c>
      <c r="AK180" s="1400">
        <f t="shared" si="171"/>
        <v>13.886509188226412</v>
      </c>
      <c r="AL180" s="608">
        <f t="shared" si="172"/>
        <v>1.1405508506985091</v>
      </c>
      <c r="AM180" s="608">
        <f t="shared" si="173"/>
        <v>0.29593772618945091</v>
      </c>
      <c r="AN180" s="1401">
        <f t="shared" si="165"/>
        <v>15.322997765114373</v>
      </c>
      <c r="AO180" s="1402">
        <f t="shared" si="166"/>
        <v>0</v>
      </c>
    </row>
    <row r="181" spans="1:41">
      <c r="A181" s="100">
        <f>'Input data'!A122</f>
        <v>2022</v>
      </c>
      <c r="B181" s="1223">
        <f>'Input data'!B122</f>
        <v>60.682000000000002</v>
      </c>
      <c r="C181" s="1224">
        <f>'Input data'!C122</f>
        <v>3077.2</v>
      </c>
      <c r="D181" s="1232">
        <f>'Input data'!E122</f>
        <v>50172070.130067617</v>
      </c>
      <c r="E181" s="835">
        <f>'Input data'!J122</f>
        <v>11.504772374209397</v>
      </c>
      <c r="F181" s="835">
        <f>'Input data'!L122/C141</f>
        <v>26.421973203854616</v>
      </c>
      <c r="G181" s="1228">
        <f>G136*(1-E4)</f>
        <v>11.786921357780287</v>
      </c>
      <c r="H181" s="1228">
        <f t="shared" si="141"/>
        <v>12.052666167130891</v>
      </c>
      <c r="I181" s="1382">
        <f t="shared" si="142"/>
        <v>16.304455391286758</v>
      </c>
      <c r="J181" s="730">
        <f t="shared" si="167"/>
        <v>0.19172168528933303</v>
      </c>
      <c r="K181" s="623">
        <f t="shared" si="168"/>
        <v>3.1259176653422491</v>
      </c>
      <c r="L181" s="608">
        <f t="shared" si="143"/>
        <v>0.96248877021284696</v>
      </c>
      <c r="M181" s="727">
        <f t="shared" si="150"/>
        <v>4.088406435555096</v>
      </c>
      <c r="N181" s="729">
        <f>$E$26</f>
        <v>0.5</v>
      </c>
      <c r="O181" s="767">
        <f t="shared" si="144"/>
        <v>1.2888839921320325</v>
      </c>
      <c r="P181" s="779">
        <f t="shared" si="169"/>
        <v>3.411299299114817</v>
      </c>
      <c r="Q181" s="779">
        <f t="shared" si="145"/>
        <v>20.428288225796361</v>
      </c>
      <c r="R181" s="608">
        <f t="shared" si="151"/>
        <v>8.6413668680160747</v>
      </c>
      <c r="S181" s="1240">
        <f t="shared" si="170"/>
        <v>1.1919536911225648</v>
      </c>
      <c r="T181" s="135" t="str">
        <f t="shared" si="152"/>
        <v>Policies not met</v>
      </c>
      <c r="U181" s="1240">
        <f t="shared" si="153"/>
        <v>0.85</v>
      </c>
      <c r="V181" s="135" t="str">
        <f t="shared" si="154"/>
        <v>Yes</v>
      </c>
      <c r="W181" s="1241">
        <f t="shared" si="155"/>
        <v>18.030171247418167</v>
      </c>
      <c r="X181" s="623">
        <f t="shared" si="156"/>
        <v>14.266000300922286</v>
      </c>
      <c r="Y181" s="118">
        <f t="shared" si="157"/>
        <v>3.2702909808741762</v>
      </c>
      <c r="Z181" s="608">
        <f t="shared" si="146"/>
        <v>0.49017483766308212</v>
      </c>
      <c r="AA181" s="608">
        <f t="shared" si="147"/>
        <v>0</v>
      </c>
      <c r="AB181" s="608">
        <f t="shared" si="148"/>
        <v>3.7051279586225467E-3</v>
      </c>
      <c r="AC181" s="608">
        <f t="shared" si="158"/>
        <v>18.030171247418167</v>
      </c>
      <c r="AD181" s="767">
        <f t="shared" si="149"/>
        <v>0</v>
      </c>
      <c r="AE181" s="730">
        <f t="shared" si="159"/>
        <v>0.79122932917040978</v>
      </c>
      <c r="AF181" s="483">
        <f t="shared" si="160"/>
        <v>0.18137880866453035</v>
      </c>
      <c r="AG181" s="483">
        <f t="shared" si="161"/>
        <v>2.7186366171273763E-2</v>
      </c>
      <c r="AH181" s="483">
        <f t="shared" si="162"/>
        <v>2.054959937861435E-4</v>
      </c>
      <c r="AI181" s="483">
        <f t="shared" si="163"/>
        <v>2.054959937861435E-4</v>
      </c>
      <c r="AJ181" s="604">
        <f t="shared" si="164"/>
        <v>1.0002054959937861</v>
      </c>
      <c r="AK181" s="1400">
        <f t="shared" si="171"/>
        <v>13.178537725944508</v>
      </c>
      <c r="AL181" s="608">
        <f t="shared" si="172"/>
        <v>0.89412997615797285</v>
      </c>
      <c r="AM181" s="608">
        <f t="shared" si="173"/>
        <v>0.19333259881980491</v>
      </c>
      <c r="AN181" s="1401">
        <f t="shared" si="165"/>
        <v>14.266000300922286</v>
      </c>
      <c r="AO181" s="1402">
        <f t="shared" si="166"/>
        <v>0</v>
      </c>
    </row>
    <row r="182" spans="1:41">
      <c r="A182" s="100">
        <f>'Input data'!A123</f>
        <v>2023</v>
      </c>
      <c r="B182" s="1231">
        <f>'Input data'!B123</f>
        <v>61.381</v>
      </c>
      <c r="C182" s="1232">
        <f>'Input data'!C123</f>
        <v>3140.61</v>
      </c>
      <c r="D182" s="1232">
        <f>'Input data'!E123</f>
        <v>50172070.130067617</v>
      </c>
      <c r="E182" s="835">
        <f>'Input data'!J123</f>
        <v>11.504772374209397</v>
      </c>
      <c r="F182" s="835">
        <f>'Input data'!L123/C142</f>
        <v>25.752095944174989</v>
      </c>
      <c r="G182" s="1228">
        <f>($G$146-$G$141)/($A$146-$A$141)+G181</f>
        <v>11.079706076313469</v>
      </c>
      <c r="H182" s="1228">
        <f t="shared" si="141"/>
        <v>12.450949925161842</v>
      </c>
      <c r="I182" s="1382">
        <f t="shared" si="142"/>
        <v>15.975262808838924</v>
      </c>
      <c r="J182" s="730">
        <f t="shared" si="167"/>
        <v>0.21775647462816641</v>
      </c>
      <c r="K182" s="623">
        <f t="shared" si="168"/>
        <v>3.4787169105112237</v>
      </c>
      <c r="L182" s="608">
        <f t="shared" si="143"/>
        <v>0.96248877021284696</v>
      </c>
      <c r="M182" s="727">
        <f t="shared" si="150"/>
        <v>4.441205680724071</v>
      </c>
      <c r="N182" s="730">
        <f>($N$146-$N$141)/($A$106-$A$101)+N181</f>
        <v>0.5</v>
      </c>
      <c r="O182" s="767">
        <f t="shared" si="144"/>
        <v>1.2888839921320325</v>
      </c>
      <c r="P182" s="779">
        <f t="shared" si="169"/>
        <v>3.7843596032957585</v>
      </c>
      <c r="Q182" s="779">
        <f t="shared" si="145"/>
        <v>19.746296398179553</v>
      </c>
      <c r="R182" s="608">
        <f t="shared" si="151"/>
        <v>8.6665903218660834</v>
      </c>
      <c r="S182" s="1240">
        <f t="shared" si="170"/>
        <v>1.1954329079384434</v>
      </c>
      <c r="T182" s="135" t="str">
        <f t="shared" si="152"/>
        <v>Policies not met</v>
      </c>
      <c r="U182" s="1240">
        <f t="shared" si="153"/>
        <v>0.85</v>
      </c>
      <c r="V182" s="135" t="str">
        <f t="shared" si="154"/>
        <v>Yes</v>
      </c>
      <c r="W182" s="1241">
        <f t="shared" si="155"/>
        <v>17.700978664970332</v>
      </c>
      <c r="X182" s="623">
        <f t="shared" si="156"/>
        <v>13.584008473305477</v>
      </c>
      <c r="Y182" s="118">
        <f t="shared" si="157"/>
        <v>3.6230902260431508</v>
      </c>
      <c r="Z182" s="608">
        <f t="shared" si="146"/>
        <v>0.49017483766308212</v>
      </c>
      <c r="AA182" s="608">
        <f t="shared" si="147"/>
        <v>0</v>
      </c>
      <c r="AB182" s="608">
        <f t="shared" si="148"/>
        <v>3.7051279586225467E-3</v>
      </c>
      <c r="AC182" s="608">
        <f t="shared" si="158"/>
        <v>17.700978664970332</v>
      </c>
      <c r="AD182" s="767">
        <f t="shared" si="149"/>
        <v>0</v>
      </c>
      <c r="AE182" s="730">
        <f t="shared" si="159"/>
        <v>0.76741567403771827</v>
      </c>
      <c r="AF182" s="483">
        <f t="shared" si="160"/>
        <v>0.20468304575798002</v>
      </c>
      <c r="AG182" s="483">
        <f t="shared" si="161"/>
        <v>2.7691962514655891E-2</v>
      </c>
      <c r="AH182" s="483">
        <f t="shared" si="162"/>
        <v>2.093176896458768E-4</v>
      </c>
      <c r="AI182" s="483">
        <f t="shared" si="163"/>
        <v>2.093176896458768E-4</v>
      </c>
      <c r="AJ182" s="604">
        <f t="shared" si="164"/>
        <v>1.0002093176896458</v>
      </c>
      <c r="AK182" s="1400">
        <f t="shared" si="171"/>
        <v>12.4965458983277</v>
      </c>
      <c r="AL182" s="608">
        <f t="shared" si="172"/>
        <v>0.89412997615797285</v>
      </c>
      <c r="AM182" s="608">
        <f t="shared" si="173"/>
        <v>0.19333259881980491</v>
      </c>
      <c r="AN182" s="1401">
        <f t="shared" si="165"/>
        <v>13.584008473305477</v>
      </c>
      <c r="AO182" s="1402">
        <f t="shared" si="166"/>
        <v>0</v>
      </c>
    </row>
    <row r="183" spans="1:41">
      <c r="A183" s="100">
        <f>'Input data'!A124</f>
        <v>2024</v>
      </c>
      <c r="B183" s="1231">
        <f>'Input data'!B124</f>
        <v>62.088000000000001</v>
      </c>
      <c r="C183" s="1232">
        <f>'Input data'!C124</f>
        <v>3201.77</v>
      </c>
      <c r="D183" s="1232">
        <f>'Input data'!E124</f>
        <v>50172070.130067617</v>
      </c>
      <c r="E183" s="835">
        <f>'Input data'!J124</f>
        <v>11.504772374209397</v>
      </c>
      <c r="F183" s="835">
        <f>'Input data'!L124/C143</f>
        <v>25.013316708307045</v>
      </c>
      <c r="G183" s="1228">
        <f t="shared" ref="G183:G185" si="174">($G$146-$G$141)/($A$146-$A$141)+G182</f>
        <v>10.372490794846652</v>
      </c>
      <c r="H183" s="1228">
        <f t="shared" si="141"/>
        <v>12.871788597590378</v>
      </c>
      <c r="I183" s="1382">
        <f t="shared" si="142"/>
        <v>15.670104389155878</v>
      </c>
      <c r="J183" s="730">
        <f t="shared" si="167"/>
        <v>0.24379126396699979</v>
      </c>
      <c r="K183" s="623">
        <f t="shared" si="168"/>
        <v>3.8202345555271426</v>
      </c>
      <c r="L183" s="608">
        <f t="shared" si="143"/>
        <v>0.96248877021284696</v>
      </c>
      <c r="M183" s="727">
        <f t="shared" si="150"/>
        <v>4.7827233257399895</v>
      </c>
      <c r="N183" s="730">
        <f>($N$146-$N$141)/($A$106-$A$101)+N182</f>
        <v>0.5</v>
      </c>
      <c r="O183" s="767">
        <f t="shared" si="144"/>
        <v>1.2888839921320325</v>
      </c>
      <c r="P183" s="779">
        <f t="shared" si="169"/>
        <v>4.1446590589564432</v>
      </c>
      <c r="Q183" s="779">
        <f t="shared" si="145"/>
        <v>19.099620333480587</v>
      </c>
      <c r="R183" s="608">
        <f t="shared" si="151"/>
        <v>8.7271295386339354</v>
      </c>
      <c r="S183" s="1240">
        <f t="shared" si="170"/>
        <v>1.2037834321073908</v>
      </c>
      <c r="T183" s="135" t="str">
        <f t="shared" si="152"/>
        <v>Policies not met</v>
      </c>
      <c r="U183" s="1240">
        <f t="shared" si="153"/>
        <v>0.85</v>
      </c>
      <c r="V183" s="135" t="str">
        <f t="shared" si="154"/>
        <v>Yes</v>
      </c>
      <c r="W183" s="1241">
        <f t="shared" si="155"/>
        <v>17.395820245287286</v>
      </c>
      <c r="X183" s="623">
        <f t="shared" si="156"/>
        <v>12.937332408606512</v>
      </c>
      <c r="Y183" s="118">
        <f t="shared" si="157"/>
        <v>3.9646078710590698</v>
      </c>
      <c r="Z183" s="608">
        <f t="shared" si="146"/>
        <v>0.49017483766308212</v>
      </c>
      <c r="AA183" s="608">
        <f t="shared" si="147"/>
        <v>0</v>
      </c>
      <c r="AB183" s="608">
        <f t="shared" si="148"/>
        <v>3.7051279586225467E-3</v>
      </c>
      <c r="AC183" s="608">
        <f t="shared" si="158"/>
        <v>17.395820245287286</v>
      </c>
      <c r="AD183" s="767">
        <f t="shared" si="149"/>
        <v>0</v>
      </c>
      <c r="AE183" s="730">
        <f t="shared" si="159"/>
        <v>0.74370350039178945</v>
      </c>
      <c r="AF183" s="483">
        <f t="shared" si="160"/>
        <v>0.22790577363738421</v>
      </c>
      <c r="AG183" s="483">
        <f t="shared" si="161"/>
        <v>2.8177736418946712E-2</v>
      </c>
      <c r="AH183" s="483">
        <f t="shared" si="162"/>
        <v>2.1298955187964221E-4</v>
      </c>
      <c r="AI183" s="483">
        <f t="shared" si="163"/>
        <v>2.1298955187964221E-4</v>
      </c>
      <c r="AJ183" s="604">
        <f t="shared" si="164"/>
        <v>1.0002129895518796</v>
      </c>
      <c r="AK183" s="1400">
        <f t="shared" si="171"/>
        <v>11.849869833628734</v>
      </c>
      <c r="AL183" s="608">
        <f t="shared" si="172"/>
        <v>0.89412997615797285</v>
      </c>
      <c r="AM183" s="608">
        <f t="shared" si="173"/>
        <v>0.19333259881980491</v>
      </c>
      <c r="AN183" s="1401">
        <f t="shared" si="165"/>
        <v>12.937332408606512</v>
      </c>
      <c r="AO183" s="1402">
        <f t="shared" si="166"/>
        <v>0</v>
      </c>
    </row>
    <row r="184" spans="1:41">
      <c r="A184" s="100">
        <f>'Input data'!A125</f>
        <v>2025</v>
      </c>
      <c r="B184" s="1231">
        <f>'Input data'!B125</f>
        <v>62.802999999999997</v>
      </c>
      <c r="C184" s="1232">
        <f>'Input data'!C125</f>
        <v>3265.54</v>
      </c>
      <c r="D184" s="1232">
        <f>'Input data'!E125</f>
        <v>50172070.130067617</v>
      </c>
      <c r="E184" s="835">
        <f>'Input data'!J125</f>
        <v>11.504772374209397</v>
      </c>
      <c r="F184" s="835">
        <f>'Input data'!L125/C144</f>
        <v>24.046374435403784</v>
      </c>
      <c r="G184" s="1228">
        <f t="shared" si="174"/>
        <v>9.665275513379834</v>
      </c>
      <c r="H184" s="1228">
        <f t="shared" si="141"/>
        <v>13.291829636726098</v>
      </c>
      <c r="I184" s="1382">
        <f t="shared" si="142"/>
        <v>15.364096023955492</v>
      </c>
      <c r="J184" s="730">
        <f t="shared" si="167"/>
        <v>0.26982605330583315</v>
      </c>
      <c r="K184" s="623">
        <f t="shared" si="168"/>
        <v>4.1456333927557534</v>
      </c>
      <c r="L184" s="608">
        <f t="shared" si="143"/>
        <v>0.96248877021284696</v>
      </c>
      <c r="M184" s="727">
        <f t="shared" si="150"/>
        <v>5.1081221629686002</v>
      </c>
      <c r="N184" s="730">
        <f>($N$146-$N$141)/($A$106-$A$101)+N183</f>
        <v>0.5</v>
      </c>
      <c r="O184" s="767">
        <f t="shared" si="144"/>
        <v>1.2888839921320325</v>
      </c>
      <c r="P184" s="779">
        <f t="shared" si="169"/>
        <v>4.488892019054342</v>
      </c>
      <c r="Q184" s="779">
        <f t="shared" si="145"/>
        <v>18.468213131051591</v>
      </c>
      <c r="R184" s="608">
        <f t="shared" si="151"/>
        <v>8.8029376176717573</v>
      </c>
      <c r="S184" s="1240">
        <f t="shared" si="170"/>
        <v>1.2142400787243153</v>
      </c>
      <c r="T184" s="135" t="str">
        <f t="shared" si="152"/>
        <v>Policies not met</v>
      </c>
      <c r="U184" s="1240">
        <f t="shared" si="153"/>
        <v>0.85</v>
      </c>
      <c r="V184" s="135" t="str">
        <f t="shared" si="154"/>
        <v>Yes</v>
      </c>
      <c r="W184" s="1241">
        <f t="shared" si="155"/>
        <v>17.089811880086902</v>
      </c>
      <c r="X184" s="623">
        <f t="shared" si="156"/>
        <v>12.305925206177516</v>
      </c>
      <c r="Y184" s="118">
        <f t="shared" si="157"/>
        <v>4.29000670828768</v>
      </c>
      <c r="Z184" s="608">
        <f t="shared" si="146"/>
        <v>0.49017483766308212</v>
      </c>
      <c r="AA184" s="608">
        <f t="shared" si="147"/>
        <v>0</v>
      </c>
      <c r="AB184" s="608">
        <f t="shared" si="148"/>
        <v>3.7051279586225467E-3</v>
      </c>
      <c r="AC184" s="608">
        <f t="shared" si="158"/>
        <v>17.089811880086902</v>
      </c>
      <c r="AD184" s="767">
        <f t="shared" si="149"/>
        <v>0</v>
      </c>
      <c r="AE184" s="730">
        <f t="shared" si="159"/>
        <v>0.72007376631900877</v>
      </c>
      <c r="AF184" s="483">
        <f t="shared" si="160"/>
        <v>0.25102714637171686</v>
      </c>
      <c r="AG184" s="483">
        <f t="shared" si="161"/>
        <v>2.8682283988990847E-2</v>
      </c>
      <c r="AH184" s="483">
        <f t="shared" si="162"/>
        <v>2.1680332028345921E-4</v>
      </c>
      <c r="AI184" s="483">
        <f t="shared" si="163"/>
        <v>2.1680332028345921E-4</v>
      </c>
      <c r="AJ184" s="604">
        <f t="shared" si="164"/>
        <v>1.0002168033202834</v>
      </c>
      <c r="AK184" s="1400">
        <f t="shared" si="171"/>
        <v>11.218462631199738</v>
      </c>
      <c r="AL184" s="608">
        <f t="shared" si="172"/>
        <v>0.89412997615797285</v>
      </c>
      <c r="AM184" s="608">
        <f t="shared" si="173"/>
        <v>0.19333259881980491</v>
      </c>
      <c r="AN184" s="1401">
        <f t="shared" si="165"/>
        <v>12.305925206177516</v>
      </c>
      <c r="AO184" s="1402">
        <f t="shared" si="166"/>
        <v>0</v>
      </c>
    </row>
    <row r="185" spans="1:41">
      <c r="A185" s="100">
        <f>'Input data'!A126</f>
        <v>2026</v>
      </c>
      <c r="B185" s="1231">
        <f>'Input data'!B126</f>
        <v>63.420999999999999</v>
      </c>
      <c r="C185" s="1232">
        <f>'Input data'!C126</f>
        <v>3341.28</v>
      </c>
      <c r="D185" s="1232">
        <f>'Input data'!E126</f>
        <v>50172070.130067617</v>
      </c>
      <c r="E185" s="835">
        <f>'Input data'!J126</f>
        <v>11.504772374209397</v>
      </c>
      <c r="F185" s="835">
        <f>'Input data'!L126/C145</f>
        <v>23.467156250693375</v>
      </c>
      <c r="G185" s="1228">
        <f t="shared" si="174"/>
        <v>8.9580602319130165</v>
      </c>
      <c r="H185" s="1228">
        <f t="shared" si="141"/>
        <v>13.672207608046456</v>
      </c>
      <c r="I185" s="1382">
        <f t="shared" si="142"/>
        <v>15.01582331623438</v>
      </c>
      <c r="J185" s="730">
        <f t="shared" si="167"/>
        <v>0.2958608426446665</v>
      </c>
      <c r="K185" s="623">
        <f t="shared" si="168"/>
        <v>4.4425941393445338</v>
      </c>
      <c r="L185" s="608">
        <f t="shared" si="143"/>
        <v>0.96248877021284696</v>
      </c>
      <c r="M185" s="727">
        <f t="shared" si="150"/>
        <v>5.4050829095573807</v>
      </c>
      <c r="N185" s="730">
        <f>($N$146-$N$141)/($A$106-$A$101)+N184</f>
        <v>0.5</v>
      </c>
      <c r="O185" s="767">
        <f t="shared" si="144"/>
        <v>1.2888839921320325</v>
      </c>
      <c r="P185" s="779">
        <f t="shared" si="169"/>
        <v>4.8072881632177715</v>
      </c>
      <c r="Q185" s="779">
        <f t="shared" si="145"/>
        <v>17.822979676741703</v>
      </c>
      <c r="R185" s="608">
        <f t="shared" si="151"/>
        <v>8.8649194448286863</v>
      </c>
      <c r="S185" s="1240">
        <f t="shared" si="170"/>
        <v>1.222789590484505</v>
      </c>
      <c r="T185" s="135" t="str">
        <f t="shared" si="152"/>
        <v>Policies not met</v>
      </c>
      <c r="U185" s="1240">
        <f t="shared" si="153"/>
        <v>0.85</v>
      </c>
      <c r="V185" s="135" t="str">
        <f t="shared" si="154"/>
        <v>Yes</v>
      </c>
      <c r="W185" s="1241">
        <f t="shared" si="155"/>
        <v>16.74153917236579</v>
      </c>
      <c r="X185" s="623">
        <f t="shared" si="156"/>
        <v>11.660691751867624</v>
      </c>
      <c r="Y185" s="118">
        <f t="shared" si="157"/>
        <v>4.5869674548764605</v>
      </c>
      <c r="Z185" s="608">
        <f t="shared" si="146"/>
        <v>0.49017483766308212</v>
      </c>
      <c r="AA185" s="608">
        <f t="shared" si="147"/>
        <v>0</v>
      </c>
      <c r="AB185" s="608">
        <f t="shared" si="148"/>
        <v>3.7051279586225467E-3</v>
      </c>
      <c r="AC185" s="608">
        <f t="shared" si="158"/>
        <v>16.74153917236579</v>
      </c>
      <c r="AD185" s="767">
        <f t="shared" si="149"/>
        <v>0</v>
      </c>
      <c r="AE185" s="730">
        <f t="shared" si="159"/>
        <v>0.69651252682400899</v>
      </c>
      <c r="AF185" s="483">
        <f t="shared" si="160"/>
        <v>0.27398720079739625</v>
      </c>
      <c r="AG185" s="483">
        <f t="shared" si="161"/>
        <v>2.9278958918674755E-2</v>
      </c>
      <c r="AH185" s="483">
        <f t="shared" si="162"/>
        <v>2.2131345992000361E-4</v>
      </c>
      <c r="AI185" s="483">
        <f t="shared" si="163"/>
        <v>2.2131345992000361E-4</v>
      </c>
      <c r="AJ185" s="604">
        <f t="shared" si="164"/>
        <v>1.00022131345992</v>
      </c>
      <c r="AK185" s="1400">
        <f t="shared" si="171"/>
        <v>10.573229176889846</v>
      </c>
      <c r="AL185" s="608">
        <f t="shared" si="172"/>
        <v>0.89412997615797285</v>
      </c>
      <c r="AM185" s="608">
        <f t="shared" si="173"/>
        <v>0.19333259881980491</v>
      </c>
      <c r="AN185" s="1401">
        <f t="shared" si="165"/>
        <v>11.660691751867624</v>
      </c>
      <c r="AO185" s="1402">
        <f t="shared" si="166"/>
        <v>0</v>
      </c>
    </row>
    <row r="186" spans="1:41">
      <c r="A186" s="100">
        <f>'Input data'!A127</f>
        <v>2027</v>
      </c>
      <c r="B186" s="1223">
        <f>'Input data'!B127</f>
        <v>64.046000000000006</v>
      </c>
      <c r="C186" s="1224">
        <f>'Input data'!C127</f>
        <v>3416.2799999999997</v>
      </c>
      <c r="D186" s="1232">
        <f>'Input data'!E127</f>
        <v>50172070.130067617</v>
      </c>
      <c r="E186" s="835">
        <f>'Input data'!J127</f>
        <v>11.504772374209397</v>
      </c>
      <c r="F186" s="835">
        <f>'Input data'!L127/C146</f>
        <v>22.916086670087964</v>
      </c>
      <c r="G186" s="1412">
        <f>G136*(1-E5)</f>
        <v>8.2508449504462007</v>
      </c>
      <c r="H186" s="1228">
        <f t="shared" si="141"/>
        <v>14.07005934170742</v>
      </c>
      <c r="I186" s="1382">
        <f t="shared" si="142"/>
        <v>14.686170375398861</v>
      </c>
      <c r="J186" s="730">
        <f t="shared" si="167"/>
        <v>0.32189563198349985</v>
      </c>
      <c r="K186" s="623">
        <f t="shared" si="168"/>
        <v>4.7274140944063694</v>
      </c>
      <c r="L186" s="608">
        <f t="shared" si="143"/>
        <v>0.96248877021284696</v>
      </c>
      <c r="M186" s="727">
        <f t="shared" si="150"/>
        <v>5.6899028646192162</v>
      </c>
      <c r="N186" s="729">
        <f>$C$27</f>
        <v>0.5</v>
      </c>
      <c r="O186" s="767">
        <f t="shared" si="144"/>
        <v>1.2888839921320325</v>
      </c>
      <c r="P186" s="779">
        <f t="shared" si="169"/>
        <v>5.1123975113092799</v>
      </c>
      <c r="Q186" s="779">
        <f t="shared" si="145"/>
        <v>17.208506780844342</v>
      </c>
      <c r="R186" s="608">
        <f t="shared" si="151"/>
        <v>8.9576618303981412</v>
      </c>
      <c r="S186" s="1240">
        <f t="shared" si="170"/>
        <v>1.2355820839049831</v>
      </c>
      <c r="T186" s="135" t="str">
        <f t="shared" si="152"/>
        <v>Policies not met</v>
      </c>
      <c r="U186" s="1240">
        <f t="shared" si="153"/>
        <v>0.85</v>
      </c>
      <c r="V186" s="135" t="str">
        <f t="shared" si="154"/>
        <v>Yes</v>
      </c>
      <c r="W186" s="1241">
        <f t="shared" si="155"/>
        <v>16.411886231530271</v>
      </c>
      <c r="X186" s="623">
        <f t="shared" si="156"/>
        <v>11.04621885597027</v>
      </c>
      <c r="Y186" s="118">
        <f t="shared" si="157"/>
        <v>4.8717874099382961</v>
      </c>
      <c r="Z186" s="608">
        <f t="shared" si="146"/>
        <v>0.49017483766308212</v>
      </c>
      <c r="AA186" s="608">
        <f t="shared" si="147"/>
        <v>0</v>
      </c>
      <c r="AB186" s="608">
        <f t="shared" si="148"/>
        <v>3.7051279586225467E-3</v>
      </c>
      <c r="AC186" s="608">
        <f t="shared" si="158"/>
        <v>16.411886231530271</v>
      </c>
      <c r="AD186" s="767">
        <f t="shared" si="149"/>
        <v>0</v>
      </c>
      <c r="AE186" s="730">
        <f t="shared" si="159"/>
        <v>0.67306211486821299</v>
      </c>
      <c r="AF186" s="483">
        <f t="shared" si="160"/>
        <v>0.2968450634625221</v>
      </c>
      <c r="AG186" s="483">
        <f t="shared" si="161"/>
        <v>2.9867062856027207E-2</v>
      </c>
      <c r="AH186" s="483">
        <f t="shared" si="162"/>
        <v>2.2575881323770757E-4</v>
      </c>
      <c r="AI186" s="483">
        <f t="shared" si="163"/>
        <v>2.2575881323770757E-4</v>
      </c>
      <c r="AJ186" s="604">
        <f t="shared" si="164"/>
        <v>1.0002257588132377</v>
      </c>
      <c r="AK186" s="1400">
        <f t="shared" si="171"/>
        <v>9.9587562809924925</v>
      </c>
      <c r="AL186" s="608">
        <f t="shared" si="172"/>
        <v>0.89412997615797285</v>
      </c>
      <c r="AM186" s="608">
        <f t="shared" si="173"/>
        <v>0.19333259881980491</v>
      </c>
      <c r="AN186" s="1401">
        <f t="shared" si="165"/>
        <v>11.04621885597027</v>
      </c>
      <c r="AO186" s="1402">
        <f t="shared" si="166"/>
        <v>0</v>
      </c>
    </row>
    <row r="187" spans="1:41">
      <c r="A187" s="100">
        <f>'Input data'!A128</f>
        <v>2028</v>
      </c>
      <c r="B187" s="1231">
        <f>'Input data'!B128</f>
        <v>64.676000000000002</v>
      </c>
      <c r="C187" s="1232">
        <f>'Input data'!C128</f>
        <v>3494.8800000000006</v>
      </c>
      <c r="D187" s="1232">
        <f>'Input data'!E128</f>
        <v>50172070.130067617</v>
      </c>
      <c r="E187" s="835">
        <f>'Input data'!J128</f>
        <v>11.504772374209397</v>
      </c>
      <c r="F187" s="835">
        <f>'Input data'!L128/C147</f>
        <v>22.377482054264124</v>
      </c>
      <c r="G187" s="1228">
        <f>($G$151-$G$146)/($A$151-$A$146)+G186</f>
        <v>7.5436296689793831</v>
      </c>
      <c r="H187" s="1228">
        <f t="shared" si="141"/>
        <v>14.467310788566659</v>
      </c>
      <c r="I187" s="1382">
        <f t="shared" si="142"/>
        <v>14.355877778369388</v>
      </c>
      <c r="J187" s="730">
        <f t="shared" si="167"/>
        <v>0.34793042132233321</v>
      </c>
      <c r="K187" s="623">
        <f t="shared" si="168"/>
        <v>4.9948466038799824</v>
      </c>
      <c r="L187" s="608">
        <f t="shared" si="143"/>
        <v>0.96248877021284696</v>
      </c>
      <c r="M187" s="727">
        <f t="shared" si="150"/>
        <v>5.9573353740928292</v>
      </c>
      <c r="N187" s="730">
        <f>N186</f>
        <v>0.5</v>
      </c>
      <c r="O187" s="767">
        <f t="shared" si="144"/>
        <v>1.2888839921320325</v>
      </c>
      <c r="P187" s="779">
        <f t="shared" si="169"/>
        <v>5.4001587832047813</v>
      </c>
      <c r="Q187" s="779">
        <f t="shared" si="145"/>
        <v>16.610781674341261</v>
      </c>
      <c r="R187" s="608">
        <f t="shared" si="151"/>
        <v>9.0671520053618782</v>
      </c>
      <c r="S187" s="1240">
        <f t="shared" si="170"/>
        <v>1.2506846967419305</v>
      </c>
      <c r="T187" s="135" t="str">
        <f t="shared" si="152"/>
        <v>Policies not met</v>
      </c>
      <c r="U187" s="1240">
        <f t="shared" si="153"/>
        <v>0.85</v>
      </c>
      <c r="V187" s="135" t="str">
        <f t="shared" si="154"/>
        <v>Yes</v>
      </c>
      <c r="W187" s="1241">
        <f t="shared" si="155"/>
        <v>16.081593634500798</v>
      </c>
      <c r="X187" s="623">
        <f t="shared" si="156"/>
        <v>10.448493749467183</v>
      </c>
      <c r="Y187" s="118">
        <f t="shared" si="157"/>
        <v>5.139219919411909</v>
      </c>
      <c r="Z187" s="608">
        <f t="shared" si="146"/>
        <v>0.49017483766308212</v>
      </c>
      <c r="AA187" s="608">
        <f t="shared" si="147"/>
        <v>0</v>
      </c>
      <c r="AB187" s="608">
        <f t="shared" si="148"/>
        <v>3.7051279586225467E-3</v>
      </c>
      <c r="AC187" s="608">
        <f t="shared" si="158"/>
        <v>16.081593634500795</v>
      </c>
      <c r="AD187" s="767">
        <f t="shared" si="149"/>
        <v>0</v>
      </c>
      <c r="AE187" s="730">
        <f t="shared" si="159"/>
        <v>0.64971755828050592</v>
      </c>
      <c r="AF187" s="483">
        <f t="shared" si="160"/>
        <v>0.31957155716125274</v>
      </c>
      <c r="AG187" s="483">
        <f t="shared" si="161"/>
        <v>3.0480488986581591E-2</v>
      </c>
      <c r="AH187" s="483">
        <f t="shared" si="162"/>
        <v>2.3039557165987058E-4</v>
      </c>
      <c r="AI187" s="483">
        <f t="shared" si="163"/>
        <v>2.3039557165987058E-4</v>
      </c>
      <c r="AJ187" s="604">
        <f t="shared" si="164"/>
        <v>1.00023039557166</v>
      </c>
      <c r="AK187" s="1400">
        <f t="shared" si="171"/>
        <v>9.3610311744894048</v>
      </c>
      <c r="AL187" s="608">
        <f t="shared" si="172"/>
        <v>0.89412997615797285</v>
      </c>
      <c r="AM187" s="608">
        <f t="shared" si="173"/>
        <v>0.19333259881980491</v>
      </c>
      <c r="AN187" s="1401">
        <f t="shared" si="165"/>
        <v>10.448493749467183</v>
      </c>
      <c r="AO187" s="1402">
        <f t="shared" si="166"/>
        <v>0</v>
      </c>
    </row>
    <row r="188" spans="1:41">
      <c r="A188" s="100">
        <f>'Input data'!A129</f>
        <v>2029</v>
      </c>
      <c r="B188" s="1231">
        <f>'Input data'!B129</f>
        <v>65.313000000000002</v>
      </c>
      <c r="C188" s="1232">
        <f>'Input data'!C129</f>
        <v>3576.08</v>
      </c>
      <c r="D188" s="1232">
        <f>'Input data'!E129</f>
        <v>50172070.130067617</v>
      </c>
      <c r="E188" s="835">
        <f>'Input data'!J129</f>
        <v>11.504772374209397</v>
      </c>
      <c r="F188" s="835">
        <f>'Input data'!L129/C148</f>
        <v>21.855040380108402</v>
      </c>
      <c r="G188" s="1228">
        <f t="shared" ref="G188:G190" si="175">($G$151-$G$146)/($A$151-$A$146)+G187</f>
        <v>6.8364143875125656</v>
      </c>
      <c r="H188" s="1228">
        <f t="shared" si="141"/>
        <v>14.86861813609362</v>
      </c>
      <c r="I188" s="1382">
        <f t="shared" si="142"/>
        <v>14.029907085430867</v>
      </c>
      <c r="J188" s="730">
        <f t="shared" si="167"/>
        <v>0.37396521066116656</v>
      </c>
      <c r="K188" s="623">
        <f t="shared" si="168"/>
        <v>5.2466971587597477</v>
      </c>
      <c r="L188" s="608">
        <f t="shared" si="143"/>
        <v>0.96248877021284696</v>
      </c>
      <c r="M188" s="727">
        <f t="shared" si="150"/>
        <v>6.2091859289725946</v>
      </c>
      <c r="N188" s="730">
        <f t="shared" ref="N188:N209" si="176">N187</f>
        <v>0.5</v>
      </c>
      <c r="O188" s="767">
        <f t="shared" si="144"/>
        <v>1.2888839921320325</v>
      </c>
      <c r="P188" s="779">
        <f t="shared" si="169"/>
        <v>5.6720720970832117</v>
      </c>
      <c r="Q188" s="779">
        <f t="shared" si="145"/>
        <v>16.032960426522973</v>
      </c>
      <c r="R188" s="608">
        <f t="shared" si="151"/>
        <v>9.196546039010407</v>
      </c>
      <c r="S188" s="1240">
        <f t="shared" si="170"/>
        <v>1.268532763879024</v>
      </c>
      <c r="T188" s="135" t="str">
        <f t="shared" si="152"/>
        <v>Policies not met</v>
      </c>
      <c r="U188" s="1240">
        <f t="shared" si="153"/>
        <v>0.85</v>
      </c>
      <c r="V188" s="135" t="str">
        <f t="shared" si="154"/>
        <v>Yes</v>
      </c>
      <c r="W188" s="1241">
        <f t="shared" si="155"/>
        <v>15.755622941562278</v>
      </c>
      <c r="X188" s="623">
        <f t="shared" si="156"/>
        <v>9.8706725016488974</v>
      </c>
      <c r="Y188" s="118">
        <f t="shared" si="157"/>
        <v>5.3910704742916744</v>
      </c>
      <c r="Z188" s="608">
        <f t="shared" si="146"/>
        <v>0.49017483766308212</v>
      </c>
      <c r="AA188" s="608">
        <f t="shared" si="147"/>
        <v>0</v>
      </c>
      <c r="AB188" s="608">
        <f t="shared" si="148"/>
        <v>3.7051279586225467E-3</v>
      </c>
      <c r="AC188" s="608">
        <f t="shared" si="158"/>
        <v>15.755622941562276</v>
      </c>
      <c r="AD188" s="767">
        <f t="shared" si="149"/>
        <v>0</v>
      </c>
      <c r="AE188" s="730">
        <f t="shared" si="159"/>
        <v>0.62648570216863508</v>
      </c>
      <c r="AF188" s="483">
        <f t="shared" si="160"/>
        <v>0.3421680306952759</v>
      </c>
      <c r="AG188" s="483">
        <f t="shared" si="161"/>
        <v>3.1111104872282375E-2</v>
      </c>
      <c r="AH188" s="483">
        <f t="shared" si="162"/>
        <v>2.35162263806699E-4</v>
      </c>
      <c r="AI188" s="483">
        <f t="shared" si="163"/>
        <v>2.35162263806699E-4</v>
      </c>
      <c r="AJ188" s="604">
        <f t="shared" si="164"/>
        <v>1.0002351622638066</v>
      </c>
      <c r="AK188" s="1400">
        <f t="shared" si="171"/>
        <v>8.7832099266711197</v>
      </c>
      <c r="AL188" s="608">
        <f t="shared" si="172"/>
        <v>0.89412997615797285</v>
      </c>
      <c r="AM188" s="608">
        <f t="shared" si="173"/>
        <v>0.19333259881980491</v>
      </c>
      <c r="AN188" s="1401">
        <f t="shared" si="165"/>
        <v>9.8706725016488974</v>
      </c>
      <c r="AO188" s="1402">
        <f t="shared" si="166"/>
        <v>0</v>
      </c>
    </row>
    <row r="189" spans="1:41">
      <c r="A189" s="100">
        <f>'Input data'!A130</f>
        <v>2030</v>
      </c>
      <c r="B189" s="1223">
        <f>'Input data'!B130</f>
        <v>65.956000000000003</v>
      </c>
      <c r="C189" s="1224">
        <f>'Input data'!C130</f>
        <v>3660.12</v>
      </c>
      <c r="D189" s="1232">
        <f>'Input data'!E130</f>
        <v>50172070.130067617</v>
      </c>
      <c r="E189" s="835">
        <f>'Input data'!J130</f>
        <v>11.504772374209397</v>
      </c>
      <c r="F189" s="835">
        <f>'Input data'!L130/C149</f>
        <v>21.348153797343326</v>
      </c>
      <c r="G189" s="1228">
        <f t="shared" si="175"/>
        <v>6.129199106045748</v>
      </c>
      <c r="H189" s="1228">
        <f t="shared" si="141"/>
        <v>15.273519807466355</v>
      </c>
      <c r="I189" s="1382">
        <f t="shared" si="142"/>
        <v>13.707766447566641</v>
      </c>
      <c r="J189" s="477">
        <f>$H$19</f>
        <v>0.4</v>
      </c>
      <c r="K189" s="623">
        <f t="shared" si="168"/>
        <v>5.4831065790266571</v>
      </c>
      <c r="L189" s="608">
        <f t="shared" si="143"/>
        <v>0.96248877021284696</v>
      </c>
      <c r="M189" s="727">
        <f t="shared" si="150"/>
        <v>6.4455953492395039</v>
      </c>
      <c r="N189" s="730">
        <f t="shared" si="176"/>
        <v>0.5</v>
      </c>
      <c r="O189" s="767">
        <f t="shared" si="144"/>
        <v>1.2888839921320325</v>
      </c>
      <c r="P189" s="779">
        <f t="shared" si="169"/>
        <v>5.9283085451202693</v>
      </c>
      <c r="Q189" s="779">
        <f t="shared" si="145"/>
        <v>15.474410368391833</v>
      </c>
      <c r="R189" s="608">
        <f t="shared" si="151"/>
        <v>9.3452112623460852</v>
      </c>
      <c r="S189" s="1240">
        <f t="shared" si="170"/>
        <v>1.2890390176237179</v>
      </c>
      <c r="T189" s="135" t="str">
        <f t="shared" si="152"/>
        <v>Policies not met</v>
      </c>
      <c r="U189" s="1240">
        <f t="shared" si="153"/>
        <v>0.85</v>
      </c>
      <c r="V189" s="135" t="str">
        <f t="shared" si="154"/>
        <v>Yes</v>
      </c>
      <c r="W189" s="1241">
        <f t="shared" si="155"/>
        <v>15.433482303698051</v>
      </c>
      <c r="X189" s="623">
        <f t="shared" si="156"/>
        <v>9.3121224435177616</v>
      </c>
      <c r="Y189" s="118">
        <f t="shared" si="157"/>
        <v>5.6274798945585838</v>
      </c>
      <c r="Z189" s="608">
        <f t="shared" si="146"/>
        <v>0.49017483766308212</v>
      </c>
      <c r="AA189" s="608">
        <f t="shared" si="147"/>
        <v>0</v>
      </c>
      <c r="AB189" s="608">
        <f t="shared" si="148"/>
        <v>3.7051279586225467E-3</v>
      </c>
      <c r="AC189" s="608">
        <f t="shared" si="158"/>
        <v>15.43348230369805</v>
      </c>
      <c r="AD189" s="767">
        <f t="shared" si="149"/>
        <v>0</v>
      </c>
      <c r="AE189" s="730">
        <f t="shared" si="159"/>
        <v>0.60337144011150767</v>
      </c>
      <c r="AF189" s="483">
        <f t="shared" si="160"/>
        <v>0.36462800707071608</v>
      </c>
      <c r="AG189" s="483">
        <f t="shared" si="161"/>
        <v>3.176048204918927E-2</v>
      </c>
      <c r="AH189" s="483">
        <f t="shared" si="162"/>
        <v>2.4007076858699304E-4</v>
      </c>
      <c r="AI189" s="483">
        <f t="shared" si="163"/>
        <v>2.4007076858699304E-4</v>
      </c>
      <c r="AJ189" s="604">
        <f t="shared" si="164"/>
        <v>1.000240070768587</v>
      </c>
      <c r="AK189" s="1400">
        <f t="shared" si="171"/>
        <v>8.2246598685399839</v>
      </c>
      <c r="AL189" s="608">
        <f t="shared" si="172"/>
        <v>0.89412997615797285</v>
      </c>
      <c r="AM189" s="608">
        <f t="shared" si="173"/>
        <v>0.19333259881980491</v>
      </c>
      <c r="AN189" s="1401">
        <f t="shared" si="165"/>
        <v>9.3121224435177616</v>
      </c>
      <c r="AO189" s="1402">
        <f t="shared" si="166"/>
        <v>0</v>
      </c>
    </row>
    <row r="190" spans="1:41">
      <c r="A190" s="100">
        <f>'Input data'!A131</f>
        <v>2031</v>
      </c>
      <c r="B190" s="1231">
        <f>'Input data'!B131</f>
        <v>66.519000000000005</v>
      </c>
      <c r="C190" s="1232">
        <f>'Input data'!C131</f>
        <v>3761.03</v>
      </c>
      <c r="D190" s="1232">
        <f>'Input data'!E131</f>
        <v>50172070.130067617</v>
      </c>
      <c r="E190" s="835">
        <f>'Input data'!J131</f>
        <v>11.504772374209397</v>
      </c>
      <c r="F190" s="835">
        <f>'Input data'!L131/C150</f>
        <v>21.035786670661476</v>
      </c>
      <c r="G190" s="1228">
        <f t="shared" si="175"/>
        <v>5.4219838245789305</v>
      </c>
      <c r="H190" s="1228">
        <f t="shared" si="141"/>
        <v>15.635586350694869</v>
      </c>
      <c r="I190" s="1382">
        <f t="shared" si="142"/>
        <v>13.339981369483256</v>
      </c>
      <c r="J190" s="483">
        <f>J189</f>
        <v>0.4</v>
      </c>
      <c r="K190" s="623">
        <f t="shared" si="168"/>
        <v>5.3359925477933032</v>
      </c>
      <c r="L190" s="608">
        <f t="shared" si="143"/>
        <v>0.96248877021284696</v>
      </c>
      <c r="M190" s="727">
        <f t="shared" si="150"/>
        <v>6.2984813180061501</v>
      </c>
      <c r="N190" s="730">
        <f t="shared" si="176"/>
        <v>0.5</v>
      </c>
      <c r="O190" s="767">
        <f t="shared" si="144"/>
        <v>1.2888839921320325</v>
      </c>
      <c r="P190" s="779">
        <f t="shared" si="169"/>
        <v>5.803830853731994</v>
      </c>
      <c r="Q190" s="779">
        <f t="shared" si="145"/>
        <v>15.253739321541804</v>
      </c>
      <c r="R190" s="608">
        <f t="shared" si="151"/>
        <v>9.8317554969628738</v>
      </c>
      <c r="S190" s="1240">
        <f t="shared" si="170"/>
        <v>1.3561508768010411</v>
      </c>
      <c r="T190" s="135" t="str">
        <f t="shared" si="152"/>
        <v>Policies not met</v>
      </c>
      <c r="U190" s="1240">
        <f t="shared" si="153"/>
        <v>0.85</v>
      </c>
      <c r="V190" s="135" t="str">
        <f t="shared" si="154"/>
        <v>Yes</v>
      </c>
      <c r="W190" s="1241">
        <f t="shared" si="155"/>
        <v>15.065697225614667</v>
      </c>
      <c r="X190" s="623">
        <f t="shared" si="156"/>
        <v>9.0914513966677308</v>
      </c>
      <c r="Y190" s="118">
        <f t="shared" si="157"/>
        <v>5.4803658633252299</v>
      </c>
      <c r="Z190" s="608">
        <f t="shared" si="146"/>
        <v>0.49017483766308212</v>
      </c>
      <c r="AA190" s="608">
        <f t="shared" si="147"/>
        <v>0</v>
      </c>
      <c r="AB190" s="608">
        <f t="shared" si="148"/>
        <v>3.7051279586225467E-3</v>
      </c>
      <c r="AC190" s="608">
        <f t="shared" si="158"/>
        <v>15.065697225614667</v>
      </c>
      <c r="AD190" s="767">
        <f t="shared" si="149"/>
        <v>0</v>
      </c>
      <c r="AE190" s="730">
        <f t="shared" si="159"/>
        <v>0.60345374399337215</v>
      </c>
      <c r="AF190" s="483">
        <f t="shared" si="160"/>
        <v>0.36376450298015572</v>
      </c>
      <c r="AG190" s="483">
        <f t="shared" si="161"/>
        <v>3.2535821629926819E-2</v>
      </c>
      <c r="AH190" s="483">
        <f t="shared" si="162"/>
        <v>2.4593139654519909E-4</v>
      </c>
      <c r="AI190" s="483">
        <f t="shared" si="163"/>
        <v>2.4593139654519909E-4</v>
      </c>
      <c r="AJ190" s="604">
        <f t="shared" si="164"/>
        <v>1.0002459313965451</v>
      </c>
      <c r="AK190" s="1400">
        <f t="shared" si="171"/>
        <v>8.0039888216899531</v>
      </c>
      <c r="AL190" s="608">
        <f t="shared" si="172"/>
        <v>0.89412997615797285</v>
      </c>
      <c r="AM190" s="608">
        <f t="shared" si="173"/>
        <v>0.19333259881980491</v>
      </c>
      <c r="AN190" s="1401">
        <f t="shared" si="165"/>
        <v>9.0914513966677308</v>
      </c>
      <c r="AO190" s="1402">
        <f t="shared" si="166"/>
        <v>0</v>
      </c>
    </row>
    <row r="191" spans="1:41">
      <c r="A191" s="100">
        <f>'Input data'!A132</f>
        <v>2032</v>
      </c>
      <c r="B191" s="1231">
        <f>'Input data'!B132</f>
        <v>67.087000000000003</v>
      </c>
      <c r="C191" s="1232">
        <f>'Input data'!C132</f>
        <v>3857.2</v>
      </c>
      <c r="D191" s="1232">
        <f>'Input data'!E132</f>
        <v>50172070.130067617</v>
      </c>
      <c r="E191" s="835">
        <f>'Input data'!J132</f>
        <v>11.504772374209397</v>
      </c>
      <c r="F191" s="835">
        <f>'Input data'!L132/C151</f>
        <v>20.751092032077636</v>
      </c>
      <c r="G191" s="1228">
        <f>G136*(1-E6)</f>
        <v>4.7147685431121138</v>
      </c>
      <c r="H191" s="1228">
        <f t="shared" si="141"/>
        <v>16.030672096575771</v>
      </c>
      <c r="I191" s="1382">
        <f t="shared" si="142"/>
        <v>13.007381035483672</v>
      </c>
      <c r="J191" s="483">
        <f t="shared" ref="J191:J209" si="177">J190</f>
        <v>0.4</v>
      </c>
      <c r="K191" s="623">
        <f t="shared" si="168"/>
        <v>5.2029524141934687</v>
      </c>
      <c r="L191" s="608">
        <f t="shared" si="143"/>
        <v>0.96248877021284696</v>
      </c>
      <c r="M191" s="727">
        <f t="shared" si="150"/>
        <v>6.1654411844063155</v>
      </c>
      <c r="N191" s="730">
        <f t="shared" si="176"/>
        <v>0.5</v>
      </c>
      <c r="O191" s="767">
        <f t="shared" si="144"/>
        <v>1.2888839921320325</v>
      </c>
      <c r="P191" s="779">
        <f t="shared" si="169"/>
        <v>5.6912615185458311</v>
      </c>
      <c r="Q191" s="779">
        <f t="shared" si="145"/>
        <v>15.054179121142054</v>
      </c>
      <c r="R191" s="608">
        <f t="shared" si="151"/>
        <v>10.339410578029941</v>
      </c>
      <c r="S191" s="1240">
        <f t="shared" si="170"/>
        <v>1.4261746770790564</v>
      </c>
      <c r="T191" s="135" t="str">
        <f t="shared" si="152"/>
        <v>Policies not met</v>
      </c>
      <c r="U191" s="1240">
        <f t="shared" si="153"/>
        <v>0.85</v>
      </c>
      <c r="V191" s="135" t="str">
        <f t="shared" si="154"/>
        <v>Yes</v>
      </c>
      <c r="W191" s="1241">
        <f t="shared" si="155"/>
        <v>14.733096891615082</v>
      </c>
      <c r="X191" s="623">
        <f t="shared" si="156"/>
        <v>8.8918911962679807</v>
      </c>
      <c r="Y191" s="118">
        <f t="shared" si="157"/>
        <v>5.3473257297253953</v>
      </c>
      <c r="Z191" s="608">
        <f t="shared" si="146"/>
        <v>0.49017483766308212</v>
      </c>
      <c r="AA191" s="608">
        <f t="shared" si="147"/>
        <v>0</v>
      </c>
      <c r="AB191" s="608">
        <f t="shared" si="148"/>
        <v>3.7051279586225467E-3</v>
      </c>
      <c r="AC191" s="608">
        <f t="shared" si="158"/>
        <v>14.73309689161508</v>
      </c>
      <c r="AD191" s="767">
        <f t="shared" si="149"/>
        <v>0</v>
      </c>
      <c r="AE191" s="730">
        <f t="shared" si="159"/>
        <v>0.60353171242147641</v>
      </c>
      <c r="AF191" s="483">
        <f t="shared" si="160"/>
        <v>0.36294648498298226</v>
      </c>
      <c r="AG191" s="483">
        <f t="shared" si="161"/>
        <v>3.3270319286507311E-2</v>
      </c>
      <c r="AH191" s="483">
        <f t="shared" si="162"/>
        <v>2.514833090340439E-4</v>
      </c>
      <c r="AI191" s="483">
        <f t="shared" si="163"/>
        <v>2.514833090340439E-4</v>
      </c>
      <c r="AJ191" s="604">
        <f t="shared" si="164"/>
        <v>1.0002514833090344</v>
      </c>
      <c r="AK191" s="1400">
        <f t="shared" si="171"/>
        <v>7.804428621290203</v>
      </c>
      <c r="AL191" s="608">
        <f t="shared" si="172"/>
        <v>0.89412997615797285</v>
      </c>
      <c r="AM191" s="608">
        <f t="shared" si="173"/>
        <v>0.19333259881980491</v>
      </c>
      <c r="AN191" s="1401">
        <f t="shared" si="165"/>
        <v>8.8918911962679807</v>
      </c>
      <c r="AO191" s="1402">
        <f t="shared" si="166"/>
        <v>0</v>
      </c>
    </row>
    <row r="192" spans="1:41">
      <c r="A192" s="100">
        <f>'Input data'!A133</f>
        <v>2033</v>
      </c>
      <c r="B192" s="1231">
        <f>'Input data'!B133</f>
        <v>67.659000000000006</v>
      </c>
      <c r="C192" s="1232">
        <f>'Input data'!C133</f>
        <v>3964.01</v>
      </c>
      <c r="D192" s="1232">
        <f>'Input data'!E133</f>
        <v>50172070.130067617</v>
      </c>
      <c r="E192" s="835">
        <f>'Input data'!J133</f>
        <v>11.504772374209397</v>
      </c>
      <c r="F192" s="835">
        <f>'Input data'!L133/C152</f>
        <v>20.456156873560708</v>
      </c>
      <c r="G192" s="1228">
        <f>G191</f>
        <v>4.7147685431121138</v>
      </c>
      <c r="H192" s="1228">
        <f t="shared" si="141"/>
        <v>15.701760473084342</v>
      </c>
      <c r="I192" s="1382">
        <f t="shared" si="142"/>
        <v>12.656897972020154</v>
      </c>
      <c r="J192" s="483">
        <f t="shared" si="177"/>
        <v>0.4</v>
      </c>
      <c r="K192" s="623">
        <f t="shared" si="168"/>
        <v>5.0627591888080623</v>
      </c>
      <c r="L192" s="608">
        <f t="shared" si="143"/>
        <v>0.96248877021284696</v>
      </c>
      <c r="M192" s="727">
        <f t="shared" si="150"/>
        <v>6.0252479590209091</v>
      </c>
      <c r="N192" s="730">
        <f t="shared" si="176"/>
        <v>0.5</v>
      </c>
      <c r="O192" s="767">
        <f t="shared" si="144"/>
        <v>1.2888839921320325</v>
      </c>
      <c r="P192" s="779">
        <f t="shared" si="169"/>
        <v>5.5726397331325099</v>
      </c>
      <c r="Q192" s="779">
        <f t="shared" si="145"/>
        <v>14.843889283063946</v>
      </c>
      <c r="R192" s="608">
        <f t="shared" si="151"/>
        <v>10.129120739951833</v>
      </c>
      <c r="S192" s="1240">
        <f t="shared" si="170"/>
        <v>1.3971681839476844</v>
      </c>
      <c r="T192" s="135" t="str">
        <f t="shared" si="152"/>
        <v>Policies not met</v>
      </c>
      <c r="U192" s="1240">
        <f t="shared" si="153"/>
        <v>0.85</v>
      </c>
      <c r="V192" s="135" t="str">
        <f t="shared" si="154"/>
        <v>Yes</v>
      </c>
      <c r="W192" s="1241">
        <f t="shared" si="155"/>
        <v>14.382613828151564</v>
      </c>
      <c r="X192" s="623">
        <f t="shared" si="156"/>
        <v>8.6816013581898694</v>
      </c>
      <c r="Y192" s="118">
        <f t="shared" si="157"/>
        <v>5.207132504339989</v>
      </c>
      <c r="Z192" s="608">
        <f t="shared" si="146"/>
        <v>0.49017483766308212</v>
      </c>
      <c r="AA192" s="608">
        <f t="shared" si="147"/>
        <v>0</v>
      </c>
      <c r="AB192" s="608">
        <f t="shared" si="148"/>
        <v>3.7051279586225467E-3</v>
      </c>
      <c r="AC192" s="608">
        <f t="shared" si="158"/>
        <v>14.382613828151563</v>
      </c>
      <c r="AD192" s="767">
        <f t="shared" si="149"/>
        <v>0</v>
      </c>
      <c r="AE192" s="730">
        <f t="shared" si="159"/>
        <v>0.60361777503871272</v>
      </c>
      <c r="AF192" s="483">
        <f t="shared" si="160"/>
        <v>0.3620435455305</v>
      </c>
      <c r="AG192" s="483">
        <f t="shared" si="161"/>
        <v>3.4081067844820165E-2</v>
      </c>
      <c r="AH192" s="483">
        <f t="shared" si="162"/>
        <v>2.576115859671055E-4</v>
      </c>
      <c r="AI192" s="483">
        <f t="shared" si="163"/>
        <v>2.576115859671055E-4</v>
      </c>
      <c r="AJ192" s="604">
        <f t="shared" si="164"/>
        <v>1.0002576115859672</v>
      </c>
      <c r="AK192" s="1400">
        <f t="shared" si="171"/>
        <v>7.5941387832120917</v>
      </c>
      <c r="AL192" s="608">
        <f t="shared" si="172"/>
        <v>0.89412997615797285</v>
      </c>
      <c r="AM192" s="608">
        <f t="shared" si="173"/>
        <v>0.19333259881980491</v>
      </c>
      <c r="AN192" s="1401">
        <f t="shared" si="165"/>
        <v>8.6816013581898694</v>
      </c>
      <c r="AO192" s="1402">
        <f t="shared" si="166"/>
        <v>0</v>
      </c>
    </row>
    <row r="193" spans="1:41">
      <c r="A193" s="100">
        <f>'Input data'!A134</f>
        <v>2034</v>
      </c>
      <c r="B193" s="1231">
        <f>'Input data'!B134</f>
        <v>68.236999999999995</v>
      </c>
      <c r="C193" s="1232">
        <f>'Input data'!C134</f>
        <v>4078.22</v>
      </c>
      <c r="D193" s="1232">
        <f>'Input data'!E134</f>
        <v>50172070.130067617</v>
      </c>
      <c r="E193" s="835">
        <f>'Input data'!J134</f>
        <v>11.504772374209397</v>
      </c>
      <c r="F193" s="835">
        <f>'Input data'!L134/C153</f>
        <v>20.160963348266169</v>
      </c>
      <c r="G193" s="1228">
        <f t="shared" ref="G193:G209" si="178">G192</f>
        <v>4.7147685431121138</v>
      </c>
      <c r="H193" s="1228">
        <f t="shared" si="141"/>
        <v>15.36912164202316</v>
      </c>
      <c r="I193" s="1382">
        <f t="shared" si="142"/>
        <v>12.302443254671797</v>
      </c>
      <c r="J193" s="483">
        <f t="shared" si="177"/>
        <v>0.4</v>
      </c>
      <c r="K193" s="623">
        <f t="shared" si="168"/>
        <v>4.9209773018687191</v>
      </c>
      <c r="L193" s="608">
        <f t="shared" si="143"/>
        <v>0.96248877021284696</v>
      </c>
      <c r="M193" s="727">
        <f t="shared" si="150"/>
        <v>5.8834660720815659</v>
      </c>
      <c r="N193" s="730">
        <f t="shared" si="176"/>
        <v>0.5</v>
      </c>
      <c r="O193" s="767">
        <f t="shared" si="144"/>
        <v>1.2888839921320325</v>
      </c>
      <c r="P193" s="779">
        <f t="shared" si="169"/>
        <v>5.4526737324803474</v>
      </c>
      <c r="Q193" s="779">
        <f t="shared" si="145"/>
        <v>14.631216452654927</v>
      </c>
      <c r="R193" s="608">
        <f t="shared" si="151"/>
        <v>9.9164479095428142</v>
      </c>
      <c r="S193" s="1240">
        <f t="shared" si="170"/>
        <v>1.3678329909071298</v>
      </c>
      <c r="T193" s="135" t="str">
        <f t="shared" si="152"/>
        <v>Policies not met</v>
      </c>
      <c r="U193" s="1240">
        <f t="shared" si="153"/>
        <v>0.85</v>
      </c>
      <c r="V193" s="135" t="str">
        <f t="shared" si="154"/>
        <v>Yes</v>
      </c>
      <c r="W193" s="1241">
        <f t="shared" si="155"/>
        <v>14.028159110803207</v>
      </c>
      <c r="X193" s="623">
        <f t="shared" si="156"/>
        <v>8.4689285277808555</v>
      </c>
      <c r="Y193" s="118">
        <f t="shared" si="157"/>
        <v>5.0653506174006457</v>
      </c>
      <c r="Z193" s="608">
        <f t="shared" si="146"/>
        <v>0.49017483766308212</v>
      </c>
      <c r="AA193" s="608">
        <f t="shared" si="147"/>
        <v>0</v>
      </c>
      <c r="AB193" s="608">
        <f t="shared" si="148"/>
        <v>3.7051279586225467E-3</v>
      </c>
      <c r="AC193" s="608">
        <f t="shared" si="158"/>
        <v>14.028159110803205</v>
      </c>
      <c r="AD193" s="767">
        <f t="shared" si="149"/>
        <v>0</v>
      </c>
      <c r="AE193" s="730">
        <f t="shared" si="159"/>
        <v>0.60370918670710405</v>
      </c>
      <c r="AF193" s="483">
        <f t="shared" si="160"/>
        <v>0.36108448566852769</v>
      </c>
      <c r="AG193" s="483">
        <f t="shared" si="161"/>
        <v>3.4942206870578925E-2</v>
      </c>
      <c r="AH193" s="483">
        <f t="shared" si="162"/>
        <v>2.6412075378936899E-4</v>
      </c>
      <c r="AI193" s="483">
        <f t="shared" si="163"/>
        <v>2.6412075378936899E-4</v>
      </c>
      <c r="AJ193" s="604">
        <f t="shared" si="164"/>
        <v>1.0002641207537895</v>
      </c>
      <c r="AK193" s="1400">
        <f t="shared" si="171"/>
        <v>7.3814659528030777</v>
      </c>
      <c r="AL193" s="608">
        <f t="shared" si="172"/>
        <v>0.89412997615797285</v>
      </c>
      <c r="AM193" s="608">
        <f t="shared" si="173"/>
        <v>0.19333259881980491</v>
      </c>
      <c r="AN193" s="1401">
        <f t="shared" si="165"/>
        <v>8.4689285277808555</v>
      </c>
      <c r="AO193" s="1402">
        <f t="shared" si="166"/>
        <v>0</v>
      </c>
    </row>
    <row r="194" spans="1:41">
      <c r="A194" s="100">
        <f>'Input data'!A135</f>
        <v>2035</v>
      </c>
      <c r="B194" s="1231">
        <f>'Input data'!B135</f>
        <v>68.819000000000003</v>
      </c>
      <c r="C194" s="1232">
        <f>'Input data'!C135</f>
        <v>4200.2899999999991</v>
      </c>
      <c r="D194" s="1232">
        <f>'Input data'!E135</f>
        <v>50172070.130067617</v>
      </c>
      <c r="E194" s="835">
        <f>'Input data'!J135</f>
        <v>11.504772374209397</v>
      </c>
      <c r="F194" s="835">
        <f>'Input data'!L135/C154</f>
        <v>19.866177096064803</v>
      </c>
      <c r="G194" s="1228">
        <f t="shared" si="178"/>
        <v>4.7147685431121138</v>
      </c>
      <c r="H194" s="1228">
        <f t="shared" si="141"/>
        <v>15.033590199560145</v>
      </c>
      <c r="I194" s="1382">
        <f t="shared" si="142"/>
        <v>11.944906216015472</v>
      </c>
      <c r="J194" s="483">
        <f t="shared" si="177"/>
        <v>0.4</v>
      </c>
      <c r="K194" s="623">
        <f t="shared" si="168"/>
        <v>4.7779624864061887</v>
      </c>
      <c r="L194" s="608">
        <f t="shared" si="143"/>
        <v>0.96248877021284696</v>
      </c>
      <c r="M194" s="727">
        <f t="shared" si="150"/>
        <v>5.7404512566190355</v>
      </c>
      <c r="N194" s="730">
        <f t="shared" si="176"/>
        <v>0.5</v>
      </c>
      <c r="O194" s="767">
        <f t="shared" si="144"/>
        <v>1.2888839921320325</v>
      </c>
      <c r="P194" s="779">
        <f t="shared" si="169"/>
        <v>5.331664513211126</v>
      </c>
      <c r="Q194" s="779">
        <f t="shared" si="145"/>
        <v>14.416694229461132</v>
      </c>
      <c r="R194" s="608">
        <f>Q194-G194</f>
        <v>9.7019256863490178</v>
      </c>
      <c r="S194" s="1240">
        <f t="shared" si="170"/>
        <v>1.3382427004277291</v>
      </c>
      <c r="T194" s="135" t="str">
        <f t="shared" si="152"/>
        <v>Policies not met</v>
      </c>
      <c r="U194" s="1240">
        <f t="shared" si="153"/>
        <v>0.85</v>
      </c>
      <c r="V194" s="135" t="str">
        <f t="shared" si="154"/>
        <v>Yes</v>
      </c>
      <c r="W194" s="1241">
        <f t="shared" si="155"/>
        <v>13.670622072146882</v>
      </c>
      <c r="X194" s="623">
        <f t="shared" si="156"/>
        <v>8.2544063045870608</v>
      </c>
      <c r="Y194" s="118">
        <f t="shared" si="157"/>
        <v>4.9223358019381154</v>
      </c>
      <c r="Z194" s="608">
        <f t="shared" si="146"/>
        <v>0.49017483766308212</v>
      </c>
      <c r="AA194" s="608">
        <f t="shared" si="147"/>
        <v>0</v>
      </c>
      <c r="AB194" s="608">
        <f t="shared" si="148"/>
        <v>3.7051279586225467E-3</v>
      </c>
      <c r="AC194" s="608">
        <f t="shared" si="158"/>
        <v>13.67062207214688</v>
      </c>
      <c r="AD194" s="767">
        <f t="shared" si="149"/>
        <v>0</v>
      </c>
      <c r="AE194" s="730">
        <f t="shared" si="159"/>
        <v>0.60380619557942039</v>
      </c>
      <c r="AF194" s="483">
        <f t="shared" si="160"/>
        <v>0.36006670186334067</v>
      </c>
      <c r="AG194" s="483">
        <f t="shared" si="161"/>
        <v>3.5856074074477245E-2</v>
      </c>
      <c r="AH194" s="483">
        <f t="shared" si="162"/>
        <v>2.7102848276169784E-4</v>
      </c>
      <c r="AI194" s="483">
        <f t="shared" si="163"/>
        <v>2.7102848276169784E-4</v>
      </c>
      <c r="AJ194" s="604">
        <f t="shared" si="164"/>
        <v>1.0002710284827616</v>
      </c>
      <c r="AK194" s="1400">
        <f t="shared" si="171"/>
        <v>7.1669437296092831</v>
      </c>
      <c r="AL194" s="608">
        <f t="shared" si="172"/>
        <v>0.89412997615797285</v>
      </c>
      <c r="AM194" s="608">
        <f t="shared" si="173"/>
        <v>0.19333259881980491</v>
      </c>
      <c r="AN194" s="1401">
        <f t="shared" si="165"/>
        <v>8.2544063045870608</v>
      </c>
      <c r="AO194" s="1402">
        <f t="shared" si="166"/>
        <v>0</v>
      </c>
    </row>
    <row r="195" spans="1:41">
      <c r="A195" s="100">
        <f>'Input data'!A136</f>
        <v>2036</v>
      </c>
      <c r="B195" s="1231">
        <f>'Input data'!B136</f>
        <v>69.322999999999993</v>
      </c>
      <c r="C195" s="1232">
        <f>'Input data'!C136</f>
        <v>4325.9699999999993</v>
      </c>
      <c r="D195" s="1232">
        <f>'Input data'!E136</f>
        <v>50172070.130067617</v>
      </c>
      <c r="E195" s="835">
        <f>'Input data'!J136</f>
        <v>11.504772374209397</v>
      </c>
      <c r="F195" s="835">
        <f>'Input data'!L136/C155</f>
        <v>18.967929955892046</v>
      </c>
      <c r="G195" s="1228">
        <f t="shared" si="178"/>
        <v>4.7147685431121138</v>
      </c>
      <c r="H195" s="1228">
        <f t="shared" si="141"/>
        <v>14.70792031654512</v>
      </c>
      <c r="I195" s="1382">
        <f t="shared" si="142"/>
        <v>11.597877500321921</v>
      </c>
      <c r="J195" s="483">
        <f t="shared" si="177"/>
        <v>0.4</v>
      </c>
      <c r="K195" s="623">
        <f t="shared" si="168"/>
        <v>4.639151000128769</v>
      </c>
      <c r="L195" s="608">
        <f t="shared" si="143"/>
        <v>0.96248877021284696</v>
      </c>
      <c r="M195" s="727">
        <f t="shared" si="150"/>
        <v>5.6016397703416159</v>
      </c>
      <c r="N195" s="730">
        <f t="shared" si="176"/>
        <v>0.5</v>
      </c>
      <c r="O195" s="767">
        <f t="shared" si="144"/>
        <v>1.2888839921320325</v>
      </c>
      <c r="P195" s="779">
        <f t="shared" si="169"/>
        <v>5.2142118596122291</v>
      </c>
      <c r="Q195" s="779">
        <f t="shared" si="145"/>
        <v>14.208477000045006</v>
      </c>
      <c r="R195" s="608">
        <f t="shared" si="151"/>
        <v>9.4937084569328931</v>
      </c>
      <c r="S195" s="1240">
        <f t="shared" si="170"/>
        <v>1.3095220941916406</v>
      </c>
      <c r="T195" s="135" t="str">
        <f t="shared" si="152"/>
        <v>Policies not met</v>
      </c>
      <c r="U195" s="1240">
        <f t="shared" si="153"/>
        <v>0.85</v>
      </c>
      <c r="V195" s="135" t="str">
        <f t="shared" si="154"/>
        <v>Yes</v>
      </c>
      <c r="W195" s="1241">
        <f t="shared" si="155"/>
        <v>13.323593356453332</v>
      </c>
      <c r="X195" s="623">
        <f t="shared" si="156"/>
        <v>8.0461890751709308</v>
      </c>
      <c r="Y195" s="118">
        <f t="shared" si="157"/>
        <v>4.7835243156606957</v>
      </c>
      <c r="Z195" s="608">
        <f t="shared" si="146"/>
        <v>0.49017483766308212</v>
      </c>
      <c r="AA195" s="608">
        <f t="shared" si="147"/>
        <v>0</v>
      </c>
      <c r="AB195" s="608">
        <f t="shared" si="148"/>
        <v>3.7051279586225467E-3</v>
      </c>
      <c r="AC195" s="608">
        <f t="shared" si="158"/>
        <v>13.323593356453332</v>
      </c>
      <c r="AD195" s="767">
        <f>AC195-W195</f>
        <v>0</v>
      </c>
      <c r="AE195" s="730">
        <f t="shared" si="159"/>
        <v>0.60390533243599254</v>
      </c>
      <c r="AF195" s="483">
        <f t="shared" si="160"/>
        <v>0.35902659197743964</v>
      </c>
      <c r="AG195" s="483">
        <f t="shared" si="161"/>
        <v>3.6789987847059599E-2</v>
      </c>
      <c r="AH195" s="483">
        <f t="shared" si="162"/>
        <v>2.7808773950819762E-4</v>
      </c>
      <c r="AI195" s="483">
        <f t="shared" si="163"/>
        <v>2.7808773950819762E-4</v>
      </c>
      <c r="AJ195" s="604">
        <f t="shared" si="164"/>
        <v>1.0002780877395081</v>
      </c>
      <c r="AK195" s="1400">
        <f t="shared" si="171"/>
        <v>6.9587265001931522</v>
      </c>
      <c r="AL195" s="608">
        <f t="shared" si="172"/>
        <v>0.89412997615797285</v>
      </c>
      <c r="AM195" s="608">
        <f t="shared" si="173"/>
        <v>0.19333259881980491</v>
      </c>
      <c r="AN195" s="1401">
        <f t="shared" si="165"/>
        <v>8.0461890751709291</v>
      </c>
      <c r="AO195" s="1402">
        <f t="shared" si="166"/>
        <v>0</v>
      </c>
    </row>
    <row r="196" spans="1:41">
      <c r="A196" s="100">
        <f>'Input data'!A137</f>
        <v>2037</v>
      </c>
      <c r="B196" s="1223">
        <f>'Input data'!B137</f>
        <v>69.83</v>
      </c>
      <c r="C196" s="1224">
        <f>'Input data'!C137</f>
        <v>4457.0000000000018</v>
      </c>
      <c r="D196" s="1232">
        <f>'Input data'!E137</f>
        <v>50172070.130067617</v>
      </c>
      <c r="E196" s="835">
        <f>'Input data'!J137</f>
        <v>11.504772374209397</v>
      </c>
      <c r="F196" s="835">
        <f>'Input data'!L137/C156</f>
        <v>18.112460722448418</v>
      </c>
      <c r="G196" s="1228">
        <f t="shared" si="178"/>
        <v>4.7147685431121138</v>
      </c>
      <c r="H196" s="1228">
        <f t="shared" si="141"/>
        <v>14.387943281814074</v>
      </c>
      <c r="I196" s="1382">
        <f t="shared" si="142"/>
        <v>11.256914994406012</v>
      </c>
      <c r="J196" s="477">
        <f t="shared" si="177"/>
        <v>0.4</v>
      </c>
      <c r="K196" s="623">
        <f t="shared" si="168"/>
        <v>4.5027659977624053</v>
      </c>
      <c r="L196" s="608">
        <f t="shared" si="143"/>
        <v>0.96248877021284696</v>
      </c>
      <c r="M196" s="727">
        <f t="shared" si="150"/>
        <v>5.4652547679752521</v>
      </c>
      <c r="N196" s="730">
        <f t="shared" si="176"/>
        <v>0.5</v>
      </c>
      <c r="O196" s="767">
        <f t="shared" si="144"/>
        <v>1.2888839921320325</v>
      </c>
      <c r="P196" s="779">
        <f t="shared" si="169"/>
        <v>5.0988123284307303</v>
      </c>
      <c r="Q196" s="779">
        <f t="shared" si="145"/>
        <v>14.003899496495459</v>
      </c>
      <c r="R196" s="608">
        <f t="shared" si="151"/>
        <v>9.2891309533833457</v>
      </c>
      <c r="S196" s="1240">
        <f t="shared" si="170"/>
        <v>1.2813035363869651</v>
      </c>
      <c r="T196" s="135" t="str">
        <f t="shared" si="152"/>
        <v>Policies not met</v>
      </c>
      <c r="U196" s="1240">
        <f t="shared" si="153"/>
        <v>0.85</v>
      </c>
      <c r="V196" s="135" t="str">
        <f t="shared" si="154"/>
        <v>Yes</v>
      </c>
      <c r="W196" s="1241">
        <f t="shared" si="155"/>
        <v>12.982630850537422</v>
      </c>
      <c r="X196" s="623">
        <f t="shared" si="156"/>
        <v>7.8416115716213843</v>
      </c>
      <c r="Y196" s="118">
        <f t="shared" si="157"/>
        <v>4.6471393132943319</v>
      </c>
      <c r="Z196" s="608">
        <f t="shared" si="146"/>
        <v>0.49017483766308212</v>
      </c>
      <c r="AA196" s="608">
        <f t="shared" si="147"/>
        <v>0</v>
      </c>
      <c r="AB196" s="608">
        <f t="shared" si="148"/>
        <v>3.7051279586225467E-3</v>
      </c>
      <c r="AC196" s="608">
        <f t="shared" si="158"/>
        <v>12.982630850537422</v>
      </c>
      <c r="AD196" s="767">
        <f t="shared" ref="AD196:AD209" si="179">AC196-W196</f>
        <v>0</v>
      </c>
      <c r="AE196" s="730">
        <f t="shared" si="159"/>
        <v>0.60400789808305899</v>
      </c>
      <c r="AF196" s="483">
        <f t="shared" si="160"/>
        <v>0.35795050839806952</v>
      </c>
      <c r="AG196" s="483">
        <f t="shared" si="161"/>
        <v>3.7756202368088673E-2</v>
      </c>
      <c r="AH196" s="483">
        <f t="shared" si="162"/>
        <v>2.8539115078275306E-4</v>
      </c>
      <c r="AI196" s="483">
        <f t="shared" si="163"/>
        <v>2.8539115078275306E-4</v>
      </c>
      <c r="AJ196" s="604">
        <f t="shared" si="164"/>
        <v>1.0002853911507827</v>
      </c>
      <c r="AK196" s="1400">
        <f t="shared" si="171"/>
        <v>6.7541489966436066</v>
      </c>
      <c r="AL196" s="608">
        <f t="shared" si="172"/>
        <v>0.89412997615797285</v>
      </c>
      <c r="AM196" s="608">
        <f t="shared" si="173"/>
        <v>0.19333259881980491</v>
      </c>
      <c r="AN196" s="1401">
        <f t="shared" si="165"/>
        <v>7.8416115716213843</v>
      </c>
      <c r="AO196" s="1402">
        <f t="shared" si="166"/>
        <v>0</v>
      </c>
    </row>
    <row r="197" spans="1:41">
      <c r="A197" s="100">
        <f>'Input data'!A138</f>
        <v>2038</v>
      </c>
      <c r="B197" s="1231">
        <f>'Input data'!B138</f>
        <v>70.341999999999999</v>
      </c>
      <c r="C197" s="1232">
        <f>'Input data'!C138</f>
        <v>4590.03</v>
      </c>
      <c r="D197" s="1232">
        <f>'Input data'!E138</f>
        <v>50172070.130067617</v>
      </c>
      <c r="E197" s="835">
        <f>'Input data'!J138</f>
        <v>11.504772374209397</v>
      </c>
      <c r="F197" s="835">
        <f>'Input data'!L138/C157</f>
        <v>17.303326660907082</v>
      </c>
      <c r="G197" s="1228">
        <f t="shared" si="178"/>
        <v>4.7147685431121138</v>
      </c>
      <c r="H197" s="1228">
        <f t="shared" si="141"/>
        <v>14.081771163635917</v>
      </c>
      <c r="I197" s="1382">
        <f t="shared" si="142"/>
        <v>10.930662790889738</v>
      </c>
      <c r="J197" s="483">
        <f t="shared" si="177"/>
        <v>0.4</v>
      </c>
      <c r="K197" s="623">
        <f t="shared" si="168"/>
        <v>4.3722651163558952</v>
      </c>
      <c r="L197" s="608">
        <f t="shared" si="143"/>
        <v>0.96248877021284696</v>
      </c>
      <c r="M197" s="727">
        <f t="shared" si="150"/>
        <v>5.3347538865687421</v>
      </c>
      <c r="N197" s="730">
        <f t="shared" si="176"/>
        <v>0.5</v>
      </c>
      <c r="O197" s="767">
        <f t="shared" si="144"/>
        <v>1.2888839921320325</v>
      </c>
      <c r="P197" s="779">
        <f t="shared" si="169"/>
        <v>4.9883915323623373</v>
      </c>
      <c r="Q197" s="779">
        <f t="shared" si="145"/>
        <v>13.808148174385694</v>
      </c>
      <c r="R197" s="608">
        <f t="shared" si="151"/>
        <v>9.0933796312735815</v>
      </c>
      <c r="S197" s="1240">
        <f t="shared" si="170"/>
        <v>1.2543024248157786</v>
      </c>
      <c r="T197" s="135" t="str">
        <f t="shared" si="152"/>
        <v>Policies not met</v>
      </c>
      <c r="U197" s="1240">
        <f t="shared" si="153"/>
        <v>0.85</v>
      </c>
      <c r="V197" s="135" t="str">
        <f t="shared" si="154"/>
        <v>Yes</v>
      </c>
      <c r="W197" s="1241">
        <f t="shared" si="155"/>
        <v>12.656378647021148</v>
      </c>
      <c r="X197" s="623">
        <f t="shared" si="156"/>
        <v>7.6458602495116201</v>
      </c>
      <c r="Y197" s="118">
        <f t="shared" si="157"/>
        <v>4.5166384318878219</v>
      </c>
      <c r="Z197" s="608">
        <f t="shared" si="146"/>
        <v>0.49017483766308212</v>
      </c>
      <c r="AA197" s="608">
        <f t="shared" si="147"/>
        <v>0</v>
      </c>
      <c r="AB197" s="608">
        <f t="shared" si="148"/>
        <v>3.7051279586225467E-3</v>
      </c>
      <c r="AC197" s="608">
        <f t="shared" si="158"/>
        <v>12.656378647021146</v>
      </c>
      <c r="AD197" s="767">
        <f t="shared" si="179"/>
        <v>0</v>
      </c>
      <c r="AE197" s="730">
        <f t="shared" si="159"/>
        <v>0.60411121243683552</v>
      </c>
      <c r="AF197" s="483">
        <f t="shared" si="160"/>
        <v>0.35686656964477553</v>
      </c>
      <c r="AG197" s="483">
        <f t="shared" si="161"/>
        <v>3.8729470043032538E-2</v>
      </c>
      <c r="AH197" s="483">
        <f t="shared" si="162"/>
        <v>2.9274787535647881E-4</v>
      </c>
      <c r="AI197" s="483">
        <f t="shared" si="163"/>
        <v>2.9274787535647881E-4</v>
      </c>
      <c r="AJ197" s="604">
        <f t="shared" si="164"/>
        <v>1.0002927478753565</v>
      </c>
      <c r="AK197" s="1400">
        <f t="shared" si="171"/>
        <v>6.5583976745338424</v>
      </c>
      <c r="AL197" s="608">
        <f t="shared" si="172"/>
        <v>0.89412997615797285</v>
      </c>
      <c r="AM197" s="608">
        <f t="shared" si="173"/>
        <v>0.19333259881980491</v>
      </c>
      <c r="AN197" s="1401">
        <f t="shared" si="165"/>
        <v>7.6458602495116201</v>
      </c>
      <c r="AO197" s="1402">
        <f t="shared" si="166"/>
        <v>0</v>
      </c>
    </row>
    <row r="198" spans="1:41">
      <c r="A198" s="100">
        <f>'Input data'!A139</f>
        <v>2039</v>
      </c>
      <c r="B198" s="1231">
        <f>'Input data'!B139</f>
        <v>70.856999999999999</v>
      </c>
      <c r="C198" s="1232">
        <f>'Input data'!C139</f>
        <v>4728.5300000000007</v>
      </c>
      <c r="D198" s="1232">
        <f>'Input data'!E139</f>
        <v>50172070.130067617</v>
      </c>
      <c r="E198" s="835">
        <f>'Input data'!J139</f>
        <v>11.504772374209397</v>
      </c>
      <c r="F198" s="835">
        <f>'Input data'!L139/C158</f>
        <v>16.533948311982996</v>
      </c>
      <c r="G198" s="1228">
        <f t="shared" si="178"/>
        <v>4.7147685431121138</v>
      </c>
      <c r="H198" s="1228">
        <f t="shared" si="141"/>
        <v>13.781314177586374</v>
      </c>
      <c r="I198" s="1382">
        <f t="shared" si="142"/>
        <v>10.61050054246618</v>
      </c>
      <c r="J198" s="483">
        <f t="shared" si="177"/>
        <v>0.4</v>
      </c>
      <c r="K198" s="623">
        <f t="shared" si="168"/>
        <v>4.2442002169864725</v>
      </c>
      <c r="L198" s="608">
        <f t="shared" si="143"/>
        <v>0.96248877021284696</v>
      </c>
      <c r="M198" s="727">
        <f t="shared" si="150"/>
        <v>5.2066889871993194</v>
      </c>
      <c r="N198" s="730">
        <f t="shared" si="176"/>
        <v>0.5</v>
      </c>
      <c r="O198" s="767">
        <f t="shared" si="144"/>
        <v>1.2888839921320325</v>
      </c>
      <c r="P198" s="779">
        <f t="shared" si="169"/>
        <v>4.8800318953669279</v>
      </c>
      <c r="Q198" s="779">
        <f t="shared" si="145"/>
        <v>13.616050825331561</v>
      </c>
      <c r="R198" s="608">
        <f t="shared" si="151"/>
        <v>8.9012822822194479</v>
      </c>
      <c r="S198" s="1240">
        <f t="shared" si="170"/>
        <v>1.2278053268731584</v>
      </c>
      <c r="T198" s="135" t="str">
        <f t="shared" si="152"/>
        <v>Policies not met</v>
      </c>
      <c r="U198" s="1240">
        <f t="shared" si="153"/>
        <v>0.85</v>
      </c>
      <c r="V198" s="135" t="str">
        <f t="shared" si="154"/>
        <v>Yes</v>
      </c>
      <c r="W198" s="1241">
        <f t="shared" si="155"/>
        <v>12.336216398597591</v>
      </c>
      <c r="X198" s="623">
        <f t="shared" si="156"/>
        <v>7.4537629004574857</v>
      </c>
      <c r="Y198" s="118">
        <f t="shared" si="157"/>
        <v>4.3885735325183992</v>
      </c>
      <c r="Z198" s="608">
        <f t="shared" si="146"/>
        <v>0.49017483766308212</v>
      </c>
      <c r="AA198" s="608">
        <f t="shared" si="147"/>
        <v>0</v>
      </c>
      <c r="AB198" s="608">
        <f t="shared" si="148"/>
        <v>3.7051279586225467E-3</v>
      </c>
      <c r="AC198" s="608">
        <f t="shared" si="158"/>
        <v>12.336216398597589</v>
      </c>
      <c r="AD198" s="767">
        <f t="shared" si="179"/>
        <v>0</v>
      </c>
      <c r="AE198" s="730">
        <f t="shared" si="159"/>
        <v>0.60421791087458931</v>
      </c>
      <c r="AF198" s="483">
        <f t="shared" si="160"/>
        <v>0.35574712624344873</v>
      </c>
      <c r="AG198" s="483">
        <f t="shared" si="161"/>
        <v>3.9734617310929012E-2</v>
      </c>
      <c r="AH198" s="483">
        <f t="shared" si="162"/>
        <v>3.0034557103292666E-4</v>
      </c>
      <c r="AI198" s="483">
        <f t="shared" si="163"/>
        <v>3.0034557103292666E-4</v>
      </c>
      <c r="AJ198" s="604">
        <f t="shared" si="164"/>
        <v>1.0003003455710329</v>
      </c>
      <c r="AK198" s="1400">
        <f t="shared" si="171"/>
        <v>6.3663003254797079</v>
      </c>
      <c r="AL198" s="608">
        <f t="shared" si="172"/>
        <v>0.89412997615797285</v>
      </c>
      <c r="AM198" s="608">
        <f t="shared" si="173"/>
        <v>0.19333259881980491</v>
      </c>
      <c r="AN198" s="1401">
        <f t="shared" si="165"/>
        <v>7.4537629004574857</v>
      </c>
      <c r="AO198" s="1402">
        <f t="shared" si="166"/>
        <v>0</v>
      </c>
    </row>
    <row r="199" spans="1:41">
      <c r="A199" s="100">
        <f>'Input data'!A140</f>
        <v>2040</v>
      </c>
      <c r="B199" s="1231">
        <f>'Input data'!B140</f>
        <v>71.375</v>
      </c>
      <c r="C199" s="1232">
        <f>'Input data'!C140</f>
        <v>4875.51</v>
      </c>
      <c r="D199" s="1232">
        <f>'Input data'!E140</f>
        <v>50172070.130067617</v>
      </c>
      <c r="E199" s="835">
        <f>'Input data'!J140</f>
        <v>11.504772374209397</v>
      </c>
      <c r="F199" s="835">
        <f>'Input data'!L140/C159</f>
        <v>15.800872774272213</v>
      </c>
      <c r="G199" s="1228">
        <f t="shared" si="178"/>
        <v>4.7147685431121138</v>
      </c>
      <c r="H199" s="1228">
        <f t="shared" si="141"/>
        <v>13.481131070453692</v>
      </c>
      <c r="I199" s="1382">
        <f t="shared" si="142"/>
        <v>10.290630135117683</v>
      </c>
      <c r="J199" s="483">
        <f t="shared" si="177"/>
        <v>0.4</v>
      </c>
      <c r="K199" s="623">
        <f t="shared" si="168"/>
        <v>4.1162520540470728</v>
      </c>
      <c r="L199" s="608">
        <f t="shared" si="143"/>
        <v>0.96248877021284696</v>
      </c>
      <c r="M199" s="727">
        <f t="shared" si="150"/>
        <v>5.0787408242599197</v>
      </c>
      <c r="N199" s="730">
        <f t="shared" si="176"/>
        <v>0.5</v>
      </c>
      <c r="O199" s="767">
        <f t="shared" si="144"/>
        <v>1.2888839921320325</v>
      </c>
      <c r="P199" s="779">
        <f t="shared" si="169"/>
        <v>4.7717710326433433</v>
      </c>
      <c r="Q199" s="779">
        <f t="shared" si="145"/>
        <v>13.424128580922464</v>
      </c>
      <c r="R199" s="608">
        <f t="shared" si="151"/>
        <v>8.7093600378103488</v>
      </c>
      <c r="S199" s="1240">
        <f t="shared" si="170"/>
        <v>1.201332382126574</v>
      </c>
      <c r="T199" s="135" t="str">
        <f t="shared" si="152"/>
        <v>Policies not met</v>
      </c>
      <c r="U199" s="1240">
        <f t="shared" si="153"/>
        <v>0.85</v>
      </c>
      <c r="V199" s="135" t="str">
        <f t="shared" si="154"/>
        <v>Yes</v>
      </c>
      <c r="W199" s="1241">
        <f t="shared" si="155"/>
        <v>12.016345991249093</v>
      </c>
      <c r="X199" s="623">
        <f t="shared" si="156"/>
        <v>7.2618406560483884</v>
      </c>
      <c r="Y199" s="118">
        <f t="shared" si="157"/>
        <v>4.2606253695789995</v>
      </c>
      <c r="Z199" s="608">
        <f t="shared" si="146"/>
        <v>0.49017483766308212</v>
      </c>
      <c r="AA199" s="608">
        <f t="shared" si="147"/>
        <v>0</v>
      </c>
      <c r="AB199" s="608">
        <f t="shared" si="148"/>
        <v>3.7051279586225467E-3</v>
      </c>
      <c r="AC199" s="608">
        <f t="shared" si="158"/>
        <v>12.016345991249093</v>
      </c>
      <c r="AD199" s="767">
        <f t="shared" si="179"/>
        <v>0</v>
      </c>
      <c r="AE199" s="730">
        <f t="shared" si="159"/>
        <v>0.60433019000425137</v>
      </c>
      <c r="AF199" s="483">
        <f t="shared" si="160"/>
        <v>0.35456913213732372</v>
      </c>
      <c r="AG199" s="483">
        <f t="shared" si="161"/>
        <v>4.079233720633977E-2</v>
      </c>
      <c r="AH199" s="483">
        <f t="shared" si="162"/>
        <v>3.0834065208515193E-4</v>
      </c>
      <c r="AI199" s="483">
        <f t="shared" si="163"/>
        <v>3.0834065208515193E-4</v>
      </c>
      <c r="AJ199" s="604">
        <f t="shared" si="164"/>
        <v>1.0003083406520852</v>
      </c>
      <c r="AK199" s="1400">
        <f t="shared" si="171"/>
        <v>6.1743780810706097</v>
      </c>
      <c r="AL199" s="608">
        <f t="shared" si="172"/>
        <v>0.89412997615797285</v>
      </c>
      <c r="AM199" s="608">
        <f t="shared" si="173"/>
        <v>0.19333259881980491</v>
      </c>
      <c r="AN199" s="1401">
        <f t="shared" si="165"/>
        <v>7.2618406560483875</v>
      </c>
      <c r="AO199" s="1402">
        <f t="shared" si="166"/>
        <v>0</v>
      </c>
    </row>
    <row r="200" spans="1:41">
      <c r="A200" s="100">
        <f>'Input data'!A141</f>
        <v>2041</v>
      </c>
      <c r="B200" s="1231">
        <f>'Input data'!B141</f>
        <v>71.819000000000003</v>
      </c>
      <c r="C200" s="1232">
        <f>'Input data'!C141</f>
        <v>5028.54</v>
      </c>
      <c r="D200" s="1232">
        <f>'Input data'!E141</f>
        <v>50172070.130067617</v>
      </c>
      <c r="E200" s="835">
        <f>'Input data'!J141</f>
        <v>11.504772374209397</v>
      </c>
      <c r="F200" s="835">
        <f>'Input data'!L141/C160</f>
        <v>15.415390470896282</v>
      </c>
      <c r="G200" s="1228">
        <f t="shared" si="178"/>
        <v>4.7147685431121138</v>
      </c>
      <c r="H200" s="1228">
        <f t="shared" si="141"/>
        <v>13.187238353769388</v>
      </c>
      <c r="I200" s="1382">
        <f t="shared" si="142"/>
        <v>9.9774626690983101</v>
      </c>
      <c r="J200" s="483">
        <f t="shared" si="177"/>
        <v>0.4</v>
      </c>
      <c r="K200" s="623">
        <f t="shared" si="168"/>
        <v>3.9909850676393241</v>
      </c>
      <c r="L200" s="608">
        <f t="shared" si="143"/>
        <v>0.96248877021284696</v>
      </c>
      <c r="M200" s="727">
        <f t="shared" si="150"/>
        <v>4.9534738378521714</v>
      </c>
      <c r="N200" s="730">
        <f t="shared" si="176"/>
        <v>0.5</v>
      </c>
      <c r="O200" s="767">
        <f t="shared" si="144"/>
        <v>1.2888839921320325</v>
      </c>
      <c r="P200" s="779">
        <f t="shared" si="169"/>
        <v>4.6657787955706649</v>
      </c>
      <c r="Q200" s="779">
        <f t="shared" si="145"/>
        <v>13.236228101310838</v>
      </c>
      <c r="R200" s="608">
        <f t="shared" si="151"/>
        <v>8.5214595581987247</v>
      </c>
      <c r="S200" s="1240">
        <f t="shared" si="170"/>
        <v>1.1754141826498528</v>
      </c>
      <c r="T200" s="135" t="str">
        <f t="shared" si="152"/>
        <v>Policies not met</v>
      </c>
      <c r="U200" s="1240">
        <f t="shared" si="153"/>
        <v>0.85</v>
      </c>
      <c r="V200" s="135" t="str">
        <f t="shared" si="154"/>
        <v>Yes</v>
      </c>
      <c r="W200" s="1241">
        <f t="shared" si="155"/>
        <v>11.70317852522972</v>
      </c>
      <c r="X200" s="623">
        <f t="shared" si="156"/>
        <v>7.0739401764367642</v>
      </c>
      <c r="Y200" s="118">
        <f t="shared" si="157"/>
        <v>4.1353583831712513</v>
      </c>
      <c r="Z200" s="608">
        <f t="shared" si="146"/>
        <v>0.49017483766308212</v>
      </c>
      <c r="AA200" s="608">
        <f t="shared" si="147"/>
        <v>0</v>
      </c>
      <c r="AB200" s="608">
        <f t="shared" si="148"/>
        <v>3.7051279586225467E-3</v>
      </c>
      <c r="AC200" s="608">
        <f t="shared" si="158"/>
        <v>11.70317852522972</v>
      </c>
      <c r="AD200" s="767">
        <f t="shared" si="179"/>
        <v>0</v>
      </c>
      <c r="AE200" s="730">
        <f t="shared" si="159"/>
        <v>0.60444606233996678</v>
      </c>
      <c r="AF200" s="483">
        <f t="shared" si="160"/>
        <v>0.35335343934609242</v>
      </c>
      <c r="AG200" s="483">
        <f t="shared" si="161"/>
        <v>4.1883906718705767E-2</v>
      </c>
      <c r="AH200" s="483">
        <f t="shared" si="162"/>
        <v>3.1659159523500638E-4</v>
      </c>
      <c r="AI200" s="483">
        <f t="shared" si="163"/>
        <v>3.1659159523500638E-4</v>
      </c>
      <c r="AJ200" s="604">
        <f t="shared" si="164"/>
        <v>1.000316591595235</v>
      </c>
      <c r="AK200" s="1400">
        <f t="shared" si="171"/>
        <v>5.9864776014589864</v>
      </c>
      <c r="AL200" s="608">
        <f t="shared" si="172"/>
        <v>0.89412997615797285</v>
      </c>
      <c r="AM200" s="608">
        <f t="shared" si="173"/>
        <v>0.19333259881980491</v>
      </c>
      <c r="AN200" s="1401">
        <f t="shared" si="165"/>
        <v>7.0739401764367642</v>
      </c>
      <c r="AO200" s="1402">
        <f t="shared" si="166"/>
        <v>0</v>
      </c>
    </row>
    <row r="201" spans="1:41">
      <c r="A201" s="100">
        <f>'Input data'!A142</f>
        <v>2042</v>
      </c>
      <c r="B201" s="1231">
        <f>'Input data'!B142</f>
        <v>72.265000000000001</v>
      </c>
      <c r="C201" s="1232">
        <f>'Input data'!C142</f>
        <v>5188.1000000000004</v>
      </c>
      <c r="D201" s="1232">
        <f>'Input data'!E142</f>
        <v>50172070.130067617</v>
      </c>
      <c r="E201" s="835">
        <f>'Input data'!J142</f>
        <v>11.504772374209397</v>
      </c>
      <c r="F201" s="835">
        <f>'Input data'!L142/C161</f>
        <v>15.04821189663909</v>
      </c>
      <c r="G201" s="1228">
        <f t="shared" si="178"/>
        <v>4.7147685431121138</v>
      </c>
      <c r="H201" s="1228">
        <f t="shared" si="141"/>
        <v>12.899267863430829</v>
      </c>
      <c r="I201" s="1382">
        <f t="shared" si="142"/>
        <v>9.6706058345189199</v>
      </c>
      <c r="J201" s="483">
        <f t="shared" si="177"/>
        <v>0.4</v>
      </c>
      <c r="K201" s="623">
        <f t="shared" si="168"/>
        <v>3.8682423338075682</v>
      </c>
      <c r="L201" s="608">
        <f t="shared" si="143"/>
        <v>0.96248877021284696</v>
      </c>
      <c r="M201" s="727">
        <f t="shared" si="150"/>
        <v>4.8307311040204155</v>
      </c>
      <c r="N201" s="730">
        <f t="shared" si="176"/>
        <v>0.5</v>
      </c>
      <c r="O201" s="767">
        <f t="shared" si="144"/>
        <v>1.2888839921320325</v>
      </c>
      <c r="P201" s="779">
        <f t="shared" si="169"/>
        <v>4.5619224059797414</v>
      </c>
      <c r="Q201" s="779">
        <f t="shared" si="145"/>
        <v>13.052114000563202</v>
      </c>
      <c r="R201" s="608">
        <f t="shared" si="151"/>
        <v>8.3373454574510895</v>
      </c>
      <c r="S201" s="1240">
        <f t="shared" si="170"/>
        <v>1.1500182603003322</v>
      </c>
      <c r="T201" s="135" t="str">
        <f t="shared" si="152"/>
        <v>Policies not met</v>
      </c>
      <c r="U201" s="1240">
        <f t="shared" si="153"/>
        <v>0.85</v>
      </c>
      <c r="V201" s="135" t="str">
        <f t="shared" si="154"/>
        <v>Yes</v>
      </c>
      <c r="W201" s="1241">
        <f t="shared" si="155"/>
        <v>11.39632169065033</v>
      </c>
      <c r="X201" s="623">
        <f t="shared" si="156"/>
        <v>6.889826075689129</v>
      </c>
      <c r="Y201" s="118">
        <f t="shared" si="157"/>
        <v>4.0126156493394953</v>
      </c>
      <c r="Z201" s="608">
        <f t="shared" si="146"/>
        <v>0.49017483766308212</v>
      </c>
      <c r="AA201" s="608">
        <f t="shared" si="147"/>
        <v>0</v>
      </c>
      <c r="AB201" s="608">
        <f t="shared" si="148"/>
        <v>3.7051279586225467E-3</v>
      </c>
      <c r="AC201" s="608">
        <f t="shared" si="158"/>
        <v>11.396321690650328</v>
      </c>
      <c r="AD201" s="767">
        <f t="shared" si="179"/>
        <v>0</v>
      </c>
      <c r="AE201" s="730">
        <f t="shared" si="159"/>
        <v>0.60456577681039136</v>
      </c>
      <c r="AF201" s="483">
        <f t="shared" si="160"/>
        <v>0.3520974361957061</v>
      </c>
      <c r="AG201" s="483">
        <f t="shared" si="161"/>
        <v>4.3011670867910572E-2</v>
      </c>
      <c r="AH201" s="483">
        <f t="shared" si="162"/>
        <v>3.2511612599197474E-4</v>
      </c>
      <c r="AI201" s="483">
        <f t="shared" si="163"/>
        <v>3.2511612599197474E-4</v>
      </c>
      <c r="AJ201" s="604">
        <f t="shared" si="164"/>
        <v>1.0003251161259921</v>
      </c>
      <c r="AK201" s="1400">
        <f t="shared" si="171"/>
        <v>5.8023635007113512</v>
      </c>
      <c r="AL201" s="608">
        <f t="shared" si="172"/>
        <v>0.89412997615797285</v>
      </c>
      <c r="AM201" s="608">
        <f t="shared" si="173"/>
        <v>0.19333259881980491</v>
      </c>
      <c r="AN201" s="1401">
        <f t="shared" si="165"/>
        <v>6.889826075689129</v>
      </c>
      <c r="AO201" s="1402">
        <f t="shared" si="166"/>
        <v>0</v>
      </c>
    </row>
    <row r="202" spans="1:41">
      <c r="A202" s="100">
        <f>'Input data'!A143</f>
        <v>2043</v>
      </c>
      <c r="B202" s="1231">
        <f>'Input data'!B143</f>
        <v>72.713999999999999</v>
      </c>
      <c r="C202" s="1232">
        <f>'Input data'!C143</f>
        <v>5353.7899999999991</v>
      </c>
      <c r="D202" s="1232">
        <f>'Input data'!E143</f>
        <v>50172070.130067617</v>
      </c>
      <c r="E202" s="835">
        <f>'Input data'!J143</f>
        <v>11.504772374209397</v>
      </c>
      <c r="F202" s="835">
        <f>'Input data'!L143/C162</f>
        <v>14.699282739524643</v>
      </c>
      <c r="G202" s="1228">
        <f t="shared" si="178"/>
        <v>4.7147685431121138</v>
      </c>
      <c r="H202" s="1228">
        <f t="shared" si="141"/>
        <v>12.618400787355139</v>
      </c>
      <c r="I202" s="1382">
        <f t="shared" si="142"/>
        <v>9.3713182866843159</v>
      </c>
      <c r="J202" s="483">
        <f t="shared" si="177"/>
        <v>0.4</v>
      </c>
      <c r="K202" s="623">
        <f t="shared" si="168"/>
        <v>3.7485273146737264</v>
      </c>
      <c r="L202" s="608">
        <f t="shared" si="143"/>
        <v>0.96248877021284696</v>
      </c>
      <c r="M202" s="727">
        <f t="shared" si="150"/>
        <v>4.7110160848865732</v>
      </c>
      <c r="N202" s="730">
        <f t="shared" si="176"/>
        <v>0.5</v>
      </c>
      <c r="O202" s="767">
        <f t="shared" si="144"/>
        <v>1.2888839921320325</v>
      </c>
      <c r="P202" s="779">
        <f t="shared" si="169"/>
        <v>4.4606278586048127</v>
      </c>
      <c r="Q202" s="779">
        <f t="shared" si="145"/>
        <v>12.872541471862441</v>
      </c>
      <c r="R202" s="608">
        <f t="shared" si="151"/>
        <v>8.157772928750326</v>
      </c>
      <c r="S202" s="1240">
        <f t="shared" si="170"/>
        <v>1.1252487832397859</v>
      </c>
      <c r="T202" s="135" t="str">
        <f t="shared" si="152"/>
        <v>Policies not met</v>
      </c>
      <c r="U202" s="1240">
        <f t="shared" si="153"/>
        <v>0.85</v>
      </c>
      <c r="V202" s="135" t="str">
        <f t="shared" si="154"/>
        <v>Yes</v>
      </c>
      <c r="W202" s="1241">
        <f t="shared" si="155"/>
        <v>11.097034142815726</v>
      </c>
      <c r="X202" s="623">
        <f t="shared" si="156"/>
        <v>6.7102535469883673</v>
      </c>
      <c r="Y202" s="118">
        <f t="shared" si="157"/>
        <v>3.8929006302056535</v>
      </c>
      <c r="Z202" s="608">
        <f t="shared" si="146"/>
        <v>0.49017483766308212</v>
      </c>
      <c r="AA202" s="608">
        <f t="shared" si="147"/>
        <v>0</v>
      </c>
      <c r="AB202" s="608">
        <f t="shared" si="148"/>
        <v>3.7051279586225467E-3</v>
      </c>
      <c r="AC202" s="608">
        <f t="shared" si="158"/>
        <v>11.097034142815726</v>
      </c>
      <c r="AD202" s="767">
        <f t="shared" si="179"/>
        <v>0</v>
      </c>
      <c r="AE202" s="730">
        <f t="shared" si="159"/>
        <v>0.60468891603191277</v>
      </c>
      <c r="AF202" s="483">
        <f t="shared" si="160"/>
        <v>0.35080550173182412</v>
      </c>
      <c r="AG202" s="483">
        <f t="shared" si="161"/>
        <v>4.4171697712620243E-2</v>
      </c>
      <c r="AH202" s="483">
        <f t="shared" si="162"/>
        <v>3.3388452364285684E-4</v>
      </c>
      <c r="AI202" s="483">
        <f t="shared" si="163"/>
        <v>3.3388452364285684E-4</v>
      </c>
      <c r="AJ202" s="604">
        <f t="shared" si="164"/>
        <v>1.0003338845236427</v>
      </c>
      <c r="AK202" s="1400">
        <f t="shared" si="171"/>
        <v>5.6227909720105895</v>
      </c>
      <c r="AL202" s="608">
        <f t="shared" si="172"/>
        <v>0.89412997615797285</v>
      </c>
      <c r="AM202" s="608">
        <f t="shared" si="173"/>
        <v>0.19333259881980491</v>
      </c>
      <c r="AN202" s="1401">
        <f t="shared" si="165"/>
        <v>6.7102535469883673</v>
      </c>
      <c r="AO202" s="1402">
        <f t="shared" si="166"/>
        <v>0</v>
      </c>
    </row>
    <row r="203" spans="1:41">
      <c r="A203" s="100">
        <f>'Input data'!A144</f>
        <v>2044</v>
      </c>
      <c r="B203" s="1231">
        <f>'Input data'!B144</f>
        <v>73.165000000000006</v>
      </c>
      <c r="C203" s="1232">
        <f>'Input data'!C144</f>
        <v>5526.5000000000018</v>
      </c>
      <c r="D203" s="1232">
        <f>'Input data'!E144</f>
        <v>50172070.130067617</v>
      </c>
      <c r="E203" s="835">
        <f>'Input data'!J144</f>
        <v>11.504772374209397</v>
      </c>
      <c r="F203" s="835">
        <f>'Input data'!L144/C163</f>
        <v>14.367661492299458</v>
      </c>
      <c r="G203" s="1228">
        <f t="shared" si="178"/>
        <v>4.7147685431121138</v>
      </c>
      <c r="H203" s="1228">
        <f t="shared" si="141"/>
        <v>12.343560633197086</v>
      </c>
      <c r="I203" s="1382">
        <f t="shared" si="142"/>
        <v>9.0784529322478242</v>
      </c>
      <c r="J203" s="483">
        <f t="shared" si="177"/>
        <v>0.4</v>
      </c>
      <c r="K203" s="623">
        <f t="shared" si="168"/>
        <v>3.6313811728991299</v>
      </c>
      <c r="L203" s="608">
        <f t="shared" si="143"/>
        <v>0.96248877021284696</v>
      </c>
      <c r="M203" s="727">
        <f t="shared" si="150"/>
        <v>4.5938699431119767</v>
      </c>
      <c r="N203" s="730">
        <f t="shared" si="176"/>
        <v>0.5</v>
      </c>
      <c r="O203" s="767">
        <f t="shared" si="144"/>
        <v>1.2888839921320325</v>
      </c>
      <c r="P203" s="779">
        <f t="shared" si="169"/>
        <v>4.3615069171086533</v>
      </c>
      <c r="Q203" s="779">
        <f t="shared" si="145"/>
        <v>12.696822259200548</v>
      </c>
      <c r="R203" s="608">
        <f t="shared" si="151"/>
        <v>7.9820537160884344</v>
      </c>
      <c r="S203" s="1240">
        <f t="shared" si="170"/>
        <v>1.1010108163379615</v>
      </c>
      <c r="T203" s="135" t="str">
        <f t="shared" si="152"/>
        <v>Policies not met</v>
      </c>
      <c r="U203" s="1240">
        <f t="shared" si="153"/>
        <v>0.85</v>
      </c>
      <c r="V203" s="135" t="str">
        <f t="shared" si="154"/>
        <v>Yes</v>
      </c>
      <c r="W203" s="1241">
        <f t="shared" si="155"/>
        <v>10.804168788379235</v>
      </c>
      <c r="X203" s="623">
        <f t="shared" si="156"/>
        <v>6.534534334326473</v>
      </c>
      <c r="Y203" s="118">
        <f t="shared" si="157"/>
        <v>3.775754488431057</v>
      </c>
      <c r="Z203" s="608">
        <f t="shared" si="146"/>
        <v>0.49017483766308212</v>
      </c>
      <c r="AA203" s="608">
        <f t="shared" si="147"/>
        <v>0</v>
      </c>
      <c r="AB203" s="608">
        <f t="shared" si="148"/>
        <v>3.7051279586225467E-3</v>
      </c>
      <c r="AC203" s="608">
        <f t="shared" si="158"/>
        <v>10.804168788379235</v>
      </c>
      <c r="AD203" s="767">
        <f t="shared" si="179"/>
        <v>0</v>
      </c>
      <c r="AE203" s="730">
        <f t="shared" si="159"/>
        <v>0.60481601706879085</v>
      </c>
      <c r="AF203" s="483">
        <f t="shared" si="160"/>
        <v>0.34947200126049394</v>
      </c>
      <c r="AG203" s="483">
        <f t="shared" si="161"/>
        <v>4.5369046639692004E-2</v>
      </c>
      <c r="AH203" s="483">
        <f t="shared" si="162"/>
        <v>3.429350310231838E-4</v>
      </c>
      <c r="AI203" s="483">
        <f t="shared" si="163"/>
        <v>3.429350310231838E-4</v>
      </c>
      <c r="AJ203" s="604">
        <f t="shared" si="164"/>
        <v>1.0003429350310231</v>
      </c>
      <c r="AK203" s="1400">
        <f t="shared" si="171"/>
        <v>5.4470717593486944</v>
      </c>
      <c r="AL203" s="608">
        <f t="shared" si="172"/>
        <v>0.89412997615797285</v>
      </c>
      <c r="AM203" s="608">
        <f t="shared" si="173"/>
        <v>0.19333259881980491</v>
      </c>
      <c r="AN203" s="1401">
        <f t="shared" si="165"/>
        <v>6.5345343343264721</v>
      </c>
      <c r="AO203" s="1402">
        <f t="shared" si="166"/>
        <v>0</v>
      </c>
    </row>
    <row r="204" spans="1:41">
      <c r="A204" s="100">
        <f>'Input data'!A145</f>
        <v>2045</v>
      </c>
      <c r="B204" s="1231">
        <f>'Input data'!B145</f>
        <v>73.62</v>
      </c>
      <c r="C204" s="1232">
        <f>'Input data'!C145</f>
        <v>5709.93</v>
      </c>
      <c r="D204" s="1232">
        <f>'Input data'!E145</f>
        <v>50172070.130067617</v>
      </c>
      <c r="E204" s="835">
        <f>'Input data'!J145</f>
        <v>11.504772374209397</v>
      </c>
      <c r="F204" s="835">
        <f>'Input data'!L145/C164</f>
        <v>14.051349262810195</v>
      </c>
      <c r="G204" s="1228">
        <f t="shared" si="178"/>
        <v>4.7147685431121138</v>
      </c>
      <c r="H204" s="1228">
        <f t="shared" si="141"/>
        <v>12.069867681454106</v>
      </c>
      <c r="I204" s="1382">
        <f t="shared" si="142"/>
        <v>8.7868100186985849</v>
      </c>
      <c r="J204" s="483">
        <f t="shared" si="177"/>
        <v>0.4</v>
      </c>
      <c r="K204" s="623">
        <f t="shared" si="168"/>
        <v>3.5147240074794341</v>
      </c>
      <c r="L204" s="608">
        <f t="shared" si="143"/>
        <v>0.96248877021284696</v>
      </c>
      <c r="M204" s="727">
        <f t="shared" si="150"/>
        <v>4.477212777692281</v>
      </c>
      <c r="N204" s="730">
        <f t="shared" si="176"/>
        <v>0.5</v>
      </c>
      <c r="O204" s="767">
        <f t="shared" si="144"/>
        <v>1.2888839921320325</v>
      </c>
      <c r="P204" s="779">
        <f t="shared" si="169"/>
        <v>4.2627997134952196</v>
      </c>
      <c r="Q204" s="779">
        <f t="shared" si="145"/>
        <v>12.521836511071001</v>
      </c>
      <c r="R204" s="608">
        <f t="shared" si="151"/>
        <v>7.8070679679588872</v>
      </c>
      <c r="S204" s="1240">
        <f t="shared" si="170"/>
        <v>1.0768740204395209</v>
      </c>
      <c r="T204" s="135" t="str">
        <f t="shared" si="152"/>
        <v>Policies not met</v>
      </c>
      <c r="U204" s="1240">
        <f t="shared" si="153"/>
        <v>0.85</v>
      </c>
      <c r="V204" s="135" t="str">
        <f t="shared" si="154"/>
        <v>Yes</v>
      </c>
      <c r="W204" s="1241">
        <f t="shared" si="155"/>
        <v>10.512525874829995</v>
      </c>
      <c r="X204" s="623">
        <f t="shared" si="156"/>
        <v>6.3595485861969285</v>
      </c>
      <c r="Y204" s="118">
        <f t="shared" si="157"/>
        <v>3.6590973230113613</v>
      </c>
      <c r="Z204" s="608">
        <f t="shared" si="146"/>
        <v>0.49017483766308212</v>
      </c>
      <c r="AA204" s="608">
        <f t="shared" si="147"/>
        <v>0</v>
      </c>
      <c r="AB204" s="608">
        <f t="shared" si="148"/>
        <v>3.7051279586225467E-3</v>
      </c>
      <c r="AC204" s="608">
        <f t="shared" si="158"/>
        <v>10.512525874829995</v>
      </c>
      <c r="AD204" s="767">
        <f t="shared" si="179"/>
        <v>0</v>
      </c>
      <c r="AE204" s="730">
        <f t="shared" si="159"/>
        <v>0.60494962503954575</v>
      </c>
      <c r="AF204" s="483">
        <f t="shared" si="160"/>
        <v>0.34807023227141737</v>
      </c>
      <c r="AG204" s="483">
        <f t="shared" si="161"/>
        <v>4.6627693810171865E-2</v>
      </c>
      <c r="AH204" s="483">
        <f t="shared" si="162"/>
        <v>3.5244887886494403E-4</v>
      </c>
      <c r="AI204" s="483">
        <f t="shared" si="163"/>
        <v>3.5244887886494403E-4</v>
      </c>
      <c r="AJ204" s="604">
        <f t="shared" si="164"/>
        <v>1.0003524488788649</v>
      </c>
      <c r="AK204" s="1400">
        <f t="shared" si="171"/>
        <v>5.2720860112191508</v>
      </c>
      <c r="AL204" s="608">
        <f t="shared" si="172"/>
        <v>0.89412997615797285</v>
      </c>
      <c r="AM204" s="608">
        <f t="shared" si="173"/>
        <v>0.19333259881980491</v>
      </c>
      <c r="AN204" s="1401">
        <f t="shared" si="165"/>
        <v>6.3595485861969285</v>
      </c>
      <c r="AO204" s="1402">
        <f t="shared" si="166"/>
        <v>0</v>
      </c>
    </row>
    <row r="205" spans="1:41">
      <c r="A205" s="100">
        <f>'Input data'!A146</f>
        <v>2046</v>
      </c>
      <c r="B205" s="1231">
        <f>'Input data'!B146</f>
        <v>73.995000000000005</v>
      </c>
      <c r="C205" s="1232">
        <f>'Input data'!C146</f>
        <v>5902.43</v>
      </c>
      <c r="D205" s="1232">
        <f>'Input data'!E146</f>
        <v>50172070.130067617</v>
      </c>
      <c r="E205" s="835">
        <f>'Input data'!J146</f>
        <v>11.504772374209397</v>
      </c>
      <c r="F205" s="835">
        <f>'Input data'!L146/C165</f>
        <v>13.751269975355362</v>
      </c>
      <c r="G205" s="1228">
        <f t="shared" si="178"/>
        <v>4.7147685431121138</v>
      </c>
      <c r="H205" s="1228">
        <f t="shared" si="141"/>
        <v>11.800935168315942</v>
      </c>
      <c r="I205" s="1382">
        <f t="shared" si="142"/>
        <v>8.5002397538077723</v>
      </c>
      <c r="J205" s="483">
        <f t="shared" si="177"/>
        <v>0.4</v>
      </c>
      <c r="K205" s="623">
        <f t="shared" si="168"/>
        <v>3.4000959015231089</v>
      </c>
      <c r="L205" s="608">
        <f t="shared" si="143"/>
        <v>0.96248877021284696</v>
      </c>
      <c r="M205" s="727">
        <f t="shared" si="150"/>
        <v>4.3625846717359558</v>
      </c>
      <c r="N205" s="730">
        <f t="shared" si="176"/>
        <v>0.5</v>
      </c>
      <c r="O205" s="767">
        <f t="shared" si="144"/>
        <v>1.2888839921320325</v>
      </c>
      <c r="P205" s="779">
        <f t="shared" si="169"/>
        <v>4.1658093592915408</v>
      </c>
      <c r="Q205" s="779">
        <f t="shared" si="145"/>
        <v>12.349894352136516</v>
      </c>
      <c r="R205" s="608">
        <f t="shared" si="151"/>
        <v>7.6351258090244025</v>
      </c>
      <c r="S205" s="1240">
        <f t="shared" si="170"/>
        <v>1.0531570443948968</v>
      </c>
      <c r="T205" s="135" t="str">
        <f t="shared" si="152"/>
        <v>Policies not met</v>
      </c>
      <c r="U205" s="1240">
        <f t="shared" si="153"/>
        <v>0.85</v>
      </c>
      <c r="V205" s="135" t="str">
        <f t="shared" si="154"/>
        <v>Yes</v>
      </c>
      <c r="W205" s="1241">
        <f t="shared" si="155"/>
        <v>10.225955609939183</v>
      </c>
      <c r="X205" s="623">
        <f t="shared" si="156"/>
        <v>6.1876064272624411</v>
      </c>
      <c r="Y205" s="118">
        <f t="shared" si="157"/>
        <v>3.544469217055036</v>
      </c>
      <c r="Z205" s="608">
        <f t="shared" si="146"/>
        <v>0.49017483766308212</v>
      </c>
      <c r="AA205" s="608">
        <f t="shared" si="147"/>
        <v>0</v>
      </c>
      <c r="AB205" s="608">
        <f t="shared" si="148"/>
        <v>3.7051279586225467E-3</v>
      </c>
      <c r="AC205" s="608">
        <f t="shared" si="158"/>
        <v>10.225955609939183</v>
      </c>
      <c r="AD205" s="767">
        <f t="shared" si="179"/>
        <v>0</v>
      </c>
      <c r="AE205" s="730">
        <f t="shared" si="159"/>
        <v>0.60508833240468574</v>
      </c>
      <c r="AF205" s="483">
        <f t="shared" si="160"/>
        <v>0.34661496218602461</v>
      </c>
      <c r="AG205" s="483">
        <f t="shared" si="161"/>
        <v>4.7934379569050112E-2</v>
      </c>
      <c r="AH205" s="483">
        <f t="shared" si="162"/>
        <v>3.6232584023945146E-4</v>
      </c>
      <c r="AI205" s="483">
        <f t="shared" si="163"/>
        <v>3.6232584023945146E-4</v>
      </c>
      <c r="AJ205" s="604">
        <f t="shared" si="164"/>
        <v>1.0003623258402394</v>
      </c>
      <c r="AK205" s="1400">
        <f t="shared" si="171"/>
        <v>5.1001438522846634</v>
      </c>
      <c r="AL205" s="608">
        <f t="shared" si="172"/>
        <v>0.89412997615797285</v>
      </c>
      <c r="AM205" s="608">
        <f t="shared" si="173"/>
        <v>0.19333259881980491</v>
      </c>
      <c r="AN205" s="1401">
        <f t="shared" si="165"/>
        <v>6.1876064272624411</v>
      </c>
      <c r="AO205" s="1402">
        <f t="shared" si="166"/>
        <v>0</v>
      </c>
    </row>
    <row r="206" spans="1:41">
      <c r="A206" s="100">
        <f>'Input data'!A147</f>
        <v>2047</v>
      </c>
      <c r="B206" s="1223">
        <f>'Input data'!B147</f>
        <v>74.373000000000005</v>
      </c>
      <c r="C206" s="1224">
        <f>'Input data'!C147</f>
        <v>6104.119999999999</v>
      </c>
      <c r="D206" s="1232">
        <f>'Input data'!E147</f>
        <v>50172070.130067617</v>
      </c>
      <c r="E206" s="835">
        <f>'Input data'!J147</f>
        <v>11.504772374209397</v>
      </c>
      <c r="F206" s="835">
        <f>'Input data'!L147/C166</f>
        <v>13.467186923454101</v>
      </c>
      <c r="G206" s="1228">
        <f t="shared" si="178"/>
        <v>4.7147685431121138</v>
      </c>
      <c r="H206" s="1228">
        <f t="shared" si="141"/>
        <v>11.537359896062171</v>
      </c>
      <c r="I206" s="1382">
        <f t="shared" si="142"/>
        <v>8.2193780807172239</v>
      </c>
      <c r="J206" s="477">
        <f t="shared" si="177"/>
        <v>0.4</v>
      </c>
      <c r="K206" s="623">
        <f t="shared" si="168"/>
        <v>3.2877512322868898</v>
      </c>
      <c r="L206" s="608">
        <f t="shared" si="143"/>
        <v>0.96248877021284696</v>
      </c>
      <c r="M206" s="727">
        <f t="shared" si="150"/>
        <v>4.2502400024997371</v>
      </c>
      <c r="N206" s="730">
        <f t="shared" si="176"/>
        <v>0.5</v>
      </c>
      <c r="O206" s="767">
        <f t="shared" si="144"/>
        <v>1.2888839921320325</v>
      </c>
      <c r="P206" s="779">
        <f t="shared" si="169"/>
        <v>4.0707510908921005</v>
      </c>
      <c r="Q206" s="779">
        <f t="shared" si="145"/>
        <v>12.181377348282185</v>
      </c>
      <c r="R206" s="608">
        <f t="shared" si="151"/>
        <v>7.466608805170071</v>
      </c>
      <c r="S206" s="1240">
        <f t="shared" si="170"/>
        <v>1.0299125197925985</v>
      </c>
      <c r="T206" s="135" t="str">
        <f t="shared" si="152"/>
        <v>Policies not met</v>
      </c>
      <c r="U206" s="1240">
        <f t="shared" si="153"/>
        <v>0.85</v>
      </c>
      <c r="V206" s="135" t="str">
        <f t="shared" si="154"/>
        <v>Yes</v>
      </c>
      <c r="W206" s="1241">
        <f t="shared" si="155"/>
        <v>9.9450939368486342</v>
      </c>
      <c r="X206" s="623">
        <f t="shared" si="156"/>
        <v>6.0190894234081114</v>
      </c>
      <c r="Y206" s="118">
        <f t="shared" si="157"/>
        <v>3.4321245478188169</v>
      </c>
      <c r="Z206" s="608">
        <f t="shared" si="146"/>
        <v>0.49017483766308212</v>
      </c>
      <c r="AA206" s="608">
        <f t="shared" si="147"/>
        <v>0</v>
      </c>
      <c r="AB206" s="608">
        <f t="shared" si="148"/>
        <v>3.7051279586225467E-3</v>
      </c>
      <c r="AC206" s="608">
        <f t="shared" si="158"/>
        <v>9.9450939368486324</v>
      </c>
      <c r="AD206" s="767">
        <f t="shared" si="179"/>
        <v>0</v>
      </c>
      <c r="AE206" s="730">
        <f t="shared" si="159"/>
        <v>0.60523203316422569</v>
      </c>
      <c r="AF206" s="483">
        <f t="shared" si="160"/>
        <v>0.34510730311979104</v>
      </c>
      <c r="AG206" s="483">
        <f t="shared" si="161"/>
        <v>4.9288105348797448E-2</v>
      </c>
      <c r="AH206" s="483">
        <f t="shared" si="162"/>
        <v>3.725583671858825E-4</v>
      </c>
      <c r="AI206" s="483">
        <f t="shared" si="163"/>
        <v>3.725583671858825E-4</v>
      </c>
      <c r="AJ206" s="604">
        <f t="shared" si="164"/>
        <v>1.0003725583671859</v>
      </c>
      <c r="AK206" s="1400">
        <f t="shared" si="171"/>
        <v>4.9316268484303336</v>
      </c>
      <c r="AL206" s="608">
        <f t="shared" si="172"/>
        <v>0.89412997615797285</v>
      </c>
      <c r="AM206" s="608">
        <f t="shared" si="173"/>
        <v>0.19333259881980491</v>
      </c>
      <c r="AN206" s="1401">
        <f t="shared" si="165"/>
        <v>6.0190894234081114</v>
      </c>
      <c r="AO206" s="1402">
        <f t="shared" si="166"/>
        <v>0</v>
      </c>
    </row>
    <row r="207" spans="1:41">
      <c r="A207" s="100">
        <f>'Input data'!A148</f>
        <v>2048</v>
      </c>
      <c r="B207" s="1231">
        <f>'Input data'!B148</f>
        <v>74.753</v>
      </c>
      <c r="C207" s="1232">
        <f>'Input data'!C148</f>
        <v>6308.13</v>
      </c>
      <c r="D207" s="1232">
        <f>'Input data'!E148</f>
        <v>50172070.130067617</v>
      </c>
      <c r="E207" s="835">
        <f>'Input data'!J148</f>
        <v>11.504772374209397</v>
      </c>
      <c r="F207" s="835">
        <f>'Input data'!L148/C167</f>
        <v>13.200652605076423</v>
      </c>
      <c r="G207" s="1228">
        <f t="shared" si="178"/>
        <v>4.7147685431121138</v>
      </c>
      <c r="H207" s="1228">
        <f t="shared" si="141"/>
        <v>11.287899295192133</v>
      </c>
      <c r="I207" s="1382">
        <f t="shared" si="142"/>
        <v>7.9535567799122111</v>
      </c>
      <c r="J207" s="483">
        <f t="shared" si="177"/>
        <v>0.4</v>
      </c>
      <c r="K207" s="623">
        <f t="shared" si="168"/>
        <v>3.1814227119648848</v>
      </c>
      <c r="L207" s="608">
        <f t="shared" si="143"/>
        <v>0.96248877021284696</v>
      </c>
      <c r="M207" s="727">
        <f t="shared" si="150"/>
        <v>4.1439114821777316</v>
      </c>
      <c r="N207" s="730">
        <f t="shared" si="176"/>
        <v>0.5</v>
      </c>
      <c r="O207" s="767">
        <f t="shared" si="144"/>
        <v>1.2888839921320325</v>
      </c>
      <c r="P207" s="779">
        <f t="shared" si="169"/>
        <v>3.9807832705050687</v>
      </c>
      <c r="Q207" s="779">
        <f t="shared" si="145"/>
        <v>12.02188456779918</v>
      </c>
      <c r="R207" s="608">
        <f t="shared" si="151"/>
        <v>7.3071160246870663</v>
      </c>
      <c r="S207" s="1240">
        <f t="shared" si="170"/>
        <v>1.0079127584923626</v>
      </c>
      <c r="T207" s="135" t="str">
        <f t="shared" si="152"/>
        <v>Policies not met</v>
      </c>
      <c r="U207" s="1240">
        <f t="shared" si="153"/>
        <v>0.85</v>
      </c>
      <c r="V207" s="135" t="str">
        <f t="shared" si="154"/>
        <v>Yes</v>
      </c>
      <c r="W207" s="1241">
        <f t="shared" si="155"/>
        <v>9.6792726360436205</v>
      </c>
      <c r="X207" s="623">
        <f t="shared" si="156"/>
        <v>5.859596642925105</v>
      </c>
      <c r="Y207" s="118">
        <f t="shared" si="157"/>
        <v>3.3257960274968119</v>
      </c>
      <c r="Z207" s="608">
        <f t="shared" si="146"/>
        <v>0.49017483766308212</v>
      </c>
      <c r="AA207" s="608">
        <f t="shared" si="147"/>
        <v>0</v>
      </c>
      <c r="AB207" s="608">
        <f t="shared" si="148"/>
        <v>3.7051279586225467E-3</v>
      </c>
      <c r="AC207" s="608">
        <f t="shared" si="158"/>
        <v>9.6792726360436223</v>
      </c>
      <c r="AD207" s="767">
        <f t="shared" si="179"/>
        <v>0</v>
      </c>
      <c r="AE207" s="730">
        <f t="shared" si="159"/>
        <v>0.60537572018636721</v>
      </c>
      <c r="AF207" s="483">
        <f t="shared" si="160"/>
        <v>0.34359978818162751</v>
      </c>
      <c r="AG207" s="483">
        <f t="shared" si="161"/>
        <v>5.0641701716074385E-2</v>
      </c>
      <c r="AH207" s="483">
        <f t="shared" si="162"/>
        <v>3.8278991593081196E-4</v>
      </c>
      <c r="AI207" s="483">
        <f t="shared" si="163"/>
        <v>3.8278991593081196E-4</v>
      </c>
      <c r="AJ207" s="604">
        <f t="shared" si="164"/>
        <v>1.0003827899159308</v>
      </c>
      <c r="AK207" s="1400">
        <f t="shared" si="171"/>
        <v>4.7721340679473263</v>
      </c>
      <c r="AL207" s="608">
        <f t="shared" si="172"/>
        <v>0.89412997615797285</v>
      </c>
      <c r="AM207" s="608">
        <f t="shared" si="173"/>
        <v>0.19333259881980491</v>
      </c>
      <c r="AN207" s="1401">
        <f t="shared" si="165"/>
        <v>5.8595966429251041</v>
      </c>
      <c r="AO207" s="1402">
        <f t="shared" si="166"/>
        <v>0</v>
      </c>
    </row>
    <row r="208" spans="1:41">
      <c r="A208" s="100">
        <f>'Input data'!A149</f>
        <v>2049</v>
      </c>
      <c r="B208" s="1231">
        <f>'Input data'!B149</f>
        <v>75.134</v>
      </c>
      <c r="C208" s="1232">
        <f>'Input data'!C149</f>
        <v>6522.2000000000007</v>
      </c>
      <c r="D208" s="1232">
        <f>'Input data'!E149</f>
        <v>50172070.130067617</v>
      </c>
      <c r="E208" s="835">
        <f>'Input data'!J149</f>
        <v>11.504772374209397</v>
      </c>
      <c r="F208" s="835">
        <f>'Input data'!L149/C168</f>
        <v>12.948587654811467</v>
      </c>
      <c r="G208" s="1228">
        <f t="shared" si="178"/>
        <v>4.7147685431121138</v>
      </c>
      <c r="H208" s="1228">
        <f t="shared" si="141"/>
        <v>11.042916679135157</v>
      </c>
      <c r="I208" s="1382">
        <f t="shared" si="142"/>
        <v>7.6925071494384731</v>
      </c>
      <c r="J208" s="483">
        <f t="shared" si="177"/>
        <v>0.4</v>
      </c>
      <c r="K208" s="623">
        <f t="shared" si="168"/>
        <v>3.0770028597753893</v>
      </c>
      <c r="L208" s="608">
        <f t="shared" si="143"/>
        <v>0.96248877021284696</v>
      </c>
      <c r="M208" s="727">
        <f t="shared" si="150"/>
        <v>4.0394916299882366</v>
      </c>
      <c r="N208" s="730">
        <f t="shared" si="176"/>
        <v>0.5</v>
      </c>
      <c r="O208" s="767">
        <f t="shared" si="144"/>
        <v>1.2888839921320325</v>
      </c>
      <c r="P208" s="779">
        <f t="shared" si="169"/>
        <v>3.8924304327323362</v>
      </c>
      <c r="Q208" s="779">
        <f t="shared" si="145"/>
        <v>11.865254789514935</v>
      </c>
      <c r="R208" s="608">
        <f t="shared" si="151"/>
        <v>7.1504862464028216</v>
      </c>
      <c r="S208" s="1240">
        <f t="shared" si="170"/>
        <v>0.98630790763750309</v>
      </c>
      <c r="T208" s="135" t="str">
        <f t="shared" si="152"/>
        <v>Policies not met</v>
      </c>
      <c r="U208" s="1240">
        <f t="shared" si="153"/>
        <v>0.85</v>
      </c>
      <c r="V208" s="135" t="str">
        <f t="shared" si="154"/>
        <v>Yes</v>
      </c>
      <c r="W208" s="1241">
        <f t="shared" si="155"/>
        <v>9.4182230055698835</v>
      </c>
      <c r="X208" s="623">
        <f t="shared" si="156"/>
        <v>5.702966864640862</v>
      </c>
      <c r="Y208" s="118">
        <f t="shared" si="157"/>
        <v>3.2213761753073165</v>
      </c>
      <c r="Z208" s="608">
        <f t="shared" si="146"/>
        <v>0.49017483766308212</v>
      </c>
      <c r="AA208" s="608">
        <f t="shared" si="147"/>
        <v>0</v>
      </c>
      <c r="AB208" s="608">
        <f t="shared" si="148"/>
        <v>3.7051279586225467E-3</v>
      </c>
      <c r="AC208" s="608">
        <f t="shared" si="158"/>
        <v>9.4182230055698835</v>
      </c>
      <c r="AD208" s="767">
        <f t="shared" si="179"/>
        <v>0</v>
      </c>
      <c r="AE208" s="730">
        <f t="shared" si="159"/>
        <v>0.60552472173022021</v>
      </c>
      <c r="AF208" s="483">
        <f t="shared" si="160"/>
        <v>0.34203651510504823</v>
      </c>
      <c r="AG208" s="483">
        <f t="shared" si="161"/>
        <v>5.20453632679111E-2</v>
      </c>
      <c r="AH208" s="483">
        <f t="shared" si="162"/>
        <v>3.9339989682038266E-4</v>
      </c>
      <c r="AI208" s="483">
        <f t="shared" si="163"/>
        <v>3.9339989682038266E-4</v>
      </c>
      <c r="AJ208" s="604">
        <f t="shared" si="164"/>
        <v>1.0003933998968202</v>
      </c>
      <c r="AK208" s="1400">
        <f t="shared" si="171"/>
        <v>4.6155042896630842</v>
      </c>
      <c r="AL208" s="608">
        <f t="shared" si="172"/>
        <v>0.89412997615797285</v>
      </c>
      <c r="AM208" s="608">
        <f t="shared" si="173"/>
        <v>0.19333259881980491</v>
      </c>
      <c r="AN208" s="1401">
        <f t="shared" si="165"/>
        <v>5.702966864640862</v>
      </c>
      <c r="AO208" s="1402">
        <f t="shared" si="166"/>
        <v>0</v>
      </c>
    </row>
    <row r="209" spans="1:41" ht="15" thickBot="1">
      <c r="A209" s="161">
        <f>'Input data'!A150</f>
        <v>2050</v>
      </c>
      <c r="B209" s="1413">
        <f>'Input data'!B150</f>
        <v>75.518000000000001</v>
      </c>
      <c r="C209" s="1414">
        <f>'Input data'!C150</f>
        <v>6747.1300000000019</v>
      </c>
      <c r="D209" s="1414">
        <f>'Input data'!E150</f>
        <v>50172070.130067617</v>
      </c>
      <c r="E209" s="837">
        <f>'Input data'!J150</f>
        <v>11.504772374209397</v>
      </c>
      <c r="F209" s="837">
        <f>'Input data'!L150/C169</f>
        <v>12.710599308853674</v>
      </c>
      <c r="G209" s="1357">
        <f t="shared" si="178"/>
        <v>4.7147685431121138</v>
      </c>
      <c r="H209" s="1357">
        <f t="shared" si="141"/>
        <v>10.802254192899063</v>
      </c>
      <c r="I209" s="1415">
        <f t="shared" si="142"/>
        <v>7.4360609814939984</v>
      </c>
      <c r="J209" s="732">
        <f t="shared" si="177"/>
        <v>0.4</v>
      </c>
      <c r="K209" s="769">
        <f t="shared" si="168"/>
        <v>2.9744243925975997</v>
      </c>
      <c r="L209" s="739">
        <f t="shared" si="143"/>
        <v>0.96248877021284696</v>
      </c>
      <c r="M209" s="736">
        <f t="shared" si="150"/>
        <v>3.9369131628104466</v>
      </c>
      <c r="N209" s="731">
        <f t="shared" si="176"/>
        <v>0.5</v>
      </c>
      <c r="O209" s="778">
        <f t="shared" si="144"/>
        <v>1.2888839921320325</v>
      </c>
      <c r="P209" s="780">
        <f t="shared" si="169"/>
        <v>3.8056356472629247</v>
      </c>
      <c r="Q209" s="780">
        <f t="shared" si="145"/>
        <v>11.711387088748252</v>
      </c>
      <c r="R209" s="739">
        <f t="shared" si="151"/>
        <v>6.9966185456361378</v>
      </c>
      <c r="S209" s="1249">
        <f t="shared" si="170"/>
        <v>0.96508404610325726</v>
      </c>
      <c r="T209" s="1267" t="str">
        <f t="shared" si="152"/>
        <v>Policies not met</v>
      </c>
      <c r="U209" s="1249">
        <f t="shared" si="153"/>
        <v>0.85</v>
      </c>
      <c r="V209" s="1267" t="str">
        <f t="shared" si="154"/>
        <v>Yes</v>
      </c>
      <c r="W209" s="1242">
        <f t="shared" si="155"/>
        <v>9.1617768376254087</v>
      </c>
      <c r="X209" s="769">
        <f t="shared" si="156"/>
        <v>5.5490991638741765</v>
      </c>
      <c r="Y209" s="121">
        <f t="shared" si="157"/>
        <v>3.1187977081295268</v>
      </c>
      <c r="Z209" s="739">
        <f t="shared" si="146"/>
        <v>0.49017483766308212</v>
      </c>
      <c r="AA209" s="739">
        <f t="shared" si="147"/>
        <v>0</v>
      </c>
      <c r="AB209" s="739">
        <f t="shared" si="148"/>
        <v>3.7051279586225467E-3</v>
      </c>
      <c r="AC209" s="739">
        <f t="shared" si="158"/>
        <v>9.1617768376254087</v>
      </c>
      <c r="AD209" s="778">
        <f t="shared" si="179"/>
        <v>0</v>
      </c>
      <c r="AE209" s="731">
        <f t="shared" si="159"/>
        <v>0.60567936353625673</v>
      </c>
      <c r="AF209" s="732">
        <f t="shared" si="160"/>
        <v>0.34041406633277821</v>
      </c>
      <c r="AG209" s="732">
        <f t="shared" si="161"/>
        <v>5.3502158626047465E-2</v>
      </c>
      <c r="AH209" s="732">
        <f t="shared" si="162"/>
        <v>4.044115049175176E-4</v>
      </c>
      <c r="AI209" s="732">
        <f>AB209/AC209</f>
        <v>4.044115049175176E-4</v>
      </c>
      <c r="AJ209" s="733">
        <f t="shared" si="164"/>
        <v>1.0004044115049173</v>
      </c>
      <c r="AK209" s="1403">
        <f t="shared" si="171"/>
        <v>4.4616365888963987</v>
      </c>
      <c r="AL209" s="739">
        <f t="shared" si="172"/>
        <v>0.89412997615797285</v>
      </c>
      <c r="AM209" s="739">
        <f t="shared" si="173"/>
        <v>0.19333259881980491</v>
      </c>
      <c r="AN209" s="1404">
        <f t="shared" si="165"/>
        <v>5.5490991638741765</v>
      </c>
      <c r="AO209" s="1405">
        <f t="shared" si="166"/>
        <v>0</v>
      </c>
    </row>
    <row r="210" spans="1:41">
      <c r="I210" s="106"/>
    </row>
    <row r="211" spans="1:41">
      <c r="I211" s="106"/>
    </row>
    <row r="212" spans="1:41">
      <c r="I212" s="104"/>
    </row>
  </sheetData>
  <mergeCells count="77">
    <mergeCell ref="BV93:BX93"/>
    <mergeCell ref="BY93:CA93"/>
    <mergeCell ref="BM93:BT93"/>
    <mergeCell ref="CB93:CC93"/>
    <mergeCell ref="CD93:CE93"/>
    <mergeCell ref="BD93:BD95"/>
    <mergeCell ref="X173:AJ173"/>
    <mergeCell ref="X133:AJ133"/>
    <mergeCell ref="AE93:AE95"/>
    <mergeCell ref="AF93:AF94"/>
    <mergeCell ref="AG93:AQ93"/>
    <mergeCell ref="AD93:AD94"/>
    <mergeCell ref="AC93:AC95"/>
    <mergeCell ref="AK133:AO133"/>
    <mergeCell ref="AK173:AO173"/>
    <mergeCell ref="A36:A37"/>
    <mergeCell ref="Q42:W42"/>
    <mergeCell ref="E133:I133"/>
    <mergeCell ref="R133:R134"/>
    <mergeCell ref="W133:W134"/>
    <mergeCell ref="N133:O133"/>
    <mergeCell ref="M133:M134"/>
    <mergeCell ref="J133:L133"/>
    <mergeCell ref="S133:S134"/>
    <mergeCell ref="A93:D93"/>
    <mergeCell ref="E93:G93"/>
    <mergeCell ref="H93:K93"/>
    <mergeCell ref="L93:P93"/>
    <mergeCell ref="Q93:U93"/>
    <mergeCell ref="T133:T135"/>
    <mergeCell ref="J42:P42"/>
    <mergeCell ref="A26:A27"/>
    <mergeCell ref="B26:B27"/>
    <mergeCell ref="E26:E27"/>
    <mergeCell ref="F26:F27"/>
    <mergeCell ref="G26:G27"/>
    <mergeCell ref="A4:A6"/>
    <mergeCell ref="B4:B6"/>
    <mergeCell ref="A8:A9"/>
    <mergeCell ref="B8:F8"/>
    <mergeCell ref="G8:I8"/>
    <mergeCell ref="H26:H27"/>
    <mergeCell ref="C29:D29"/>
    <mergeCell ref="E29:F29"/>
    <mergeCell ref="G29:H29"/>
    <mergeCell ref="C42:I42"/>
    <mergeCell ref="A94:A95"/>
    <mergeCell ref="A133:D133"/>
    <mergeCell ref="A134:A135"/>
    <mergeCell ref="P133:P134"/>
    <mergeCell ref="Q133:Q134"/>
    <mergeCell ref="A173:D173"/>
    <mergeCell ref="A174:A175"/>
    <mergeCell ref="E173:I173"/>
    <mergeCell ref="J173:L173"/>
    <mergeCell ref="M173:M174"/>
    <mergeCell ref="N173:O173"/>
    <mergeCell ref="P173:P174"/>
    <mergeCell ref="Q173:Q174"/>
    <mergeCell ref="R173:R174"/>
    <mergeCell ref="S173:S174"/>
    <mergeCell ref="BE93:BL93"/>
    <mergeCell ref="CG93:CM93"/>
    <mergeCell ref="CM94:CM95"/>
    <mergeCell ref="T173:T175"/>
    <mergeCell ref="W173:W174"/>
    <mergeCell ref="U173:U174"/>
    <mergeCell ref="V173:V175"/>
    <mergeCell ref="AB93:AB95"/>
    <mergeCell ref="Y93:Y94"/>
    <mergeCell ref="V93:V94"/>
    <mergeCell ref="W93:X93"/>
    <mergeCell ref="Z93:Z94"/>
    <mergeCell ref="AA93:AA94"/>
    <mergeCell ref="U133:U134"/>
    <mergeCell ref="V133:V135"/>
    <mergeCell ref="AR93:BB93"/>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09"/>
  <sheetViews>
    <sheetView topLeftCell="AI135" zoomScale="43" zoomScaleNormal="55" workbookViewId="0">
      <selection activeCell="G86" sqref="G86"/>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2.6640625" customWidth="1"/>
    <col min="24" max="24" width="20.33203125"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s>
  <sheetData>
    <row r="1" spans="1:11">
      <c r="A1" s="2" t="s">
        <v>620</v>
      </c>
      <c r="J1" s="99"/>
      <c r="K1" s="99"/>
    </row>
    <row r="2" spans="1:11" ht="15" thickBot="1">
      <c r="A2" s="2" t="s">
        <v>621</v>
      </c>
      <c r="B2" s="479" t="s">
        <v>633</v>
      </c>
      <c r="J2" s="99"/>
      <c r="K2" s="99"/>
    </row>
    <row r="3" spans="1:11" ht="15" thickBot="1">
      <c r="A3" s="2"/>
      <c r="C3" s="844" t="s">
        <v>629</v>
      </c>
      <c r="D3" s="662" t="s">
        <v>636</v>
      </c>
      <c r="E3" s="844" t="s">
        <v>630</v>
      </c>
      <c r="F3" s="662" t="s">
        <v>636</v>
      </c>
      <c r="G3" s="844" t="s">
        <v>631</v>
      </c>
      <c r="H3" s="662" t="s">
        <v>636</v>
      </c>
      <c r="J3" s="99"/>
      <c r="K3" s="99"/>
    </row>
    <row r="4" spans="1:11">
      <c r="A4" s="1830" t="s">
        <v>634</v>
      </c>
      <c r="B4" s="1827" t="s">
        <v>635</v>
      </c>
      <c r="C4" s="660">
        <v>0.5</v>
      </c>
      <c r="D4" s="116">
        <f>2017+10</f>
        <v>2027</v>
      </c>
      <c r="E4" s="660">
        <f>C4</f>
        <v>0.5</v>
      </c>
      <c r="F4" s="116">
        <f>2017+5</f>
        <v>2022</v>
      </c>
      <c r="G4" s="660">
        <f>E4</f>
        <v>0.5</v>
      </c>
      <c r="H4" s="116">
        <f>F4</f>
        <v>2022</v>
      </c>
      <c r="J4" s="99"/>
      <c r="K4" s="99"/>
    </row>
    <row r="5" spans="1:11">
      <c r="A5" s="1807"/>
      <c r="B5" s="1828"/>
      <c r="C5" s="656">
        <v>0.65</v>
      </c>
      <c r="D5" s="130">
        <f>2017+20</f>
        <v>2037</v>
      </c>
      <c r="E5" s="656">
        <f t="shared" ref="E5:E6" si="0">C5</f>
        <v>0.65</v>
      </c>
      <c r="F5" s="130">
        <f>2017+10</f>
        <v>2027</v>
      </c>
      <c r="G5" s="656">
        <f t="shared" ref="G5:H6" si="1">E5</f>
        <v>0.65</v>
      </c>
      <c r="H5" s="130">
        <f t="shared" si="1"/>
        <v>2027</v>
      </c>
      <c r="J5" s="99"/>
      <c r="K5" s="99"/>
    </row>
    <row r="6" spans="1:11" ht="15" thickBot="1">
      <c r="A6" s="1808"/>
      <c r="B6" s="1829"/>
      <c r="C6" s="658">
        <v>0.8</v>
      </c>
      <c r="D6" s="140">
        <f>2017+30</f>
        <v>2047</v>
      </c>
      <c r="E6" s="658">
        <f t="shared" si="0"/>
        <v>0.8</v>
      </c>
      <c r="F6" s="140">
        <f>15+2017</f>
        <v>2032</v>
      </c>
      <c r="G6" s="658">
        <f t="shared" si="1"/>
        <v>0.8</v>
      </c>
      <c r="H6" s="140">
        <f t="shared" si="1"/>
        <v>2032</v>
      </c>
      <c r="J6" s="99"/>
      <c r="K6" s="99"/>
    </row>
    <row r="7" spans="1:11" ht="15" thickBot="1">
      <c r="A7" s="843"/>
      <c r="B7" s="843"/>
      <c r="C7" s="657"/>
      <c r="D7" s="104"/>
      <c r="E7" s="657"/>
      <c r="F7" s="104"/>
      <c r="G7" s="657"/>
      <c r="H7" s="104"/>
      <c r="J7" s="99"/>
      <c r="K7" s="99"/>
    </row>
    <row r="8" spans="1:11" ht="15.6" customHeight="1">
      <c r="A8" s="1841" t="s">
        <v>652</v>
      </c>
      <c r="B8" s="1657" t="s">
        <v>561</v>
      </c>
      <c r="C8" s="1658"/>
      <c r="D8" s="1658"/>
      <c r="E8" s="1658"/>
      <c r="F8" s="1659"/>
      <c r="G8" s="1657" t="s">
        <v>610</v>
      </c>
      <c r="H8" s="1658"/>
      <c r="I8" s="1659"/>
      <c r="J8" s="346"/>
      <c r="K8" s="99"/>
    </row>
    <row r="9" spans="1:11" ht="31.8" thickBot="1">
      <c r="A9" s="1842"/>
      <c r="B9" s="518" t="s">
        <v>549</v>
      </c>
      <c r="C9" s="304" t="s">
        <v>566</v>
      </c>
      <c r="D9" s="304" t="s">
        <v>429</v>
      </c>
      <c r="E9" s="304" t="s">
        <v>553</v>
      </c>
      <c r="F9" s="519" t="s">
        <v>303</v>
      </c>
      <c r="G9" s="518" t="s">
        <v>569</v>
      </c>
      <c r="H9" s="304" t="s">
        <v>570</v>
      </c>
      <c r="I9" s="519" t="s">
        <v>303</v>
      </c>
      <c r="J9" s="346"/>
      <c r="K9" s="99"/>
    </row>
    <row r="10" spans="1:11" ht="15.6">
      <c r="A10" s="503" t="s">
        <v>651</v>
      </c>
      <c r="B10" s="507">
        <f>'Input data'!B35</f>
        <v>0.46471844811027063</v>
      </c>
      <c r="C10" s="507">
        <f>'Input data'!C35</f>
        <v>0.41381327103365251</v>
      </c>
      <c r="D10" s="507">
        <f>'Input data'!D35</f>
        <v>0.12146828085607692</v>
      </c>
      <c r="E10" s="507">
        <f>'Input data'!E35</f>
        <v>0</v>
      </c>
      <c r="F10" s="507">
        <f>'Input data'!F35</f>
        <v>1</v>
      </c>
      <c r="G10" s="506">
        <f>'Input data'!G35</f>
        <v>0.66241124199764068</v>
      </c>
      <c r="H10" s="506">
        <f>'Input data'!H35</f>
        <v>0.33758875800235938</v>
      </c>
      <c r="I10" s="706">
        <f>'Input data'!I35</f>
        <v>1</v>
      </c>
      <c r="J10" s="158"/>
      <c r="K10" s="99"/>
    </row>
    <row r="11" spans="1:11" ht="15.6">
      <c r="A11" s="504" t="s">
        <v>656</v>
      </c>
      <c r="B11" s="507">
        <f>'Input data'!B36</f>
        <v>0.85641924869700936</v>
      </c>
      <c r="C11" s="507">
        <f>'Input data'!C36</f>
        <v>0.14268338865096522</v>
      </c>
      <c r="D11" s="507">
        <f>'Input data'!D36</f>
        <v>0</v>
      </c>
      <c r="E11" s="507">
        <f>'Input data'!E36</f>
        <v>8.973626520254116E-4</v>
      </c>
      <c r="F11" s="507">
        <f>'Input data'!F36</f>
        <v>1</v>
      </c>
      <c r="G11" s="507">
        <f>'Input data'!G36</f>
        <v>0.49613166950665732</v>
      </c>
      <c r="H11" s="507">
        <f>'Input data'!H36</f>
        <v>0.50386833049334279</v>
      </c>
      <c r="I11" s="506">
        <f>'Input data'!I36</f>
        <v>1</v>
      </c>
      <c r="J11" s="764"/>
      <c r="K11" s="99"/>
    </row>
    <row r="12" spans="1:11" ht="15.6">
      <c r="A12" s="741" t="s">
        <v>657</v>
      </c>
      <c r="B12" s="507">
        <f>'Input data'!B37</f>
        <v>0.74218195843015589</v>
      </c>
      <c r="C12" s="507">
        <f>'Input data'!C37</f>
        <v>0.25567103228934263</v>
      </c>
      <c r="D12" s="507">
        <f>'Input data'!D37</f>
        <v>0</v>
      </c>
      <c r="E12" s="507">
        <f>'Input data'!E37</f>
        <v>2.1470092805013948E-3</v>
      </c>
      <c r="F12" s="507">
        <f>'Input data'!F37</f>
        <v>0.99999999999999989</v>
      </c>
      <c r="G12" s="507">
        <f>'Input data'!G37</f>
        <v>0.32721719372829228</v>
      </c>
      <c r="H12" s="507">
        <f>'Input data'!H37</f>
        <v>0.67278280627170772</v>
      </c>
      <c r="I12" s="506">
        <f>'Input data'!I37</f>
        <v>1</v>
      </c>
      <c r="J12" s="99"/>
      <c r="K12" s="99"/>
    </row>
    <row r="13" spans="1:11" ht="16.2" thickBot="1">
      <c r="A13" s="505" t="s">
        <v>575</v>
      </c>
      <c r="B13" s="707">
        <f>'Input data'!B38</f>
        <v>0.8</v>
      </c>
      <c r="C13" s="707">
        <f>'Input data'!C38</f>
        <v>0.11</v>
      </c>
      <c r="D13" s="707">
        <f>'Input data'!D38</f>
        <v>0.09</v>
      </c>
      <c r="E13" s="707">
        <f>'Input data'!E38</f>
        <v>0</v>
      </c>
      <c r="F13" s="707">
        <f>'Input data'!F38</f>
        <v>1</v>
      </c>
      <c r="G13" s="708">
        <f>'Input data'!G38</f>
        <v>1</v>
      </c>
      <c r="H13" s="708">
        <f>'Input data'!H38</f>
        <v>0</v>
      </c>
      <c r="I13" s="709">
        <f>'Input data'!I38</f>
        <v>1</v>
      </c>
      <c r="J13" s="99"/>
      <c r="K13" s="99">
        <v>0.57999999999999996</v>
      </c>
    </row>
    <row r="14" spans="1:11" ht="15.6">
      <c r="A14" s="536"/>
      <c r="C14" s="705"/>
      <c r="E14" s="705"/>
      <c r="F14" s="705"/>
      <c r="G14" s="502"/>
      <c r="J14" s="99"/>
      <c r="K14" s="99">
        <v>0.21707953063885269</v>
      </c>
    </row>
    <row r="15" spans="1:11" ht="15.6" customHeight="1" thickBot="1">
      <c r="B15" s="479" t="s">
        <v>632</v>
      </c>
      <c r="J15" s="99"/>
      <c r="K15" s="99">
        <v>0.71200000000000008</v>
      </c>
    </row>
    <row r="16" spans="1:11" ht="15" thickBot="1">
      <c r="A16" s="713"/>
      <c r="B16" s="712" t="s">
        <v>636</v>
      </c>
      <c r="C16" s="670" t="s">
        <v>87</v>
      </c>
      <c r="D16" s="670" t="s">
        <v>364</v>
      </c>
      <c r="E16" s="670" t="s">
        <v>365</v>
      </c>
      <c r="F16" s="670" t="s">
        <v>366</v>
      </c>
      <c r="G16" s="752" t="s">
        <v>660</v>
      </c>
      <c r="H16" s="753" t="s">
        <v>367</v>
      </c>
      <c r="K16">
        <v>0.8</v>
      </c>
    </row>
    <row r="17" spans="1:11">
      <c r="A17" s="714" t="s">
        <v>653</v>
      </c>
      <c r="B17" s="713">
        <v>2017</v>
      </c>
      <c r="C17" s="114">
        <f>E63/E65</f>
        <v>0.57999999999999996</v>
      </c>
      <c r="D17" s="114">
        <f>J63/J65</f>
        <v>0.437</v>
      </c>
      <c r="E17" s="114">
        <f t="shared" ref="E17:G17" si="2">K63/K65</f>
        <v>0.71200000000000008</v>
      </c>
      <c r="F17" s="114">
        <f t="shared" si="2"/>
        <v>0.8</v>
      </c>
      <c r="G17" s="114">
        <f t="shared" si="2"/>
        <v>0.23600000000000002</v>
      </c>
      <c r="H17" s="666">
        <f>H80</f>
        <v>6.154773859516615E-2</v>
      </c>
      <c r="K17">
        <v>0.23600000000000002</v>
      </c>
    </row>
    <row r="18" spans="1:11">
      <c r="A18" s="715" t="s">
        <v>629</v>
      </c>
      <c r="B18" s="621">
        <v>2030</v>
      </c>
      <c r="C18" s="483">
        <f>C17</f>
        <v>0.57999999999999996</v>
      </c>
      <c r="D18" s="483">
        <f t="shared" ref="D18:F18" si="3">D17</f>
        <v>0.437</v>
      </c>
      <c r="E18" s="483">
        <f t="shared" si="3"/>
        <v>0.71200000000000008</v>
      </c>
      <c r="F18" s="483">
        <f t="shared" si="3"/>
        <v>0.8</v>
      </c>
      <c r="G18" s="483">
        <f>G17</f>
        <v>0.23600000000000002</v>
      </c>
      <c r="H18" s="604">
        <f>H17</f>
        <v>6.154773859516615E-2</v>
      </c>
    </row>
    <row r="19" spans="1:11">
      <c r="A19" s="714" t="s">
        <v>630</v>
      </c>
      <c r="B19" s="621">
        <v>2030</v>
      </c>
      <c r="C19" s="657">
        <v>0.7</v>
      </c>
      <c r="D19" s="657">
        <v>0.6</v>
      </c>
      <c r="E19" s="657">
        <v>0.9</v>
      </c>
      <c r="F19" s="657">
        <v>0.9</v>
      </c>
      <c r="G19" s="483">
        <f>G18</f>
        <v>0.23600000000000002</v>
      </c>
      <c r="H19" s="667">
        <v>0.4</v>
      </c>
    </row>
    <row r="20" spans="1:11" ht="15" thickBot="1">
      <c r="A20" s="716" t="s">
        <v>631</v>
      </c>
      <c r="B20" s="622">
        <v>2030</v>
      </c>
      <c r="C20" s="659">
        <f>C19</f>
        <v>0.7</v>
      </c>
      <c r="D20" s="659">
        <f>D19</f>
        <v>0.6</v>
      </c>
      <c r="E20" s="659">
        <f>E19</f>
        <v>0.9</v>
      </c>
      <c r="F20" s="659">
        <f>F19</f>
        <v>0.9</v>
      </c>
      <c r="G20" s="732">
        <f>G19</f>
        <v>0.23600000000000002</v>
      </c>
      <c r="H20" s="668">
        <f>H19</f>
        <v>0.4</v>
      </c>
    </row>
    <row r="21" spans="1:11">
      <c r="A21" s="663"/>
      <c r="B21" s="104"/>
      <c r="C21" s="657"/>
      <c r="D21" s="657"/>
      <c r="E21" s="657"/>
      <c r="F21" s="104"/>
      <c r="G21" s="104"/>
      <c r="J21" s="483"/>
    </row>
    <row r="22" spans="1:11">
      <c r="A22" s="663"/>
      <c r="B22" s="104"/>
      <c r="C22" s="657"/>
      <c r="D22" s="657"/>
      <c r="E22" s="657"/>
      <c r="F22" s="104"/>
      <c r="G22" s="104"/>
    </row>
    <row r="23" spans="1:11">
      <c r="A23" s="664"/>
      <c r="B23" s="58"/>
      <c r="C23" s="58"/>
      <c r="D23" s="58"/>
      <c r="E23" s="657"/>
    </row>
    <row r="24" spans="1:11" ht="15" thickBot="1">
      <c r="A24" s="664"/>
      <c r="B24" s="479" t="s">
        <v>637</v>
      </c>
      <c r="C24" s="58"/>
      <c r="D24" s="58"/>
      <c r="E24" s="657"/>
    </row>
    <row r="25" spans="1:11" ht="15" thickBot="1">
      <c r="A25" s="665"/>
      <c r="B25" s="669"/>
      <c r="C25" s="673" t="s">
        <v>629</v>
      </c>
      <c r="D25" s="674" t="s">
        <v>636</v>
      </c>
      <c r="E25" s="844" t="s">
        <v>630</v>
      </c>
      <c r="F25" s="662" t="s">
        <v>636</v>
      </c>
      <c r="G25" s="845" t="s">
        <v>631</v>
      </c>
      <c r="H25" s="662" t="s">
        <v>636</v>
      </c>
    </row>
    <row r="26" spans="1:11">
      <c r="A26" s="1807" t="s">
        <v>638</v>
      </c>
      <c r="B26" s="1828" t="s">
        <v>635</v>
      </c>
      <c r="C26" s="656">
        <v>0.25</v>
      </c>
      <c r="D26" s="104">
        <f>2017+5</f>
        <v>2022</v>
      </c>
      <c r="E26" s="1835">
        <v>0.5</v>
      </c>
      <c r="F26" s="1837">
        <f>2017+5</f>
        <v>2022</v>
      </c>
      <c r="G26" s="1839">
        <f>E26</f>
        <v>0.5</v>
      </c>
      <c r="H26" s="1837">
        <f>F26</f>
        <v>2022</v>
      </c>
    </row>
    <row r="27" spans="1:11" ht="15" thickBot="1">
      <c r="A27" s="1808"/>
      <c r="B27" s="1829"/>
      <c r="C27" s="658">
        <v>0.5</v>
      </c>
      <c r="D27" s="163">
        <f>2017+10</f>
        <v>2027</v>
      </c>
      <c r="E27" s="1836"/>
      <c r="F27" s="1838"/>
      <c r="G27" s="1840"/>
      <c r="H27" s="1838"/>
    </row>
    <row r="28" spans="1:11" ht="15" thickBot="1">
      <c r="A28" s="843"/>
      <c r="B28" s="843"/>
      <c r="C28" s="657"/>
      <c r="D28" s="104"/>
      <c r="E28" s="657"/>
      <c r="F28" s="104"/>
      <c r="G28" s="657"/>
      <c r="H28" s="104"/>
    </row>
    <row r="29" spans="1:11">
      <c r="A29" s="675"/>
      <c r="B29" s="681"/>
      <c r="C29" s="1832" t="s">
        <v>629</v>
      </c>
      <c r="D29" s="1833"/>
      <c r="E29" s="1832" t="s">
        <v>630</v>
      </c>
      <c r="F29" s="1833"/>
      <c r="G29" s="1834" t="s">
        <v>631</v>
      </c>
      <c r="H29" s="1833"/>
    </row>
    <row r="30" spans="1:11" ht="15" thickBot="1">
      <c r="A30" s="677"/>
      <c r="B30" s="682"/>
      <c r="C30" s="678" t="s">
        <v>640</v>
      </c>
      <c r="D30" s="679" t="s">
        <v>176</v>
      </c>
      <c r="E30" s="678" t="s">
        <v>640</v>
      </c>
      <c r="F30" s="679" t="s">
        <v>176</v>
      </c>
      <c r="G30" s="680" t="s">
        <v>640</v>
      </c>
      <c r="H30" s="679" t="s">
        <v>176</v>
      </c>
    </row>
    <row r="31" spans="1:11" ht="15" thickBot="1">
      <c r="A31" s="683" t="s">
        <v>639</v>
      </c>
      <c r="B31" s="684" t="s">
        <v>635</v>
      </c>
      <c r="C31" s="658">
        <v>0.1</v>
      </c>
      <c r="D31" s="668">
        <v>0.9</v>
      </c>
      <c r="E31" s="658">
        <v>0.1</v>
      </c>
      <c r="F31" s="668">
        <v>0.9</v>
      </c>
      <c r="G31" s="659">
        <v>0.5</v>
      </c>
      <c r="H31" s="668">
        <v>0.5</v>
      </c>
    </row>
    <row r="32" spans="1:11">
      <c r="A32" s="664"/>
      <c r="B32" s="58"/>
      <c r="C32" s="58"/>
      <c r="D32" s="58"/>
      <c r="E32" s="657"/>
    </row>
    <row r="33" spans="1:24" ht="15" thickBot="1">
      <c r="A33" s="664"/>
      <c r="B33" s="479" t="s">
        <v>641</v>
      </c>
      <c r="C33" s="58"/>
      <c r="D33" s="58"/>
      <c r="E33" s="657"/>
    </row>
    <row r="34" spans="1:24" ht="28.95" customHeight="1" thickBot="1">
      <c r="A34" s="692"/>
      <c r="B34" s="1078" t="s">
        <v>636</v>
      </c>
      <c r="C34" s="846" t="s">
        <v>269</v>
      </c>
      <c r="D34" s="847" t="s">
        <v>270</v>
      </c>
      <c r="E34" s="847" t="s">
        <v>271</v>
      </c>
      <c r="F34" s="847" t="s">
        <v>272</v>
      </c>
      <c r="G34" s="848" t="s">
        <v>705</v>
      </c>
    </row>
    <row r="35" spans="1:24">
      <c r="A35" s="693" t="s">
        <v>642</v>
      </c>
      <c r="B35" s="1113">
        <v>2017</v>
      </c>
      <c r="C35" s="849">
        <f>Parameters!C188</f>
        <v>0</v>
      </c>
      <c r="D35" s="850">
        <f>Parameters!D188</f>
        <v>0</v>
      </c>
      <c r="E35" s="850">
        <f>Parameters!E188</f>
        <v>0.4</v>
      </c>
      <c r="F35" s="850">
        <f>Parameters!F188</f>
        <v>0.3</v>
      </c>
      <c r="G35" s="851">
        <f>Parameters!G188</f>
        <v>0.3</v>
      </c>
    </row>
    <row r="36" spans="1:24">
      <c r="A36" s="1812" t="s">
        <v>629</v>
      </c>
      <c r="B36" s="1114">
        <v>2030</v>
      </c>
      <c r="C36" s="689">
        <f>C35</f>
        <v>0</v>
      </c>
      <c r="D36" s="685">
        <f>D35</f>
        <v>0</v>
      </c>
      <c r="E36" s="685">
        <f>1-F36-G36</f>
        <v>0.7</v>
      </c>
      <c r="F36" s="685">
        <f>F35/2</f>
        <v>0.15</v>
      </c>
      <c r="G36" s="686">
        <f>G35/2</f>
        <v>0.15</v>
      </c>
      <c r="H36" t="s">
        <v>643</v>
      </c>
    </row>
    <row r="37" spans="1:24">
      <c r="A37" s="1812"/>
      <c r="B37" s="1114">
        <v>2050</v>
      </c>
      <c r="C37" s="689">
        <f>C38</f>
        <v>0</v>
      </c>
      <c r="D37" s="685">
        <f t="shared" ref="D37:G37" si="4">D38</f>
        <v>0</v>
      </c>
      <c r="E37" s="685">
        <f t="shared" si="4"/>
        <v>1</v>
      </c>
      <c r="F37" s="685">
        <f t="shared" si="4"/>
        <v>0</v>
      </c>
      <c r="G37" s="686">
        <f t="shared" si="4"/>
        <v>0</v>
      </c>
    </row>
    <row r="38" spans="1:24">
      <c r="A38" s="1134" t="s">
        <v>630</v>
      </c>
      <c r="B38" s="1114">
        <v>2030</v>
      </c>
      <c r="C38" s="689">
        <f>C36</f>
        <v>0</v>
      </c>
      <c r="D38" s="685">
        <f>D36</f>
        <v>0</v>
      </c>
      <c r="E38" s="685">
        <v>1</v>
      </c>
      <c r="F38" s="685">
        <v>0</v>
      </c>
      <c r="G38" s="686">
        <v>0</v>
      </c>
      <c r="H38" t="s">
        <v>644</v>
      </c>
    </row>
    <row r="39" spans="1:24" ht="15" thickBot="1">
      <c r="A39" s="1135" t="s">
        <v>631</v>
      </c>
      <c r="B39" s="1115">
        <v>2030</v>
      </c>
      <c r="C39" s="690">
        <f>C37</f>
        <v>0</v>
      </c>
      <c r="D39" s="687">
        <f>D37</f>
        <v>0</v>
      </c>
      <c r="E39" s="687">
        <v>1</v>
      </c>
      <c r="F39" s="687">
        <v>0</v>
      </c>
      <c r="G39" s="688">
        <v>0</v>
      </c>
      <c r="X39" s="104"/>
    </row>
    <row r="40" spans="1:24">
      <c r="A40" s="202"/>
      <c r="B40" s="165"/>
      <c r="C40" s="685"/>
      <c r="D40" s="685"/>
      <c r="E40" s="685"/>
      <c r="F40" s="685"/>
      <c r="G40" s="685"/>
      <c r="X40" s="104"/>
    </row>
    <row r="41" spans="1:24" ht="15" thickBot="1">
      <c r="A41" s="2"/>
      <c r="B41" s="479" t="s">
        <v>645</v>
      </c>
      <c r="X41" s="104"/>
    </row>
    <row r="42" spans="1:24" ht="15" thickBot="1">
      <c r="A42" s="2"/>
      <c r="C42" s="1831" t="s">
        <v>6</v>
      </c>
      <c r="D42" s="1825"/>
      <c r="E42" s="1825"/>
      <c r="F42" s="1825"/>
      <c r="G42" s="1825"/>
      <c r="H42" s="1825"/>
      <c r="I42" s="1826"/>
      <c r="J42" s="1824" t="s">
        <v>298</v>
      </c>
      <c r="K42" s="1825"/>
      <c r="L42" s="1825"/>
      <c r="M42" s="1825"/>
      <c r="N42" s="1825"/>
      <c r="O42" s="1825"/>
      <c r="P42" s="1826"/>
      <c r="Q42" s="1809" t="s">
        <v>299</v>
      </c>
      <c r="R42" s="1809"/>
      <c r="S42" s="1809"/>
      <c r="T42" s="1809"/>
      <c r="U42" s="1809"/>
      <c r="V42" s="1809"/>
      <c r="W42" s="1810"/>
      <c r="X42" s="1093"/>
    </row>
    <row r="43" spans="1:24" ht="29.4" thickBot="1">
      <c r="A43" s="692"/>
      <c r="B43" s="900" t="s">
        <v>636</v>
      </c>
      <c r="C43" s="698" t="s">
        <v>17</v>
      </c>
      <c r="D43" s="699" t="s">
        <v>23</v>
      </c>
      <c r="E43" s="699" t="s">
        <v>19</v>
      </c>
      <c r="F43" s="699" t="s">
        <v>304</v>
      </c>
      <c r="G43" s="699" t="s">
        <v>9</v>
      </c>
      <c r="H43" s="699" t="s">
        <v>10</v>
      </c>
      <c r="I43" s="700" t="s">
        <v>225</v>
      </c>
      <c r="J43" s="702" t="s">
        <v>17</v>
      </c>
      <c r="K43" s="699" t="s">
        <v>23</v>
      </c>
      <c r="L43" s="699" t="s">
        <v>19</v>
      </c>
      <c r="M43" s="699" t="s">
        <v>304</v>
      </c>
      <c r="N43" s="699" t="s">
        <v>9</v>
      </c>
      <c r="O43" s="699" t="s">
        <v>10</v>
      </c>
      <c r="P43" s="700" t="s">
        <v>225</v>
      </c>
      <c r="Q43" s="1090" t="s">
        <v>17</v>
      </c>
      <c r="R43" s="1091" t="s">
        <v>23</v>
      </c>
      <c r="S43" s="1091" t="s">
        <v>19</v>
      </c>
      <c r="T43" s="1091" t="s">
        <v>304</v>
      </c>
      <c r="U43" s="1091" t="s">
        <v>9</v>
      </c>
      <c r="V43" s="1091" t="s">
        <v>10</v>
      </c>
      <c r="W43" s="1092" t="s">
        <v>225</v>
      </c>
      <c r="X43" s="104"/>
    </row>
    <row r="44" spans="1:24">
      <c r="A44" s="1087" t="s">
        <v>646</v>
      </c>
      <c r="B44" s="665">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9">
        <f>'4D Wastewater treatment and dis'!T107</f>
        <v>0.34</v>
      </c>
      <c r="R44" s="759">
        <f>'4D Wastewater treatment and dis'!U107</f>
        <v>0</v>
      </c>
      <c r="S44" s="759">
        <f>'4D Wastewater treatment and dis'!V107</f>
        <v>0.17</v>
      </c>
      <c r="T44" s="759">
        <f>'4D Wastewater treatment and dis'!W107</f>
        <v>0.24</v>
      </c>
      <c r="U44" s="759">
        <f>'4D Wastewater treatment and dis'!X107</f>
        <v>0.05</v>
      </c>
      <c r="V44" s="759">
        <f>'4D Wastewater treatment and dis'!Y107</f>
        <v>0.2</v>
      </c>
      <c r="W44" s="929">
        <f>SUM(Q44:V44)</f>
        <v>1</v>
      </c>
      <c r="X44" s="104"/>
    </row>
    <row r="45" spans="1:24">
      <c r="A45" s="1088"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88" t="s">
        <v>714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 thickBot="1">
      <c r="A47" s="1089" t="s">
        <v>631</v>
      </c>
      <c r="B47" s="1075">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8"/>
      <c r="B49" s="1077" t="s">
        <v>636</v>
      </c>
      <c r="C49" s="1118" t="s">
        <v>582</v>
      </c>
      <c r="D49" s="1119" t="s">
        <v>581</v>
      </c>
      <c r="J49" s="118"/>
      <c r="K49" s="118"/>
      <c r="L49" s="118"/>
      <c r="M49" s="118"/>
      <c r="N49" s="118"/>
      <c r="O49" s="118"/>
      <c r="P49" s="118"/>
      <c r="Q49" s="118"/>
      <c r="R49" s="118"/>
      <c r="S49" s="118"/>
      <c r="T49" s="118"/>
      <c r="U49" s="118"/>
      <c r="V49" s="118"/>
      <c r="W49" s="104"/>
      <c r="X49" s="118"/>
    </row>
    <row r="50" spans="1:28" ht="15.6">
      <c r="A50" s="1120" t="s">
        <v>650</v>
      </c>
      <c r="B50" s="1121">
        <v>2017</v>
      </c>
      <c r="C50" s="1125">
        <f>'Input data'!C42</f>
        <v>0.71479999999999999</v>
      </c>
      <c r="D50" s="1122">
        <f>'Input data'!C41</f>
        <v>0.28959999999999997</v>
      </c>
      <c r="J50" s="118"/>
      <c r="K50" s="118"/>
      <c r="L50" s="118"/>
      <c r="M50" s="118"/>
      <c r="N50" s="118"/>
      <c r="O50" s="118"/>
      <c r="P50" s="118"/>
      <c r="Q50" s="118"/>
      <c r="R50" s="118"/>
      <c r="S50" s="118"/>
      <c r="T50" s="118"/>
      <c r="U50" s="118"/>
      <c r="V50" s="118"/>
      <c r="W50" s="104"/>
      <c r="X50" s="118"/>
    </row>
    <row r="51" spans="1:28">
      <c r="A51" s="714" t="s">
        <v>629</v>
      </c>
      <c r="B51" s="1123">
        <v>2050</v>
      </c>
      <c r="C51" s="724">
        <v>1</v>
      </c>
      <c r="D51" s="1116">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14" t="s">
        <v>630</v>
      </c>
      <c r="B52" s="1123">
        <v>2030</v>
      </c>
      <c r="C52" s="724">
        <v>1</v>
      </c>
      <c r="D52" s="1116">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 thickBot="1">
      <c r="A53" s="716" t="s">
        <v>631</v>
      </c>
      <c r="B53" s="1124">
        <v>2030</v>
      </c>
      <c r="C53" s="725">
        <v>1</v>
      </c>
      <c r="D53" s="1117">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56" t="s">
        <v>628</v>
      </c>
      <c r="B56" s="695"/>
      <c r="C56" s="695"/>
      <c r="D56" s="695"/>
      <c r="E56" s="695"/>
      <c r="F56" s="695"/>
      <c r="G56" s="695"/>
      <c r="H56" s="695"/>
      <c r="I56" s="1594"/>
      <c r="J56" s="353"/>
      <c r="K56" s="353"/>
      <c r="L56" s="353"/>
      <c r="M56" s="353"/>
      <c r="N56" s="353"/>
      <c r="O56" s="1578"/>
      <c r="P56" s="1578"/>
      <c r="Q56" s="198"/>
      <c r="R56" s="303"/>
      <c r="S56" s="303"/>
      <c r="T56" s="104"/>
      <c r="U56" s="104"/>
      <c r="V56" s="104"/>
      <c r="W56" s="701"/>
      <c r="X56" s="104"/>
      <c r="Y56" s="332"/>
      <c r="Z56" s="332"/>
      <c r="AA56" s="332"/>
    </row>
    <row r="57" spans="1:28" ht="16.2" thickBot="1">
      <c r="A57" s="356"/>
      <c r="B57" s="695" t="s">
        <v>673</v>
      </c>
      <c r="C57" s="695">
        <v>56521948</v>
      </c>
      <c r="D57" s="1595"/>
      <c r="E57" s="1595"/>
      <c r="F57" s="1595"/>
      <c r="G57" s="1595"/>
      <c r="H57" s="1595"/>
      <c r="I57" s="1595"/>
      <c r="J57" s="353"/>
      <c r="K57" s="353"/>
      <c r="L57" s="353"/>
      <c r="M57" s="353"/>
      <c r="N57" s="353"/>
      <c r="O57" s="1578"/>
      <c r="P57" s="1578"/>
      <c r="Q57" s="7"/>
      <c r="R57" s="10"/>
      <c r="S57" s="10"/>
      <c r="W57" s="331"/>
      <c r="Y57" s="332"/>
      <c r="Z57" s="332"/>
      <c r="AA57" s="332"/>
    </row>
    <row r="58" spans="1:28" ht="16.2" thickBot="1">
      <c r="A58" s="1552" t="s">
        <v>870</v>
      </c>
      <c r="B58" s="1552" t="s">
        <v>372</v>
      </c>
      <c r="C58" s="1553" t="s">
        <v>221</v>
      </c>
      <c r="D58" s="1554" t="s">
        <v>85</v>
      </c>
      <c r="E58" s="1554" t="s">
        <v>424</v>
      </c>
      <c r="F58" s="1554" t="s">
        <v>222</v>
      </c>
      <c r="G58" s="1554" t="s">
        <v>115</v>
      </c>
      <c r="H58" s="1554" t="s">
        <v>223</v>
      </c>
      <c r="I58" s="1554" t="s">
        <v>373</v>
      </c>
      <c r="J58" s="1554" t="s">
        <v>374</v>
      </c>
      <c r="K58" s="1554" t="s">
        <v>375</v>
      </c>
      <c r="L58" s="1554" t="s">
        <v>376</v>
      </c>
      <c r="M58" s="1554" t="s">
        <v>377</v>
      </c>
      <c r="N58" s="1575" t="s">
        <v>225</v>
      </c>
      <c r="O58" s="1588"/>
      <c r="P58" s="1588"/>
      <c r="Q58" s="7"/>
      <c r="R58" s="10"/>
      <c r="S58" s="10"/>
      <c r="W58" s="331"/>
      <c r="X58" s="333"/>
      <c r="Y58" s="331"/>
      <c r="Z58" s="331"/>
      <c r="AA58" s="331"/>
    </row>
    <row r="59" spans="1:28">
      <c r="A59" s="1555"/>
      <c r="B59" s="1555" t="s">
        <v>378</v>
      </c>
      <c r="C59" s="1556">
        <f>'Input data'!C13</f>
        <v>1233791.4119790548</v>
      </c>
      <c r="D59" s="1557">
        <f>'Input data'!D13</f>
        <v>1138884.3802883581</v>
      </c>
      <c r="E59" s="1557">
        <f>'Input data'!E13</f>
        <v>378326.54427023319</v>
      </c>
      <c r="F59" s="1557">
        <f>'Input data'!F13</f>
        <v>0</v>
      </c>
      <c r="G59" s="1557">
        <f>'Input data'!G13</f>
        <v>0</v>
      </c>
      <c r="H59" s="1557">
        <f>'Input data'!H13</f>
        <v>0</v>
      </c>
      <c r="I59" s="1557">
        <f>'Input data'!I13</f>
        <v>0</v>
      </c>
      <c r="J59" s="1557">
        <f>'Input data'!J13</f>
        <v>381000</v>
      </c>
      <c r="K59" s="1557">
        <f>'Input data'!K13</f>
        <v>338388.97868490184</v>
      </c>
      <c r="L59" s="1557">
        <f>'Input data'!L13</f>
        <v>297470.77450579114</v>
      </c>
      <c r="M59" s="1557">
        <f>'Input data'!M13</f>
        <v>0</v>
      </c>
      <c r="N59" s="1576">
        <f>'Input data'!N13</f>
        <v>3767862.0897283391</v>
      </c>
      <c r="O59" s="1597"/>
      <c r="P59" s="1597"/>
      <c r="Q59" s="1598"/>
      <c r="R59" s="10"/>
      <c r="S59" s="10"/>
      <c r="W59" s="332"/>
      <c r="Y59" s="332"/>
      <c r="Z59" s="332"/>
      <c r="AA59" s="332"/>
    </row>
    <row r="60" spans="1:28" ht="15.6">
      <c r="A60" s="1558" t="s">
        <v>379</v>
      </c>
      <c r="B60" s="1555" t="s">
        <v>380</v>
      </c>
      <c r="C60" s="1559">
        <f>'Input data'!C14</f>
        <v>964286</v>
      </c>
      <c r="D60" s="1596">
        <f>'Input data'!D14</f>
        <v>964286</v>
      </c>
      <c r="E60" s="1596">
        <f>'Input data'!E14</f>
        <v>0</v>
      </c>
      <c r="F60" s="1596">
        <f>'Input data'!F14</f>
        <v>0</v>
      </c>
      <c r="G60" s="1596">
        <f>'Input data'!G14</f>
        <v>0</v>
      </c>
      <c r="H60" s="1596">
        <f>'Input data'!H14</f>
        <v>0</v>
      </c>
      <c r="I60" s="1596">
        <f>'Input data'!I14</f>
        <v>2892858</v>
      </c>
      <c r="J60" s="1596">
        <f>'Input data'!J14</f>
        <v>0</v>
      </c>
      <c r="K60" s="1596">
        <f>'Input data'!K14</f>
        <v>0</v>
      </c>
      <c r="L60" s="1596">
        <f>'Input data'!L14</f>
        <v>0</v>
      </c>
      <c r="M60" s="1596">
        <f>'Input data'!M14</f>
        <v>0</v>
      </c>
      <c r="N60" s="1571">
        <f>'Input data'!N14</f>
        <v>4821430</v>
      </c>
      <c r="O60" s="1597"/>
      <c r="P60" s="1597"/>
      <c r="Q60" s="7"/>
      <c r="R60" s="10"/>
      <c r="S60" s="10"/>
      <c r="W60" s="331"/>
      <c r="Y60" s="332"/>
      <c r="Z60" s="332"/>
      <c r="AA60" s="332"/>
    </row>
    <row r="61" spans="1:28" ht="15.6">
      <c r="A61" s="1558" t="s">
        <v>381</v>
      </c>
      <c r="B61" s="1555" t="s">
        <v>382</v>
      </c>
      <c r="C61" s="1559">
        <f>'Input data'!C15</f>
        <v>72176.800000000003</v>
      </c>
      <c r="D61" s="1596">
        <f>'Input data'!D15</f>
        <v>72176.800000000003</v>
      </c>
      <c r="E61" s="1596">
        <f>'Input data'!E15</f>
        <v>0</v>
      </c>
      <c r="F61" s="1596">
        <f>'Input data'!F15</f>
        <v>0</v>
      </c>
      <c r="G61" s="1596">
        <f>'Input data'!G15</f>
        <v>0</v>
      </c>
      <c r="H61" s="1596">
        <f>'Input data'!H15</f>
        <v>0</v>
      </c>
      <c r="I61" s="1596">
        <f>'Input data'!I15</f>
        <v>216530.4</v>
      </c>
      <c r="J61" s="1596">
        <f>'Input data'!J15</f>
        <v>0</v>
      </c>
      <c r="K61" s="1596">
        <f>'Input data'!K15</f>
        <v>0</v>
      </c>
      <c r="L61" s="1596">
        <f>'Input data'!L15</f>
        <v>0</v>
      </c>
      <c r="M61" s="1596">
        <f>'Input data'!M15</f>
        <v>0</v>
      </c>
      <c r="N61" s="1571">
        <f>'Input data'!N15</f>
        <v>360884</v>
      </c>
      <c r="O61" s="1597"/>
      <c r="P61" s="1597"/>
      <c r="Q61" s="7"/>
      <c r="R61" s="10"/>
      <c r="S61" s="10"/>
      <c r="W61" s="331"/>
      <c r="Y61" s="332"/>
      <c r="Z61" s="332"/>
      <c r="AA61" s="331"/>
    </row>
    <row r="62" spans="1:28" ht="15.6">
      <c r="A62" s="1558" t="s">
        <v>383</v>
      </c>
      <c r="B62" s="1555" t="s">
        <v>384</v>
      </c>
      <c r="C62" s="1559">
        <f>'Input data'!C16</f>
        <v>0</v>
      </c>
      <c r="D62" s="1596">
        <f>'Input data'!D16</f>
        <v>0</v>
      </c>
      <c r="E62" s="1596">
        <f>'Input data'!E16</f>
        <v>520349.97572976683</v>
      </c>
      <c r="F62" s="1596">
        <f>'Input data'!F16</f>
        <v>0</v>
      </c>
      <c r="G62" s="1596">
        <f>'Input data'!G16</f>
        <v>0</v>
      </c>
      <c r="H62" s="1596">
        <f>'Input data'!H16</f>
        <v>0</v>
      </c>
      <c r="I62" s="1596">
        <f>'Input data'!I16</f>
        <v>0</v>
      </c>
      <c r="J62" s="1596">
        <f>'Input data'!J16</f>
        <v>237880.00199999998</v>
      </c>
      <c r="K62" s="1596">
        <f>'Input data'!K16</f>
        <v>465419.88531509798</v>
      </c>
      <c r="L62" s="1596">
        <f>'Input data'!L16</f>
        <v>409141.02549420868</v>
      </c>
      <c r="M62" s="1596">
        <f>'Input data'!M16</f>
        <v>123895.58799999999</v>
      </c>
      <c r="N62" s="1571">
        <f>'Input data'!N16</f>
        <v>1756686.4765390735</v>
      </c>
      <c r="O62" s="695"/>
      <c r="P62" s="695"/>
      <c r="Q62" s="10"/>
      <c r="R62" s="10"/>
      <c r="S62" s="10"/>
      <c r="W62" s="330"/>
      <c r="Y62" s="330"/>
      <c r="Z62" s="330"/>
      <c r="AA62" s="330"/>
      <c r="AB62" s="330"/>
    </row>
    <row r="63" spans="1:28" ht="15.6">
      <c r="A63" s="1558" t="s">
        <v>383</v>
      </c>
      <c r="B63" s="1555" t="s">
        <v>385</v>
      </c>
      <c r="C63" s="1559">
        <f>'Input data'!C17</f>
        <v>0</v>
      </c>
      <c r="D63" s="1596">
        <f>'Input data'!D17</f>
        <v>0</v>
      </c>
      <c r="E63" s="1596">
        <f>'Input data'!E17</f>
        <v>1241029.48</v>
      </c>
      <c r="F63" s="1596">
        <f>'Input data'!F17</f>
        <v>0</v>
      </c>
      <c r="G63" s="1596">
        <f>'Input data'!G17</f>
        <v>0</v>
      </c>
      <c r="H63" s="1596">
        <f>'Input data'!H17</f>
        <v>0</v>
      </c>
      <c r="I63" s="1596">
        <f>'Input data'!I17</f>
        <v>0</v>
      </c>
      <c r="J63" s="1596">
        <f>'Input data'!J17</f>
        <v>480373.99800000002</v>
      </c>
      <c r="K63" s="1596">
        <f>'Input data'!K17</f>
        <v>1987194.1360000002</v>
      </c>
      <c r="L63" s="1596">
        <f>'Input data'!L17</f>
        <v>2826447.2</v>
      </c>
      <c r="M63" s="1596">
        <f>'Input data'!M17</f>
        <v>38271.412000000004</v>
      </c>
      <c r="N63" s="1571">
        <f>'Input data'!N17</f>
        <v>6573316.2259999998</v>
      </c>
      <c r="O63" s="695"/>
      <c r="P63" s="695"/>
      <c r="Q63" s="10"/>
      <c r="R63" s="10"/>
      <c r="S63" s="10"/>
      <c r="W63" s="330"/>
      <c r="Y63" s="330"/>
      <c r="Z63" s="330"/>
      <c r="AA63" s="330"/>
      <c r="AB63" s="330"/>
    </row>
    <row r="64" spans="1:28" ht="15.6">
      <c r="A64" s="1558" t="s">
        <v>386</v>
      </c>
      <c r="B64" s="1555" t="s">
        <v>387</v>
      </c>
      <c r="C64" s="1559">
        <f>'Input data'!C18</f>
        <v>2500000</v>
      </c>
      <c r="D64" s="1596">
        <f>'Input data'!D18</f>
        <v>4200000</v>
      </c>
      <c r="E64" s="1596">
        <f>'Input data'!E18</f>
        <v>0</v>
      </c>
      <c r="F64" s="1596">
        <f>'Input data'!F18</f>
        <v>0</v>
      </c>
      <c r="G64" s="1596">
        <f>'Input data'!G18</f>
        <v>0</v>
      </c>
      <c r="H64" s="1596">
        <f>'Input data'!H18</f>
        <v>0</v>
      </c>
      <c r="I64" s="1596">
        <f>'Input data'!I18</f>
        <v>0</v>
      </c>
      <c r="J64" s="1596">
        <f>'Input data'!J18</f>
        <v>0</v>
      </c>
      <c r="K64" s="1596">
        <f>'Input data'!K18</f>
        <v>0</v>
      </c>
      <c r="L64" s="1596">
        <f>'Input data'!L18</f>
        <v>0</v>
      </c>
      <c r="M64" s="1596">
        <f>'Input data'!M18</f>
        <v>0</v>
      </c>
      <c r="N64" s="1571">
        <f>'Input data'!N18</f>
        <v>6700000</v>
      </c>
      <c r="O64" s="695"/>
      <c r="P64" s="695"/>
      <c r="Q64" s="10"/>
      <c r="R64" s="10"/>
      <c r="S64" s="10"/>
      <c r="W64" s="330"/>
      <c r="Y64" s="330"/>
      <c r="Z64" s="330"/>
      <c r="AA64" s="330"/>
      <c r="AB64" s="330"/>
    </row>
    <row r="65" spans="1:28" ht="15.6">
      <c r="A65" s="1560"/>
      <c r="B65" s="1561" t="s">
        <v>388</v>
      </c>
      <c r="C65" s="1559">
        <f>'Input data'!C19</f>
        <v>4770254.2119790548</v>
      </c>
      <c r="D65" s="1596">
        <f>'Input data'!D19</f>
        <v>6375347.1802883577</v>
      </c>
      <c r="E65" s="1596">
        <f>'Input data'!E19</f>
        <v>2139706</v>
      </c>
      <c r="F65" s="1596">
        <f>'Input data'!F19</f>
        <v>0</v>
      </c>
      <c r="G65" s="1596">
        <f>'Input data'!G19</f>
        <v>0</v>
      </c>
      <c r="H65" s="1596">
        <f>'Input data'!H19</f>
        <v>0</v>
      </c>
      <c r="I65" s="1596">
        <f>'Input data'!I19</f>
        <v>3109388.4</v>
      </c>
      <c r="J65" s="1596">
        <f>'Input data'!J19</f>
        <v>1099254</v>
      </c>
      <c r="K65" s="1596">
        <f>'Input data'!K19</f>
        <v>2791003</v>
      </c>
      <c r="L65" s="1596">
        <f>'Input data'!L19</f>
        <v>3533059</v>
      </c>
      <c r="M65" s="1596">
        <f>'Input data'!M19</f>
        <v>162167</v>
      </c>
      <c r="N65" s="1571">
        <f>'Input data'!N19</f>
        <v>23980178.792267412</v>
      </c>
      <c r="O65" s="696"/>
      <c r="P65" s="696"/>
      <c r="Q65" s="10"/>
      <c r="R65" s="10"/>
      <c r="S65" s="10"/>
      <c r="W65" s="330"/>
      <c r="Y65" s="330"/>
      <c r="Z65" s="330"/>
      <c r="AA65" s="330"/>
      <c r="AB65" s="330"/>
    </row>
    <row r="66" spans="1:28" ht="15.6">
      <c r="A66" s="1560"/>
      <c r="B66" s="1562" t="s">
        <v>572</v>
      </c>
      <c r="C66" s="1559">
        <f>'Input data'!C20</f>
        <v>2674712.2259895275</v>
      </c>
      <c r="D66" s="1596">
        <f>'Input data'!D20</f>
        <v>3392258.7101441789</v>
      </c>
      <c r="E66" s="1596">
        <f>'Input data'!E20</f>
        <v>657478.25029190676</v>
      </c>
      <c r="F66" s="1596">
        <f>'Input data'!F20</f>
        <v>0</v>
      </c>
      <c r="G66" s="1596">
        <f>'Input data'!G20</f>
        <v>0</v>
      </c>
      <c r="H66" s="1596">
        <f>'Input data'!H20</f>
        <v>0</v>
      </c>
      <c r="I66" s="1596">
        <f>'Input data'!I20</f>
        <v>2798449.56</v>
      </c>
      <c r="J66" s="1596">
        <f>'Input data'!J20</f>
        <v>404592.00179999997</v>
      </c>
      <c r="K66" s="1596">
        <f>'Input data'!K20</f>
        <v>588072.38612603908</v>
      </c>
      <c r="L66" s="1596">
        <f>'Input data'!L20</f>
        <v>516962.3101976834</v>
      </c>
      <c r="M66" s="1596">
        <f>'Input data'!M20</f>
        <v>111506.02919999999</v>
      </c>
      <c r="N66" s="1571">
        <f>'Input data'!N20</f>
        <v>11144031.473749338</v>
      </c>
      <c r="O66" s="696"/>
      <c r="P66" s="696"/>
      <c r="Q66" s="10"/>
      <c r="R66" s="10"/>
      <c r="S66" s="10"/>
      <c r="W66" s="330"/>
      <c r="Y66" s="330"/>
      <c r="Z66" s="330"/>
      <c r="AA66" s="330"/>
      <c r="AB66" s="330"/>
    </row>
    <row r="67" spans="1:28" ht="16.2" thickBot="1">
      <c r="A67" s="1560"/>
      <c r="B67" s="1562" t="s">
        <v>865</v>
      </c>
      <c r="C67" s="1559">
        <f>'Input data'!C21</f>
        <v>845541.98598952731</v>
      </c>
      <c r="D67" s="1596">
        <f>'Input data'!D21</f>
        <v>883088.47014417872</v>
      </c>
      <c r="E67" s="1596">
        <f>'Input data'!E21</f>
        <v>241198.26970809326</v>
      </c>
      <c r="F67" s="1596">
        <f>'Input data'!F21</f>
        <v>0</v>
      </c>
      <c r="G67" s="1596">
        <f>'Input data'!G21</f>
        <v>0</v>
      </c>
      <c r="H67" s="1596">
        <f>'Input data'!H21</f>
        <v>0</v>
      </c>
      <c r="I67" s="1596">
        <f>'Input data'!I21</f>
        <v>310938.83999999985</v>
      </c>
      <c r="J67" s="1596">
        <f>'Input data'!J21</f>
        <v>214288.00020000001</v>
      </c>
      <c r="K67" s="1596">
        <f>'Input data'!K21</f>
        <v>215736.47787396074</v>
      </c>
      <c r="L67" s="1596">
        <f>'Input data'!L21</f>
        <v>189649.4898023163</v>
      </c>
      <c r="M67" s="1596">
        <f>'Input data'!M21</f>
        <v>12389.558800000006</v>
      </c>
      <c r="N67" s="1571">
        <f>'Input data'!N21</f>
        <v>2912831.0925180763</v>
      </c>
      <c r="O67" s="696"/>
      <c r="P67" s="696"/>
      <c r="Q67" s="10"/>
      <c r="R67" s="10"/>
      <c r="S67" s="10"/>
      <c r="W67" s="330"/>
      <c r="Y67" s="330"/>
      <c r="Z67" s="330"/>
      <c r="AA67" s="330"/>
      <c r="AB67" s="330"/>
    </row>
    <row r="68" spans="1:28" ht="15.6">
      <c r="A68" s="1560"/>
      <c r="B68" s="1552" t="s">
        <v>389</v>
      </c>
      <c r="C68" s="1563">
        <f>'Input data'!C22</f>
        <v>0</v>
      </c>
      <c r="D68" s="1395">
        <f>'Input data'!D22</f>
        <v>0</v>
      </c>
      <c r="E68" s="1395">
        <f>'Input data'!E22</f>
        <v>0</v>
      </c>
      <c r="F68" s="1395">
        <f>'Input data'!F22</f>
        <v>0</v>
      </c>
      <c r="G68" s="1395">
        <f>'Input data'!G22</f>
        <v>0</v>
      </c>
      <c r="H68" s="1395">
        <f>'Input data'!H22</f>
        <v>0</v>
      </c>
      <c r="I68" s="1395">
        <f>'Input data'!I22</f>
        <v>0</v>
      </c>
      <c r="J68" s="1395">
        <f>'Input data'!J22</f>
        <v>0</v>
      </c>
      <c r="K68" s="1395">
        <f>'Input data'!K22</f>
        <v>0</v>
      </c>
      <c r="L68" s="1395">
        <f>'Input data'!L22</f>
        <v>0</v>
      </c>
      <c r="M68" s="1395">
        <f>'Input data'!M22</f>
        <v>0</v>
      </c>
      <c r="N68" s="1577">
        <f>'Input data'!N22</f>
        <v>0</v>
      </c>
      <c r="O68" s="697"/>
      <c r="P68" s="697"/>
      <c r="Q68" s="10"/>
      <c r="R68" s="10"/>
      <c r="S68" s="10"/>
      <c r="W68" s="330"/>
      <c r="Y68" s="330"/>
      <c r="Z68" s="330"/>
      <c r="AA68" s="330"/>
      <c r="AB68" s="330"/>
    </row>
    <row r="69" spans="1:28" ht="15.6">
      <c r="A69" s="1560"/>
      <c r="B69" s="1564" t="s">
        <v>390</v>
      </c>
      <c r="C69" s="730">
        <f>'Input data'!C23</f>
        <v>0.32745131923552184</v>
      </c>
      <c r="D69" s="483">
        <f>'Input data'!D23</f>
        <v>0.30226275621740473</v>
      </c>
      <c r="E69" s="483">
        <f>'Input data'!E23</f>
        <v>0.10040880883129943</v>
      </c>
      <c r="F69" s="483">
        <f>'Input data'!F23</f>
        <v>0</v>
      </c>
      <c r="G69" s="483">
        <f>'Input data'!G23</f>
        <v>0</v>
      </c>
      <c r="H69" s="483">
        <f>'Input data'!H23</f>
        <v>0</v>
      </c>
      <c r="I69" s="483">
        <f>'Input data'!I23</f>
        <v>0</v>
      </c>
      <c r="J69" s="483">
        <f>'Input data'!J23</f>
        <v>0.10111835065265616</v>
      </c>
      <c r="K69" s="483">
        <f>'Input data'!K23</f>
        <v>8.9809279274682671E-2</v>
      </c>
      <c r="L69" s="483">
        <f>'Input data'!L23</f>
        <v>7.8949485788435164E-2</v>
      </c>
      <c r="M69" s="483">
        <f>'Input data'!M23</f>
        <v>0</v>
      </c>
      <c r="N69" s="604">
        <f>'Input data'!N23</f>
        <v>1</v>
      </c>
      <c r="O69" s="483"/>
      <c r="P69" s="483"/>
      <c r="Q69" s="10"/>
      <c r="R69" s="10"/>
      <c r="S69" s="10"/>
      <c r="W69" s="330"/>
      <c r="Y69" s="330"/>
      <c r="Z69" s="330"/>
      <c r="AA69" s="330"/>
      <c r="AB69" s="330"/>
    </row>
    <row r="70" spans="1:28" ht="15.6">
      <c r="A70" s="1558" t="s">
        <v>379</v>
      </c>
      <c r="B70" s="1564" t="s">
        <v>391</v>
      </c>
      <c r="C70" s="730">
        <f>'Input data'!C24</f>
        <v>0.2</v>
      </c>
      <c r="D70" s="483">
        <f>'Input data'!D24</f>
        <v>0.2</v>
      </c>
      <c r="E70" s="483">
        <f>'Input data'!E24</f>
        <v>0</v>
      </c>
      <c r="F70" s="483">
        <f>'Input data'!F24</f>
        <v>0</v>
      </c>
      <c r="G70" s="483">
        <f>'Input data'!G24</f>
        <v>0</v>
      </c>
      <c r="H70" s="483">
        <f>'Input data'!H24</f>
        <v>0</v>
      </c>
      <c r="I70" s="483">
        <f>'Input data'!I24</f>
        <v>0.6</v>
      </c>
      <c r="J70" s="483">
        <f>'Input data'!J24</f>
        <v>0</v>
      </c>
      <c r="K70" s="483">
        <f>'Input data'!K24</f>
        <v>0</v>
      </c>
      <c r="L70" s="483">
        <f>'Input data'!L24</f>
        <v>0</v>
      </c>
      <c r="M70" s="483">
        <f>'Input data'!M24</f>
        <v>0</v>
      </c>
      <c r="N70" s="604">
        <f>'Input data'!N24</f>
        <v>1</v>
      </c>
      <c r="O70" s="483"/>
      <c r="P70" s="483"/>
      <c r="Q70" s="10"/>
      <c r="R70" s="10"/>
      <c r="S70" s="10"/>
      <c r="W70" s="330"/>
      <c r="Y70" s="330"/>
      <c r="Z70" s="330"/>
      <c r="AA70" s="330"/>
      <c r="AB70" s="330"/>
    </row>
    <row r="71" spans="1:28" ht="15.6">
      <c r="A71" s="1558" t="s">
        <v>381</v>
      </c>
      <c r="B71" s="1564" t="s">
        <v>392</v>
      </c>
      <c r="C71" s="730">
        <f>'Input data'!C25</f>
        <v>0.2</v>
      </c>
      <c r="D71" s="483">
        <f>'Input data'!D25</f>
        <v>0.2</v>
      </c>
      <c r="E71" s="483">
        <f>'Input data'!E25</f>
        <v>0</v>
      </c>
      <c r="F71" s="483">
        <f>'Input data'!F25</f>
        <v>0</v>
      </c>
      <c r="G71" s="483">
        <f>'Input data'!G25</f>
        <v>0</v>
      </c>
      <c r="H71" s="483">
        <f>'Input data'!H25</f>
        <v>0</v>
      </c>
      <c r="I71" s="483">
        <f>'Input data'!I25</f>
        <v>0.6</v>
      </c>
      <c r="J71" s="483">
        <f>'Input data'!J25</f>
        <v>0</v>
      </c>
      <c r="K71" s="483">
        <f>'Input data'!K25</f>
        <v>0</v>
      </c>
      <c r="L71" s="483">
        <f>'Input data'!L25</f>
        <v>0</v>
      </c>
      <c r="M71" s="483">
        <f>'Input data'!M25</f>
        <v>0</v>
      </c>
      <c r="N71" s="604">
        <f>'Input data'!N25</f>
        <v>1</v>
      </c>
      <c r="O71" s="483"/>
      <c r="P71" s="483"/>
      <c r="Q71" s="10"/>
      <c r="R71" s="10"/>
      <c r="S71" s="10"/>
      <c r="W71" s="330"/>
      <c r="Y71" s="330"/>
      <c r="Z71" s="330"/>
      <c r="AA71" s="330"/>
      <c r="AB71" s="330"/>
    </row>
    <row r="72" spans="1:28" ht="15.6">
      <c r="A72" s="1558" t="s">
        <v>383</v>
      </c>
      <c r="B72" s="1564" t="s">
        <v>384</v>
      </c>
      <c r="C72" s="730">
        <f>'Input data'!C26</f>
        <v>0</v>
      </c>
      <c r="D72" s="483">
        <f>'Input data'!D26</f>
        <v>0</v>
      </c>
      <c r="E72" s="483">
        <f>'Input data'!E26</f>
        <v>0.29621106707380795</v>
      </c>
      <c r="F72" s="483">
        <f>'Input data'!F26</f>
        <v>0</v>
      </c>
      <c r="G72" s="483">
        <f>'Input data'!G26</f>
        <v>0</v>
      </c>
      <c r="H72" s="483">
        <f>'Input data'!H26</f>
        <v>0</v>
      </c>
      <c r="I72" s="483">
        <f>'Input data'!I26</f>
        <v>0</v>
      </c>
      <c r="J72" s="483">
        <f>'Input data'!J26</f>
        <v>0.1354140338511958</v>
      </c>
      <c r="K72" s="483">
        <f>'Input data'!K26</f>
        <v>0.26494191851015014</v>
      </c>
      <c r="L72" s="483">
        <f>'Input data'!L26</f>
        <v>0.2329049781838565</v>
      </c>
      <c r="M72" s="483">
        <f>'Input data'!M26</f>
        <v>7.0528002380989593E-2</v>
      </c>
      <c r="N72" s="604">
        <f>'Input data'!N26</f>
        <v>0.99999999999999989</v>
      </c>
      <c r="O72" s="483"/>
      <c r="P72" s="483"/>
      <c r="Q72" s="10"/>
      <c r="R72" s="10"/>
      <c r="S72" s="10"/>
      <c r="W72" s="330"/>
      <c r="Y72" s="864"/>
      <c r="Z72" s="330"/>
      <c r="AA72" s="330"/>
      <c r="AB72" s="330"/>
    </row>
    <row r="73" spans="1:28" ht="15.6">
      <c r="A73" s="1558" t="s">
        <v>383</v>
      </c>
      <c r="B73" s="1564" t="s">
        <v>385</v>
      </c>
      <c r="C73" s="730">
        <f>'Input data'!C27</f>
        <v>0</v>
      </c>
      <c r="D73" s="483">
        <f>'Input data'!D27</f>
        <v>0</v>
      </c>
      <c r="E73" s="483">
        <f>'Input data'!E27</f>
        <v>0.188798079588998</v>
      </c>
      <c r="F73" s="483">
        <f>'Input data'!F27</f>
        <v>0</v>
      </c>
      <c r="G73" s="483">
        <f>'Input data'!G27</f>
        <v>0</v>
      </c>
      <c r="H73" s="483">
        <f>'Input data'!H27</f>
        <v>0</v>
      </c>
      <c r="I73" s="483">
        <f>'Input data'!I27</f>
        <v>0</v>
      </c>
      <c r="J73" s="483">
        <f>'Input data'!J27</f>
        <v>7.3079398812419163E-2</v>
      </c>
      <c r="K73" s="483">
        <f>'Input data'!K27</f>
        <v>0.30231226791431109</v>
      </c>
      <c r="L73" s="483">
        <f>'Input data'!L27</f>
        <v>0.42998801561079808</v>
      </c>
      <c r="M73" s="483">
        <f>'Input data'!M27</f>
        <v>5.8222380734737535E-3</v>
      </c>
      <c r="N73" s="604">
        <f>'Input data'!N27</f>
        <v>1.0000000000000002</v>
      </c>
      <c r="O73" s="483"/>
      <c r="P73" s="483"/>
      <c r="Q73" s="10"/>
      <c r="R73" s="10"/>
      <c r="S73" s="10"/>
      <c r="W73" s="330"/>
      <c r="Y73" s="864"/>
      <c r="Z73" s="330"/>
      <c r="AA73" s="330"/>
      <c r="AB73" s="330"/>
    </row>
    <row r="74" spans="1:28" ht="15.6">
      <c r="A74" s="1558" t="s">
        <v>386</v>
      </c>
      <c r="B74" s="1564" t="s">
        <v>387</v>
      </c>
      <c r="C74" s="730">
        <f>'Input data'!C28</f>
        <v>0.37313432835820898</v>
      </c>
      <c r="D74" s="483">
        <f>'Input data'!D28</f>
        <v>0.62686567164179108</v>
      </c>
      <c r="E74" s="483">
        <f>'Input data'!E28</f>
        <v>0</v>
      </c>
      <c r="F74" s="483">
        <f>'Input data'!F28</f>
        <v>0</v>
      </c>
      <c r="G74" s="483">
        <f>'Input data'!G28</f>
        <v>0</v>
      </c>
      <c r="H74" s="483">
        <f>'Input data'!H28</f>
        <v>0</v>
      </c>
      <c r="I74" s="483">
        <f>'Input data'!I28</f>
        <v>0</v>
      </c>
      <c r="J74" s="483">
        <f>'Input data'!J28</f>
        <v>0</v>
      </c>
      <c r="K74" s="483">
        <f>'Input data'!K28</f>
        <v>0</v>
      </c>
      <c r="L74" s="483">
        <f>'Input data'!L28</f>
        <v>0</v>
      </c>
      <c r="M74" s="483">
        <f>'Input data'!M28</f>
        <v>0</v>
      </c>
      <c r="N74" s="604">
        <f>'Input data'!N28</f>
        <v>1</v>
      </c>
      <c r="O74" s="483"/>
      <c r="P74" s="483"/>
      <c r="Q74" s="7"/>
      <c r="R74" s="358"/>
      <c r="S74" s="358"/>
      <c r="T74" s="4"/>
      <c r="U74" s="4"/>
      <c r="Y74" s="864"/>
    </row>
    <row r="75" spans="1:28" ht="15.6">
      <c r="A75" s="1560"/>
      <c r="B75" s="1562" t="s">
        <v>393</v>
      </c>
      <c r="C75" s="730">
        <f>'Input data'!C29</f>
        <v>0.19892488097366726</v>
      </c>
      <c r="D75" s="483">
        <f>'Input data'!D29</f>
        <v>0.26585903447659598</v>
      </c>
      <c r="E75" s="483">
        <f>'Input data'!E29</f>
        <v>8.9228108703258049E-2</v>
      </c>
      <c r="F75" s="483">
        <f>'Input data'!F29</f>
        <v>0</v>
      </c>
      <c r="G75" s="483">
        <f>'Input data'!G29</f>
        <v>0</v>
      </c>
      <c r="H75" s="483">
        <f>'Input data'!H29</f>
        <v>0</v>
      </c>
      <c r="I75" s="483">
        <f>'Input data'!I29</f>
        <v>0.12966493815311525</v>
      </c>
      <c r="J75" s="483">
        <f>'Input data'!J29</f>
        <v>4.5840108596457284E-2</v>
      </c>
      <c r="K75" s="483">
        <f>'Input data'!K29</f>
        <v>0.1163879145429883</v>
      </c>
      <c r="L75" s="483">
        <f>'Input data'!L29</f>
        <v>0.1473324711465146</v>
      </c>
      <c r="M75" s="483">
        <f>'Input data'!M29</f>
        <v>6.7625434074032823E-3</v>
      </c>
      <c r="N75" s="604">
        <f>'Input data'!N29</f>
        <v>1</v>
      </c>
      <c r="O75" s="351"/>
      <c r="P75" s="351"/>
      <c r="Q75" s="7"/>
      <c r="R75" s="358"/>
      <c r="S75" s="358"/>
      <c r="T75" s="4"/>
      <c r="U75" s="4"/>
      <c r="Y75" s="864"/>
    </row>
    <row r="76" spans="1:28" ht="15.6">
      <c r="A76" s="1560"/>
      <c r="B76" s="1562" t="s">
        <v>573</v>
      </c>
      <c r="C76" s="730">
        <f>'Input data'!C30</f>
        <v>0.24001298204245269</v>
      </c>
      <c r="D76" s="483">
        <f>'Input data'!D30</f>
        <v>0.30440139352934503</v>
      </c>
      <c r="E76" s="483">
        <f>'Input data'!E30</f>
        <v>5.8998240613430578E-2</v>
      </c>
      <c r="F76" s="483">
        <f>'Input data'!F30</f>
        <v>0</v>
      </c>
      <c r="G76" s="483">
        <f>'Input data'!G30</f>
        <v>0</v>
      </c>
      <c r="H76" s="483">
        <f>'Input data'!H30</f>
        <v>0</v>
      </c>
      <c r="I76" s="483">
        <f>'Input data'!I30</f>
        <v>0.25111644440272562</v>
      </c>
      <c r="J76" s="483">
        <f>'Input data'!J30</f>
        <v>3.6305712412339194E-2</v>
      </c>
      <c r="K76" s="483">
        <f>'Input data'!K30</f>
        <v>5.2770165582472633E-2</v>
      </c>
      <c r="L76" s="483">
        <f>'Input data'!L30</f>
        <v>4.6389164586929758E-2</v>
      </c>
      <c r="M76" s="483">
        <f>'Input data'!M30</f>
        <v>1.0005896830304312E-2</v>
      </c>
      <c r="N76" s="604">
        <f>'Input data'!N30</f>
        <v>1</v>
      </c>
      <c r="O76" s="351"/>
      <c r="P76" s="351"/>
      <c r="Q76" s="7"/>
      <c r="R76" s="358"/>
      <c r="S76" s="358"/>
      <c r="T76" s="4"/>
      <c r="U76" s="4"/>
      <c r="Y76" s="864"/>
    </row>
    <row r="77" spans="1:28" ht="16.2" thickBot="1">
      <c r="A77" s="1565"/>
      <c r="B77" s="1566" t="s">
        <v>866</v>
      </c>
      <c r="C77" s="731">
        <f>'Input data'!C31</f>
        <v>0.29028184578274857</v>
      </c>
      <c r="D77" s="732">
        <f>'Input data'!D31</f>
        <v>0.30317187715157518</v>
      </c>
      <c r="E77" s="732">
        <f>'Input data'!E31</f>
        <v>8.2805443243048754E-2</v>
      </c>
      <c r="F77" s="732">
        <f>'Input data'!F31</f>
        <v>0</v>
      </c>
      <c r="G77" s="732">
        <f>'Input data'!G31</f>
        <v>0</v>
      </c>
      <c r="H77" s="732">
        <f>'Input data'!H31</f>
        <v>0</v>
      </c>
      <c r="I77" s="732">
        <f>'Input data'!I31</f>
        <v>0.10674798164530724</v>
      </c>
      <c r="J77" s="732">
        <f>'Input data'!J31</f>
        <v>7.3566915963792778E-2</v>
      </c>
      <c r="K77" s="732">
        <f>'Input data'!K31</f>
        <v>7.4064190823870071E-2</v>
      </c>
      <c r="L77" s="732">
        <f>'Input data'!L31</f>
        <v>6.5108303152026786E-2</v>
      </c>
      <c r="M77" s="732">
        <f>'Input data'!M31</f>
        <v>4.2534422376305772E-3</v>
      </c>
      <c r="N77" s="733">
        <f>'Input data'!N31</f>
        <v>1</v>
      </c>
      <c r="O77" s="351"/>
      <c r="P77" s="351"/>
      <c r="Q77" s="7"/>
      <c r="R77" s="358"/>
      <c r="S77" s="358"/>
      <c r="T77" s="4"/>
      <c r="U77" s="4"/>
      <c r="Y77" s="864"/>
    </row>
    <row r="78" spans="1:28" ht="14.4" customHeight="1" thickBot="1">
      <c r="A78" s="1567" t="s">
        <v>627</v>
      </c>
      <c r="B78" s="1568" t="s">
        <v>372</v>
      </c>
      <c r="C78" s="1553" t="s">
        <v>623</v>
      </c>
      <c r="D78" s="1554" t="s">
        <v>624</v>
      </c>
      <c r="E78" s="1554" t="s">
        <v>625</v>
      </c>
      <c r="F78" s="1554" t="s">
        <v>626</v>
      </c>
      <c r="G78" s="1554" t="s">
        <v>574</v>
      </c>
      <c r="H78" s="1575" t="s">
        <v>622</v>
      </c>
      <c r="I78" s="1569"/>
      <c r="J78" s="1569"/>
      <c r="K78" s="1569"/>
      <c r="L78" s="1569"/>
      <c r="M78" s="1569"/>
      <c r="N78" s="1569"/>
      <c r="O78" s="359"/>
      <c r="P78" s="359"/>
      <c r="Q78" s="7"/>
      <c r="R78" s="358"/>
      <c r="S78" s="358"/>
      <c r="T78" s="4"/>
      <c r="U78" s="4"/>
      <c r="Y78" s="864"/>
    </row>
    <row r="79" spans="1:28" ht="15.6">
      <c r="A79" s="1560"/>
      <c r="B79" s="1570" t="s">
        <v>441</v>
      </c>
      <c r="C79" s="1559">
        <f>'Waste Summary 2017 SASOW'!J10+'Waste Summary 2017 SASOW'!J13</f>
        <v>49995051</v>
      </c>
      <c r="D79" s="1596">
        <f>'Waste Summary 2017 SASOW'!K10+'Waste Summary 2017 SASOW'!K13</f>
        <v>0</v>
      </c>
      <c r="E79" s="1596">
        <f>'Waste Summary 2017 SASOW'!L10+'Waste Summary 2017 SASOW'!L13</f>
        <v>46917968.670000002</v>
      </c>
      <c r="F79" s="1596">
        <f>'Waste Summary 2017 SASOW'!M10+'Waste Summary 2017 SASOW'!M13</f>
        <v>0</v>
      </c>
      <c r="G79" s="1596">
        <f>'Waste Summary 2017 SASOW'!N10+'Waste Summary 2017 SASOW'!N13</f>
        <v>0</v>
      </c>
      <c r="H79" s="1571">
        <f>'Waste Summary 2017 SASOW'!O10+'Waste Summary 2017 SASOW'!O13</f>
        <v>3077082.33</v>
      </c>
      <c r="L79" s="1569"/>
      <c r="M79" s="1569"/>
      <c r="N79" s="1569"/>
      <c r="O79" s="359"/>
      <c r="P79" s="359"/>
      <c r="Q79" s="7"/>
      <c r="R79" s="358"/>
      <c r="S79" s="358"/>
      <c r="T79" s="4"/>
      <c r="U79" s="4"/>
      <c r="Y79" s="864"/>
    </row>
    <row r="80" spans="1:28" ht="16.2" thickBot="1">
      <c r="A80" s="1565"/>
      <c r="B80" s="1565" t="s">
        <v>420</v>
      </c>
      <c r="C80" s="1572">
        <f t="shared" ref="C80:H80" si="9">C79/$C$79</f>
        <v>1</v>
      </c>
      <c r="D80" s="1573">
        <f t="shared" si="9"/>
        <v>0</v>
      </c>
      <c r="E80" s="1573">
        <f t="shared" si="9"/>
        <v>0.93845226140483384</v>
      </c>
      <c r="F80" s="1573">
        <f t="shared" si="9"/>
        <v>0</v>
      </c>
      <c r="G80" s="1573">
        <f t="shared" si="9"/>
        <v>0</v>
      </c>
      <c r="H80" s="1574">
        <f t="shared" si="9"/>
        <v>6.154773859516615E-2</v>
      </c>
      <c r="L80" s="1569"/>
      <c r="M80" s="1569"/>
      <c r="N80" s="1569"/>
      <c r="O80" s="359"/>
      <c r="P80" s="359"/>
      <c r="Q80" s="7"/>
      <c r="R80" s="358"/>
      <c r="S80" s="358"/>
      <c r="T80" s="4"/>
      <c r="U80" s="4"/>
      <c r="Y80" s="864"/>
    </row>
    <row r="81" spans="1:91" ht="16.2" thickBot="1">
      <c r="B81" s="303"/>
      <c r="C81" s="359"/>
      <c r="D81" s="359"/>
      <c r="E81" s="359"/>
      <c r="F81" s="359"/>
      <c r="G81" s="359"/>
      <c r="H81" s="359"/>
      <c r="I81" s="303"/>
      <c r="J81" s="303"/>
      <c r="K81" s="303"/>
      <c r="L81" s="359"/>
      <c r="M81" s="359"/>
      <c r="N81" s="359"/>
      <c r="O81" s="359"/>
      <c r="P81" s="359"/>
      <c r="Q81" s="7"/>
      <c r="R81" s="358"/>
      <c r="S81" s="358"/>
      <c r="T81" s="4"/>
      <c r="U81" s="4"/>
      <c r="Y81" s="864"/>
    </row>
    <row r="82" spans="1:91" ht="15.6">
      <c r="A82" s="742" t="s">
        <v>704</v>
      </c>
      <c r="B82" s="115"/>
      <c r="C82" s="116"/>
      <c r="D82" s="128"/>
      <c r="E82" s="128"/>
      <c r="F82" s="128"/>
      <c r="G82" s="128"/>
      <c r="H82" s="359"/>
      <c r="I82" s="303"/>
      <c r="J82" s="303"/>
      <c r="K82" s="303"/>
      <c r="L82" s="359"/>
      <c r="M82" s="359"/>
      <c r="N82" s="359"/>
      <c r="O82" s="359"/>
      <c r="P82" s="359"/>
      <c r="Q82" s="7"/>
      <c r="R82" s="358"/>
      <c r="S82" s="358"/>
      <c r="T82" s="4"/>
      <c r="U82" s="4"/>
      <c r="Y82" s="864"/>
    </row>
    <row r="83" spans="1:91" ht="15.6">
      <c r="A83" s="743" t="s">
        <v>659</v>
      </c>
      <c r="B83" s="128">
        <v>2017</v>
      </c>
      <c r="C83" s="604">
        <f>'Waste Summary 2017 SASOW'!L25</f>
        <v>0.1093486545815688</v>
      </c>
      <c r="D83" s="710"/>
      <c r="E83" s="710"/>
      <c r="F83" s="710"/>
      <c r="G83" s="710"/>
      <c r="H83" s="711"/>
      <c r="I83" s="303"/>
      <c r="J83" s="303"/>
      <c r="K83" s="303"/>
      <c r="L83" s="359"/>
      <c r="M83" s="359"/>
      <c r="N83" s="359"/>
      <c r="O83" s="359"/>
      <c r="P83" s="359"/>
      <c r="Q83" s="7"/>
      <c r="R83" s="358"/>
      <c r="S83" s="358"/>
      <c r="T83" s="4"/>
      <c r="U83" s="4"/>
      <c r="Y83" s="864"/>
    </row>
    <row r="84" spans="1:91" ht="15.6">
      <c r="A84" s="743" t="s">
        <v>658</v>
      </c>
      <c r="B84" s="128">
        <v>2017</v>
      </c>
      <c r="C84" s="604">
        <f>'Waste Summary 2017 SASOW'!L26</f>
        <v>0.30189463979095105</v>
      </c>
      <c r="D84" s="710"/>
      <c r="E84" s="710"/>
      <c r="F84" s="710"/>
      <c r="G84" s="710"/>
      <c r="H84" s="711"/>
      <c r="I84" s="303"/>
      <c r="J84" s="303"/>
      <c r="K84" s="303"/>
      <c r="L84" s="359"/>
      <c r="M84" s="359"/>
      <c r="N84" s="359"/>
      <c r="O84" s="359"/>
      <c r="P84" s="359"/>
      <c r="Q84" s="7"/>
      <c r="R84" s="358"/>
      <c r="S84" s="358"/>
      <c r="T84" s="4"/>
      <c r="U84" s="4"/>
      <c r="Y84" s="864"/>
    </row>
    <row r="85" spans="1:91" ht="16.2" thickBot="1">
      <c r="A85" s="744" t="s">
        <v>853</v>
      </c>
      <c r="B85" s="138">
        <v>2017</v>
      </c>
      <c r="C85" s="733">
        <f>'Waste Summary 2017 SASOW'!L27</f>
        <v>0.69810536020904879</v>
      </c>
      <c r="D85" s="710"/>
      <c r="E85" s="710"/>
      <c r="F85" s="710"/>
      <c r="G85" s="710"/>
      <c r="H85" s="711"/>
      <c r="I85" s="303"/>
      <c r="J85" s="303"/>
      <c r="K85" s="303"/>
      <c r="L85" s="359"/>
      <c r="M85" s="359"/>
      <c r="N85" s="359"/>
      <c r="O85" s="359"/>
      <c r="P85" s="359"/>
      <c r="Q85" s="7"/>
      <c r="R85" s="358"/>
      <c r="S85" s="358"/>
      <c r="T85" s="4"/>
      <c r="U85" s="4"/>
      <c r="Y85" s="864"/>
    </row>
    <row r="86" spans="1:91" ht="15.6">
      <c r="A86" s="128"/>
      <c r="B86" s="710"/>
      <c r="C86" s="710"/>
      <c r="D86" s="710"/>
      <c r="E86" s="710"/>
      <c r="F86" s="710"/>
      <c r="G86" s="710"/>
      <c r="H86" s="711"/>
      <c r="I86" s="303"/>
      <c r="J86" s="303"/>
      <c r="K86" s="303"/>
      <c r="L86" s="359"/>
      <c r="M86" s="359"/>
      <c r="N86" s="359"/>
      <c r="O86" s="359"/>
      <c r="P86" s="359"/>
      <c r="Q86" s="7"/>
      <c r="R86" s="358"/>
      <c r="S86" s="358"/>
      <c r="T86" s="4"/>
      <c r="U86" s="4"/>
      <c r="Y86" s="864"/>
    </row>
    <row r="87" spans="1:91" ht="28.8">
      <c r="A87" s="782" t="s">
        <v>711</v>
      </c>
      <c r="B87" s="710"/>
      <c r="C87" s="710"/>
      <c r="D87" s="710"/>
      <c r="E87" s="710"/>
      <c r="F87" s="710"/>
      <c r="G87" s="710"/>
      <c r="H87" s="711"/>
      <c r="I87" s="303"/>
      <c r="J87" s="303"/>
      <c r="K87" s="303"/>
      <c r="L87" s="359"/>
      <c r="M87" s="359"/>
      <c r="N87" s="359"/>
      <c r="O87" s="359"/>
      <c r="P87" s="359"/>
      <c r="Q87" s="7"/>
      <c r="R87" s="358"/>
      <c r="S87" s="358"/>
      <c r="T87" s="4"/>
      <c r="U87" s="4"/>
      <c r="Y87" s="864"/>
    </row>
    <row r="88" spans="1:91" ht="15.6">
      <c r="A88" s="128"/>
      <c r="B88" s="710"/>
      <c r="C88" s="710"/>
      <c r="D88" s="710"/>
      <c r="E88" s="710"/>
      <c r="F88" s="710"/>
      <c r="G88" s="710"/>
      <c r="H88" s="711"/>
      <c r="I88" s="303"/>
      <c r="J88" s="303"/>
      <c r="K88" s="303"/>
      <c r="L88" s="359"/>
      <c r="M88" s="359"/>
      <c r="N88" s="359"/>
      <c r="O88" s="359"/>
      <c r="P88" s="359"/>
      <c r="Q88" s="7"/>
      <c r="R88" s="358"/>
      <c r="S88" s="358"/>
      <c r="T88" s="4"/>
      <c r="U88" s="4"/>
      <c r="X88" s="704"/>
      <c r="Y88" s="864"/>
    </row>
    <row r="89" spans="1:91" ht="23.4">
      <c r="A89" s="783" t="s">
        <v>675</v>
      </c>
      <c r="B89" s="784"/>
      <c r="C89" s="710"/>
      <c r="D89" s="710"/>
      <c r="E89" s="710"/>
      <c r="F89" s="710"/>
      <c r="G89" s="710"/>
      <c r="H89" s="711"/>
      <c r="I89" s="303"/>
      <c r="J89" s="303"/>
      <c r="K89" s="303"/>
      <c r="L89" s="359"/>
      <c r="M89" s="359"/>
      <c r="N89" s="359"/>
      <c r="O89" s="359"/>
      <c r="P89" s="359"/>
      <c r="Q89" s="7"/>
      <c r="R89" s="358"/>
      <c r="S89" s="358"/>
      <c r="T89" s="4"/>
      <c r="U89" s="4"/>
      <c r="Y89" s="864"/>
      <c r="AB89" s="704"/>
      <c r="AF89" s="704"/>
    </row>
    <row r="90" spans="1:91">
      <c r="A90" s="128"/>
      <c r="B90" s="710"/>
      <c r="C90" s="710"/>
      <c r="D90" s="710"/>
      <c r="E90" s="710"/>
      <c r="F90" s="710"/>
      <c r="G90" s="710"/>
      <c r="H90" s="711"/>
      <c r="I90" s="303"/>
      <c r="J90" s="303"/>
      <c r="K90" s="303"/>
      <c r="L90" s="359"/>
      <c r="M90" s="359"/>
      <c r="N90" s="359"/>
      <c r="O90" s="359"/>
      <c r="P90" s="359"/>
      <c r="Q90" s="7"/>
      <c r="R90" s="358"/>
      <c r="S90" s="358"/>
      <c r="T90" s="4"/>
      <c r="U90" s="4"/>
    </row>
    <row r="91" spans="1:91">
      <c r="A91" s="128"/>
      <c r="B91" s="710"/>
      <c r="C91" s="710"/>
      <c r="D91" s="710"/>
      <c r="E91" s="710"/>
      <c r="F91" s="710"/>
      <c r="G91" s="710"/>
      <c r="H91" s="711"/>
      <c r="I91" s="303"/>
      <c r="J91" s="303"/>
      <c r="K91" s="303"/>
      <c r="L91" s="359"/>
      <c r="M91" s="359"/>
      <c r="N91" s="359"/>
      <c r="O91" s="359"/>
      <c r="P91" s="359"/>
      <c r="Q91" s="7"/>
      <c r="R91" s="358"/>
      <c r="S91" s="358"/>
      <c r="T91" s="4"/>
      <c r="U91" s="4"/>
      <c r="BI91" s="99"/>
      <c r="BJ91" s="99"/>
      <c r="BK91" s="99"/>
      <c r="BL91" s="99"/>
      <c r="BM91" s="99"/>
    </row>
    <row r="92" spans="1:91" ht="15" thickBot="1">
      <c r="E92" s="10"/>
      <c r="F92" s="10"/>
      <c r="G92" s="10"/>
      <c r="H92" s="10"/>
      <c r="I92" s="10"/>
      <c r="J92" s="10"/>
      <c r="K92" s="10"/>
      <c r="L92" s="10"/>
      <c r="M92" s="10"/>
      <c r="N92" s="10"/>
      <c r="O92" s="10"/>
      <c r="P92" s="10"/>
      <c r="Q92" s="10"/>
      <c r="R92" s="10"/>
      <c r="S92" s="10"/>
      <c r="V92" s="859"/>
      <c r="CG92" s="1" t="s">
        <v>631</v>
      </c>
    </row>
    <row r="93" spans="1:91" ht="34.950000000000003" customHeight="1" thickBot="1">
      <c r="A93" s="1793" t="s">
        <v>687</v>
      </c>
      <c r="B93" s="1794"/>
      <c r="C93" s="1794"/>
      <c r="D93" s="1795"/>
      <c r="E93" s="1814" t="s">
        <v>685</v>
      </c>
      <c r="F93" s="1815"/>
      <c r="G93" s="1816"/>
      <c r="H93" s="1853" t="s">
        <v>686</v>
      </c>
      <c r="I93" s="1818"/>
      <c r="J93" s="1818"/>
      <c r="K93" s="1819"/>
      <c r="L93" s="1801" t="s">
        <v>682</v>
      </c>
      <c r="M93" s="1785"/>
      <c r="N93" s="1785"/>
      <c r="O93" s="1785"/>
      <c r="P93" s="1786"/>
      <c r="Q93" s="1784" t="s">
        <v>683</v>
      </c>
      <c r="R93" s="1785"/>
      <c r="S93" s="1785"/>
      <c r="T93" s="1785"/>
      <c r="U93" s="1786"/>
      <c r="V93" s="1782" t="s">
        <v>684</v>
      </c>
      <c r="W93" s="1820" t="s">
        <v>696</v>
      </c>
      <c r="X93" s="1821"/>
      <c r="Y93" s="1791" t="s">
        <v>674</v>
      </c>
      <c r="Z93" s="1787" t="s">
        <v>680</v>
      </c>
      <c r="AA93" s="1843" t="s">
        <v>661</v>
      </c>
      <c r="AB93" s="1779" t="s">
        <v>725</v>
      </c>
      <c r="AC93" s="1771" t="s">
        <v>728</v>
      </c>
      <c r="AD93" s="1787" t="s">
        <v>727</v>
      </c>
      <c r="AE93" s="1771" t="s">
        <v>730</v>
      </c>
      <c r="AF93" s="1822" t="s">
        <v>681</v>
      </c>
      <c r="AG93" s="1847" t="s">
        <v>699</v>
      </c>
      <c r="AH93" s="1848"/>
      <c r="AI93" s="1848"/>
      <c r="AJ93" s="1848"/>
      <c r="AK93" s="1848"/>
      <c r="AL93" s="1848"/>
      <c r="AM93" s="1848"/>
      <c r="AN93" s="1848"/>
      <c r="AO93" s="1848"/>
      <c r="AP93" s="1848"/>
      <c r="AQ93" s="1849"/>
      <c r="AR93" s="1762" t="s">
        <v>703</v>
      </c>
      <c r="AS93" s="1763"/>
      <c r="AT93" s="1763"/>
      <c r="AU93" s="1763"/>
      <c r="AV93" s="1763"/>
      <c r="AW93" s="1763"/>
      <c r="AX93" s="1763"/>
      <c r="AY93" s="1763"/>
      <c r="AZ93" s="1763"/>
      <c r="BA93" s="1763"/>
      <c r="BB93" s="1764"/>
      <c r="BC93" s="1865" t="s">
        <v>225</v>
      </c>
      <c r="BD93" s="1757" t="s">
        <v>701</v>
      </c>
      <c r="BE93" s="1765" t="s">
        <v>700</v>
      </c>
      <c r="BF93" s="1765"/>
      <c r="BG93" s="1765"/>
      <c r="BH93" s="1765"/>
      <c r="BI93" s="1765"/>
      <c r="BJ93" s="1765"/>
      <c r="BK93" s="1765"/>
      <c r="BL93" s="1766"/>
      <c r="BM93" s="1668" t="s">
        <v>862</v>
      </c>
      <c r="BN93" s="1669"/>
      <c r="BO93" s="1669"/>
      <c r="BP93" s="1669"/>
      <c r="BQ93" s="1669"/>
      <c r="BR93" s="1669"/>
      <c r="BS93" s="1669"/>
      <c r="BT93" s="1670"/>
      <c r="BV93" s="1738" t="s">
        <v>773</v>
      </c>
      <c r="BW93" s="1736"/>
      <c r="BX93" s="1737"/>
      <c r="BY93" s="1738" t="s">
        <v>766</v>
      </c>
      <c r="BZ93" s="1736"/>
      <c r="CA93" s="1739"/>
      <c r="CB93" s="1850" t="s">
        <v>774</v>
      </c>
      <c r="CC93" s="1846"/>
      <c r="CD93" s="1850" t="s">
        <v>767</v>
      </c>
      <c r="CE93" s="1846"/>
      <c r="CG93" s="1752" t="s">
        <v>863</v>
      </c>
      <c r="CH93" s="1753"/>
      <c r="CI93" s="1753"/>
      <c r="CJ93" s="1753"/>
      <c r="CK93" s="1753"/>
      <c r="CL93" s="1753"/>
      <c r="CM93" s="1754"/>
    </row>
    <row r="94" spans="1:91" s="10" customFormat="1" ht="42.6" customHeight="1" thickBot="1">
      <c r="A94" s="1789" t="s">
        <v>217</v>
      </c>
      <c r="B94" s="802" t="s">
        <v>218</v>
      </c>
      <c r="C94" s="802" t="s">
        <v>464</v>
      </c>
      <c r="D94" s="592" t="s">
        <v>576</v>
      </c>
      <c r="E94" s="800" t="s">
        <v>577</v>
      </c>
      <c r="F94" s="798" t="s">
        <v>580</v>
      </c>
      <c r="G94" s="799" t="s">
        <v>606</v>
      </c>
      <c r="H94" s="866" t="s">
        <v>554</v>
      </c>
      <c r="I94" s="792" t="s">
        <v>288</v>
      </c>
      <c r="J94" s="791" t="s">
        <v>677</v>
      </c>
      <c r="K94" s="793" t="s">
        <v>678</v>
      </c>
      <c r="L94" s="842" t="s">
        <v>87</v>
      </c>
      <c r="M94" s="747" t="s">
        <v>364</v>
      </c>
      <c r="N94" s="747" t="s">
        <v>365</v>
      </c>
      <c r="O94" s="747" t="s">
        <v>366</v>
      </c>
      <c r="P94" s="746" t="s">
        <v>660</v>
      </c>
      <c r="Q94" s="582" t="s">
        <v>87</v>
      </c>
      <c r="R94" s="747" t="s">
        <v>364</v>
      </c>
      <c r="S94" s="747" t="s">
        <v>365</v>
      </c>
      <c r="T94" s="747" t="s">
        <v>366</v>
      </c>
      <c r="U94" s="1315" t="s">
        <v>660</v>
      </c>
      <c r="V94" s="1783"/>
      <c r="W94" s="587" t="s">
        <v>693</v>
      </c>
      <c r="X94" s="590" t="s">
        <v>654</v>
      </c>
      <c r="Y94" s="1792"/>
      <c r="Z94" s="1788"/>
      <c r="AA94" s="1844"/>
      <c r="AB94" s="1780"/>
      <c r="AC94" s="1772"/>
      <c r="AD94" s="1788"/>
      <c r="AE94" s="1772"/>
      <c r="AF94" s="1823"/>
      <c r="AG94" s="818" t="s">
        <v>549</v>
      </c>
      <c r="AH94" s="819" t="s">
        <v>565</v>
      </c>
      <c r="AI94" s="819" t="s">
        <v>428</v>
      </c>
      <c r="AJ94" s="819" t="s">
        <v>429</v>
      </c>
      <c r="AK94" s="819" t="s">
        <v>225</v>
      </c>
      <c r="AL94" s="831" t="s">
        <v>671</v>
      </c>
      <c r="AM94" s="818" t="s">
        <v>549</v>
      </c>
      <c r="AN94" s="819" t="s">
        <v>565</v>
      </c>
      <c r="AO94" s="819" t="s">
        <v>428</v>
      </c>
      <c r="AP94" s="819" t="s">
        <v>429</v>
      </c>
      <c r="AQ94" s="831" t="s">
        <v>225</v>
      </c>
      <c r="AR94" s="833" t="s">
        <v>221</v>
      </c>
      <c r="AS94" s="832" t="s">
        <v>85</v>
      </c>
      <c r="AT94" s="832" t="s">
        <v>87</v>
      </c>
      <c r="AU94" s="832" t="s">
        <v>222</v>
      </c>
      <c r="AV94" s="832" t="s">
        <v>115</v>
      </c>
      <c r="AW94" s="832" t="s">
        <v>223</v>
      </c>
      <c r="AX94" s="832" t="s">
        <v>548</v>
      </c>
      <c r="AY94" s="832" t="s">
        <v>374</v>
      </c>
      <c r="AZ94" s="832" t="s">
        <v>375</v>
      </c>
      <c r="BA94" s="832" t="s">
        <v>376</v>
      </c>
      <c r="BB94" s="832" t="s">
        <v>377</v>
      </c>
      <c r="BC94" s="1866"/>
      <c r="BD94" s="1758"/>
      <c r="BE94" s="1483" t="s">
        <v>221</v>
      </c>
      <c r="BF94" s="832" t="s">
        <v>85</v>
      </c>
      <c r="BG94" s="832" t="s">
        <v>87</v>
      </c>
      <c r="BH94" s="832" t="s">
        <v>222</v>
      </c>
      <c r="BI94" s="832" t="s">
        <v>115</v>
      </c>
      <c r="BJ94" s="832" t="s">
        <v>223</v>
      </c>
      <c r="BK94" s="832" t="s">
        <v>702</v>
      </c>
      <c r="BL94" s="1233" t="s">
        <v>303</v>
      </c>
      <c r="BM94" s="508" t="s">
        <v>221</v>
      </c>
      <c r="BN94" s="482" t="s">
        <v>85</v>
      </c>
      <c r="BO94" s="482" t="s">
        <v>87</v>
      </c>
      <c r="BP94" s="482" t="s">
        <v>222</v>
      </c>
      <c r="BQ94" s="482" t="s">
        <v>115</v>
      </c>
      <c r="BR94" s="482" t="s">
        <v>223</v>
      </c>
      <c r="BS94" s="482" t="s">
        <v>224</v>
      </c>
      <c r="BT94" s="1235" t="s">
        <v>225</v>
      </c>
      <c r="BU94"/>
      <c r="BV94" s="1260" t="s">
        <v>609</v>
      </c>
      <c r="BW94" s="40" t="s">
        <v>716</v>
      </c>
      <c r="BX94" s="1362" t="str">
        <f>D134</f>
        <v xml:space="preserve">Coal ash generated - ‘IRP realistic’ </v>
      </c>
      <c r="BY94" s="1260" t="s">
        <v>609</v>
      </c>
      <c r="BZ94" s="40" t="s">
        <v>716</v>
      </c>
      <c r="CA94" s="1261" t="s">
        <v>722</v>
      </c>
      <c r="CB94" s="1507" t="s">
        <v>267</v>
      </c>
      <c r="CC94" s="1508" t="s">
        <v>731</v>
      </c>
      <c r="CD94" s="1507" t="s">
        <v>267</v>
      </c>
      <c r="CE94" s="1508" t="s">
        <v>731</v>
      </c>
      <c r="CF94"/>
      <c r="CG94" s="1491" t="s">
        <v>87</v>
      </c>
      <c r="CH94" s="1492" t="s">
        <v>364</v>
      </c>
      <c r="CI94" s="1492" t="s">
        <v>365</v>
      </c>
      <c r="CJ94" s="1492" t="s">
        <v>366</v>
      </c>
      <c r="CK94" s="1493" t="s">
        <v>660</v>
      </c>
      <c r="CL94" s="1492" t="s">
        <v>303</v>
      </c>
      <c r="CM94" s="1755" t="s">
        <v>864</v>
      </c>
    </row>
    <row r="95" spans="1:91" ht="31.8" thickBot="1">
      <c r="A95" s="1813"/>
      <c r="B95" s="524" t="s">
        <v>232</v>
      </c>
      <c r="C95" s="525" t="s">
        <v>558</v>
      </c>
      <c r="D95" s="556" t="s">
        <v>556</v>
      </c>
      <c r="E95" s="860" t="s">
        <v>229</v>
      </c>
      <c r="F95" s="861" t="s">
        <v>229</v>
      </c>
      <c r="G95" s="862" t="s">
        <v>228</v>
      </c>
      <c r="H95" s="867" t="s">
        <v>227</v>
      </c>
      <c r="I95" s="794" t="s">
        <v>228</v>
      </c>
      <c r="J95" s="794" t="s">
        <v>227</v>
      </c>
      <c r="K95" s="795" t="s">
        <v>227</v>
      </c>
      <c r="L95" s="642" t="s">
        <v>229</v>
      </c>
      <c r="M95" s="512" t="s">
        <v>229</v>
      </c>
      <c r="N95" s="512" t="s">
        <v>229</v>
      </c>
      <c r="O95" s="512" t="s">
        <v>229</v>
      </c>
      <c r="P95" s="513" t="s">
        <v>229</v>
      </c>
      <c r="Q95" s="511" t="s">
        <v>227</v>
      </c>
      <c r="R95" s="512" t="s">
        <v>227</v>
      </c>
      <c r="S95" s="512" t="s">
        <v>227</v>
      </c>
      <c r="T95" s="512" t="s">
        <v>227</v>
      </c>
      <c r="U95" s="513" t="s">
        <v>227</v>
      </c>
      <c r="V95" s="787" t="s">
        <v>227</v>
      </c>
      <c r="W95" s="785" t="s">
        <v>229</v>
      </c>
      <c r="X95" s="788" t="s">
        <v>227</v>
      </c>
      <c r="Y95" s="813" t="s">
        <v>227</v>
      </c>
      <c r="Z95" s="814" t="s">
        <v>227</v>
      </c>
      <c r="AA95" s="815" t="s">
        <v>227</v>
      </c>
      <c r="AB95" s="1781"/>
      <c r="AC95" s="1773"/>
      <c r="AD95" s="1284" t="s">
        <v>28</v>
      </c>
      <c r="AE95" s="1773"/>
      <c r="AF95" s="1282" t="s">
        <v>227</v>
      </c>
      <c r="AG95" s="826" t="s">
        <v>227</v>
      </c>
      <c r="AH95" s="821" t="s">
        <v>227</v>
      </c>
      <c r="AI95" s="821" t="s">
        <v>227</v>
      </c>
      <c r="AJ95" s="821" t="s">
        <v>227</v>
      </c>
      <c r="AK95" s="821" t="s">
        <v>227</v>
      </c>
      <c r="AL95" s="827" t="s">
        <v>669</v>
      </c>
      <c r="AM95" s="189" t="s">
        <v>229</v>
      </c>
      <c r="AN95" s="822" t="s">
        <v>229</v>
      </c>
      <c r="AO95" s="822" t="s">
        <v>229</v>
      </c>
      <c r="AP95" s="822" t="s">
        <v>229</v>
      </c>
      <c r="AQ95" s="827" t="s">
        <v>229</v>
      </c>
      <c r="AR95" s="838" t="s">
        <v>227</v>
      </c>
      <c r="AS95" s="839" t="s">
        <v>227</v>
      </c>
      <c r="AT95" s="839" t="s">
        <v>227</v>
      </c>
      <c r="AU95" s="839" t="s">
        <v>227</v>
      </c>
      <c r="AV95" s="839" t="s">
        <v>227</v>
      </c>
      <c r="AW95" s="839" t="s">
        <v>227</v>
      </c>
      <c r="AX95" s="839" t="s">
        <v>227</v>
      </c>
      <c r="AY95" s="839" t="s">
        <v>227</v>
      </c>
      <c r="AZ95" s="839" t="s">
        <v>227</v>
      </c>
      <c r="BA95" s="839" t="s">
        <v>227</v>
      </c>
      <c r="BB95" s="839" t="s">
        <v>227</v>
      </c>
      <c r="BC95" s="839" t="s">
        <v>227</v>
      </c>
      <c r="BD95" s="1759"/>
      <c r="BE95" s="1494" t="s">
        <v>229</v>
      </c>
      <c r="BF95" s="839" t="s">
        <v>229</v>
      </c>
      <c r="BG95" s="839" t="s">
        <v>229</v>
      </c>
      <c r="BH95" s="839" t="s">
        <v>229</v>
      </c>
      <c r="BI95" s="839" t="s">
        <v>229</v>
      </c>
      <c r="BJ95" s="839" t="s">
        <v>229</v>
      </c>
      <c r="BK95" s="839" t="s">
        <v>229</v>
      </c>
      <c r="BL95" s="1234" t="s">
        <v>229</v>
      </c>
      <c r="BM95" s="508" t="s">
        <v>229</v>
      </c>
      <c r="BN95" s="482" t="s">
        <v>229</v>
      </c>
      <c r="BO95" s="482" t="s">
        <v>229</v>
      </c>
      <c r="BP95" s="482" t="s">
        <v>229</v>
      </c>
      <c r="BQ95" s="482" t="s">
        <v>229</v>
      </c>
      <c r="BR95" s="482" t="s">
        <v>229</v>
      </c>
      <c r="BS95" s="482" t="s">
        <v>229</v>
      </c>
      <c r="BT95" s="1235" t="s">
        <v>229</v>
      </c>
      <c r="BV95" s="67" t="s">
        <v>717</v>
      </c>
      <c r="BW95" s="1359" t="s">
        <v>229</v>
      </c>
      <c r="BX95" s="1363" t="s">
        <v>717</v>
      </c>
      <c r="BY95" s="67" t="s">
        <v>717</v>
      </c>
      <c r="BZ95" s="1359" t="s">
        <v>229</v>
      </c>
      <c r="CA95" s="68" t="s">
        <v>717</v>
      </c>
      <c r="CB95" s="1498" t="s">
        <v>229</v>
      </c>
      <c r="CC95" s="1499" t="s">
        <v>229</v>
      </c>
      <c r="CD95" s="1498" t="s">
        <v>229</v>
      </c>
      <c r="CE95" s="1499" t="s">
        <v>229</v>
      </c>
      <c r="CG95" s="1512" t="s">
        <v>227</v>
      </c>
      <c r="CH95" s="1513" t="s">
        <v>227</v>
      </c>
      <c r="CI95" s="1513" t="s">
        <v>227</v>
      </c>
      <c r="CJ95" s="1513" t="s">
        <v>227</v>
      </c>
      <c r="CK95" s="1513" t="s">
        <v>227</v>
      </c>
      <c r="CL95" s="1513" t="s">
        <v>227</v>
      </c>
      <c r="CM95" s="1755"/>
    </row>
    <row r="96" spans="1:91">
      <c r="A96" s="127">
        <f>'Input data'!A117</f>
        <v>2017</v>
      </c>
      <c r="B96" s="748">
        <f>'Input data'!B117</f>
        <v>56.521999999999998</v>
      </c>
      <c r="C96" s="236">
        <f>'Input data'!C117</f>
        <v>3120.54</v>
      </c>
      <c r="D96" s="236">
        <f>'Input data'!D117</f>
        <v>49995051</v>
      </c>
      <c r="E96" s="1126">
        <f>'Input data'!F117</f>
        <v>0.71479999999999999</v>
      </c>
      <c r="F96" s="936">
        <f>'Input data'!G117</f>
        <v>0.28959999999999997</v>
      </c>
      <c r="G96" s="1127">
        <f>'Input data'!H117</f>
        <v>501</v>
      </c>
      <c r="H96" s="608">
        <f>'Input data'!I117</f>
        <v>424.26313389388866</v>
      </c>
      <c r="I96" s="607">
        <f>'Input data'!K117</f>
        <v>23980.200853950373</v>
      </c>
      <c r="J96" s="608">
        <f>H96*B10</f>
        <v>197.16290517356791</v>
      </c>
      <c r="K96" s="727">
        <f t="shared" ref="K96" si="10">H96*$B$10-J96</f>
        <v>0</v>
      </c>
      <c r="L96" s="483">
        <f>C17</f>
        <v>0.57999999999999996</v>
      </c>
      <c r="M96" s="483">
        <f>D17</f>
        <v>0.437</v>
      </c>
      <c r="N96" s="483">
        <f>E17</f>
        <v>0.71200000000000008</v>
      </c>
      <c r="O96" s="483">
        <f>F17</f>
        <v>0.8</v>
      </c>
      <c r="P96" s="114">
        <f>$G$17</f>
        <v>0.23600000000000002</v>
      </c>
      <c r="Q96" s="602">
        <f>H96*$E$75*L96</f>
        <v>21.956594277323916</v>
      </c>
      <c r="R96" s="608">
        <f>H96*$J$75*M96</f>
        <v>8.498893173320921</v>
      </c>
      <c r="S96" s="608">
        <f t="shared" ref="S96:S129" si="11">H96*$K$75*N96</f>
        <v>35.157920176424213</v>
      </c>
      <c r="T96" s="608">
        <f t="shared" ref="T96:T129" si="12">H96*$L$75*O96</f>
        <v>50.006188746360976</v>
      </c>
      <c r="U96" s="727">
        <f t="shared" ref="U96:U129" si="13">H96*$M$75*P96</f>
        <v>0.67710709475193609</v>
      </c>
      <c r="V96" s="602">
        <f t="shared" ref="V96:V129" si="14">SUM(Q96:U96)</f>
        <v>116.29670346818196</v>
      </c>
      <c r="W96" s="730">
        <v>0</v>
      </c>
      <c r="X96" s="606">
        <f t="shared" ref="X96:X129" si="15">W96*H96*($C$76+$D$76)*$B$10</f>
        <v>0</v>
      </c>
      <c r="Y96" s="606">
        <f t="shared" ref="Y96:Y129" si="16">X96+(V96-$V$96)</f>
        <v>0</v>
      </c>
      <c r="Z96" s="607">
        <f>$J$96-Y96</f>
        <v>197.16290517356791</v>
      </c>
      <c r="AA96" s="623">
        <f t="shared" ref="AA96:AA129" si="17">K96-Y96</f>
        <v>0</v>
      </c>
      <c r="AB96" s="811">
        <f>AA96/Z96</f>
        <v>0</v>
      </c>
      <c r="AC96" s="135" t="str">
        <f>IF(AND(AB96&gt;=0,AB96&lt;=0.85),"Policies met","Policies not met")</f>
        <v>Policies met</v>
      </c>
      <c r="AD96" s="1240">
        <f>IF(AB96&lt;=0,0,IF(AB96&gt;=0.85,0.85,AB96))</f>
        <v>0</v>
      </c>
      <c r="AE96" s="135" t="str">
        <f>IF(AND(AB96&gt;=0,AB96&lt;=0.85),"No","Yes")</f>
        <v>No</v>
      </c>
      <c r="AF96" s="1293">
        <f>$H$96*(1-AD96)</f>
        <v>424.26313389388866</v>
      </c>
      <c r="AG96" s="854">
        <f>Z96-Z96*AD96</f>
        <v>197.16290517356791</v>
      </c>
      <c r="AH96" s="854">
        <f t="shared" ref="AH96:AH129" si="18">V96*(1-AB96)</f>
        <v>116.29670346818196</v>
      </c>
      <c r="AI96" s="853">
        <f t="shared" ref="AI96:AI129" si="19">($C$10*$H$10*$H$96+X96)*(1-AB96)</f>
        <v>59.269011747436601</v>
      </c>
      <c r="AJ96" s="853">
        <f t="shared" ref="AJ96:AJ129" si="20">H96*$D$10*(1-AB96)</f>
        <v>51.534513504702232</v>
      </c>
      <c r="AK96" s="854">
        <f>SUM(AG96:AJ96)</f>
        <v>424.26313389388872</v>
      </c>
      <c r="AL96" s="236">
        <f>AF96-AK96</f>
        <v>0</v>
      </c>
      <c r="AM96" s="730">
        <f>AG96/AK96</f>
        <v>0.46471844811027058</v>
      </c>
      <c r="AN96" s="483">
        <f>AH96/AK96</f>
        <v>0.274114562820508</v>
      </c>
      <c r="AO96" s="483">
        <f>AI96/AK96</f>
        <v>0.13969870821314445</v>
      </c>
      <c r="AP96" s="483">
        <f>AJ96/AK96</f>
        <v>0.1214682808560769</v>
      </c>
      <c r="AQ96" s="483">
        <f>SUM(AM96:AP96)</f>
        <v>0.99999999999999989</v>
      </c>
      <c r="AR96" s="1353">
        <f>($H$96*$C$76*AM96-0.5*X96)*(1-AD96)</f>
        <v>47.321656818861349</v>
      </c>
      <c r="AS96" s="1354">
        <f>($H$96*$D$76-0.5*X96)*(1-AD96)*AM96</f>
        <v>60.016663087128173</v>
      </c>
      <c r="AT96" s="1354">
        <f>($H$96*$E$76*AM96-(Q96-$Q$96))*(1-AD96)</f>
        <v>11.632264519473155</v>
      </c>
      <c r="AU96" s="1354">
        <f>$H$96*$F$76*(1-AD96)*AM96</f>
        <v>0</v>
      </c>
      <c r="AV96" s="1354">
        <f>$H$96*$G$76*(1-AD96)*AM96</f>
        <v>0</v>
      </c>
      <c r="AW96" s="1354">
        <f>$H$96*$H$76*(1-AD96)*AM96</f>
        <v>0</v>
      </c>
      <c r="AX96" s="1355">
        <f t="shared" ref="AX96:AX129" si="21">$H$96*$I$76*(1-AD96)*$AM$96</f>
        <v>49.510847715298119</v>
      </c>
      <c r="AY96" s="1354">
        <f>($H$96*$J$76*AM96-(R96-$R$96))*(1-AD96)</f>
        <v>7.1581397336128587</v>
      </c>
      <c r="AZ96" s="1354">
        <f>($H$96*$K$76*AM96-(S96-$S$96))*(1-AD96)</f>
        <v>10.404319152730528</v>
      </c>
      <c r="BA96" s="1354">
        <f>($H$96*$L$76*AM96-(T96-$T$96))*(1-AD96)</f>
        <v>9.146222458533865</v>
      </c>
      <c r="BB96" s="1354">
        <f>($H$96*$M$76*AM96-(U96-$U$96))*(1-AB96)</f>
        <v>1.9727916879297922</v>
      </c>
      <c r="BC96" s="738">
        <f>SUM(AR96:BB96)</f>
        <v>197.16290517356785</v>
      </c>
      <c r="BD96" s="840">
        <f>BC96-AG96</f>
        <v>0</v>
      </c>
      <c r="BE96" s="760">
        <f>AR96/BC96</f>
        <v>0.24001298204245272</v>
      </c>
      <c r="BF96" s="705">
        <f>AS96/BC96</f>
        <v>0.30440139352934509</v>
      </c>
      <c r="BG96" s="705">
        <f>AT96/BC96</f>
        <v>5.8998240613430591E-2</v>
      </c>
      <c r="BH96" s="705">
        <f>AU96/BC96</f>
        <v>0</v>
      </c>
      <c r="BI96" s="705">
        <f>AV96/BC96</f>
        <v>0</v>
      </c>
      <c r="BJ96" s="705">
        <f>AW96/BC96</f>
        <v>0</v>
      </c>
      <c r="BK96" s="705">
        <f>SUM(AX96:BB96)/BC96</f>
        <v>0.3965873838147716</v>
      </c>
      <c r="BL96" s="705">
        <f>SUM(BE96:BK96)</f>
        <v>1</v>
      </c>
      <c r="BM96" s="809">
        <f>'Input data'!V117</f>
        <v>0.29028184578274857</v>
      </c>
      <c r="BN96" s="728">
        <f>'Input data'!W117</f>
        <v>0.30317187715157518</v>
      </c>
      <c r="BO96" s="728">
        <f>'Input data'!X117</f>
        <v>8.2805443243048754E-2</v>
      </c>
      <c r="BP96" s="728">
        <f>'Input data'!Y117</f>
        <v>0</v>
      </c>
      <c r="BQ96" s="728">
        <f>'Input data'!Z117</f>
        <v>0</v>
      </c>
      <c r="BR96" s="728">
        <f>'Input data'!AA117</f>
        <v>0</v>
      </c>
      <c r="BS96" s="728">
        <f>'Input data'!AB117</f>
        <v>0.32374083382262742</v>
      </c>
      <c r="BT96" s="825">
        <f>SUM(BM96:BS96)</f>
        <v>0.99999999999999989</v>
      </c>
      <c r="BV96" s="606">
        <f t="shared" ref="BV96:BV129" si="22">(AK96*B96+C136*W136)*1000/10^6</f>
        <v>109.87635423856577</v>
      </c>
      <c r="BW96" s="114">
        <f>(B96*(AK96-AM96*AK96)+C136*(AC136-AC136*AE136))/(AK96*B96*AM96+AC136*C136*AE136)</f>
        <v>0.29713182575222163</v>
      </c>
      <c r="BX96" s="1503">
        <f t="shared" ref="BX96:BX129" si="23">D136/10^6</f>
        <v>49.995050999999997</v>
      </c>
      <c r="BY96" s="606">
        <f t="shared" ref="BY96:BY129" si="24">(AK96*B96+C176*W176)*1000/10^6</f>
        <v>109.87635423856577</v>
      </c>
      <c r="BZ96" s="114">
        <f>(B176*(AK96-AM96*AK96)+C176*(AC176-AC176*AE176))/(AK96*B176*AM96+AC176*C176*AE176)</f>
        <v>0.29713182575222163</v>
      </c>
      <c r="CA96" s="1503">
        <f t="shared" ref="CA96:CA129" si="25">D176/10^6</f>
        <v>49.995050999999997</v>
      </c>
      <c r="CB96" s="730">
        <f t="shared" ref="CB96:CB129" si="26">AD96</f>
        <v>0</v>
      </c>
      <c r="CC96" s="604">
        <f t="shared" ref="CC96:CC129" si="27">U136</f>
        <v>0</v>
      </c>
      <c r="CD96" s="114">
        <f>AD96</f>
        <v>0</v>
      </c>
      <c r="CE96" s="604">
        <f>U176</f>
        <v>0</v>
      </c>
      <c r="CG96" s="602">
        <f>(1-AD96)*Q96</f>
        <v>21.956594277323916</v>
      </c>
      <c r="CH96" s="704">
        <f>(1-AD96)*R96</f>
        <v>8.498893173320921</v>
      </c>
      <c r="CI96" s="704">
        <f>(1-AD96)*S96</f>
        <v>35.157920176424213</v>
      </c>
      <c r="CJ96" s="704">
        <f>(1-AD96)*T96</f>
        <v>50.006188746360976</v>
      </c>
      <c r="CK96" s="704">
        <f>(1-AD96)*U96</f>
        <v>0.67710709475193609</v>
      </c>
      <c r="CL96" s="704">
        <f>SUM(CG96:CK96)</f>
        <v>116.29670346818196</v>
      </c>
      <c r="CM96" s="727">
        <f>AH96-CL96</f>
        <v>0</v>
      </c>
    </row>
    <row r="97" spans="1:91">
      <c r="A97" s="127">
        <f>'Input data'!A118</f>
        <v>2018</v>
      </c>
      <c r="B97" s="748">
        <f>'Input data'!B118</f>
        <v>57.436</v>
      </c>
      <c r="C97" s="236">
        <f>'Input data'!C118</f>
        <v>3152.24</v>
      </c>
      <c r="D97" s="236">
        <f>'Input data'!D118</f>
        <v>50172070.130067617</v>
      </c>
      <c r="E97" s="1128">
        <f>($E$109-$E$96)/($A$109-$A$96)+E96</f>
        <v>0.73673846153846156</v>
      </c>
      <c r="F97" s="640">
        <f>($F$109-$F$96)/($A$109-$A$96)+F96</f>
        <v>0.29578461538461537</v>
      </c>
      <c r="G97" s="1129">
        <f>B97*F97*'Input data'!$C$9</f>
        <v>519.97374548094456</v>
      </c>
      <c r="H97" s="608">
        <f>'Input data'!I118</f>
        <v>424.26313389388866</v>
      </c>
      <c r="I97" s="607">
        <f>'Input data'!K118</f>
        <v>24367.97735832939</v>
      </c>
      <c r="J97" s="623">
        <f>J96*0.94</f>
        <v>185.33313086315383</v>
      </c>
      <c r="K97" s="609">
        <f>$J$96-J97</f>
        <v>11.829774310414081</v>
      </c>
      <c r="L97" s="483">
        <f t="shared" ref="L97:L108" si="28">($L$109-$L$96)/($A$109-$A$96)+L96</f>
        <v>0.58923076923076922</v>
      </c>
      <c r="M97" s="483">
        <f t="shared" ref="M97:M108" si="29">($M$109-$M$96)/($A$109-$A$96)+M96</f>
        <v>0.44953846153846155</v>
      </c>
      <c r="N97" s="483">
        <f t="shared" ref="N97:N108" si="30">($N$109-$N$96)/($A$109-$A$96)+N96</f>
        <v>0.72646153846153849</v>
      </c>
      <c r="O97" s="483">
        <f t="shared" ref="O97:O108" si="31">($O$109-$O$96)/($A$109-$A$96)+O96</f>
        <v>0.80769230769230771</v>
      </c>
      <c r="P97" s="483">
        <f t="shared" ref="P97:P108" si="32">($P$109-$P$96)/($A$109-$A$96)+P96</f>
        <v>0.23600000000000002</v>
      </c>
      <c r="Q97" s="602">
        <f t="shared" ref="Q97:Q127" si="33">H97*$E$75*L97</f>
        <v>22.306036096061167</v>
      </c>
      <c r="R97" s="608">
        <f t="shared" ref="R97:R129" si="34">H97*$J$75*M97</f>
        <v>8.7427445352732729</v>
      </c>
      <c r="S97" s="608">
        <f t="shared" si="11"/>
        <v>35.872017950102666</v>
      </c>
      <c r="T97" s="608">
        <f t="shared" si="12"/>
        <v>50.487017484306747</v>
      </c>
      <c r="U97" s="727">
        <f t="shared" si="13"/>
        <v>0.67710709475193609</v>
      </c>
      <c r="V97" s="602">
        <f t="shared" si="14"/>
        <v>118.08492316049579</v>
      </c>
      <c r="W97" s="730">
        <v>0.05</v>
      </c>
      <c r="X97" s="606">
        <f t="shared" si="15"/>
        <v>5.3669159952994772</v>
      </c>
      <c r="Y97" s="606">
        <f>X97+(V97-$V$96)</f>
        <v>7.1551356876133081</v>
      </c>
      <c r="Z97" s="607">
        <f>$J$96-Y97</f>
        <v>190.00776948595461</v>
      </c>
      <c r="AA97" s="623">
        <f>K97-Y97</f>
        <v>4.6746386228007726</v>
      </c>
      <c r="AB97" s="811">
        <f t="shared" ref="AB97:AB129" si="35">AA97/Z97</f>
        <v>2.4602355132358533E-2</v>
      </c>
      <c r="AC97" s="135" t="str">
        <f t="shared" ref="AC97:AC129" si="36">IF(AND(AB97&gt;=0,AB97&lt;=0.85),"Policies met","Policies not met")</f>
        <v>Policies met</v>
      </c>
      <c r="AD97" s="1240">
        <f t="shared" ref="AD97:AD129" si="37">IF(AB97&lt;=0,0,IF(AB97&gt;=0.85,0.85,AB97))</f>
        <v>2.4602355132358533E-2</v>
      </c>
      <c r="AE97" s="135" t="str">
        <f t="shared" ref="AE97:AE129" si="38">IF(AND(AB97&gt;=0,AB97&lt;=0.85),"No","Yes")</f>
        <v>No</v>
      </c>
      <c r="AF97" s="1293">
        <f t="shared" ref="AF97:AF129" si="39">$H$96*(1-AD97)</f>
        <v>413.82526160426386</v>
      </c>
      <c r="AG97" s="236">
        <f t="shared" ref="AG97:AG129" si="40">Z97-Z97*AD97</f>
        <v>185.33313086315383</v>
      </c>
      <c r="AH97" s="236">
        <f t="shared" si="18"/>
        <v>115.179755945124</v>
      </c>
      <c r="AI97" s="748">
        <f t="shared" si="19"/>
        <v>63.045731694099814</v>
      </c>
      <c r="AJ97" s="748">
        <f t="shared" si="20"/>
        <v>50.266643101886224</v>
      </c>
      <c r="AK97" s="236">
        <f t="shared" ref="AK97:AK129" si="41">SUM(AG97:AJ97)</f>
        <v>413.82526160426386</v>
      </c>
      <c r="AL97" s="236">
        <f t="shared" ref="AL97:AL129" si="42">AF97-AK97</f>
        <v>0</v>
      </c>
      <c r="AM97" s="730">
        <f t="shared" ref="AM97:AM129" si="43">AG97/AK97</f>
        <v>0.44785359440039618</v>
      </c>
      <c r="AN97" s="483">
        <f t="shared" ref="AN97:AN129" si="44">AH97/AK97</f>
        <v>0.2783294463431501</v>
      </c>
      <c r="AO97" s="483">
        <f t="shared" ref="AO97:AO129" si="45">AI97/AK97</f>
        <v>0.15234867840037686</v>
      </c>
      <c r="AP97" s="483">
        <f t="shared" ref="AP97:AP129" si="46">AJ97/AK97</f>
        <v>0.12146828085607692</v>
      </c>
      <c r="AQ97" s="483">
        <f t="shared" ref="AQ97:AQ129" si="47">SUM(AM97:AP97)</f>
        <v>1.0000000000000002</v>
      </c>
      <c r="AR97" s="834">
        <f>($AR$96-0.5*X97)*(1-AD97)</f>
        <v>43.539994001343331</v>
      </c>
      <c r="AS97" s="835">
        <f>($AS$96-0.5*X97)*(1-AD97)</f>
        <v>55.922673216990738</v>
      </c>
      <c r="AT97" s="835">
        <f>($AT$96-(Q97-$Q$96))*(1-AD97)</f>
        <v>11.005238689756963</v>
      </c>
      <c r="AU97" s="835">
        <f t="shared" ref="AU97:AU129" si="48">$H$96*$F$76*(1-AD97)</f>
        <v>0</v>
      </c>
      <c r="AV97" s="835">
        <f t="shared" ref="AV97:AV129" si="49">$H$96*$G$76*(1-AD97)</f>
        <v>0</v>
      </c>
      <c r="AW97" s="835">
        <f t="shared" ref="AW97:AW129" si="50">$H$96*$H$76*(1-AD97)</f>
        <v>0</v>
      </c>
      <c r="AX97" s="1228">
        <f t="shared" si="21"/>
        <v>48.292764256902231</v>
      </c>
      <c r="AY97" s="835">
        <f>($AY$96-(R97-$R$96))*(1-AD97)</f>
        <v>6.7441805936533781</v>
      </c>
      <c r="AZ97" s="835">
        <f>($AZ$96-(S97-$S$96))*(1-AD97)</f>
        <v>9.451819111373462</v>
      </c>
      <c r="BA97" s="835">
        <f>($BA$96-(T97-$T$96))*(1-AD97)</f>
        <v>8.4522046269124758</v>
      </c>
      <c r="BB97" s="835">
        <f>($BB$96-(U97-$U$96))*(1-AD97)</f>
        <v>1.9242563662211785</v>
      </c>
      <c r="BC97" s="608">
        <f t="shared" ref="BC97:BC129" si="51">SUM(AR97:BB97)</f>
        <v>185.33313086315374</v>
      </c>
      <c r="BD97" s="840">
        <f t="shared" ref="BD97:BD129" si="52">BC97-AG97</f>
        <v>0</v>
      </c>
      <c r="BE97" s="760">
        <f t="shared" ref="BE97:BE129" si="53">AR97/BC97</f>
        <v>0.23492828183802922</v>
      </c>
      <c r="BF97" s="705">
        <f t="shared" ref="BF97:BF129" si="54">AS97/BC97</f>
        <v>0.30174137217960728</v>
      </c>
      <c r="BG97" s="705">
        <f t="shared" ref="BG97:BG129" si="55">AT97/BC97</f>
        <v>5.9380849168749056E-2</v>
      </c>
      <c r="BH97" s="705">
        <f t="shared" ref="BH97:BH129" si="56">AU97/BC97</f>
        <v>0</v>
      </c>
      <c r="BI97" s="705">
        <f t="shared" ref="BI97:BI129" si="57">AV97/BC97</f>
        <v>0</v>
      </c>
      <c r="BJ97" s="705">
        <f t="shared" ref="BJ97:BJ129" si="58">AW97/BC97</f>
        <v>0</v>
      </c>
      <c r="BK97" s="705">
        <f t="shared" ref="BK97:BK129" si="59">SUM(AX97:BB97)/BC97</f>
        <v>0.40394949681361447</v>
      </c>
      <c r="BL97" s="705">
        <f t="shared" ref="BL97:BL129" si="60">SUM(BE97:BK97)</f>
        <v>1</v>
      </c>
      <c r="BM97" s="730">
        <f>BM96</f>
        <v>0.29028184578274857</v>
      </c>
      <c r="BN97" s="114">
        <f t="shared" ref="BN97:BS112" si="61">BN96</f>
        <v>0.30317187715157518</v>
      </c>
      <c r="BO97" s="114">
        <f t="shared" si="61"/>
        <v>8.2805443243048754E-2</v>
      </c>
      <c r="BP97" s="114">
        <f t="shared" si="61"/>
        <v>0</v>
      </c>
      <c r="BQ97" s="114">
        <f t="shared" si="61"/>
        <v>0</v>
      </c>
      <c r="BR97" s="114">
        <f t="shared" si="61"/>
        <v>0</v>
      </c>
      <c r="BS97" s="114">
        <f t="shared" si="61"/>
        <v>0.32374083382262742</v>
      </c>
      <c r="BT97" s="604">
        <f>SUM(BM97:BS97)</f>
        <v>0.99999999999999989</v>
      </c>
      <c r="BV97" s="606">
        <f t="shared" si="22"/>
        <v>106.87433565264148</v>
      </c>
      <c r="BW97" s="114">
        <f t="shared" ref="BW97:BW129" si="62">(B97*(AK97-AM97*AK97)+C137*(AC137-AC137*AE137))/(AK97*B97*AM97+AC137*C137*AE137)</f>
        <v>0.32768792027823929</v>
      </c>
      <c r="BX97" s="1503">
        <f t="shared" si="23"/>
        <v>50.172070130067617</v>
      </c>
      <c r="BY97" s="606">
        <f t="shared" si="24"/>
        <v>106.87433565264148</v>
      </c>
      <c r="BZ97" s="114">
        <f t="shared" ref="BZ97:BZ129" si="63">(B177*(AK97-AM97*AK97)+C177*(AC177-AC177*AE177))/(AK97*B177*AM97+AC177*C177*AE177)</f>
        <v>0.32768792027823929</v>
      </c>
      <c r="CA97" s="1503">
        <f t="shared" si="25"/>
        <v>50.172070130067617</v>
      </c>
      <c r="CB97" s="730">
        <f t="shared" si="26"/>
        <v>2.4602355132358533E-2</v>
      </c>
      <c r="CC97" s="604">
        <f t="shared" si="27"/>
        <v>9.1877348210151324E-2</v>
      </c>
      <c r="CD97" s="114">
        <f t="shared" ref="CD97:CD129" si="64">AD97</f>
        <v>2.4602355132358533E-2</v>
      </c>
      <c r="CE97" s="604">
        <f t="shared" ref="CE97:CE129" si="65">U177</f>
        <v>9.1877348210151324E-2</v>
      </c>
      <c r="CG97" s="602">
        <f t="shared" ref="CG97:CG129" si="66">(1-AD97)*Q97</f>
        <v>21.757255074430663</v>
      </c>
      <c r="CH97" s="704">
        <f t="shared" ref="CH97:CH129" si="67">(1-AD97)*R97</f>
        <v>8.5276524293849931</v>
      </c>
      <c r="CI97" s="704">
        <f t="shared" ref="CI97:CI129" si="68">(1-AD97)*S97</f>
        <v>34.989481825179901</v>
      </c>
      <c r="CJ97" s="704">
        <f t="shared" ref="CJ97:CJ129" si="69">(1-AD97)*T97</f>
        <v>49.244917950584238</v>
      </c>
      <c r="CK97" s="704">
        <f t="shared" ref="CK97:CK129" si="70">(1-AD97)*U97</f>
        <v>0.66044866554420945</v>
      </c>
      <c r="CL97" s="704">
        <f t="shared" ref="CL97:CL129" si="71">SUM(CG97:CK97)</f>
        <v>115.179755945124</v>
      </c>
      <c r="CM97" s="727">
        <f t="shared" ref="CM97:CM129" si="72">AH97-CL97</f>
        <v>0</v>
      </c>
    </row>
    <row r="98" spans="1:91">
      <c r="A98" s="127">
        <f>'Input data'!A119</f>
        <v>2019</v>
      </c>
      <c r="B98" s="748">
        <f>'Input data'!B119</f>
        <v>58.365000000000002</v>
      </c>
      <c r="C98" s="236">
        <f>'Input data'!C119</f>
        <v>3179.2899999999995</v>
      </c>
      <c r="D98" s="236">
        <f>'Input data'!D119</f>
        <v>49847473.41597119</v>
      </c>
      <c r="E98" s="1128">
        <f t="shared" ref="E98:E108" si="73">($E$109-$E$96)/($A$109-$A$96)+E97</f>
        <v>0.75867692307692314</v>
      </c>
      <c r="F98" s="640">
        <f t="shared" ref="F98:F108" si="74">($F$109-$F$96)/($A$109-$A$96)+F97</f>
        <v>0.30196923076923077</v>
      </c>
      <c r="G98" s="1129">
        <f>B98*F98*'Input data'!$C$9</f>
        <v>539.43215426439122</v>
      </c>
      <c r="H98" s="608">
        <f>'Input data'!I119</f>
        <v>424.26313389388866</v>
      </c>
      <c r="I98" s="607">
        <f>'Input data'!K119</f>
        <v>24762.117809716812</v>
      </c>
      <c r="J98" s="607">
        <f>J96*0.89</f>
        <v>175.47498560447545</v>
      </c>
      <c r="K98" s="609">
        <f t="shared" ref="K98:K129" si="75">$J$96-J98</f>
        <v>21.687919569092458</v>
      </c>
      <c r="L98" s="483">
        <f t="shared" si="28"/>
        <v>0.59846153846153849</v>
      </c>
      <c r="M98" s="483">
        <f t="shared" si="29"/>
        <v>0.46207692307692311</v>
      </c>
      <c r="N98" s="483">
        <f t="shared" si="30"/>
        <v>0.74092307692307691</v>
      </c>
      <c r="O98" s="483">
        <f t="shared" si="31"/>
        <v>0.81538461538461537</v>
      </c>
      <c r="P98" s="483">
        <f t="shared" si="32"/>
        <v>0.23600000000000002</v>
      </c>
      <c r="Q98" s="602">
        <f t="shared" si="33"/>
        <v>22.655477914798421</v>
      </c>
      <c r="R98" s="608">
        <f t="shared" si="34"/>
        <v>8.9865958972256248</v>
      </c>
      <c r="S98" s="608">
        <f t="shared" si="11"/>
        <v>36.586115723781113</v>
      </c>
      <c r="T98" s="608">
        <f t="shared" si="12"/>
        <v>50.967846222252525</v>
      </c>
      <c r="U98" s="727">
        <f t="shared" si="13"/>
        <v>0.67710709475193609</v>
      </c>
      <c r="V98" s="602">
        <f t="shared" si="14"/>
        <v>119.87314285280962</v>
      </c>
      <c r="W98" s="730">
        <v>0.1</v>
      </c>
      <c r="X98" s="606">
        <f t="shared" si="15"/>
        <v>10.733831990598954</v>
      </c>
      <c r="Y98" s="606">
        <f t="shared" si="16"/>
        <v>14.310271375226616</v>
      </c>
      <c r="Z98" s="607">
        <f t="shared" ref="Z98:Z129" si="76">$J$96-Y98</f>
        <v>182.85263379834129</v>
      </c>
      <c r="AA98" s="623">
        <f t="shared" si="17"/>
        <v>7.3776481938658414</v>
      </c>
      <c r="AB98" s="811">
        <f t="shared" si="35"/>
        <v>4.0347508485998995E-2</v>
      </c>
      <c r="AC98" s="135" t="str">
        <f t="shared" si="36"/>
        <v>Policies met</v>
      </c>
      <c r="AD98" s="1240">
        <f t="shared" si="37"/>
        <v>4.0347508485998995E-2</v>
      </c>
      <c r="AE98" s="135" t="str">
        <f t="shared" si="38"/>
        <v>No</v>
      </c>
      <c r="AF98" s="1293">
        <f t="shared" si="39"/>
        <v>407.14517349880845</v>
      </c>
      <c r="AG98" s="236">
        <f t="shared" si="40"/>
        <v>175.47498560447545</v>
      </c>
      <c r="AH98" s="236">
        <f t="shared" si="18"/>
        <v>115.03656020431252</v>
      </c>
      <c r="AI98" s="748">
        <f t="shared" si="19"/>
        <v>67.178403406271102</v>
      </c>
      <c r="AJ98" s="748">
        <f t="shared" si="20"/>
        <v>49.45522428374943</v>
      </c>
      <c r="AK98" s="236">
        <f t="shared" si="41"/>
        <v>407.1451734988085</v>
      </c>
      <c r="AL98" s="236">
        <f t="shared" si="42"/>
        <v>0</v>
      </c>
      <c r="AM98" s="730">
        <f t="shared" si="43"/>
        <v>0.43098874069052173</v>
      </c>
      <c r="AN98" s="483">
        <f t="shared" si="44"/>
        <v>0.28254432986579214</v>
      </c>
      <c r="AO98" s="483">
        <f t="shared" si="45"/>
        <v>0.16499864858760924</v>
      </c>
      <c r="AP98" s="483">
        <f t="shared" si="46"/>
        <v>0.1214682808560769</v>
      </c>
      <c r="AQ98" s="483">
        <f t="shared" si="47"/>
        <v>1</v>
      </c>
      <c r="AR98" s="834">
        <f t="shared" ref="AR98:AR129" si="77">($AR$96-0.5*X98)*(1-AD98)</f>
        <v>40.261971562155317</v>
      </c>
      <c r="AS98" s="835">
        <f t="shared" ref="AS98:AS129" si="78">($AS$96-0.5*X98)*(1-AD98)</f>
        <v>52.444765957283437</v>
      </c>
      <c r="AT98" s="835">
        <f t="shared" ref="AT98:AT129" si="79">($AT$96-(Q98-$Q$96))*(1-AD98)</f>
        <v>10.49224620408155</v>
      </c>
      <c r="AU98" s="835">
        <f t="shared" si="48"/>
        <v>0</v>
      </c>
      <c r="AV98" s="835">
        <f t="shared" si="49"/>
        <v>0</v>
      </c>
      <c r="AW98" s="835">
        <f t="shared" si="50"/>
        <v>0</v>
      </c>
      <c r="AX98" s="1228">
        <f t="shared" si="21"/>
        <v>47.513208366956128</v>
      </c>
      <c r="AY98" s="835">
        <f t="shared" ref="AY98:AY129" si="80">($AY$96-(R98-$R$96))*(1-AD98)</f>
        <v>6.401301495853633</v>
      </c>
      <c r="AZ98" s="835">
        <f t="shared" ref="AZ98:AZ129" si="81">($AZ$96-(S98-$S$96))*(1-AD98)</f>
        <v>8.6139593820344391</v>
      </c>
      <c r="BA98" s="835">
        <f t="shared" ref="BA98:BA129" si="82">($BA$96-(T98-$T$96))*(1-AD98)</f>
        <v>7.8543381775509449</v>
      </c>
      <c r="BB98" s="835">
        <f t="shared" ref="BB98:BB129" si="83">($BB$96-(U98-$U$96))*(1-AD98)</f>
        <v>1.8931944585599367</v>
      </c>
      <c r="BC98" s="608">
        <f t="shared" si="51"/>
        <v>175.47498560447539</v>
      </c>
      <c r="BD98" s="840">
        <f t="shared" si="52"/>
        <v>0</v>
      </c>
      <c r="BE98" s="760">
        <f t="shared" si="53"/>
        <v>0.22944564675962828</v>
      </c>
      <c r="BF98" s="705">
        <f t="shared" si="54"/>
        <v>0.29887317429673499</v>
      </c>
      <c r="BG98" s="705">
        <f t="shared" si="55"/>
        <v>5.9793401138845577E-2</v>
      </c>
      <c r="BH98" s="705">
        <f t="shared" si="56"/>
        <v>0</v>
      </c>
      <c r="BI98" s="705">
        <f t="shared" si="57"/>
        <v>0</v>
      </c>
      <c r="BJ98" s="705">
        <f t="shared" si="58"/>
        <v>0</v>
      </c>
      <c r="BK98" s="705">
        <f t="shared" si="59"/>
        <v>0.41188777780479113</v>
      </c>
      <c r="BL98" s="705">
        <f t="shared" si="60"/>
        <v>1</v>
      </c>
      <c r="BM98" s="730">
        <f t="shared" ref="BM98:BS113" si="84">BM97</f>
        <v>0.29028184578274857</v>
      </c>
      <c r="BN98" s="114">
        <f t="shared" si="61"/>
        <v>0.30317187715157518</v>
      </c>
      <c r="BO98" s="114">
        <f t="shared" si="61"/>
        <v>8.2805443243048754E-2</v>
      </c>
      <c r="BP98" s="114">
        <f t="shared" si="61"/>
        <v>0</v>
      </c>
      <c r="BQ98" s="114">
        <f t="shared" si="61"/>
        <v>0</v>
      </c>
      <c r="BR98" s="114">
        <f t="shared" si="61"/>
        <v>0</v>
      </c>
      <c r="BS98" s="114">
        <f t="shared" si="61"/>
        <v>0.32374083382262742</v>
      </c>
      <c r="BT98" s="604">
        <f t="shared" ref="BT98:BT129" si="85">SUM(BM98:BS98)</f>
        <v>0.99999999999999989</v>
      </c>
      <c r="BV98" s="606">
        <f t="shared" si="22"/>
        <v>104.89781834296268</v>
      </c>
      <c r="BW98" s="114">
        <f t="shared" si="62"/>
        <v>0.3632761773919651</v>
      </c>
      <c r="BX98" s="1503">
        <f t="shared" si="23"/>
        <v>49.847473415971187</v>
      </c>
      <c r="BY98" s="606">
        <f t="shared" si="24"/>
        <v>104.82268381700432</v>
      </c>
      <c r="BZ98" s="114">
        <f t="shared" si="63"/>
        <v>0.36229971180901283</v>
      </c>
      <c r="CA98" s="1503">
        <f t="shared" si="25"/>
        <v>50.172070130067617</v>
      </c>
      <c r="CB98" s="730">
        <f t="shared" si="26"/>
        <v>4.0347508485998995E-2</v>
      </c>
      <c r="CC98" s="604">
        <f t="shared" si="27"/>
        <v>0.14461792283129168</v>
      </c>
      <c r="CD98" s="114">
        <f t="shared" si="64"/>
        <v>4.0347508485998995E-2</v>
      </c>
      <c r="CE98" s="604">
        <f t="shared" si="65"/>
        <v>0.15554640672095663</v>
      </c>
      <c r="CG98" s="602">
        <f t="shared" si="66"/>
        <v>21.741385827376728</v>
      </c>
      <c r="CH98" s="704">
        <f t="shared" si="67"/>
        <v>8.6240091430020698</v>
      </c>
      <c r="CI98" s="704">
        <f t="shared" si="68"/>
        <v>35.109957109146116</v>
      </c>
      <c r="CJ98" s="704">
        <f t="shared" si="69"/>
        <v>48.911420614287103</v>
      </c>
      <c r="CK98" s="704">
        <f t="shared" si="70"/>
        <v>0.64978751050050221</v>
      </c>
      <c r="CL98" s="704">
        <f t="shared" si="71"/>
        <v>115.03656020431252</v>
      </c>
      <c r="CM98" s="727">
        <f t="shared" si="72"/>
        <v>0</v>
      </c>
    </row>
    <row r="99" spans="1:91">
      <c r="A99" s="127">
        <f>'Input data'!A120</f>
        <v>2020</v>
      </c>
      <c r="B99" s="748">
        <f>'Input data'!B120</f>
        <v>59.308999999999997</v>
      </c>
      <c r="C99" s="236">
        <f>'Input data'!C120</f>
        <v>2948.9199999999987</v>
      </c>
      <c r="D99" s="236">
        <f>'Input data'!D120</f>
        <v>47586944.933914557</v>
      </c>
      <c r="E99" s="1128">
        <f t="shared" si="73"/>
        <v>0.78061538461538471</v>
      </c>
      <c r="F99" s="640">
        <f t="shared" si="74"/>
        <v>0.30815384615384617</v>
      </c>
      <c r="G99" s="1129">
        <f>B99*F99*'Input data'!$C$9</f>
        <v>559.38374453121867</v>
      </c>
      <c r="H99" s="608">
        <f>'Input data'!I120</f>
        <v>424.26313389388866</v>
      </c>
      <c r="I99" s="607">
        <f>'Input data'!K120</f>
        <v>25162.622208112643</v>
      </c>
      <c r="J99" s="607">
        <f>J96*0.81</f>
        <v>159.70195319059002</v>
      </c>
      <c r="K99" s="609">
        <f t="shared" si="75"/>
        <v>37.460951982977889</v>
      </c>
      <c r="L99" s="483">
        <f t="shared" si="28"/>
        <v>0.60769230769230775</v>
      </c>
      <c r="M99" s="483">
        <f t="shared" si="29"/>
        <v>0.47461538461538466</v>
      </c>
      <c r="N99" s="483">
        <f t="shared" si="30"/>
        <v>0.75538461538461532</v>
      </c>
      <c r="O99" s="483">
        <f t="shared" si="31"/>
        <v>0.82307692307692304</v>
      </c>
      <c r="P99" s="483">
        <f t="shared" si="32"/>
        <v>0.23600000000000002</v>
      </c>
      <c r="Q99" s="602">
        <f t="shared" si="33"/>
        <v>23.004919733535672</v>
      </c>
      <c r="R99" s="608">
        <f t="shared" si="34"/>
        <v>9.2304472591779767</v>
      </c>
      <c r="S99" s="608">
        <f t="shared" si="11"/>
        <v>37.300213497459566</v>
      </c>
      <c r="T99" s="608">
        <f t="shared" si="12"/>
        <v>51.448674960198304</v>
      </c>
      <c r="U99" s="727">
        <f t="shared" si="13"/>
        <v>0.67710709475193609</v>
      </c>
      <c r="V99" s="602">
        <f t="shared" si="14"/>
        <v>121.66136254512345</v>
      </c>
      <c r="W99" s="730">
        <f>($N$141-$N$136)/($A$101-$A$96)+W98</f>
        <v>0.2</v>
      </c>
      <c r="X99" s="606">
        <f t="shared" si="15"/>
        <v>21.467663981197909</v>
      </c>
      <c r="Y99" s="606">
        <f t="shared" si="16"/>
        <v>26.832323058139401</v>
      </c>
      <c r="Z99" s="607">
        <f t="shared" si="76"/>
        <v>170.33058211542851</v>
      </c>
      <c r="AA99" s="623">
        <f t="shared" si="17"/>
        <v>10.628628924838488</v>
      </c>
      <c r="AB99" s="811">
        <f t="shared" si="35"/>
        <v>6.2400003527468412E-2</v>
      </c>
      <c r="AC99" s="135" t="str">
        <f t="shared" si="36"/>
        <v>Policies met</v>
      </c>
      <c r="AD99" s="1240">
        <f t="shared" si="37"/>
        <v>6.2400003527468412E-2</v>
      </c>
      <c r="AE99" s="135" t="str">
        <f t="shared" si="38"/>
        <v>No</v>
      </c>
      <c r="AF99" s="1293">
        <f t="shared" si="39"/>
        <v>397.78911284233521</v>
      </c>
      <c r="AG99" s="236">
        <f t="shared" si="40"/>
        <v>159.70195319059002</v>
      </c>
      <c r="AH99" s="236">
        <f t="shared" si="18"/>
        <v>114.06969309315113</v>
      </c>
      <c r="AI99" s="748">
        <f t="shared" si="19"/>
        <v>75.698706878371638</v>
      </c>
      <c r="AJ99" s="748">
        <f t="shared" si="20"/>
        <v>48.318759680222442</v>
      </c>
      <c r="AK99" s="236">
        <f t="shared" si="41"/>
        <v>397.78911284233521</v>
      </c>
      <c r="AL99" s="236">
        <f t="shared" si="42"/>
        <v>0</v>
      </c>
      <c r="AM99" s="730">
        <f t="shared" si="43"/>
        <v>0.40147391679341488</v>
      </c>
      <c r="AN99" s="483">
        <f t="shared" si="44"/>
        <v>0.28675921338843419</v>
      </c>
      <c r="AO99" s="483">
        <f t="shared" si="45"/>
        <v>0.19029858896207405</v>
      </c>
      <c r="AP99" s="483">
        <f t="shared" si="46"/>
        <v>0.1214682808560769</v>
      </c>
      <c r="AQ99" s="483">
        <f t="shared" si="47"/>
        <v>1</v>
      </c>
      <c r="AR99" s="834">
        <f t="shared" si="77"/>
        <v>34.304744429916425</v>
      </c>
      <c r="AS99" s="835">
        <f t="shared" si="78"/>
        <v>46.207582262262164</v>
      </c>
      <c r="AT99" s="835">
        <f t="shared" si="79"/>
        <v>9.9235012283793758</v>
      </c>
      <c r="AU99" s="835">
        <f t="shared" si="48"/>
        <v>0</v>
      </c>
      <c r="AV99" s="835">
        <f t="shared" si="49"/>
        <v>0</v>
      </c>
      <c r="AW99" s="835">
        <f t="shared" si="50"/>
        <v>0</v>
      </c>
      <c r="AX99" s="1228">
        <f t="shared" si="21"/>
        <v>46.421370643215567</v>
      </c>
      <c r="AY99" s="835">
        <f t="shared" si="80"/>
        <v>6.0255666806662624</v>
      </c>
      <c r="AZ99" s="835">
        <f t="shared" si="81"/>
        <v>7.7464753906533605</v>
      </c>
      <c r="BA99" s="835">
        <f t="shared" si="82"/>
        <v>7.2230230758527876</v>
      </c>
      <c r="BB99" s="835">
        <f t="shared" si="83"/>
        <v>1.8496894796440126</v>
      </c>
      <c r="BC99" s="608">
        <f t="shared" si="51"/>
        <v>159.70195319058993</v>
      </c>
      <c r="BD99" s="840">
        <f t="shared" si="52"/>
        <v>0</v>
      </c>
      <c r="BE99" s="760">
        <f t="shared" si="53"/>
        <v>0.21480478945036316</v>
      </c>
      <c r="BF99" s="705">
        <f t="shared" si="54"/>
        <v>0.28933636276268687</v>
      </c>
      <c r="BG99" s="705">
        <f t="shared" si="55"/>
        <v>6.2137632196248523E-2</v>
      </c>
      <c r="BH99" s="705">
        <f t="shared" si="56"/>
        <v>0</v>
      </c>
      <c r="BI99" s="705">
        <f t="shared" si="57"/>
        <v>0</v>
      </c>
      <c r="BJ99" s="705">
        <f t="shared" si="58"/>
        <v>0</v>
      </c>
      <c r="BK99" s="705">
        <f t="shared" si="59"/>
        <v>0.43372121559070159</v>
      </c>
      <c r="BL99" s="705">
        <f t="shared" si="60"/>
        <v>1.0000000000000002</v>
      </c>
      <c r="BM99" s="730">
        <f t="shared" si="84"/>
        <v>0.29028184578274857</v>
      </c>
      <c r="BN99" s="114">
        <f t="shared" si="61"/>
        <v>0.30317187715157518</v>
      </c>
      <c r="BO99" s="114">
        <f t="shared" si="61"/>
        <v>8.2805443243048754E-2</v>
      </c>
      <c r="BP99" s="114">
        <f t="shared" si="61"/>
        <v>0</v>
      </c>
      <c r="BQ99" s="114">
        <f t="shared" si="61"/>
        <v>0</v>
      </c>
      <c r="BR99" s="114">
        <f t="shared" si="61"/>
        <v>0</v>
      </c>
      <c r="BS99" s="114">
        <f t="shared" si="61"/>
        <v>0.32374083382262742</v>
      </c>
      <c r="BT99" s="604">
        <f t="shared" si="85"/>
        <v>0.99999999999999989</v>
      </c>
      <c r="BV99" s="606">
        <f t="shared" si="22"/>
        <v>93.216144821678014</v>
      </c>
      <c r="BW99" s="114">
        <f t="shared" si="62"/>
        <v>0.41707141135775727</v>
      </c>
      <c r="BX99" s="1503">
        <f t="shared" si="23"/>
        <v>47.586944933914559</v>
      </c>
      <c r="BY99" s="606">
        <f t="shared" si="24"/>
        <v>92.611990824842948</v>
      </c>
      <c r="BZ99" s="114">
        <f t="shared" si="63"/>
        <v>0.40788706503437866</v>
      </c>
      <c r="CA99" s="1503">
        <f t="shared" si="25"/>
        <v>50.172070130067617</v>
      </c>
      <c r="CB99" s="730">
        <f t="shared" si="26"/>
        <v>6.2400003527468412E-2</v>
      </c>
      <c r="CC99" s="604">
        <f t="shared" si="27"/>
        <v>0.35045979433873437</v>
      </c>
      <c r="CD99" s="114">
        <f t="shared" si="64"/>
        <v>6.2400003527468412E-2</v>
      </c>
      <c r="CE99" s="604">
        <f t="shared" si="65"/>
        <v>0.44446491650948011</v>
      </c>
      <c r="CG99" s="602">
        <f t="shared" si="66"/>
        <v>21.569412661013917</v>
      </c>
      <c r="CH99" s="704">
        <f t="shared" si="67"/>
        <v>8.6544673176451603</v>
      </c>
      <c r="CI99" s="704">
        <f t="shared" si="68"/>
        <v>34.972680043642761</v>
      </c>
      <c r="CJ99" s="704">
        <f t="shared" si="69"/>
        <v>48.238277461198351</v>
      </c>
      <c r="CK99" s="704">
        <f t="shared" si="70"/>
        <v>0.63485560965094134</v>
      </c>
      <c r="CL99" s="704">
        <f t="shared" si="71"/>
        <v>114.06969309315113</v>
      </c>
      <c r="CM99" s="727">
        <f t="shared" si="72"/>
        <v>0</v>
      </c>
    </row>
    <row r="100" spans="1:91">
      <c r="A100" s="127">
        <f>'Input data'!A121</f>
        <v>2021</v>
      </c>
      <c r="B100" s="748">
        <f>'Input data'!B121</f>
        <v>59.991999999999997</v>
      </c>
      <c r="C100" s="236">
        <f>'Input data'!C121</f>
        <v>3014.38</v>
      </c>
      <c r="D100" s="236">
        <f>'Input data'!D121</f>
        <v>47328556.831579238</v>
      </c>
      <c r="E100" s="1128">
        <f t="shared" si="73"/>
        <v>0.80255384615384628</v>
      </c>
      <c r="F100" s="640">
        <f t="shared" si="74"/>
        <v>0.31433846153846157</v>
      </c>
      <c r="G100" s="1129">
        <f>B100*F100*'Input data'!$C$9</f>
        <v>577.18164484407419</v>
      </c>
      <c r="H100" s="608">
        <f>'Input data'!I121</f>
        <v>424.26313389388866</v>
      </c>
      <c r="I100" s="607">
        <f>'Input data'!K121</f>
        <v>25452.393928562167</v>
      </c>
      <c r="J100" s="607">
        <f>J96*0.65</f>
        <v>128.15588836281916</v>
      </c>
      <c r="K100" s="609">
        <f t="shared" si="75"/>
        <v>69.007016810748752</v>
      </c>
      <c r="L100" s="483">
        <f t="shared" si="28"/>
        <v>0.61692307692307702</v>
      </c>
      <c r="M100" s="483">
        <f t="shared" si="29"/>
        <v>0.48715384615384622</v>
      </c>
      <c r="N100" s="483">
        <f t="shared" si="30"/>
        <v>0.76984615384615374</v>
      </c>
      <c r="O100" s="483">
        <f t="shared" si="31"/>
        <v>0.8307692307692307</v>
      </c>
      <c r="P100" s="483">
        <f t="shared" si="32"/>
        <v>0.23600000000000002</v>
      </c>
      <c r="Q100" s="602">
        <f t="shared" si="33"/>
        <v>23.354361552272923</v>
      </c>
      <c r="R100" s="608">
        <f t="shared" si="34"/>
        <v>9.4742986211303286</v>
      </c>
      <c r="S100" s="608">
        <f t="shared" si="11"/>
        <v>38.014311271138013</v>
      </c>
      <c r="T100" s="608">
        <f t="shared" si="12"/>
        <v>51.929503698144082</v>
      </c>
      <c r="U100" s="727">
        <f t="shared" si="13"/>
        <v>0.67710709475193609</v>
      </c>
      <c r="V100" s="602">
        <f t="shared" si="14"/>
        <v>123.44958223743728</v>
      </c>
      <c r="W100" s="730">
        <v>0.4</v>
      </c>
      <c r="X100" s="606">
        <f t="shared" si="15"/>
        <v>42.935327962395817</v>
      </c>
      <c r="Y100" s="606">
        <f t="shared" si="16"/>
        <v>50.088206731651141</v>
      </c>
      <c r="Z100" s="607">
        <f t="shared" si="76"/>
        <v>147.07469844191678</v>
      </c>
      <c r="AA100" s="623">
        <f t="shared" si="17"/>
        <v>18.918810079097611</v>
      </c>
      <c r="AB100" s="811">
        <f t="shared" si="35"/>
        <v>0.12863402257166001</v>
      </c>
      <c r="AC100" s="135" t="str">
        <f t="shared" si="36"/>
        <v>Policies met</v>
      </c>
      <c r="AD100" s="1240">
        <f t="shared" si="37"/>
        <v>0.12863402257166001</v>
      </c>
      <c r="AE100" s="135" t="str">
        <f t="shared" si="38"/>
        <v>No</v>
      </c>
      <c r="AF100" s="1293">
        <f t="shared" si="39"/>
        <v>369.68846035225897</v>
      </c>
      <c r="AG100" s="236">
        <f t="shared" si="40"/>
        <v>128.15588836281916</v>
      </c>
      <c r="AH100" s="236">
        <f t="shared" si="18"/>
        <v>107.56976588944478</v>
      </c>
      <c r="AI100" s="748">
        <f t="shared" si="19"/>
        <v>89.057384368676239</v>
      </c>
      <c r="AJ100" s="748">
        <f t="shared" si="20"/>
        <v>44.905421731318846</v>
      </c>
      <c r="AK100" s="236">
        <f t="shared" si="41"/>
        <v>369.68846035225903</v>
      </c>
      <c r="AL100" s="236">
        <f t="shared" si="42"/>
        <v>0</v>
      </c>
      <c r="AM100" s="730">
        <f t="shared" si="43"/>
        <v>0.34665915252184321</v>
      </c>
      <c r="AN100" s="483">
        <f t="shared" si="44"/>
        <v>0.29097409691107623</v>
      </c>
      <c r="AO100" s="483">
        <f t="shared" si="45"/>
        <v>0.24089846971100362</v>
      </c>
      <c r="AP100" s="483">
        <f t="shared" si="46"/>
        <v>0.12146828085607689</v>
      </c>
      <c r="AQ100" s="483">
        <f t="shared" si="47"/>
        <v>0.99999999999999989</v>
      </c>
      <c r="AR100" s="834">
        <f t="shared" si="77"/>
        <v>22.528289739415904</v>
      </c>
      <c r="AS100" s="835">
        <f t="shared" si="78"/>
        <v>33.590286284823129</v>
      </c>
      <c r="AT100" s="835">
        <f t="shared" si="79"/>
        <v>8.917992694962436</v>
      </c>
      <c r="AU100" s="835">
        <f t="shared" si="48"/>
        <v>0</v>
      </c>
      <c r="AV100" s="835">
        <f t="shared" si="49"/>
        <v>0</v>
      </c>
      <c r="AW100" s="835">
        <f t="shared" si="50"/>
        <v>0</v>
      </c>
      <c r="AX100" s="1228">
        <f t="shared" si="21"/>
        <v>43.142068212746437</v>
      </c>
      <c r="AY100" s="835">
        <f t="shared" si="80"/>
        <v>5.3874243041288334</v>
      </c>
      <c r="AZ100" s="835">
        <f t="shared" si="81"/>
        <v>6.5770077098325386</v>
      </c>
      <c r="BA100" s="835">
        <f t="shared" si="82"/>
        <v>6.2937958594943701</v>
      </c>
      <c r="BB100" s="835">
        <f t="shared" si="83"/>
        <v>1.719023557415448</v>
      </c>
      <c r="BC100" s="608">
        <f t="shared" si="51"/>
        <v>128.1558883628191</v>
      </c>
      <c r="BD100" s="840">
        <f t="shared" si="52"/>
        <v>0</v>
      </c>
      <c r="BE100" s="760">
        <f t="shared" si="53"/>
        <v>0.17578817506720093</v>
      </c>
      <c r="BF100" s="705">
        <f t="shared" si="54"/>
        <v>0.26210489985233038</v>
      </c>
      <c r="BG100" s="705">
        <f t="shared" si="55"/>
        <v>6.9587069380026595E-2</v>
      </c>
      <c r="BH100" s="705">
        <f t="shared" si="56"/>
        <v>0</v>
      </c>
      <c r="BI100" s="705">
        <f t="shared" si="57"/>
        <v>0</v>
      </c>
      <c r="BJ100" s="705">
        <f t="shared" si="58"/>
        <v>0</v>
      </c>
      <c r="BK100" s="705">
        <f t="shared" si="59"/>
        <v>0.49251985570044204</v>
      </c>
      <c r="BL100" s="705">
        <f t="shared" si="60"/>
        <v>1</v>
      </c>
      <c r="BM100" s="730">
        <f t="shared" si="84"/>
        <v>0.29028184578274857</v>
      </c>
      <c r="BN100" s="114">
        <f t="shared" si="61"/>
        <v>0.30317187715157518</v>
      </c>
      <c r="BO100" s="114">
        <f t="shared" si="61"/>
        <v>8.2805443243048754E-2</v>
      </c>
      <c r="BP100" s="114">
        <f t="shared" si="61"/>
        <v>0</v>
      </c>
      <c r="BQ100" s="114">
        <f t="shared" si="61"/>
        <v>0</v>
      </c>
      <c r="BR100" s="114">
        <f t="shared" si="61"/>
        <v>0</v>
      </c>
      <c r="BS100" s="114">
        <f t="shared" si="61"/>
        <v>0.32374083382262742</v>
      </c>
      <c r="BT100" s="604">
        <f t="shared" si="85"/>
        <v>0.99999999999999989</v>
      </c>
      <c r="BV100" s="606">
        <f t="shared" si="22"/>
        <v>79.778034372349481</v>
      </c>
      <c r="BW100" s="114">
        <f t="shared" si="62"/>
        <v>0.48072550668143788</v>
      </c>
      <c r="BX100" s="1503">
        <f t="shared" si="23"/>
        <v>47.328556831579235</v>
      </c>
      <c r="BY100" s="606">
        <f t="shared" si="24"/>
        <v>78.986036872534569</v>
      </c>
      <c r="BZ100" s="114">
        <f t="shared" si="63"/>
        <v>0.46602558447314762</v>
      </c>
      <c r="CA100" s="1503">
        <f t="shared" si="25"/>
        <v>50.172070130067617</v>
      </c>
      <c r="CB100" s="730">
        <f t="shared" si="26"/>
        <v>0.12863402257166001</v>
      </c>
      <c r="CC100" s="604">
        <f t="shared" si="27"/>
        <v>0.70382930313734093</v>
      </c>
      <c r="CD100" s="114">
        <f t="shared" si="64"/>
        <v>0.12863402257166001</v>
      </c>
      <c r="CE100" s="604">
        <f t="shared" si="65"/>
        <v>0.80866022595516929</v>
      </c>
      <c r="CG100" s="602">
        <f t="shared" si="66"/>
        <v>20.350196081211138</v>
      </c>
      <c r="CH100" s="704">
        <f t="shared" si="67"/>
        <v>8.2555814784492032</v>
      </c>
      <c r="CI100" s="704">
        <f t="shared" si="68"/>
        <v>33.124377497040335</v>
      </c>
      <c r="CJ100" s="704">
        <f t="shared" si="69"/>
        <v>45.249602747301914</v>
      </c>
      <c r="CK100" s="704">
        <f t="shared" si="70"/>
        <v>0.59000808544218442</v>
      </c>
      <c r="CL100" s="704">
        <f t="shared" si="71"/>
        <v>107.56976588944477</v>
      </c>
      <c r="CM100" s="727">
        <f t="shared" si="72"/>
        <v>0</v>
      </c>
    </row>
    <row r="101" spans="1:91" s="530" customFormat="1">
      <c r="A101" s="1083">
        <f>'Input data'!A122</f>
        <v>2022</v>
      </c>
      <c r="B101" s="1223">
        <f>'Input data'!B122</f>
        <v>60.682000000000002</v>
      </c>
      <c r="C101" s="1224">
        <f>'Input data'!C122</f>
        <v>3077.2</v>
      </c>
      <c r="D101" s="1224">
        <f>'Input data'!D122</f>
        <v>45903210.392984279</v>
      </c>
      <c r="E101" s="1128">
        <f t="shared" si="73"/>
        <v>0.82449230769230786</v>
      </c>
      <c r="F101" s="640">
        <f t="shared" si="74"/>
        <v>0.32052307692307697</v>
      </c>
      <c r="G101" s="1130">
        <f>B101*F101*'Input data'!$C$9</f>
        <v>595.30679115833243</v>
      </c>
      <c r="H101" s="1225">
        <f>'Input data'!I122</f>
        <v>424.26313389388866</v>
      </c>
      <c r="I101" s="1063">
        <f>'Input data'!K122</f>
        <v>25745.135490948953</v>
      </c>
      <c r="J101" s="835">
        <f>J96*(1-$G$4)</f>
        <v>98.581452586783954</v>
      </c>
      <c r="K101" s="1129">
        <f t="shared" si="75"/>
        <v>98.581452586783954</v>
      </c>
      <c r="L101" s="483">
        <f t="shared" si="28"/>
        <v>0.62615384615384628</v>
      </c>
      <c r="M101" s="483">
        <f t="shared" si="29"/>
        <v>0.49969230769230777</v>
      </c>
      <c r="N101" s="483">
        <f t="shared" si="30"/>
        <v>0.78430769230769215</v>
      </c>
      <c r="O101" s="483">
        <f t="shared" si="31"/>
        <v>0.83846153846153837</v>
      </c>
      <c r="P101" s="640">
        <f t="shared" si="32"/>
        <v>0.23600000000000002</v>
      </c>
      <c r="Q101" s="602">
        <f t="shared" si="33"/>
        <v>23.703803371010174</v>
      </c>
      <c r="R101" s="608">
        <f t="shared" si="34"/>
        <v>9.7181499830826805</v>
      </c>
      <c r="S101" s="608">
        <f t="shared" si="11"/>
        <v>38.728409044816466</v>
      </c>
      <c r="T101" s="608">
        <f t="shared" si="12"/>
        <v>52.41033243608986</v>
      </c>
      <c r="U101" s="1226">
        <f t="shared" si="13"/>
        <v>0.67710709475193609</v>
      </c>
      <c r="V101" s="834">
        <f t="shared" si="14"/>
        <v>125.23780192975111</v>
      </c>
      <c r="W101" s="1131">
        <f>$G$26</f>
        <v>0.5</v>
      </c>
      <c r="X101" s="1227">
        <f t="shared" si="15"/>
        <v>53.669159952994768</v>
      </c>
      <c r="Y101" s="1227">
        <f t="shared" si="16"/>
        <v>62.610258414563923</v>
      </c>
      <c r="Z101" s="1062">
        <f t="shared" si="76"/>
        <v>134.55264675900398</v>
      </c>
      <c r="AA101" s="1228">
        <f t="shared" si="17"/>
        <v>35.971194172220031</v>
      </c>
      <c r="AB101" s="1229">
        <f t="shared" si="35"/>
        <v>0.26733917941166707</v>
      </c>
      <c r="AC101" s="135" t="str">
        <f t="shared" si="36"/>
        <v>Policies met</v>
      </c>
      <c r="AD101" s="1240">
        <f t="shared" si="37"/>
        <v>0.26733917941166707</v>
      </c>
      <c r="AE101" s="135" t="str">
        <f t="shared" si="38"/>
        <v>No</v>
      </c>
      <c r="AF101" s="1293">
        <f t="shared" si="39"/>
        <v>310.84097582407423</v>
      </c>
      <c r="AG101" s="236">
        <f t="shared" si="40"/>
        <v>98.581452586783939</v>
      </c>
      <c r="AH101" s="1232">
        <f t="shared" si="18"/>
        <v>91.756830730530552</v>
      </c>
      <c r="AI101" s="1231">
        <f t="shared" si="19"/>
        <v>82.745373553784091</v>
      </c>
      <c r="AJ101" s="1231">
        <f t="shared" si="20"/>
        <v>37.757318952975666</v>
      </c>
      <c r="AK101" s="1232">
        <f t="shared" si="41"/>
        <v>310.84097582407423</v>
      </c>
      <c r="AL101" s="1232">
        <f t="shared" si="42"/>
        <v>0</v>
      </c>
      <c r="AM101" s="1128">
        <f t="shared" si="43"/>
        <v>0.3171443286247364</v>
      </c>
      <c r="AN101" s="640">
        <f t="shared" si="44"/>
        <v>0.29518898043371827</v>
      </c>
      <c r="AO101" s="640">
        <f t="shared" si="45"/>
        <v>0.26619841008546841</v>
      </c>
      <c r="AP101" s="640">
        <f t="shared" si="46"/>
        <v>0.12146828085607693</v>
      </c>
      <c r="AQ101" s="640">
        <f t="shared" si="47"/>
        <v>1</v>
      </c>
      <c r="AR101" s="834">
        <f t="shared" si="77"/>
        <v>15.010078530782616</v>
      </c>
      <c r="AS101" s="835">
        <f t="shared" si="78"/>
        <v>24.311212240665014</v>
      </c>
      <c r="AT101" s="835">
        <f t="shared" si="79"/>
        <v>7.2423928198181802</v>
      </c>
      <c r="AU101" s="835">
        <f t="shared" si="48"/>
        <v>0</v>
      </c>
      <c r="AV101" s="835">
        <f t="shared" si="49"/>
        <v>0</v>
      </c>
      <c r="AW101" s="835">
        <f t="shared" si="50"/>
        <v>0</v>
      </c>
      <c r="AX101" s="1228">
        <f t="shared" si="21"/>
        <v>36.274658315114308</v>
      </c>
      <c r="AY101" s="835">
        <f t="shared" si="80"/>
        <v>4.351186836366784</v>
      </c>
      <c r="AZ101" s="835">
        <f t="shared" si="81"/>
        <v>5.0068797038846808</v>
      </c>
      <c r="BA101" s="835">
        <f t="shared" si="82"/>
        <v>4.9396569632238352</v>
      </c>
      <c r="BB101" s="835">
        <f t="shared" si="83"/>
        <v>1.4453871769284841</v>
      </c>
      <c r="BC101" s="608">
        <f t="shared" si="51"/>
        <v>98.581452586783897</v>
      </c>
      <c r="BD101" s="1230">
        <f t="shared" si="52"/>
        <v>0</v>
      </c>
      <c r="BE101" s="760">
        <f t="shared" si="53"/>
        <v>0.15226067517689335</v>
      </c>
      <c r="BF101" s="705">
        <f t="shared" si="54"/>
        <v>0.24661040796962494</v>
      </c>
      <c r="BG101" s="705">
        <f t="shared" si="55"/>
        <v>7.3466079366628398E-2</v>
      </c>
      <c r="BH101" s="705">
        <f t="shared" si="56"/>
        <v>0</v>
      </c>
      <c r="BI101" s="705">
        <f t="shared" si="57"/>
        <v>0</v>
      </c>
      <c r="BJ101" s="705">
        <f t="shared" si="58"/>
        <v>0</v>
      </c>
      <c r="BK101" s="705">
        <f t="shared" si="59"/>
        <v>0.52766283748685339</v>
      </c>
      <c r="BL101" s="705">
        <f t="shared" si="60"/>
        <v>1</v>
      </c>
      <c r="BM101" s="730">
        <f t="shared" si="84"/>
        <v>0.29028184578274857</v>
      </c>
      <c r="BN101" s="114">
        <f t="shared" si="61"/>
        <v>0.30317187715157518</v>
      </c>
      <c r="BO101" s="114">
        <f t="shared" si="61"/>
        <v>8.2805443243048754E-2</v>
      </c>
      <c r="BP101" s="114">
        <f t="shared" si="61"/>
        <v>0</v>
      </c>
      <c r="BQ101" s="114">
        <f t="shared" si="61"/>
        <v>0</v>
      </c>
      <c r="BR101" s="114">
        <f t="shared" si="61"/>
        <v>0</v>
      </c>
      <c r="BS101" s="114">
        <f t="shared" si="61"/>
        <v>0.32374083382262742</v>
      </c>
      <c r="BT101" s="604">
        <f t="shared" si="85"/>
        <v>0.99999999999999989</v>
      </c>
      <c r="BU101" s="1"/>
      <c r="BV101" s="606">
        <f t="shared" si="22"/>
        <v>70.076035320428332</v>
      </c>
      <c r="BW101" s="114">
        <f t="shared" si="62"/>
        <v>0.50925010089574485</v>
      </c>
      <c r="BX101" s="1503">
        <f t="shared" si="23"/>
        <v>45.903210392984278</v>
      </c>
      <c r="BY101" s="606">
        <f t="shared" si="24"/>
        <v>74.344895057511636</v>
      </c>
      <c r="BZ101" s="114">
        <f t="shared" si="63"/>
        <v>0.49043154049270299</v>
      </c>
      <c r="CA101" s="1503">
        <f t="shared" si="25"/>
        <v>50.172070130067617</v>
      </c>
      <c r="CB101" s="730">
        <f t="shared" si="26"/>
        <v>0.26733917941166707</v>
      </c>
      <c r="CC101" s="604">
        <f t="shared" si="27"/>
        <v>0.85</v>
      </c>
      <c r="CD101" s="114">
        <f t="shared" si="64"/>
        <v>0.26733917941166707</v>
      </c>
      <c r="CE101" s="604">
        <f t="shared" si="65"/>
        <v>0.85</v>
      </c>
      <c r="CF101" s="1"/>
      <c r="CG101" s="602">
        <f t="shared" si="66"/>
        <v>17.366848028868805</v>
      </c>
      <c r="CH101" s="704">
        <f t="shared" si="67"/>
        <v>7.1201077412058504</v>
      </c>
      <c r="CI101" s="704">
        <f t="shared" si="68"/>
        <v>28.374787950855847</v>
      </c>
      <c r="CJ101" s="704">
        <f t="shared" si="69"/>
        <v>38.398997169932919</v>
      </c>
      <c r="CK101" s="704">
        <f t="shared" si="70"/>
        <v>0.4960898396671356</v>
      </c>
      <c r="CL101" s="704">
        <f t="shared" si="71"/>
        <v>91.756830730530552</v>
      </c>
      <c r="CM101" s="727">
        <f t="shared" si="72"/>
        <v>0</v>
      </c>
    </row>
    <row r="102" spans="1:91" s="4" customFormat="1">
      <c r="A102" s="100">
        <f>'Input data'!A123</f>
        <v>2023</v>
      </c>
      <c r="B102" s="1231">
        <f>'Input data'!B123</f>
        <v>61.381</v>
      </c>
      <c r="C102" s="1232">
        <f>'Input data'!C123</f>
        <v>3140.61</v>
      </c>
      <c r="D102" s="1232">
        <f>'Input data'!D123</f>
        <v>44745286.877069645</v>
      </c>
      <c r="E102" s="1128">
        <f t="shared" si="73"/>
        <v>0.84643076923076943</v>
      </c>
      <c r="F102" s="640">
        <f t="shared" si="74"/>
        <v>0.32670769230769237</v>
      </c>
      <c r="G102" s="1129">
        <f>B102*F102*'Input data'!$C$9</f>
        <v>613.78315775045917</v>
      </c>
      <c r="H102" s="835">
        <f>'Input data'!I123</f>
        <v>424.26313389388866</v>
      </c>
      <c r="I102" s="1062">
        <f>'Input data'!K123</f>
        <v>26041.695421540779</v>
      </c>
      <c r="J102" s="835">
        <f>($J$106-$J$101)/($A$106-$A$101)+J101</f>
        <v>92.666565431576913</v>
      </c>
      <c r="K102" s="1129">
        <f t="shared" si="75"/>
        <v>104.49633974199099</v>
      </c>
      <c r="L102" s="483">
        <f t="shared" si="28"/>
        <v>0.63538461538461555</v>
      </c>
      <c r="M102" s="483">
        <f t="shared" si="29"/>
        <v>0.51223076923076927</v>
      </c>
      <c r="N102" s="483">
        <f t="shared" si="30"/>
        <v>0.79876923076923056</v>
      </c>
      <c r="O102" s="483">
        <f t="shared" si="31"/>
        <v>0.84615384615384603</v>
      </c>
      <c r="P102" s="640">
        <f t="shared" si="32"/>
        <v>0.23600000000000002</v>
      </c>
      <c r="Q102" s="602">
        <f t="shared" si="33"/>
        <v>24.053245189747429</v>
      </c>
      <c r="R102" s="608">
        <f t="shared" si="34"/>
        <v>9.9620013450350307</v>
      </c>
      <c r="S102" s="608">
        <f t="shared" si="11"/>
        <v>39.442506818494913</v>
      </c>
      <c r="T102" s="608">
        <f t="shared" si="12"/>
        <v>52.891161174035638</v>
      </c>
      <c r="U102" s="1226">
        <f t="shared" si="13"/>
        <v>0.67710709475193609</v>
      </c>
      <c r="V102" s="834">
        <f t="shared" si="14"/>
        <v>127.02602162206495</v>
      </c>
      <c r="W102" s="1128">
        <f>($W$106-$W$101)/($A$106-$A$101)+W101</f>
        <v>0.5</v>
      </c>
      <c r="X102" s="1227">
        <f t="shared" si="15"/>
        <v>53.669159952994768</v>
      </c>
      <c r="Y102" s="1227">
        <f t="shared" si="16"/>
        <v>64.398478106877747</v>
      </c>
      <c r="Z102" s="1062">
        <f t="shared" si="76"/>
        <v>132.76442706669016</v>
      </c>
      <c r="AA102" s="1228">
        <f t="shared" si="17"/>
        <v>40.097861635113247</v>
      </c>
      <c r="AB102" s="1229">
        <f t="shared" si="35"/>
        <v>0.30202263152140379</v>
      </c>
      <c r="AC102" s="135" t="str">
        <f t="shared" si="36"/>
        <v>Policies met</v>
      </c>
      <c r="AD102" s="1240">
        <f t="shared" si="37"/>
        <v>0.30202263152140379</v>
      </c>
      <c r="AE102" s="135" t="str">
        <f t="shared" si="38"/>
        <v>No</v>
      </c>
      <c r="AF102" s="1293">
        <f t="shared" si="39"/>
        <v>296.12606573773871</v>
      </c>
      <c r="AG102" s="236">
        <f t="shared" si="40"/>
        <v>92.666565431576913</v>
      </c>
      <c r="AH102" s="1232">
        <f t="shared" si="18"/>
        <v>88.661288300074148</v>
      </c>
      <c r="AI102" s="1231">
        <f t="shared" si="19"/>
        <v>78.82828788425094</v>
      </c>
      <c r="AJ102" s="1231">
        <f t="shared" si="20"/>
        <v>35.96992412183674</v>
      </c>
      <c r="AK102" s="1232">
        <f t="shared" si="41"/>
        <v>296.12606573773877</v>
      </c>
      <c r="AL102" s="236">
        <f t="shared" si="42"/>
        <v>0</v>
      </c>
      <c r="AM102" s="1128">
        <f t="shared" si="43"/>
        <v>0.31292944510209436</v>
      </c>
      <c r="AN102" s="640">
        <f t="shared" si="44"/>
        <v>0.29940386395636032</v>
      </c>
      <c r="AO102" s="640">
        <f t="shared" si="45"/>
        <v>0.26619841008546835</v>
      </c>
      <c r="AP102" s="640">
        <f t="shared" si="46"/>
        <v>0.12146828085607689</v>
      </c>
      <c r="AQ102" s="640">
        <f t="shared" si="47"/>
        <v>0.99999999999999989</v>
      </c>
      <c r="AR102" s="834">
        <f t="shared" si="77"/>
        <v>14.299515982251988</v>
      </c>
      <c r="AS102" s="835">
        <f t="shared" si="78"/>
        <v>23.160343050196147</v>
      </c>
      <c r="AT102" s="835">
        <f t="shared" si="79"/>
        <v>6.6556424922772033</v>
      </c>
      <c r="AU102" s="835">
        <f t="shared" si="48"/>
        <v>0</v>
      </c>
      <c r="AV102" s="835">
        <f t="shared" si="49"/>
        <v>0</v>
      </c>
      <c r="AW102" s="835">
        <f t="shared" si="50"/>
        <v>0</v>
      </c>
      <c r="AX102" s="1228">
        <f t="shared" si="21"/>
        <v>34.557451199468296</v>
      </c>
      <c r="AY102" s="835">
        <f t="shared" si="80"/>
        <v>3.9750031429766381</v>
      </c>
      <c r="AZ102" s="835">
        <f t="shared" si="81"/>
        <v>4.2714347935832588</v>
      </c>
      <c r="BA102" s="835">
        <f t="shared" si="82"/>
        <v>4.370210819925636</v>
      </c>
      <c r="BB102" s="835">
        <f t="shared" si="83"/>
        <v>1.3769639508976843</v>
      </c>
      <c r="BC102" s="608">
        <f t="shared" si="51"/>
        <v>92.666565431576842</v>
      </c>
      <c r="BD102" s="1230">
        <f t="shared" si="52"/>
        <v>0</v>
      </c>
      <c r="BE102" s="760">
        <f t="shared" si="53"/>
        <v>0.15431149212938583</v>
      </c>
      <c r="BF102" s="705">
        <f t="shared" si="54"/>
        <v>0.2499320325764883</v>
      </c>
      <c r="BG102" s="705">
        <f t="shared" si="55"/>
        <v>7.1823558597211609E-2</v>
      </c>
      <c r="BH102" s="705">
        <f t="shared" si="56"/>
        <v>0</v>
      </c>
      <c r="BI102" s="705">
        <f t="shared" si="57"/>
        <v>0</v>
      </c>
      <c r="BJ102" s="705">
        <f t="shared" si="58"/>
        <v>0</v>
      </c>
      <c r="BK102" s="705">
        <f t="shared" si="59"/>
        <v>0.52393291669691444</v>
      </c>
      <c r="BL102" s="705">
        <f t="shared" si="60"/>
        <v>1.0000000000000002</v>
      </c>
      <c r="BM102" s="730">
        <f t="shared" si="84"/>
        <v>0.29028184578274857</v>
      </c>
      <c r="BN102" s="114">
        <f t="shared" si="61"/>
        <v>0.30317187715157518</v>
      </c>
      <c r="BO102" s="114">
        <f t="shared" si="61"/>
        <v>8.2805443243048754E-2</v>
      </c>
      <c r="BP102" s="114">
        <f t="shared" si="61"/>
        <v>0</v>
      </c>
      <c r="BQ102" s="114">
        <f t="shared" si="61"/>
        <v>0</v>
      </c>
      <c r="BR102" s="114">
        <f t="shared" si="61"/>
        <v>0</v>
      </c>
      <c r="BS102" s="114">
        <f t="shared" si="61"/>
        <v>0.32374083382262742</v>
      </c>
      <c r="BT102" s="604">
        <f t="shared" si="85"/>
        <v>0.99999999999999989</v>
      </c>
      <c r="BU102"/>
      <c r="BV102" s="606">
        <f t="shared" si="22"/>
        <v>68.341601393042652</v>
      </c>
      <c r="BW102" s="114">
        <f t="shared" si="62"/>
        <v>0.54952143423466249</v>
      </c>
      <c r="BX102" s="1503">
        <f t="shared" si="23"/>
        <v>44.745286877069645</v>
      </c>
      <c r="BY102" s="606">
        <f t="shared" si="24"/>
        <v>73.768384646040616</v>
      </c>
      <c r="BZ102" s="114">
        <f t="shared" si="63"/>
        <v>0.52571509160654983</v>
      </c>
      <c r="CA102" s="1503">
        <f t="shared" si="25"/>
        <v>50.172070130067617</v>
      </c>
      <c r="CB102" s="730">
        <f t="shared" si="26"/>
        <v>0.30202263152140379</v>
      </c>
      <c r="CC102" s="604">
        <f t="shared" si="27"/>
        <v>0.85</v>
      </c>
      <c r="CD102" s="114">
        <f t="shared" si="64"/>
        <v>0.30202263152140379</v>
      </c>
      <c r="CE102" s="604">
        <f t="shared" si="65"/>
        <v>0.85</v>
      </c>
      <c r="CF102"/>
      <c r="CG102" s="602">
        <f t="shared" si="66"/>
        <v>16.78862078091036</v>
      </c>
      <c r="CH102" s="704">
        <f t="shared" si="67"/>
        <v>6.9532514835877857</v>
      </c>
      <c r="CI102" s="704">
        <f t="shared" si="68"/>
        <v>27.529977115372166</v>
      </c>
      <c r="CJ102" s="704">
        <f t="shared" si="69"/>
        <v>36.91683349203069</v>
      </c>
      <c r="CK102" s="704">
        <f t="shared" si="70"/>
        <v>0.47260542817314383</v>
      </c>
      <c r="CL102" s="704">
        <f t="shared" si="71"/>
        <v>88.661288300074133</v>
      </c>
      <c r="CM102" s="727">
        <f t="shared" si="72"/>
        <v>0</v>
      </c>
    </row>
    <row r="103" spans="1:91" s="4" customFormat="1">
      <c r="A103" s="100">
        <f>'Input data'!A124</f>
        <v>2024</v>
      </c>
      <c r="B103" s="1231">
        <f>'Input data'!B124</f>
        <v>62.088000000000001</v>
      </c>
      <c r="C103" s="1232">
        <f>'Input data'!C124</f>
        <v>3201.77</v>
      </c>
      <c r="D103" s="1232">
        <f>'Input data'!D124</f>
        <v>43251251.992583826</v>
      </c>
      <c r="E103" s="1128">
        <f t="shared" si="73"/>
        <v>0.868369230769231</v>
      </c>
      <c r="F103" s="640">
        <f t="shared" si="74"/>
        <v>0.33289230769230777</v>
      </c>
      <c r="G103" s="1129">
        <f>B103*F103*'Input data'!$C$9</f>
        <v>632.60566667337889</v>
      </c>
      <c r="H103" s="835">
        <f>'Input data'!I124</f>
        <v>424.26313389388866</v>
      </c>
      <c r="I103" s="1062">
        <f>'Input data'!K124</f>
        <v>26341.649457203759</v>
      </c>
      <c r="J103" s="835">
        <f t="shared" ref="J103:J105" si="86">($J$106-$J$101)/($A$106-$A$101)+J102</f>
        <v>86.751678276369873</v>
      </c>
      <c r="K103" s="1129">
        <f t="shared" si="75"/>
        <v>110.41122689719803</v>
      </c>
      <c r="L103" s="483">
        <f t="shared" si="28"/>
        <v>0.64461538461538481</v>
      </c>
      <c r="M103" s="483">
        <f t="shared" si="29"/>
        <v>0.52476923076923077</v>
      </c>
      <c r="N103" s="483">
        <f t="shared" si="30"/>
        <v>0.81323076923076898</v>
      </c>
      <c r="O103" s="483">
        <f t="shared" si="31"/>
        <v>0.8538461538461537</v>
      </c>
      <c r="P103" s="640">
        <f t="shared" si="32"/>
        <v>0.23600000000000002</v>
      </c>
      <c r="Q103" s="602">
        <f t="shared" si="33"/>
        <v>24.40268700848468</v>
      </c>
      <c r="R103" s="608">
        <f t="shared" si="34"/>
        <v>10.205852706987383</v>
      </c>
      <c r="S103" s="608">
        <f t="shared" si="11"/>
        <v>40.156604592173366</v>
      </c>
      <c r="T103" s="608">
        <f t="shared" si="12"/>
        <v>53.371989911981409</v>
      </c>
      <c r="U103" s="1226">
        <f t="shared" si="13"/>
        <v>0.67710709475193609</v>
      </c>
      <c r="V103" s="834">
        <f t="shared" si="14"/>
        <v>128.81424131437876</v>
      </c>
      <c r="W103" s="1128">
        <f>($W$106-$W$101)/($A$106-$A$101)+W102</f>
        <v>0.5</v>
      </c>
      <c r="X103" s="1227">
        <f t="shared" si="15"/>
        <v>53.669159952994768</v>
      </c>
      <c r="Y103" s="1227">
        <f t="shared" si="16"/>
        <v>66.186697799191563</v>
      </c>
      <c r="Z103" s="1062">
        <f t="shared" si="76"/>
        <v>130.97620737437634</v>
      </c>
      <c r="AA103" s="1228">
        <f t="shared" si="17"/>
        <v>44.224529098006471</v>
      </c>
      <c r="AB103" s="1229">
        <f t="shared" si="35"/>
        <v>0.33765315078636471</v>
      </c>
      <c r="AC103" s="135" t="str">
        <f t="shared" si="36"/>
        <v>Policies met</v>
      </c>
      <c r="AD103" s="1240">
        <f t="shared" si="37"/>
        <v>0.33765315078636471</v>
      </c>
      <c r="AE103" s="135" t="str">
        <f t="shared" si="38"/>
        <v>No</v>
      </c>
      <c r="AF103" s="1293">
        <f t="shared" si="39"/>
        <v>281.00934997211982</v>
      </c>
      <c r="AG103" s="236">
        <f t="shared" si="40"/>
        <v>86.751678276369873</v>
      </c>
      <c r="AH103" s="1232">
        <f t="shared" si="18"/>
        <v>85.319706868423665</v>
      </c>
      <c r="AI103" s="1231">
        <f t="shared" si="19"/>
        <v>74.804242181729265</v>
      </c>
      <c r="AJ103" s="1231">
        <f t="shared" si="20"/>
        <v>34.133722645597061</v>
      </c>
      <c r="AK103" s="1232">
        <f t="shared" si="41"/>
        <v>281.00934997211988</v>
      </c>
      <c r="AL103" s="1232">
        <f t="shared" si="42"/>
        <v>0</v>
      </c>
      <c r="AM103" s="1128">
        <f t="shared" si="43"/>
        <v>0.30871456157945232</v>
      </c>
      <c r="AN103" s="640">
        <f t="shared" si="44"/>
        <v>0.30361874747900236</v>
      </c>
      <c r="AO103" s="640">
        <f t="shared" si="45"/>
        <v>0.26619841008546835</v>
      </c>
      <c r="AP103" s="640">
        <f t="shared" si="46"/>
        <v>0.12146828085607689</v>
      </c>
      <c r="AQ103" s="640">
        <f t="shared" si="47"/>
        <v>0.99999999999999989</v>
      </c>
      <c r="AR103" s="834">
        <f t="shared" si="77"/>
        <v>13.569550796137404</v>
      </c>
      <c r="AS103" s="835">
        <f t="shared" si="78"/>
        <v>21.978048198671281</v>
      </c>
      <c r="AT103" s="835">
        <f t="shared" si="79"/>
        <v>6.0844319403238982</v>
      </c>
      <c r="AU103" s="835">
        <f t="shared" si="48"/>
        <v>0</v>
      </c>
      <c r="AV103" s="835">
        <f t="shared" si="49"/>
        <v>0</v>
      </c>
      <c r="AW103" s="835">
        <f t="shared" si="50"/>
        <v>0</v>
      </c>
      <c r="AX103" s="1228">
        <f t="shared" si="21"/>
        <v>32.793353986123826</v>
      </c>
      <c r="AY103" s="835">
        <f t="shared" si="80"/>
        <v>3.6105720299302506</v>
      </c>
      <c r="AZ103" s="835">
        <f t="shared" si="81"/>
        <v>3.5804051360393916</v>
      </c>
      <c r="BA103" s="835">
        <f t="shared" si="82"/>
        <v>3.8286438304886201</v>
      </c>
      <c r="BB103" s="835">
        <f t="shared" si="83"/>
        <v>1.3066723586551472</v>
      </c>
      <c r="BC103" s="608">
        <f t="shared" si="51"/>
        <v>86.751678276369816</v>
      </c>
      <c r="BD103" s="1230">
        <f t="shared" si="52"/>
        <v>0</v>
      </c>
      <c r="BE103" s="760">
        <f t="shared" si="53"/>
        <v>0.15641830873759127</v>
      </c>
      <c r="BF103" s="705">
        <f t="shared" si="54"/>
        <v>0.25334435754262352</v>
      </c>
      <c r="BG103" s="705">
        <f t="shared" si="55"/>
        <v>7.0136187117214879E-2</v>
      </c>
      <c r="BH103" s="705">
        <f t="shared" si="56"/>
        <v>0</v>
      </c>
      <c r="BI103" s="705">
        <f t="shared" si="57"/>
        <v>0</v>
      </c>
      <c r="BJ103" s="705">
        <f t="shared" si="58"/>
        <v>0</v>
      </c>
      <c r="BK103" s="705">
        <f t="shared" si="59"/>
        <v>0.52010114660257045</v>
      </c>
      <c r="BL103" s="705">
        <f t="shared" si="60"/>
        <v>1</v>
      </c>
      <c r="BM103" s="730">
        <f t="shared" si="84"/>
        <v>0.29028184578274857</v>
      </c>
      <c r="BN103" s="114">
        <f t="shared" si="61"/>
        <v>0.30317187715157518</v>
      </c>
      <c r="BO103" s="114">
        <f t="shared" si="61"/>
        <v>8.2805443243048754E-2</v>
      </c>
      <c r="BP103" s="114">
        <f t="shared" si="61"/>
        <v>0</v>
      </c>
      <c r="BQ103" s="114">
        <f t="shared" si="61"/>
        <v>0</v>
      </c>
      <c r="BR103" s="114">
        <f t="shared" si="61"/>
        <v>0</v>
      </c>
      <c r="BS103" s="114">
        <f t="shared" si="61"/>
        <v>0.32374083382262742</v>
      </c>
      <c r="BT103" s="604">
        <f t="shared" si="85"/>
        <v>0.99999999999999989</v>
      </c>
      <c r="BU103"/>
      <c r="BV103" s="606">
        <f t="shared" si="22"/>
        <v>66.223905770338661</v>
      </c>
      <c r="BW103" s="114">
        <f t="shared" si="62"/>
        <v>0.59287738632389075</v>
      </c>
      <c r="BX103" s="1503">
        <f t="shared" si="23"/>
        <v>43.251251992583825</v>
      </c>
      <c r="BY103" s="606">
        <f t="shared" si="24"/>
        <v>73.144723907822438</v>
      </c>
      <c r="BZ103" s="114">
        <f t="shared" si="63"/>
        <v>0.5626342673339626</v>
      </c>
      <c r="CA103" s="1503">
        <f t="shared" si="25"/>
        <v>50.172070130067617</v>
      </c>
      <c r="CB103" s="730">
        <f t="shared" si="26"/>
        <v>0.33765315078636471</v>
      </c>
      <c r="CC103" s="604">
        <f t="shared" si="27"/>
        <v>0.85</v>
      </c>
      <c r="CD103" s="114">
        <f t="shared" si="64"/>
        <v>0.33765315078636471</v>
      </c>
      <c r="CE103" s="604">
        <f t="shared" si="65"/>
        <v>0.85</v>
      </c>
      <c r="CF103"/>
      <c r="CG103" s="602">
        <f t="shared" si="66"/>
        <v>16.163042852416339</v>
      </c>
      <c r="CH103" s="704">
        <f t="shared" si="67"/>
        <v>6.759814384011543</v>
      </c>
      <c r="CI103" s="704">
        <f t="shared" si="68"/>
        <v>26.597600526743825</v>
      </c>
      <c r="CJ103" s="704">
        <f t="shared" si="69"/>
        <v>35.350769354462813</v>
      </c>
      <c r="CK103" s="704">
        <f t="shared" si="70"/>
        <v>0.44847975078914326</v>
      </c>
      <c r="CL103" s="704">
        <f t="shared" si="71"/>
        <v>85.319706868423665</v>
      </c>
      <c r="CM103" s="727">
        <f t="shared" si="72"/>
        <v>0</v>
      </c>
    </row>
    <row r="104" spans="1:91" s="4" customFormat="1">
      <c r="A104" s="100">
        <f>'Input data'!A125</f>
        <v>2025</v>
      </c>
      <c r="B104" s="1231">
        <f>'Input data'!B125</f>
        <v>62.802999999999997</v>
      </c>
      <c r="C104" s="1232">
        <f>'Input data'!C125</f>
        <v>3265.54</v>
      </c>
      <c r="D104" s="1232">
        <f>'Input data'!D125</f>
        <v>40955103.194912732</v>
      </c>
      <c r="E104" s="1128">
        <f t="shared" si="73"/>
        <v>0.89030769230769258</v>
      </c>
      <c r="F104" s="640">
        <f t="shared" si="74"/>
        <v>0.33907692307692316</v>
      </c>
      <c r="G104" s="1129">
        <f>B104*F104*'Input data'!$C$9</f>
        <v>651.7788609568936</v>
      </c>
      <c r="H104" s="835">
        <f>'Input data'!I125</f>
        <v>424.26313389388866</v>
      </c>
      <c r="I104" s="1062">
        <f>'Input data'!K125</f>
        <v>26644.997597937887</v>
      </c>
      <c r="J104" s="835">
        <f t="shared" si="86"/>
        <v>80.836791121162832</v>
      </c>
      <c r="K104" s="1129">
        <f t="shared" si="75"/>
        <v>116.32611405240507</v>
      </c>
      <c r="L104" s="483">
        <f t="shared" si="28"/>
        <v>0.65384615384615408</v>
      </c>
      <c r="M104" s="483">
        <f t="shared" si="29"/>
        <v>0.53730769230769226</v>
      </c>
      <c r="N104" s="483">
        <f t="shared" si="30"/>
        <v>0.82769230769230739</v>
      </c>
      <c r="O104" s="483">
        <f t="shared" si="31"/>
        <v>0.86153846153846136</v>
      </c>
      <c r="P104" s="640">
        <f t="shared" si="32"/>
        <v>0.23600000000000002</v>
      </c>
      <c r="Q104" s="602">
        <f t="shared" si="33"/>
        <v>24.752128827221931</v>
      </c>
      <c r="R104" s="608">
        <f t="shared" si="34"/>
        <v>10.449704068939733</v>
      </c>
      <c r="S104" s="608">
        <f t="shared" si="11"/>
        <v>40.870702365851812</v>
      </c>
      <c r="T104" s="608">
        <f t="shared" si="12"/>
        <v>53.852818649927187</v>
      </c>
      <c r="U104" s="1226">
        <f t="shared" si="13"/>
        <v>0.67710709475193609</v>
      </c>
      <c r="V104" s="834">
        <f t="shared" si="14"/>
        <v>130.60246100669258</v>
      </c>
      <c r="W104" s="1128">
        <f>($W$106-$W$101)/($A$106-$A$101)+W103</f>
        <v>0.5</v>
      </c>
      <c r="X104" s="1227">
        <f t="shared" si="15"/>
        <v>53.669159952994768</v>
      </c>
      <c r="Y104" s="1227">
        <f t="shared" si="16"/>
        <v>67.97491749150538</v>
      </c>
      <c r="Z104" s="1062">
        <f t="shared" si="76"/>
        <v>129.18798768206253</v>
      </c>
      <c r="AA104" s="1228">
        <f t="shared" si="17"/>
        <v>48.351196560899695</v>
      </c>
      <c r="AB104" s="1229">
        <f t="shared" si="35"/>
        <v>0.37427006510771088</v>
      </c>
      <c r="AC104" s="135" t="str">
        <f t="shared" si="36"/>
        <v>Policies met</v>
      </c>
      <c r="AD104" s="1240">
        <f t="shared" si="37"/>
        <v>0.37427006510771088</v>
      </c>
      <c r="AE104" s="135" t="str">
        <f t="shared" si="38"/>
        <v>No</v>
      </c>
      <c r="AF104" s="1293">
        <f t="shared" si="39"/>
        <v>265.47414314862152</v>
      </c>
      <c r="AG104" s="236">
        <f t="shared" si="40"/>
        <v>80.836791121162832</v>
      </c>
      <c r="AH104" s="1232">
        <f t="shared" si="18"/>
        <v>81.721869422490471</v>
      </c>
      <c r="AI104" s="1231">
        <f t="shared" si="19"/>
        <v>70.66879482496509</v>
      </c>
      <c r="AJ104" s="1231">
        <f t="shared" si="20"/>
        <v>32.246687780003121</v>
      </c>
      <c r="AK104" s="1232">
        <f t="shared" si="41"/>
        <v>265.47414314862152</v>
      </c>
      <c r="AL104" s="1232">
        <f t="shared" si="42"/>
        <v>0</v>
      </c>
      <c r="AM104" s="1128">
        <f t="shared" si="43"/>
        <v>0.30449967805681033</v>
      </c>
      <c r="AN104" s="640">
        <f t="shared" si="44"/>
        <v>0.30783363100164435</v>
      </c>
      <c r="AO104" s="640">
        <f t="shared" si="45"/>
        <v>0.26619841008546841</v>
      </c>
      <c r="AP104" s="640">
        <f t="shared" si="46"/>
        <v>0.1214682808560769</v>
      </c>
      <c r="AQ104" s="640">
        <f t="shared" si="47"/>
        <v>0.99999999999999989</v>
      </c>
      <c r="AR104" s="834">
        <f t="shared" si="77"/>
        <v>12.819377258705728</v>
      </c>
      <c r="AS104" s="835">
        <f t="shared" si="78"/>
        <v>20.763022704405529</v>
      </c>
      <c r="AT104" s="835">
        <f t="shared" si="79"/>
        <v>5.5294064685229927</v>
      </c>
      <c r="AU104" s="835">
        <f t="shared" si="48"/>
        <v>0</v>
      </c>
      <c r="AV104" s="835">
        <f t="shared" si="49"/>
        <v>0</v>
      </c>
      <c r="AW104" s="835">
        <f t="shared" si="50"/>
        <v>0</v>
      </c>
      <c r="AX104" s="1228">
        <f t="shared" si="21"/>
        <v>30.980419517355536</v>
      </c>
      <c r="AY104" s="835">
        <f t="shared" si="80"/>
        <v>3.2583815347607548</v>
      </c>
      <c r="AZ104" s="835">
        <f t="shared" si="81"/>
        <v>2.9356351185923093</v>
      </c>
      <c r="BA104" s="835">
        <f t="shared" si="82"/>
        <v>3.3161137043755708</v>
      </c>
      <c r="BB104" s="835">
        <f t="shared" si="83"/>
        <v>1.234434814444358</v>
      </c>
      <c r="BC104" s="608">
        <f t="shared" si="51"/>
        <v>80.836791121162776</v>
      </c>
      <c r="BD104" s="1230">
        <f t="shared" si="52"/>
        <v>0</v>
      </c>
      <c r="BE104" s="760">
        <f t="shared" si="53"/>
        <v>0.15858345044264952</v>
      </c>
      <c r="BF104" s="705">
        <f t="shared" si="54"/>
        <v>0.25685114929023756</v>
      </c>
      <c r="BG104" s="705">
        <f t="shared" si="55"/>
        <v>6.8402102456481775E-2</v>
      </c>
      <c r="BH104" s="705">
        <f t="shared" si="56"/>
        <v>0</v>
      </c>
      <c r="BI104" s="705">
        <f t="shared" si="57"/>
        <v>0</v>
      </c>
      <c r="BJ104" s="705">
        <f t="shared" si="58"/>
        <v>0</v>
      </c>
      <c r="BK104" s="705">
        <f t="shared" si="59"/>
        <v>0.51616329781063119</v>
      </c>
      <c r="BL104" s="705">
        <f t="shared" si="60"/>
        <v>1</v>
      </c>
      <c r="BM104" s="730">
        <f t="shared" si="84"/>
        <v>0.29028184578274857</v>
      </c>
      <c r="BN104" s="114">
        <f t="shared" si="61"/>
        <v>0.30317187715157518</v>
      </c>
      <c r="BO104" s="114">
        <f t="shared" si="61"/>
        <v>8.2805443243048754E-2</v>
      </c>
      <c r="BP104" s="114">
        <f t="shared" si="61"/>
        <v>0</v>
      </c>
      <c r="BQ104" s="114">
        <f t="shared" si="61"/>
        <v>0</v>
      </c>
      <c r="BR104" s="114">
        <f t="shared" si="61"/>
        <v>0</v>
      </c>
      <c r="BS104" s="114">
        <f t="shared" si="61"/>
        <v>0.32374083382262742</v>
      </c>
      <c r="BT104" s="604">
        <f t="shared" si="85"/>
        <v>0.99999999999999989</v>
      </c>
      <c r="BU104"/>
      <c r="BV104" s="606">
        <f t="shared" si="22"/>
        <v>63.263069963906965</v>
      </c>
      <c r="BW104" s="114">
        <f t="shared" si="62"/>
        <v>0.64181941881000182</v>
      </c>
      <c r="BX104" s="1503">
        <f t="shared" si="23"/>
        <v>40.955103194912731</v>
      </c>
      <c r="BY104" s="606">
        <f t="shared" si="24"/>
        <v>72.480036899061858</v>
      </c>
      <c r="BZ104" s="114">
        <f t="shared" si="63"/>
        <v>0.60133405804649953</v>
      </c>
      <c r="CA104" s="1503">
        <f t="shared" si="25"/>
        <v>50.172070130067617</v>
      </c>
      <c r="CB104" s="730">
        <f t="shared" si="26"/>
        <v>0.37427006510771088</v>
      </c>
      <c r="CC104" s="604">
        <f t="shared" si="27"/>
        <v>0.85</v>
      </c>
      <c r="CD104" s="114">
        <f t="shared" si="64"/>
        <v>0.37427006510771088</v>
      </c>
      <c r="CE104" s="604">
        <f t="shared" si="65"/>
        <v>0.85</v>
      </c>
      <c r="CF104"/>
      <c r="CG104" s="602">
        <f t="shared" si="66"/>
        <v>15.488147959503131</v>
      </c>
      <c r="CH104" s="704">
        <f t="shared" si="67"/>
        <v>6.5386926467013478</v>
      </c>
      <c r="CI104" s="704">
        <f t="shared" si="68"/>
        <v>25.574021930386582</v>
      </c>
      <c r="CJ104" s="704">
        <f t="shared" si="69"/>
        <v>33.697320707585192</v>
      </c>
      <c r="CK104" s="704">
        <f t="shared" si="70"/>
        <v>0.42368617831423599</v>
      </c>
      <c r="CL104" s="704">
        <f t="shared" si="71"/>
        <v>81.721869422490499</v>
      </c>
      <c r="CM104" s="727">
        <f t="shared" si="72"/>
        <v>0</v>
      </c>
    </row>
    <row r="105" spans="1:91" s="4" customFormat="1">
      <c r="A105" s="100">
        <f>'Input data'!A126</f>
        <v>2026</v>
      </c>
      <c r="B105" s="1231">
        <f>'Input data'!B126</f>
        <v>63.420999999999999</v>
      </c>
      <c r="C105" s="1232">
        <f>'Input data'!C126</f>
        <v>3341.28</v>
      </c>
      <c r="D105" s="1232">
        <f>'Input data'!D126</f>
        <v>39969673.998818383</v>
      </c>
      <c r="E105" s="1128">
        <f t="shared" si="73"/>
        <v>0.91224615384615415</v>
      </c>
      <c r="F105" s="640">
        <f t="shared" si="74"/>
        <v>0.34526153846153856</v>
      </c>
      <c r="G105" s="1129">
        <f>B105*F105*'Input data'!$C$9</f>
        <v>670.19770228173195</v>
      </c>
      <c r="H105" s="835">
        <f>'Input data'!I126</f>
        <v>424.26313389388866</v>
      </c>
      <c r="I105" s="1062">
        <f>'Input data'!K126</f>
        <v>26907.192214684314</v>
      </c>
      <c r="J105" s="835">
        <f t="shared" si="86"/>
        <v>74.921903965955792</v>
      </c>
      <c r="K105" s="1129">
        <f t="shared" si="75"/>
        <v>122.24100120761211</v>
      </c>
      <c r="L105" s="483">
        <f t="shared" si="28"/>
        <v>0.66307692307692334</v>
      </c>
      <c r="M105" s="483">
        <f t="shared" si="29"/>
        <v>0.54984615384615376</v>
      </c>
      <c r="N105" s="483">
        <f t="shared" si="30"/>
        <v>0.84215384615384581</v>
      </c>
      <c r="O105" s="483">
        <f t="shared" si="31"/>
        <v>0.86923076923076903</v>
      </c>
      <c r="P105" s="640">
        <f t="shared" si="32"/>
        <v>0.23600000000000002</v>
      </c>
      <c r="Q105" s="602">
        <f t="shared" si="33"/>
        <v>25.101570645959185</v>
      </c>
      <c r="R105" s="608">
        <f t="shared" si="34"/>
        <v>10.693555430892085</v>
      </c>
      <c r="S105" s="608">
        <f t="shared" si="11"/>
        <v>41.584800139530259</v>
      </c>
      <c r="T105" s="608">
        <f t="shared" si="12"/>
        <v>54.333647387872965</v>
      </c>
      <c r="U105" s="1226">
        <f t="shared" si="13"/>
        <v>0.67710709475193609</v>
      </c>
      <c r="V105" s="834">
        <f t="shared" si="14"/>
        <v>132.39068069900642</v>
      </c>
      <c r="W105" s="1128">
        <f>($W$106-$W$101)/($A$106-$A$101)+W104</f>
        <v>0.5</v>
      </c>
      <c r="X105" s="1227">
        <f t="shared" si="15"/>
        <v>53.669159952994768</v>
      </c>
      <c r="Y105" s="1227">
        <f t="shared" si="16"/>
        <v>69.763137183819225</v>
      </c>
      <c r="Z105" s="1062">
        <f t="shared" si="76"/>
        <v>127.39976798974868</v>
      </c>
      <c r="AA105" s="1228">
        <f t="shared" si="17"/>
        <v>52.47786402379289</v>
      </c>
      <c r="AB105" s="1229">
        <f t="shared" si="35"/>
        <v>0.41191491045741591</v>
      </c>
      <c r="AC105" s="135" t="str">
        <f t="shared" si="36"/>
        <v>Policies met</v>
      </c>
      <c r="AD105" s="1240">
        <f t="shared" si="37"/>
        <v>0.41191491045741591</v>
      </c>
      <c r="AE105" s="135" t="str">
        <f t="shared" si="38"/>
        <v>No</v>
      </c>
      <c r="AF105" s="1293">
        <f t="shared" si="39"/>
        <v>249.50282308560486</v>
      </c>
      <c r="AG105" s="236">
        <f t="shared" si="40"/>
        <v>74.921903965955792</v>
      </c>
      <c r="AH105" s="1232">
        <f t="shared" si="18"/>
        <v>77.856985313478859</v>
      </c>
      <c r="AI105" s="1231">
        <f t="shared" si="19"/>
        <v>66.41725481722392</v>
      </c>
      <c r="AJ105" s="1231">
        <f t="shared" si="20"/>
        <v>30.30667898894632</v>
      </c>
      <c r="AK105" s="1232">
        <f t="shared" si="41"/>
        <v>249.50282308560489</v>
      </c>
      <c r="AL105" s="1232">
        <f t="shared" si="42"/>
        <v>0</v>
      </c>
      <c r="AM105" s="1128">
        <f t="shared" si="43"/>
        <v>0.30028479453416823</v>
      </c>
      <c r="AN105" s="640">
        <f t="shared" si="44"/>
        <v>0.3120485145242865</v>
      </c>
      <c r="AO105" s="640">
        <f t="shared" si="45"/>
        <v>0.26619841008546841</v>
      </c>
      <c r="AP105" s="640">
        <f t="shared" si="46"/>
        <v>0.12146828085607689</v>
      </c>
      <c r="AQ105" s="640">
        <f t="shared" si="47"/>
        <v>1</v>
      </c>
      <c r="AR105" s="834">
        <f t="shared" si="77"/>
        <v>12.048144419307414</v>
      </c>
      <c r="AS105" s="835">
        <f t="shared" si="78"/>
        <v>19.513888317324774</v>
      </c>
      <c r="AT105" s="835">
        <f t="shared" si="79"/>
        <v>4.9912476121592109</v>
      </c>
      <c r="AU105" s="835">
        <f t="shared" si="48"/>
        <v>0</v>
      </c>
      <c r="AV105" s="835">
        <f t="shared" si="49"/>
        <v>0</v>
      </c>
      <c r="AW105" s="835">
        <f t="shared" si="50"/>
        <v>0</v>
      </c>
      <c r="AX105" s="1228">
        <f t="shared" si="21"/>
        <v>29.11659131198034</v>
      </c>
      <c r="AY105" s="835">
        <f t="shared" si="80"/>
        <v>2.9189470959405797</v>
      </c>
      <c r="AZ105" s="835">
        <f t="shared" si="81"/>
        <v>2.3390726819804963</v>
      </c>
      <c r="BA105" s="835">
        <f t="shared" si="82"/>
        <v>2.8338431508178745</v>
      </c>
      <c r="BB105" s="835">
        <f t="shared" si="83"/>
        <v>1.1601693764450574</v>
      </c>
      <c r="BC105" s="608">
        <f t="shared" si="51"/>
        <v>74.92190396595575</v>
      </c>
      <c r="BD105" s="1230">
        <f t="shared" si="52"/>
        <v>0</v>
      </c>
      <c r="BE105" s="760">
        <f t="shared" si="53"/>
        <v>0.16080937324793626</v>
      </c>
      <c r="BF105" s="705">
        <f t="shared" si="54"/>
        <v>0.26045638570786744</v>
      </c>
      <c r="BG105" s="705">
        <f t="shared" si="55"/>
        <v>6.6619337576194218E-2</v>
      </c>
      <c r="BH105" s="705">
        <f t="shared" si="56"/>
        <v>0</v>
      </c>
      <c r="BI105" s="705">
        <f t="shared" si="57"/>
        <v>0</v>
      </c>
      <c r="BJ105" s="705">
        <f t="shared" si="58"/>
        <v>0</v>
      </c>
      <c r="BK105" s="705">
        <f t="shared" si="59"/>
        <v>0.51211490346800204</v>
      </c>
      <c r="BL105" s="705">
        <f t="shared" si="60"/>
        <v>1</v>
      </c>
      <c r="BM105" s="730">
        <f t="shared" si="84"/>
        <v>0.29028184578274857</v>
      </c>
      <c r="BN105" s="114">
        <f t="shared" si="61"/>
        <v>0.30317187715157518</v>
      </c>
      <c r="BO105" s="114">
        <f t="shared" si="61"/>
        <v>8.2805443243048754E-2</v>
      </c>
      <c r="BP105" s="114">
        <f t="shared" si="61"/>
        <v>0</v>
      </c>
      <c r="BQ105" s="114">
        <f t="shared" si="61"/>
        <v>0</v>
      </c>
      <c r="BR105" s="114">
        <f t="shared" si="61"/>
        <v>0</v>
      </c>
      <c r="BS105" s="114">
        <f t="shared" si="61"/>
        <v>0.32374083382262742</v>
      </c>
      <c r="BT105" s="604">
        <f t="shared" si="85"/>
        <v>0.99999999999999989</v>
      </c>
      <c r="BU105"/>
      <c r="BV105" s="606">
        <f t="shared" si="22"/>
        <v>61.55949241750529</v>
      </c>
      <c r="BW105" s="114">
        <f t="shared" si="62"/>
        <v>0.68520627201315898</v>
      </c>
      <c r="BX105" s="1503">
        <f t="shared" si="23"/>
        <v>39.969673998818379</v>
      </c>
      <c r="BY105" s="606">
        <f t="shared" si="24"/>
        <v>71.761888548754513</v>
      </c>
      <c r="BZ105" s="114">
        <f t="shared" si="63"/>
        <v>0.64165041661087419</v>
      </c>
      <c r="CA105" s="1503">
        <f t="shared" si="25"/>
        <v>50.172070130067617</v>
      </c>
      <c r="CB105" s="730">
        <f t="shared" si="26"/>
        <v>0.41191491045741591</v>
      </c>
      <c r="CC105" s="604">
        <f t="shared" si="27"/>
        <v>0.85</v>
      </c>
      <c r="CD105" s="114">
        <f t="shared" si="64"/>
        <v>0.41191491045741591</v>
      </c>
      <c r="CE105" s="604">
        <f t="shared" si="65"/>
        <v>0.85</v>
      </c>
      <c r="CF105"/>
      <c r="CG105" s="602">
        <f t="shared" si="66"/>
        <v>14.761859420988408</v>
      </c>
      <c r="CH105" s="704">
        <f t="shared" si="67"/>
        <v>6.2887205031047584</v>
      </c>
      <c r="CI105" s="704">
        <f t="shared" si="68"/>
        <v>24.455400913666114</v>
      </c>
      <c r="CJ105" s="704">
        <f t="shared" si="69"/>
        <v>31.952807889272464</v>
      </c>
      <c r="CK105" s="704">
        <f t="shared" si="70"/>
        <v>0.39819658644711131</v>
      </c>
      <c r="CL105" s="704">
        <f t="shared" si="71"/>
        <v>77.856985313478859</v>
      </c>
      <c r="CM105" s="727">
        <f t="shared" si="72"/>
        <v>0</v>
      </c>
    </row>
    <row r="106" spans="1:91" s="530" customFormat="1">
      <c r="A106" s="1083">
        <f>'Input data'!A127</f>
        <v>2027</v>
      </c>
      <c r="B106" s="1223">
        <f>'Input data'!B127</f>
        <v>64.046000000000006</v>
      </c>
      <c r="C106" s="1224">
        <f>'Input data'!C127</f>
        <v>3416.2799999999997</v>
      </c>
      <c r="D106" s="1224">
        <f>'Input data'!D127</f>
        <v>38984244.802724026</v>
      </c>
      <c r="E106" s="1128">
        <f t="shared" si="73"/>
        <v>0.93418461538461572</v>
      </c>
      <c r="F106" s="640">
        <f t="shared" si="74"/>
        <v>0.35144615384615396</v>
      </c>
      <c r="G106" s="1130">
        <f>B106*F106*'Input data'!$C$9</f>
        <v>688.92580678167349</v>
      </c>
      <c r="H106" s="1225">
        <f>'Input data'!I127</f>
        <v>424.26313389388866</v>
      </c>
      <c r="I106" s="1063">
        <f>'Input data'!K127</f>
        <v>27172.356673367995</v>
      </c>
      <c r="J106" s="1225">
        <f>J96*(1-$G$5)</f>
        <v>69.007016810748766</v>
      </c>
      <c r="K106" s="1129">
        <f t="shared" si="75"/>
        <v>128.15588836281916</v>
      </c>
      <c r="L106" s="483">
        <f t="shared" si="28"/>
        <v>0.67230769230769261</v>
      </c>
      <c r="M106" s="483">
        <f t="shared" si="29"/>
        <v>0.56238461538461526</v>
      </c>
      <c r="N106" s="483">
        <f t="shared" si="30"/>
        <v>0.85661538461538422</v>
      </c>
      <c r="O106" s="483">
        <f t="shared" si="31"/>
        <v>0.87692307692307669</v>
      </c>
      <c r="P106" s="640">
        <f t="shared" si="32"/>
        <v>0.23600000000000002</v>
      </c>
      <c r="Q106" s="602">
        <f t="shared" si="33"/>
        <v>25.451012464696436</v>
      </c>
      <c r="R106" s="608">
        <f t="shared" si="34"/>
        <v>10.937406792844435</v>
      </c>
      <c r="S106" s="608">
        <f t="shared" si="11"/>
        <v>42.298897913208712</v>
      </c>
      <c r="T106" s="608">
        <f t="shared" si="12"/>
        <v>54.814476125818743</v>
      </c>
      <c r="U106" s="1226">
        <f t="shared" si="13"/>
        <v>0.67710709475193609</v>
      </c>
      <c r="V106" s="834">
        <f t="shared" si="14"/>
        <v>134.17890039132027</v>
      </c>
      <c r="W106" s="1131">
        <f>$C$27</f>
        <v>0.5</v>
      </c>
      <c r="X106" s="1227">
        <f t="shared" si="15"/>
        <v>53.669159952994768</v>
      </c>
      <c r="Y106" s="1227">
        <f t="shared" si="16"/>
        <v>71.55135687613307</v>
      </c>
      <c r="Z106" s="1062">
        <f t="shared" si="76"/>
        <v>125.61154829743484</v>
      </c>
      <c r="AA106" s="1228">
        <f t="shared" si="17"/>
        <v>56.604531486686085</v>
      </c>
      <c r="AB106" s="1229">
        <f t="shared" si="35"/>
        <v>0.45063158804995024</v>
      </c>
      <c r="AC106" s="135" t="str">
        <f t="shared" si="36"/>
        <v>Policies met</v>
      </c>
      <c r="AD106" s="1240">
        <f t="shared" si="37"/>
        <v>0.45063158804995024</v>
      </c>
      <c r="AE106" s="135" t="str">
        <f t="shared" si="38"/>
        <v>No</v>
      </c>
      <c r="AF106" s="1293">
        <f t="shared" si="39"/>
        <v>233.07676411623692</v>
      </c>
      <c r="AG106" s="236">
        <f t="shared" si="40"/>
        <v>69.007016810748752</v>
      </c>
      <c r="AH106" s="1232">
        <f t="shared" si="18"/>
        <v>73.713649425183519</v>
      </c>
      <c r="AI106" s="1231">
        <f t="shared" si="19"/>
        <v>62.044664035608022</v>
      </c>
      <c r="AJ106" s="1231">
        <f t="shared" si="20"/>
        <v>28.311433844696655</v>
      </c>
      <c r="AK106" s="1232">
        <f t="shared" si="41"/>
        <v>233.07676411623694</v>
      </c>
      <c r="AL106" s="1232">
        <f t="shared" si="42"/>
        <v>0</v>
      </c>
      <c r="AM106" s="1128">
        <f t="shared" si="43"/>
        <v>0.29606991101152619</v>
      </c>
      <c r="AN106" s="640">
        <f t="shared" si="44"/>
        <v>0.31626339804692855</v>
      </c>
      <c r="AO106" s="640">
        <f t="shared" si="45"/>
        <v>0.26619841008546835</v>
      </c>
      <c r="AP106" s="640">
        <f t="shared" si="46"/>
        <v>0.1214682808560769</v>
      </c>
      <c r="AQ106" s="640">
        <f t="shared" si="47"/>
        <v>0.99999999999999989</v>
      </c>
      <c r="AR106" s="834">
        <f t="shared" si="77"/>
        <v>11.254952870388131</v>
      </c>
      <c r="AS106" s="835">
        <f t="shared" si="78"/>
        <v>18.229188303681799</v>
      </c>
      <c r="AT106" s="835">
        <f t="shared" si="79"/>
        <v>4.4706757161596622</v>
      </c>
      <c r="AU106" s="835">
        <f t="shared" si="48"/>
        <v>0</v>
      </c>
      <c r="AV106" s="835">
        <f t="shared" si="49"/>
        <v>0</v>
      </c>
      <c r="AW106" s="835">
        <f t="shared" si="50"/>
        <v>0</v>
      </c>
      <c r="AX106" s="1228">
        <f t="shared" si="21"/>
        <v>27.199695783654075</v>
      </c>
      <c r="AY106" s="835">
        <f t="shared" si="80"/>
        <v>2.5928135032952477</v>
      </c>
      <c r="AZ106" s="835">
        <f t="shared" si="81"/>
        <v>1.7927766913290961</v>
      </c>
      <c r="BA106" s="835">
        <f t="shared" si="82"/>
        <v>2.3831245055344494</v>
      </c>
      <c r="BB106" s="835">
        <f t="shared" si="83"/>
        <v>1.0837894367062479</v>
      </c>
      <c r="BC106" s="608">
        <f t="shared" si="51"/>
        <v>69.007016810748723</v>
      </c>
      <c r="BD106" s="1230">
        <f t="shared" si="52"/>
        <v>0</v>
      </c>
      <c r="BE106" s="760">
        <f t="shared" si="53"/>
        <v>0.16309867301255412</v>
      </c>
      <c r="BF106" s="705">
        <f t="shared" si="54"/>
        <v>0.2641642712026695</v>
      </c>
      <c r="BG106" s="705">
        <f t="shared" si="55"/>
        <v>6.4785813425618149E-2</v>
      </c>
      <c r="BH106" s="705">
        <f t="shared" si="56"/>
        <v>0</v>
      </c>
      <c r="BI106" s="705">
        <f t="shared" si="57"/>
        <v>0</v>
      </c>
      <c r="BJ106" s="705">
        <f t="shared" si="58"/>
        <v>0</v>
      </c>
      <c r="BK106" s="705">
        <f t="shared" si="59"/>
        <v>0.50795124235915801</v>
      </c>
      <c r="BL106" s="705">
        <f t="shared" si="60"/>
        <v>0.99999999999999978</v>
      </c>
      <c r="BM106" s="730">
        <f t="shared" si="84"/>
        <v>0.29028184578274857</v>
      </c>
      <c r="BN106" s="114">
        <f t="shared" si="61"/>
        <v>0.30317187715157518</v>
      </c>
      <c r="BO106" s="114">
        <f t="shared" si="61"/>
        <v>8.2805443243048754E-2</v>
      </c>
      <c r="BP106" s="114">
        <f t="shared" si="61"/>
        <v>0</v>
      </c>
      <c r="BQ106" s="114">
        <f t="shared" si="61"/>
        <v>0</v>
      </c>
      <c r="BR106" s="114">
        <f t="shared" si="61"/>
        <v>0</v>
      </c>
      <c r="BS106" s="114">
        <f t="shared" si="61"/>
        <v>0.32374083382262742</v>
      </c>
      <c r="BT106" s="604">
        <f t="shared" si="85"/>
        <v>0.99999999999999989</v>
      </c>
      <c r="BU106" s="1"/>
      <c r="BV106" s="606">
        <f t="shared" si="22"/>
        <v>59.807407802297149</v>
      </c>
      <c r="BW106" s="114">
        <f t="shared" si="62"/>
        <v>0.73003349026520781</v>
      </c>
      <c r="BX106" s="1503">
        <f t="shared" si="23"/>
        <v>38.984244802724028</v>
      </c>
      <c r="BY106" s="606">
        <f t="shared" si="24"/>
        <v>70.995233129640738</v>
      </c>
      <c r="BZ106" s="114">
        <f t="shared" si="63"/>
        <v>0.68408346998063563</v>
      </c>
      <c r="CA106" s="1503">
        <f t="shared" si="25"/>
        <v>50.172070130067617</v>
      </c>
      <c r="CB106" s="730">
        <f t="shared" si="26"/>
        <v>0.45063158804995024</v>
      </c>
      <c r="CC106" s="604">
        <f t="shared" si="27"/>
        <v>0.85</v>
      </c>
      <c r="CD106" s="114">
        <f t="shared" si="64"/>
        <v>0.45063158804995024</v>
      </c>
      <c r="CE106" s="604">
        <f t="shared" si="65"/>
        <v>0.85</v>
      </c>
      <c r="CF106" s="1"/>
      <c r="CG106" s="602">
        <f t="shared" si="66"/>
        <v>13.981982300251202</v>
      </c>
      <c r="CH106" s="704">
        <f t="shared" si="67"/>
        <v>6.0086658006366331</v>
      </c>
      <c r="CI106" s="704">
        <f t="shared" si="68"/>
        <v>23.237678373816742</v>
      </c>
      <c r="CJ106" s="704">
        <f t="shared" si="69"/>
        <v>30.113341701114955</v>
      </c>
      <c r="CK106" s="704">
        <f t="shared" si="70"/>
        <v>0.37198124936398297</v>
      </c>
      <c r="CL106" s="704">
        <f t="shared" si="71"/>
        <v>73.713649425183519</v>
      </c>
      <c r="CM106" s="727">
        <f t="shared" si="72"/>
        <v>0</v>
      </c>
    </row>
    <row r="107" spans="1:91" s="4" customFormat="1">
      <c r="A107" s="100">
        <f>'Input data'!A128</f>
        <v>2028</v>
      </c>
      <c r="B107" s="1231">
        <f>'Input data'!B128</f>
        <v>64.676000000000002</v>
      </c>
      <c r="C107" s="1232">
        <f>'Input data'!C128</f>
        <v>3494.8800000000006</v>
      </c>
      <c r="D107" s="1232">
        <f>'Input data'!D128</f>
        <v>37998815.60662967</v>
      </c>
      <c r="E107" s="1128">
        <f t="shared" si="73"/>
        <v>0.9561230769230773</v>
      </c>
      <c r="F107" s="640">
        <f t="shared" si="74"/>
        <v>0.35763076923076936</v>
      </c>
      <c r="G107" s="1129">
        <f>B107*F107*'Input data'!$C$9</f>
        <v>707.94525755332154</v>
      </c>
      <c r="H107" s="835">
        <f>'Input data'!I128</f>
        <v>424.26313389388866</v>
      </c>
      <c r="I107" s="1062">
        <f>'Input data'!K128</f>
        <v>27439.642447721144</v>
      </c>
      <c r="J107" s="835">
        <f>($J$111-$J$106)/($A$111-$A$106)+J106</f>
        <v>63.092129655541726</v>
      </c>
      <c r="K107" s="1129">
        <f t="shared" si="75"/>
        <v>134.07077551802618</v>
      </c>
      <c r="L107" s="483">
        <f t="shared" si="28"/>
        <v>0.68153846153846187</v>
      </c>
      <c r="M107" s="483">
        <f t="shared" si="29"/>
        <v>0.57492307692307676</v>
      </c>
      <c r="N107" s="483">
        <f t="shared" si="30"/>
        <v>0.87107692307692264</v>
      </c>
      <c r="O107" s="483">
        <f t="shared" si="31"/>
        <v>0.88461538461538436</v>
      </c>
      <c r="P107" s="640">
        <f t="shared" si="32"/>
        <v>0.23600000000000002</v>
      </c>
      <c r="Q107" s="602">
        <f t="shared" si="33"/>
        <v>25.800454283433687</v>
      </c>
      <c r="R107" s="608">
        <f t="shared" si="34"/>
        <v>11.181258154796787</v>
      </c>
      <c r="S107" s="608">
        <f t="shared" si="11"/>
        <v>43.012995686887159</v>
      </c>
      <c r="T107" s="608">
        <f t="shared" si="12"/>
        <v>55.295304863764521</v>
      </c>
      <c r="U107" s="1226">
        <f t="shared" si="13"/>
        <v>0.67710709475193609</v>
      </c>
      <c r="V107" s="834">
        <f t="shared" si="14"/>
        <v>135.96712008363409</v>
      </c>
      <c r="W107" s="1128">
        <f>W106</f>
        <v>0.5</v>
      </c>
      <c r="X107" s="1227">
        <f t="shared" si="15"/>
        <v>53.669159952994768</v>
      </c>
      <c r="Y107" s="1227">
        <f t="shared" si="16"/>
        <v>73.339576568446887</v>
      </c>
      <c r="Z107" s="1062">
        <f t="shared" si="76"/>
        <v>123.82332860512102</v>
      </c>
      <c r="AA107" s="1228">
        <f t="shared" si="17"/>
        <v>60.731198949579294</v>
      </c>
      <c r="AB107" s="1229">
        <f t="shared" si="35"/>
        <v>0.49046653513292493</v>
      </c>
      <c r="AC107" s="135" t="str">
        <f t="shared" si="36"/>
        <v>Policies met</v>
      </c>
      <c r="AD107" s="1240">
        <f t="shared" si="37"/>
        <v>0.49046653513292493</v>
      </c>
      <c r="AE107" s="135" t="str">
        <f t="shared" si="38"/>
        <v>No</v>
      </c>
      <c r="AF107" s="1293">
        <f t="shared" si="39"/>
        <v>216.17626462831689</v>
      </c>
      <c r="AG107" s="236">
        <f t="shared" si="40"/>
        <v>63.092129655541726</v>
      </c>
      <c r="AH107" s="1232">
        <f t="shared" si="18"/>
        <v>69.279797804211739</v>
      </c>
      <c r="AI107" s="1231">
        <f t="shared" si="19"/>
        <v>57.545777942273439</v>
      </c>
      <c r="AJ107" s="1231">
        <f t="shared" si="20"/>
        <v>26.25855922629</v>
      </c>
      <c r="AK107" s="1232">
        <f t="shared" si="41"/>
        <v>216.17626462831691</v>
      </c>
      <c r="AL107" s="1232">
        <f t="shared" si="42"/>
        <v>0</v>
      </c>
      <c r="AM107" s="1128">
        <f t="shared" si="43"/>
        <v>0.29185502748888414</v>
      </c>
      <c r="AN107" s="640">
        <f t="shared" si="44"/>
        <v>0.32047828156957053</v>
      </c>
      <c r="AO107" s="640">
        <f t="shared" si="45"/>
        <v>0.26619841008546841</v>
      </c>
      <c r="AP107" s="640">
        <f t="shared" si="46"/>
        <v>0.12146828085607689</v>
      </c>
      <c r="AQ107" s="640">
        <f t="shared" si="47"/>
        <v>0.99999999999999989</v>
      </c>
      <c r="AR107" s="834">
        <f t="shared" si="77"/>
        <v>10.438851248487726</v>
      </c>
      <c r="AS107" s="835">
        <f t="shared" si="78"/>
        <v>16.907381778866956</v>
      </c>
      <c r="AT107" s="835">
        <f t="shared" si="79"/>
        <v>3.9684527374804106</v>
      </c>
      <c r="AU107" s="835">
        <f t="shared" si="48"/>
        <v>0</v>
      </c>
      <c r="AV107" s="835">
        <f t="shared" si="49"/>
        <v>0</v>
      </c>
      <c r="AW107" s="835">
        <f t="shared" si="50"/>
        <v>0</v>
      </c>
      <c r="AX107" s="1228">
        <f t="shared" si="21"/>
        <v>25.22743378488196</v>
      </c>
      <c r="AY107" s="835">
        <f t="shared" si="80"/>
        <v>2.2805570174209362</v>
      </c>
      <c r="AZ107" s="835">
        <f t="shared" si="81"/>
        <v>1.2989249458349634</v>
      </c>
      <c r="BA107" s="835">
        <f t="shared" si="82"/>
        <v>1.9653247583568985</v>
      </c>
      <c r="BB107" s="835">
        <f t="shared" si="83"/>
        <v>1.0052033842118324</v>
      </c>
      <c r="BC107" s="608">
        <f>SUM(AR107:BB107)</f>
        <v>63.09212965554169</v>
      </c>
      <c r="BD107" s="1230">
        <f t="shared" si="52"/>
        <v>0</v>
      </c>
      <c r="BE107" s="760">
        <f t="shared" si="53"/>
        <v>0.16545409555010687</v>
      </c>
      <c r="BF107" s="705">
        <f t="shared" si="54"/>
        <v>0.267979253056992</v>
      </c>
      <c r="BG107" s="705">
        <f t="shared" si="55"/>
        <v>6.2899330853889504E-2</v>
      </c>
      <c r="BH107" s="705">
        <f t="shared" si="56"/>
        <v>0</v>
      </c>
      <c r="BI107" s="705">
        <f t="shared" si="57"/>
        <v>0</v>
      </c>
      <c r="BJ107" s="705">
        <f t="shared" si="58"/>
        <v>0</v>
      </c>
      <c r="BK107" s="705">
        <f t="shared" si="59"/>
        <v>0.50366732053901153</v>
      </c>
      <c r="BL107" s="705">
        <f t="shared" si="60"/>
        <v>0.99999999999999989</v>
      </c>
      <c r="BM107" s="730">
        <f t="shared" si="84"/>
        <v>0.29028184578274857</v>
      </c>
      <c r="BN107" s="114">
        <f t="shared" si="61"/>
        <v>0.30317187715157518</v>
      </c>
      <c r="BO107" s="114">
        <f t="shared" si="61"/>
        <v>8.2805443243048754E-2</v>
      </c>
      <c r="BP107" s="114">
        <f t="shared" si="61"/>
        <v>0</v>
      </c>
      <c r="BQ107" s="114">
        <f t="shared" si="61"/>
        <v>0</v>
      </c>
      <c r="BR107" s="114">
        <f t="shared" si="61"/>
        <v>0</v>
      </c>
      <c r="BS107" s="114">
        <f t="shared" si="61"/>
        <v>0.32374083382262742</v>
      </c>
      <c r="BT107" s="604">
        <f t="shared" si="85"/>
        <v>0.99999999999999989</v>
      </c>
      <c r="BU107"/>
      <c r="BV107" s="606">
        <f t="shared" si="22"/>
        <v>58.011401529007244</v>
      </c>
      <c r="BW107" s="114">
        <f t="shared" si="62"/>
        <v>0.77627777239129692</v>
      </c>
      <c r="BX107" s="1503">
        <f t="shared" si="23"/>
        <v>37.99881560662967</v>
      </c>
      <c r="BY107" s="606">
        <f t="shared" si="24"/>
        <v>70.184656052445177</v>
      </c>
      <c r="BZ107" s="114">
        <f t="shared" si="63"/>
        <v>0.7288232908259662</v>
      </c>
      <c r="CA107" s="1503">
        <f t="shared" si="25"/>
        <v>50.172070130067617</v>
      </c>
      <c r="CB107" s="730">
        <f t="shared" si="26"/>
        <v>0.49046653513292493</v>
      </c>
      <c r="CC107" s="604">
        <f t="shared" si="27"/>
        <v>0.85</v>
      </c>
      <c r="CD107" s="114">
        <f t="shared" si="64"/>
        <v>0.49046653513292493</v>
      </c>
      <c r="CE107" s="604">
        <f t="shared" si="65"/>
        <v>0.85</v>
      </c>
      <c r="CF107"/>
      <c r="CG107" s="602">
        <f t="shared" si="66"/>
        <v>13.146194866182535</v>
      </c>
      <c r="CH107" s="704">
        <f t="shared" si="67"/>
        <v>5.6972252091868452</v>
      </c>
      <c r="CI107" s="704">
        <f t="shared" si="68"/>
        <v>21.916560726652168</v>
      </c>
      <c r="CJ107" s="704">
        <f t="shared" si="69"/>
        <v>28.174808278115165</v>
      </c>
      <c r="CK107" s="704">
        <f t="shared" si="70"/>
        <v>0.34500872407503291</v>
      </c>
      <c r="CL107" s="704">
        <f t="shared" si="71"/>
        <v>69.279797804211739</v>
      </c>
      <c r="CM107" s="727">
        <f t="shared" si="72"/>
        <v>0</v>
      </c>
    </row>
    <row r="108" spans="1:91" s="4" customFormat="1">
      <c r="A108" s="100">
        <f>'Input data'!A129</f>
        <v>2029</v>
      </c>
      <c r="B108" s="1231">
        <f>'Input data'!B129</f>
        <v>65.313000000000002</v>
      </c>
      <c r="C108" s="1232">
        <f>'Input data'!C129</f>
        <v>3576.08</v>
      </c>
      <c r="D108" s="1232">
        <f>'Input data'!D129</f>
        <v>37013386.410535313</v>
      </c>
      <c r="E108" s="1128">
        <f t="shared" si="73"/>
        <v>0.97806153846153887</v>
      </c>
      <c r="F108" s="640">
        <f t="shared" si="74"/>
        <v>0.36381538461538476</v>
      </c>
      <c r="G108" s="1129">
        <f>B108*F108*'Input data'!$C$9</f>
        <v>727.28116463059234</v>
      </c>
      <c r="H108" s="835">
        <f>'Input data'!I129</f>
        <v>424.26313389388866</v>
      </c>
      <c r="I108" s="1062">
        <f>'Input data'!K129</f>
        <v>27709.898064011551</v>
      </c>
      <c r="J108" s="835">
        <f t="shared" ref="J108:J110" si="87">($J$111-$J$106)/($A$111-$A$106)+J107</f>
        <v>57.177242500334685</v>
      </c>
      <c r="K108" s="1129">
        <f t="shared" si="75"/>
        <v>139.98566267323321</v>
      </c>
      <c r="L108" s="483">
        <f t="shared" si="28"/>
        <v>0.69076923076923114</v>
      </c>
      <c r="M108" s="483">
        <f t="shared" si="29"/>
        <v>0.58746153846153826</v>
      </c>
      <c r="N108" s="483">
        <f t="shared" si="30"/>
        <v>0.88553846153846105</v>
      </c>
      <c r="O108" s="483">
        <f t="shared" si="31"/>
        <v>0.89230769230769202</v>
      </c>
      <c r="P108" s="640">
        <f t="shared" si="32"/>
        <v>0.23600000000000002</v>
      </c>
      <c r="Q108" s="602">
        <f t="shared" si="33"/>
        <v>26.149896102170938</v>
      </c>
      <c r="R108" s="608">
        <f t="shared" si="34"/>
        <v>11.425109516749137</v>
      </c>
      <c r="S108" s="608">
        <f t="shared" si="11"/>
        <v>43.727093460565612</v>
      </c>
      <c r="T108" s="608">
        <f t="shared" si="12"/>
        <v>55.776133601710299</v>
      </c>
      <c r="U108" s="1226">
        <f t="shared" si="13"/>
        <v>0.67710709475193609</v>
      </c>
      <c r="V108" s="834">
        <f t="shared" si="14"/>
        <v>137.7553397759479</v>
      </c>
      <c r="W108" s="1128">
        <f t="shared" ref="W108:W129" si="88">W107</f>
        <v>0.5</v>
      </c>
      <c r="X108" s="1227">
        <f t="shared" si="15"/>
        <v>53.669159952994768</v>
      </c>
      <c r="Y108" s="1227">
        <f t="shared" si="16"/>
        <v>75.127796260760704</v>
      </c>
      <c r="Z108" s="1062">
        <f t="shared" si="76"/>
        <v>122.0351089128072</v>
      </c>
      <c r="AA108" s="1228">
        <f t="shared" si="17"/>
        <v>64.857866412472504</v>
      </c>
      <c r="AB108" s="1229">
        <f t="shared" si="35"/>
        <v>0.53146891079363701</v>
      </c>
      <c r="AC108" s="135" t="str">
        <f t="shared" si="36"/>
        <v>Policies met</v>
      </c>
      <c r="AD108" s="1240">
        <f t="shared" si="37"/>
        <v>0.53146891079363701</v>
      </c>
      <c r="AE108" s="135" t="str">
        <f t="shared" si="38"/>
        <v>No</v>
      </c>
      <c r="AF108" s="1293">
        <f t="shared" si="39"/>
        <v>198.78046823340867</v>
      </c>
      <c r="AG108" s="236">
        <f t="shared" si="40"/>
        <v>57.1772425003347</v>
      </c>
      <c r="AH108" s="1232">
        <f t="shared" si="18"/>
        <v>64.542659389217491</v>
      </c>
      <c r="AI108" s="1231">
        <f t="shared" si="19"/>
        <v>52.915044599778348</v>
      </c>
      <c r="AJ108" s="1231">
        <f t="shared" si="20"/>
        <v>24.14552174407816</v>
      </c>
      <c r="AK108" s="1232">
        <f t="shared" si="41"/>
        <v>198.7804682334087</v>
      </c>
      <c r="AL108" s="1232">
        <f t="shared" si="42"/>
        <v>0</v>
      </c>
      <c r="AM108" s="1128">
        <f t="shared" si="43"/>
        <v>0.28764014396624216</v>
      </c>
      <c r="AN108" s="640">
        <f t="shared" si="44"/>
        <v>0.32469316509221258</v>
      </c>
      <c r="AO108" s="640">
        <f t="shared" si="45"/>
        <v>0.26619841008546835</v>
      </c>
      <c r="AP108" s="640">
        <f t="shared" si="46"/>
        <v>0.1214682808560769</v>
      </c>
      <c r="AQ108" s="640">
        <f t="shared" si="47"/>
        <v>0.99999999999999989</v>
      </c>
      <c r="AR108" s="834">
        <f t="shared" si="77"/>
        <v>9.5988324276072436</v>
      </c>
      <c r="AS108" s="835">
        <f t="shared" si="78"/>
        <v>15.546837541959903</v>
      </c>
      <c r="AT108" s="835">
        <f t="shared" si="79"/>
        <v>3.4853852938786831</v>
      </c>
      <c r="AU108" s="835">
        <f t="shared" si="48"/>
        <v>0</v>
      </c>
      <c r="AV108" s="835">
        <f t="shared" si="49"/>
        <v>0</v>
      </c>
      <c r="AW108" s="835">
        <f t="shared" si="50"/>
        <v>0</v>
      </c>
      <c r="AX108" s="1228">
        <f t="shared" si="21"/>
        <v>23.197371407578999</v>
      </c>
      <c r="AY108" s="835">
        <f t="shared" si="80"/>
        <v>1.9827876754410951</v>
      </c>
      <c r="AZ108" s="835">
        <f t="shared" si="81"/>
        <v>0.85982289266262146</v>
      </c>
      <c r="BA108" s="835">
        <f t="shared" si="82"/>
        <v>1.5818910228831022</v>
      </c>
      <c r="BB108" s="835">
        <f t="shared" si="83"/>
        <v>0.92431423832300486</v>
      </c>
      <c r="BC108" s="608">
        <f t="shared" si="51"/>
        <v>57.177242500334657</v>
      </c>
      <c r="BD108" s="1230">
        <f t="shared" si="52"/>
        <v>0</v>
      </c>
      <c r="BE108" s="760">
        <f t="shared" si="53"/>
        <v>0.16787854761535698</v>
      </c>
      <c r="BF108" s="705">
        <f t="shared" si="54"/>
        <v>0.27190603922301615</v>
      </c>
      <c r="BG108" s="705">
        <f t="shared" si="55"/>
        <v>6.0957561810685137E-2</v>
      </c>
      <c r="BH108" s="705">
        <f t="shared" si="56"/>
        <v>0</v>
      </c>
      <c r="BI108" s="705">
        <f t="shared" si="57"/>
        <v>0</v>
      </c>
      <c r="BJ108" s="705">
        <f t="shared" si="58"/>
        <v>0</v>
      </c>
      <c r="BK108" s="705">
        <f t="shared" si="59"/>
        <v>0.49925785135094164</v>
      </c>
      <c r="BL108" s="705">
        <f t="shared" si="60"/>
        <v>1</v>
      </c>
      <c r="BM108" s="730">
        <f t="shared" si="84"/>
        <v>0.29028184578274857</v>
      </c>
      <c r="BN108" s="114">
        <f t="shared" si="61"/>
        <v>0.30317187715157518</v>
      </c>
      <c r="BO108" s="114">
        <f t="shared" si="61"/>
        <v>8.2805443243048754E-2</v>
      </c>
      <c r="BP108" s="114">
        <f t="shared" si="61"/>
        <v>0</v>
      </c>
      <c r="BQ108" s="114">
        <f t="shared" si="61"/>
        <v>0</v>
      </c>
      <c r="BR108" s="114">
        <f t="shared" si="61"/>
        <v>0</v>
      </c>
      <c r="BS108" s="114">
        <f t="shared" si="61"/>
        <v>0.32374083382262742</v>
      </c>
      <c r="BT108" s="604">
        <f t="shared" si="85"/>
        <v>0.99999999999999989</v>
      </c>
      <c r="BU108"/>
      <c r="BV108" s="606">
        <f t="shared" si="22"/>
        <v>56.167633091058349</v>
      </c>
      <c r="BW108" s="114">
        <f t="shared" si="62"/>
        <v>0.82392421598602072</v>
      </c>
      <c r="BX108" s="1503">
        <f t="shared" si="23"/>
        <v>37.013386410535311</v>
      </c>
      <c r="BY108" s="606">
        <f t="shared" si="24"/>
        <v>69.326316810590654</v>
      </c>
      <c r="BZ108" s="114">
        <f t="shared" si="63"/>
        <v>0.77610722299473334</v>
      </c>
      <c r="CA108" s="1503">
        <f t="shared" si="25"/>
        <v>50.172070130067617</v>
      </c>
      <c r="CB108" s="730">
        <f t="shared" si="26"/>
        <v>0.53146891079363701</v>
      </c>
      <c r="CC108" s="604">
        <f t="shared" si="27"/>
        <v>0.85</v>
      </c>
      <c r="CD108" s="114">
        <f t="shared" si="64"/>
        <v>0.53146891079363701</v>
      </c>
      <c r="CE108" s="604">
        <f t="shared" si="65"/>
        <v>0.85</v>
      </c>
      <c r="CF108"/>
      <c r="CG108" s="602">
        <f t="shared" si="66"/>
        <v>12.252039303383375</v>
      </c>
      <c r="CH108" s="704">
        <f t="shared" si="67"/>
        <v>5.3530190061844563</v>
      </c>
      <c r="CI108" s="704">
        <f t="shared" si="68"/>
        <v>20.487502726907238</v>
      </c>
      <c r="CJ108" s="704">
        <f t="shared" si="69"/>
        <v>26.132852628128948</v>
      </c>
      <c r="CK108" s="704">
        <f t="shared" si="70"/>
        <v>0.31724572461348066</v>
      </c>
      <c r="CL108" s="704">
        <f t="shared" si="71"/>
        <v>64.542659389217505</v>
      </c>
      <c r="CM108" s="727">
        <f t="shared" si="72"/>
        <v>0</v>
      </c>
    </row>
    <row r="109" spans="1:91" s="530" customFormat="1">
      <c r="A109" s="1083">
        <f>'Input data'!A130</f>
        <v>2030</v>
      </c>
      <c r="B109" s="1223">
        <f>'Input data'!B130</f>
        <v>65.956000000000003</v>
      </c>
      <c r="C109" s="1224">
        <f>'Input data'!C130</f>
        <v>3660.12</v>
      </c>
      <c r="D109" s="1224">
        <f>'Input data'!D130</f>
        <v>36027957.214440949</v>
      </c>
      <c r="E109" s="1131">
        <f>C53</f>
        <v>1</v>
      </c>
      <c r="F109" s="904">
        <f>D53</f>
        <v>0.37</v>
      </c>
      <c r="G109" s="1130">
        <f>B109*F109*'Input data'!$C$9</f>
        <v>746.92617855150922</v>
      </c>
      <c r="H109" s="1225">
        <f>'Input data'!I130</f>
        <v>424.26313389388866</v>
      </c>
      <c r="I109" s="1063">
        <f>'Input data'!K130</f>
        <v>27982.69925910532</v>
      </c>
      <c r="J109" s="835">
        <f t="shared" si="87"/>
        <v>51.262355345127645</v>
      </c>
      <c r="K109" s="1129">
        <f t="shared" si="75"/>
        <v>145.90054982844026</v>
      </c>
      <c r="L109" s="904">
        <f>C19</f>
        <v>0.7</v>
      </c>
      <c r="M109" s="904">
        <f>D19</f>
        <v>0.6</v>
      </c>
      <c r="N109" s="904">
        <f>E19</f>
        <v>0.9</v>
      </c>
      <c r="O109" s="904">
        <f>F19</f>
        <v>0.9</v>
      </c>
      <c r="P109" s="904">
        <f>G19</f>
        <v>0.23600000000000002</v>
      </c>
      <c r="Q109" s="602">
        <f t="shared" si="33"/>
        <v>26.499337920908175</v>
      </c>
      <c r="R109" s="608">
        <f t="shared" si="34"/>
        <v>11.668960878701492</v>
      </c>
      <c r="S109" s="608">
        <f t="shared" si="11"/>
        <v>44.441191234244087</v>
      </c>
      <c r="T109" s="608">
        <f t="shared" si="12"/>
        <v>56.256962339656091</v>
      </c>
      <c r="U109" s="1226">
        <f t="shared" si="13"/>
        <v>0.67710709475193609</v>
      </c>
      <c r="V109" s="834">
        <f t="shared" si="14"/>
        <v>139.54355946826178</v>
      </c>
      <c r="W109" s="1128">
        <f t="shared" si="88"/>
        <v>0.5</v>
      </c>
      <c r="X109" s="1227">
        <f t="shared" si="15"/>
        <v>53.669159952994768</v>
      </c>
      <c r="Y109" s="1227">
        <f t="shared" si="16"/>
        <v>76.916015953074577</v>
      </c>
      <c r="Z109" s="1062">
        <f t="shared" si="76"/>
        <v>120.24688922049333</v>
      </c>
      <c r="AA109" s="1228">
        <f t="shared" si="17"/>
        <v>68.984533875365685</v>
      </c>
      <c r="AB109" s="1229">
        <f t="shared" si="35"/>
        <v>0.57369079834465153</v>
      </c>
      <c r="AC109" s="135" t="str">
        <f t="shared" si="36"/>
        <v>Policies met</v>
      </c>
      <c r="AD109" s="1240">
        <f t="shared" si="37"/>
        <v>0.57369079834465153</v>
      </c>
      <c r="AE109" s="135" t="str">
        <f t="shared" si="38"/>
        <v>No</v>
      </c>
      <c r="AF109" s="1293">
        <f t="shared" si="39"/>
        <v>180.86727790209989</v>
      </c>
      <c r="AG109" s="236">
        <f t="shared" si="40"/>
        <v>51.262355345127645</v>
      </c>
      <c r="AH109" s="1232">
        <f t="shared" si="18"/>
        <v>59.488703433060323</v>
      </c>
      <c r="AI109" s="1231">
        <f t="shared" si="19"/>
        <v>48.146581814025566</v>
      </c>
      <c r="AJ109" s="1231">
        <f t="shared" si="20"/>
        <v>21.969637309886384</v>
      </c>
      <c r="AK109" s="1232">
        <f t="shared" si="41"/>
        <v>180.86727790209991</v>
      </c>
      <c r="AL109" s="1232">
        <f t="shared" si="42"/>
        <v>0</v>
      </c>
      <c r="AM109" s="1128">
        <f t="shared" si="43"/>
        <v>0.2834252604436</v>
      </c>
      <c r="AN109" s="640">
        <f t="shared" si="44"/>
        <v>0.32890804861485473</v>
      </c>
      <c r="AO109" s="640">
        <f t="shared" si="45"/>
        <v>0.26619841008546841</v>
      </c>
      <c r="AP109" s="640">
        <f t="shared" si="46"/>
        <v>0.1214682808560769</v>
      </c>
      <c r="AQ109" s="640">
        <f t="shared" si="47"/>
        <v>1</v>
      </c>
      <c r="AR109" s="834">
        <f t="shared" si="77"/>
        <v>8.7338293729199599</v>
      </c>
      <c r="AS109" s="835">
        <f t="shared" si="78"/>
        <v>14.145827360154431</v>
      </c>
      <c r="AT109" s="835">
        <f t="shared" si="79"/>
        <v>3.022327984719122</v>
      </c>
      <c r="AU109" s="835">
        <f t="shared" si="48"/>
        <v>0</v>
      </c>
      <c r="AV109" s="835">
        <f t="shared" si="49"/>
        <v>0</v>
      </c>
      <c r="AW109" s="835">
        <f t="shared" si="50"/>
        <v>0</v>
      </c>
      <c r="AX109" s="1228">
        <f t="shared" si="21"/>
        <v>21.106929962788275</v>
      </c>
      <c r="AY109" s="835">
        <f t="shared" si="80"/>
        <v>1.7001518024997329</v>
      </c>
      <c r="AZ109" s="835">
        <f t="shared" si="81"/>
        <v>0.47791311835861006</v>
      </c>
      <c r="BA109" s="835">
        <f t="shared" si="82"/>
        <v>1.2343564941738161</v>
      </c>
      <c r="BB109" s="835">
        <f t="shared" si="83"/>
        <v>0.84101924951365703</v>
      </c>
      <c r="BC109" s="608">
        <f t="shared" si="51"/>
        <v>51.262355345127602</v>
      </c>
      <c r="BD109" s="1230">
        <f t="shared" si="52"/>
        <v>0</v>
      </c>
      <c r="BE109" s="760">
        <f t="shared" si="53"/>
        <v>0.17037510887119423</v>
      </c>
      <c r="BF109" s="705">
        <f t="shared" si="54"/>
        <v>0.2759496177051679</v>
      </c>
      <c r="BG109" s="705">
        <f t="shared" si="55"/>
        <v>5.8958039761752561E-2</v>
      </c>
      <c r="BH109" s="705">
        <f t="shared" si="56"/>
        <v>0</v>
      </c>
      <c r="BI109" s="705">
        <f t="shared" si="57"/>
        <v>0</v>
      </c>
      <c r="BJ109" s="705">
        <f t="shared" si="58"/>
        <v>0</v>
      </c>
      <c r="BK109" s="705">
        <f t="shared" si="59"/>
        <v>0.49471723366188541</v>
      </c>
      <c r="BL109" s="705">
        <f t="shared" si="60"/>
        <v>1</v>
      </c>
      <c r="BM109" s="730">
        <f t="shared" si="84"/>
        <v>0.29028184578274857</v>
      </c>
      <c r="BN109" s="114">
        <f t="shared" si="61"/>
        <v>0.30317187715157518</v>
      </c>
      <c r="BO109" s="114">
        <f t="shared" si="61"/>
        <v>8.2805443243048754E-2</v>
      </c>
      <c r="BP109" s="114">
        <f t="shared" si="61"/>
        <v>0</v>
      </c>
      <c r="BQ109" s="114">
        <f t="shared" si="61"/>
        <v>0</v>
      </c>
      <c r="BR109" s="114">
        <f t="shared" si="61"/>
        <v>0</v>
      </c>
      <c r="BS109" s="114">
        <f t="shared" si="61"/>
        <v>0.32374083382262742</v>
      </c>
      <c r="BT109" s="604">
        <f t="shared" si="85"/>
        <v>0.99999999999999989</v>
      </c>
      <c r="BU109" s="1"/>
      <c r="BV109" s="606">
        <f t="shared" si="22"/>
        <v>54.273566515095546</v>
      </c>
      <c r="BW109" s="114">
        <f t="shared" si="62"/>
        <v>0.87291810619176224</v>
      </c>
      <c r="BX109" s="1503">
        <f t="shared" si="23"/>
        <v>36.027957214440953</v>
      </c>
      <c r="BY109" s="606">
        <f t="shared" si="24"/>
        <v>68.417679430722217</v>
      </c>
      <c r="BZ109" s="114">
        <f t="shared" si="63"/>
        <v>0.82619803616022147</v>
      </c>
      <c r="CA109" s="1503">
        <f t="shared" si="25"/>
        <v>50.172070130067617</v>
      </c>
      <c r="CB109" s="730">
        <f t="shared" si="26"/>
        <v>0.57369079834465153</v>
      </c>
      <c r="CC109" s="604">
        <f t="shared" si="27"/>
        <v>0.85</v>
      </c>
      <c r="CD109" s="114">
        <f t="shared" si="64"/>
        <v>0.57369079834465153</v>
      </c>
      <c r="CE109" s="604">
        <f t="shared" si="65"/>
        <v>0.85</v>
      </c>
      <c r="CF109" s="1"/>
      <c r="CG109" s="602">
        <f t="shared" si="66"/>
        <v>11.296911593457667</v>
      </c>
      <c r="CH109" s="704">
        <f t="shared" si="67"/>
        <v>4.9745853963467264</v>
      </c>
      <c r="CI109" s="704">
        <f t="shared" si="68"/>
        <v>18.945688755683268</v>
      </c>
      <c r="CJ109" s="704">
        <f t="shared" si="69"/>
        <v>23.982860702573792</v>
      </c>
      <c r="CK109" s="704">
        <f t="shared" si="70"/>
        <v>0.28865698499887027</v>
      </c>
      <c r="CL109" s="704">
        <f t="shared" si="71"/>
        <v>59.48870343306033</v>
      </c>
      <c r="CM109" s="727">
        <f t="shared" si="72"/>
        <v>0</v>
      </c>
    </row>
    <row r="110" spans="1:91" s="4" customFormat="1">
      <c r="A110" s="100">
        <f>'Input data'!A131</f>
        <v>2031</v>
      </c>
      <c r="B110" s="1231">
        <f>'Input data'!B131</f>
        <v>66.519000000000005</v>
      </c>
      <c r="C110" s="1232">
        <f>'Input data'!C131</f>
        <v>3761.03</v>
      </c>
      <c r="D110" s="1232">
        <f>'Input data'!D131</f>
        <v>35846430.699385166</v>
      </c>
      <c r="E110" s="1128">
        <f>E109</f>
        <v>1</v>
      </c>
      <c r="F110" s="640">
        <f>F109</f>
        <v>0.37</v>
      </c>
      <c r="G110" s="1129">
        <f>B110*F110*'Input data'!$C$9</f>
        <v>753.30193570058589</v>
      </c>
      <c r="H110" s="835">
        <f>'Input data'!I131</f>
        <v>424.26313389388866</v>
      </c>
      <c r="I110" s="1062">
        <f>'Input data'!K131</f>
        <v>28221.559403487583</v>
      </c>
      <c r="J110" s="835">
        <f t="shared" si="87"/>
        <v>45.347468189920605</v>
      </c>
      <c r="K110" s="1129">
        <f t="shared" si="75"/>
        <v>151.81543698364732</v>
      </c>
      <c r="L110" s="640">
        <f>L109</f>
        <v>0.7</v>
      </c>
      <c r="M110" s="640">
        <f t="shared" ref="M110:P125" si="89">M109</f>
        <v>0.6</v>
      </c>
      <c r="N110" s="640">
        <f t="shared" si="89"/>
        <v>0.9</v>
      </c>
      <c r="O110" s="640">
        <f t="shared" si="89"/>
        <v>0.9</v>
      </c>
      <c r="P110" s="640">
        <f t="shared" si="89"/>
        <v>0.23600000000000002</v>
      </c>
      <c r="Q110" s="602">
        <f t="shared" si="33"/>
        <v>26.499337920908175</v>
      </c>
      <c r="R110" s="608">
        <f t="shared" si="34"/>
        <v>11.668960878701492</v>
      </c>
      <c r="S110" s="608">
        <f t="shared" si="11"/>
        <v>44.441191234244087</v>
      </c>
      <c r="T110" s="608">
        <f t="shared" si="12"/>
        <v>56.256962339656091</v>
      </c>
      <c r="U110" s="1226">
        <f t="shared" si="13"/>
        <v>0.67710709475193609</v>
      </c>
      <c r="V110" s="834">
        <f t="shared" si="14"/>
        <v>139.54355946826178</v>
      </c>
      <c r="W110" s="1128">
        <f t="shared" si="88"/>
        <v>0.5</v>
      </c>
      <c r="X110" s="1227">
        <f t="shared" si="15"/>
        <v>53.669159952994768</v>
      </c>
      <c r="Y110" s="1227">
        <f t="shared" si="16"/>
        <v>76.916015953074577</v>
      </c>
      <c r="Z110" s="1062">
        <f t="shared" si="76"/>
        <v>120.24688922049333</v>
      </c>
      <c r="AA110" s="1228">
        <f t="shared" si="17"/>
        <v>74.899421030572739</v>
      </c>
      <c r="AB110" s="1229">
        <f t="shared" si="35"/>
        <v>0.62288032161257645</v>
      </c>
      <c r="AC110" s="135" t="str">
        <f t="shared" si="36"/>
        <v>Policies met</v>
      </c>
      <c r="AD110" s="1240">
        <f t="shared" si="37"/>
        <v>0.62288032161257645</v>
      </c>
      <c r="AE110" s="135" t="str">
        <f t="shared" si="38"/>
        <v>No</v>
      </c>
      <c r="AF110" s="1293">
        <f t="shared" si="39"/>
        <v>159.99797660570371</v>
      </c>
      <c r="AG110" s="236">
        <f t="shared" si="40"/>
        <v>45.34746818992059</v>
      </c>
      <c r="AH110" s="1232">
        <f t="shared" si="18"/>
        <v>52.624622267707196</v>
      </c>
      <c r="AI110" s="1231">
        <f t="shared" si="19"/>
        <v>42.591206989330296</v>
      </c>
      <c r="AJ110" s="1231">
        <f t="shared" si="20"/>
        <v>19.434679158745642</v>
      </c>
      <c r="AK110" s="1232">
        <f t="shared" si="41"/>
        <v>159.99797660570371</v>
      </c>
      <c r="AL110" s="1232">
        <f t="shared" si="42"/>
        <v>0</v>
      </c>
      <c r="AM110" s="1128">
        <f t="shared" si="43"/>
        <v>0.28342526044359995</v>
      </c>
      <c r="AN110" s="640">
        <f t="shared" si="44"/>
        <v>0.32890804861485479</v>
      </c>
      <c r="AO110" s="640">
        <f t="shared" si="45"/>
        <v>0.26619841008546841</v>
      </c>
      <c r="AP110" s="640">
        <f t="shared" si="46"/>
        <v>0.12146828085607692</v>
      </c>
      <c r="AQ110" s="640">
        <f t="shared" si="47"/>
        <v>1</v>
      </c>
      <c r="AR110" s="834">
        <f t="shared" si="77"/>
        <v>7.7260798298907316</v>
      </c>
      <c r="AS110" s="835">
        <f t="shared" si="78"/>
        <v>12.513616510905841</v>
      </c>
      <c r="AT110" s="835">
        <f t="shared" si="79"/>
        <v>2.6735978326361458</v>
      </c>
      <c r="AU110" s="835">
        <f t="shared" si="48"/>
        <v>0</v>
      </c>
      <c r="AV110" s="835">
        <f t="shared" si="49"/>
        <v>0</v>
      </c>
      <c r="AW110" s="835">
        <f t="shared" si="50"/>
        <v>0</v>
      </c>
      <c r="AX110" s="1228">
        <f t="shared" si="21"/>
        <v>18.671514967081933</v>
      </c>
      <c r="AY110" s="835">
        <f t="shared" si="80"/>
        <v>1.5039804406728401</v>
      </c>
      <c r="AZ110" s="835">
        <f t="shared" si="81"/>
        <v>0.42276929700953958</v>
      </c>
      <c r="BA110" s="835">
        <f t="shared" si="82"/>
        <v>1.0919307448460678</v>
      </c>
      <c r="BB110" s="835">
        <f t="shared" si="83"/>
        <v>0.74397856687746566</v>
      </c>
      <c r="BC110" s="608">
        <f t="shared" si="51"/>
        <v>45.347468189920562</v>
      </c>
      <c r="BD110" s="1230">
        <f t="shared" si="52"/>
        <v>0</v>
      </c>
      <c r="BE110" s="760">
        <f t="shared" si="53"/>
        <v>0.1703751088711942</v>
      </c>
      <c r="BF110" s="705">
        <f t="shared" si="54"/>
        <v>0.2759496177051679</v>
      </c>
      <c r="BG110" s="705">
        <f t="shared" si="55"/>
        <v>5.8958039761752561E-2</v>
      </c>
      <c r="BH110" s="705">
        <f t="shared" si="56"/>
        <v>0</v>
      </c>
      <c r="BI110" s="705">
        <f t="shared" si="57"/>
        <v>0</v>
      </c>
      <c r="BJ110" s="705">
        <f t="shared" si="58"/>
        <v>0</v>
      </c>
      <c r="BK110" s="705">
        <f t="shared" si="59"/>
        <v>0.49471723366188547</v>
      </c>
      <c r="BL110" s="705">
        <f t="shared" si="60"/>
        <v>1</v>
      </c>
      <c r="BM110" s="730">
        <f t="shared" si="84"/>
        <v>0.29028184578274857</v>
      </c>
      <c r="BN110" s="114">
        <f t="shared" si="61"/>
        <v>0.30317187715157518</v>
      </c>
      <c r="BO110" s="114">
        <f t="shared" si="61"/>
        <v>8.2805443243048754E-2</v>
      </c>
      <c r="BP110" s="114">
        <f t="shared" si="61"/>
        <v>0</v>
      </c>
      <c r="BQ110" s="114">
        <f t="shared" si="61"/>
        <v>0</v>
      </c>
      <c r="BR110" s="114">
        <f t="shared" si="61"/>
        <v>0</v>
      </c>
      <c r="BS110" s="114">
        <f t="shared" si="61"/>
        <v>0.32374083382262742</v>
      </c>
      <c r="BT110" s="604">
        <f t="shared" si="85"/>
        <v>0.99999999999999989</v>
      </c>
      <c r="BU110"/>
      <c r="BV110" s="606">
        <f t="shared" si="22"/>
        <v>52.979805211605893</v>
      </c>
      <c r="BW110" s="114">
        <f t="shared" si="62"/>
        <v>0.85151459435001897</v>
      </c>
      <c r="BX110" s="1503">
        <f t="shared" si="23"/>
        <v>35.846430699385166</v>
      </c>
      <c r="BY110" s="606">
        <f t="shared" si="24"/>
        <v>67.305444642288322</v>
      </c>
      <c r="BZ110" s="114">
        <f t="shared" si="63"/>
        <v>0.80881499458342854</v>
      </c>
      <c r="CA110" s="1503">
        <f t="shared" si="25"/>
        <v>50.172070130067617</v>
      </c>
      <c r="CB110" s="730">
        <f t="shared" si="26"/>
        <v>0.62288032161257645</v>
      </c>
      <c r="CC110" s="604">
        <f t="shared" si="27"/>
        <v>0.85</v>
      </c>
      <c r="CD110" s="114">
        <f t="shared" si="64"/>
        <v>0.62288032161257645</v>
      </c>
      <c r="CE110" s="604">
        <f t="shared" si="65"/>
        <v>0.85</v>
      </c>
      <c r="CF110"/>
      <c r="CG110" s="602">
        <f t="shared" si="66"/>
        <v>9.9934217942125478</v>
      </c>
      <c r="CH110" s="704">
        <f t="shared" si="67"/>
        <v>4.400594773691334</v>
      </c>
      <c r="CI110" s="704">
        <f t="shared" si="68"/>
        <v>16.759647745412117</v>
      </c>
      <c r="CJ110" s="704">
        <f t="shared" si="69"/>
        <v>21.215607544584504</v>
      </c>
      <c r="CK110" s="704">
        <f t="shared" si="70"/>
        <v>0.25535040980669288</v>
      </c>
      <c r="CL110" s="704">
        <f t="shared" si="71"/>
        <v>52.624622267707196</v>
      </c>
      <c r="CM110" s="727">
        <f t="shared" si="72"/>
        <v>0</v>
      </c>
    </row>
    <row r="111" spans="1:91" s="4" customFormat="1">
      <c r="A111" s="100">
        <f>'Input data'!A132</f>
        <v>2032</v>
      </c>
      <c r="B111" s="1231">
        <f>'Input data'!B132</f>
        <v>67.087000000000003</v>
      </c>
      <c r="C111" s="1232">
        <f>'Input data'!C132</f>
        <v>3857.2</v>
      </c>
      <c r="D111" s="1232">
        <f>'Input data'!D132</f>
        <v>35664904.184329376</v>
      </c>
      <c r="E111" s="1128">
        <f t="shared" ref="E111:F126" si="90">E110</f>
        <v>1</v>
      </c>
      <c r="F111" s="640">
        <f t="shared" si="90"/>
        <v>0.37</v>
      </c>
      <c r="G111" s="1129">
        <f>B111*F111*'Input data'!$C$9</f>
        <v>759.73431591492977</v>
      </c>
      <c r="H111" s="835">
        <f>'Input data'!I132</f>
        <v>424.26313389388866</v>
      </c>
      <c r="I111" s="1062">
        <f>'Input data'!K132</f>
        <v>28462.540863539311</v>
      </c>
      <c r="J111" s="835">
        <f>J96*(1-$G$6)</f>
        <v>39.432581034713571</v>
      </c>
      <c r="K111" s="1129">
        <f t="shared" si="75"/>
        <v>157.73032413885434</v>
      </c>
      <c r="L111" s="640">
        <f>C20</f>
        <v>0.7</v>
      </c>
      <c r="M111" s="640">
        <f>D20</f>
        <v>0.6</v>
      </c>
      <c r="N111" s="640">
        <f t="shared" si="89"/>
        <v>0.9</v>
      </c>
      <c r="O111" s="640">
        <f t="shared" si="89"/>
        <v>0.9</v>
      </c>
      <c r="P111" s="640">
        <f t="shared" si="89"/>
        <v>0.23600000000000002</v>
      </c>
      <c r="Q111" s="602">
        <f t="shared" si="33"/>
        <v>26.499337920908175</v>
      </c>
      <c r="R111" s="608">
        <f t="shared" si="34"/>
        <v>11.668960878701492</v>
      </c>
      <c r="S111" s="608">
        <f t="shared" si="11"/>
        <v>44.441191234244087</v>
      </c>
      <c r="T111" s="608">
        <f t="shared" si="12"/>
        <v>56.256962339656091</v>
      </c>
      <c r="U111" s="1226">
        <f t="shared" si="13"/>
        <v>0.67710709475193609</v>
      </c>
      <c r="V111" s="834">
        <f t="shared" si="14"/>
        <v>139.54355946826178</v>
      </c>
      <c r="W111" s="1128">
        <f t="shared" si="88"/>
        <v>0.5</v>
      </c>
      <c r="X111" s="1227">
        <f t="shared" si="15"/>
        <v>53.669159952994768</v>
      </c>
      <c r="Y111" s="1227">
        <f t="shared" si="16"/>
        <v>76.916015953074577</v>
      </c>
      <c r="Z111" s="1062">
        <f t="shared" si="76"/>
        <v>120.24688922049333</v>
      </c>
      <c r="AA111" s="1228">
        <f t="shared" si="17"/>
        <v>80.814308185779765</v>
      </c>
      <c r="AB111" s="1229">
        <f t="shared" si="35"/>
        <v>0.67206984488050125</v>
      </c>
      <c r="AC111" s="135" t="str">
        <f t="shared" si="36"/>
        <v>Policies met</v>
      </c>
      <c r="AD111" s="1240">
        <f t="shared" si="37"/>
        <v>0.67206984488050125</v>
      </c>
      <c r="AE111" s="135" t="str">
        <f t="shared" si="38"/>
        <v>No</v>
      </c>
      <c r="AF111" s="1293">
        <f t="shared" si="39"/>
        <v>139.12867530930757</v>
      </c>
      <c r="AG111" s="236">
        <f t="shared" si="40"/>
        <v>39.432581034713564</v>
      </c>
      <c r="AH111" s="1232">
        <f t="shared" si="18"/>
        <v>45.760541102354082</v>
      </c>
      <c r="AI111" s="1231">
        <f t="shared" si="19"/>
        <v>37.035832164635039</v>
      </c>
      <c r="AJ111" s="1231">
        <f t="shared" si="20"/>
        <v>16.899721007604906</v>
      </c>
      <c r="AK111" s="1232">
        <f t="shared" si="41"/>
        <v>139.1286753093076</v>
      </c>
      <c r="AL111" s="1232">
        <f t="shared" si="42"/>
        <v>0</v>
      </c>
      <c r="AM111" s="1128">
        <f t="shared" si="43"/>
        <v>0.2834252604436</v>
      </c>
      <c r="AN111" s="640">
        <f t="shared" si="44"/>
        <v>0.32890804861485473</v>
      </c>
      <c r="AO111" s="640">
        <f t="shared" si="45"/>
        <v>0.26619841008546835</v>
      </c>
      <c r="AP111" s="640">
        <f t="shared" si="46"/>
        <v>0.1214682808560769</v>
      </c>
      <c r="AQ111" s="640">
        <f t="shared" si="47"/>
        <v>0.99999999999999989</v>
      </c>
      <c r="AR111" s="834">
        <f t="shared" si="77"/>
        <v>6.718330286861506</v>
      </c>
      <c r="AS111" s="835">
        <f t="shared" si="78"/>
        <v>10.881405661657253</v>
      </c>
      <c r="AT111" s="835">
        <f t="shared" si="79"/>
        <v>2.3248676805531701</v>
      </c>
      <c r="AU111" s="835">
        <f t="shared" si="48"/>
        <v>0</v>
      </c>
      <c r="AV111" s="835">
        <f t="shared" si="49"/>
        <v>0</v>
      </c>
      <c r="AW111" s="835">
        <f t="shared" si="50"/>
        <v>0</v>
      </c>
      <c r="AX111" s="1228">
        <f t="shared" si="21"/>
        <v>16.236099971375594</v>
      </c>
      <c r="AY111" s="835">
        <f t="shared" si="80"/>
        <v>1.307809078845948</v>
      </c>
      <c r="AZ111" s="835">
        <f t="shared" si="81"/>
        <v>0.36762547566046921</v>
      </c>
      <c r="BA111" s="835">
        <f t="shared" si="82"/>
        <v>0.94950499551831991</v>
      </c>
      <c r="BB111" s="835">
        <f t="shared" si="83"/>
        <v>0.64693788424127452</v>
      </c>
      <c r="BC111" s="608">
        <f t="shared" si="51"/>
        <v>39.432581034713529</v>
      </c>
      <c r="BD111" s="1230">
        <f t="shared" si="52"/>
        <v>0</v>
      </c>
      <c r="BE111" s="760">
        <f t="shared" si="53"/>
        <v>0.17037510887119423</v>
      </c>
      <c r="BF111" s="705">
        <f t="shared" si="54"/>
        <v>0.2759496177051679</v>
      </c>
      <c r="BG111" s="705">
        <f t="shared" si="55"/>
        <v>5.8958039761752561E-2</v>
      </c>
      <c r="BH111" s="705">
        <f t="shared" si="56"/>
        <v>0</v>
      </c>
      <c r="BI111" s="705">
        <f t="shared" si="57"/>
        <v>0</v>
      </c>
      <c r="BJ111" s="705">
        <f t="shared" si="58"/>
        <v>0</v>
      </c>
      <c r="BK111" s="705">
        <f t="shared" si="59"/>
        <v>0.49471723366188552</v>
      </c>
      <c r="BL111" s="705">
        <f t="shared" si="60"/>
        <v>1.0000000000000002</v>
      </c>
      <c r="BM111" s="730">
        <f t="shared" si="84"/>
        <v>0.29028184578274857</v>
      </c>
      <c r="BN111" s="114">
        <f t="shared" si="61"/>
        <v>0.30317187715157518</v>
      </c>
      <c r="BO111" s="114">
        <f t="shared" si="61"/>
        <v>8.2805443243048754E-2</v>
      </c>
      <c r="BP111" s="114">
        <f t="shared" si="61"/>
        <v>0</v>
      </c>
      <c r="BQ111" s="114">
        <f t="shared" si="61"/>
        <v>0</v>
      </c>
      <c r="BR111" s="114">
        <f t="shared" si="61"/>
        <v>0</v>
      </c>
      <c r="BS111" s="114">
        <f t="shared" si="61"/>
        <v>0.32374083382262742</v>
      </c>
      <c r="BT111" s="604">
        <f t="shared" si="85"/>
        <v>0.99999999999999989</v>
      </c>
      <c r="BU111"/>
      <c r="BV111" s="606">
        <f t="shared" si="22"/>
        <v>51.655060825074962</v>
      </c>
      <c r="BW111" s="114">
        <f t="shared" si="62"/>
        <v>0.82921538172565135</v>
      </c>
      <c r="BX111" s="1503">
        <f t="shared" si="23"/>
        <v>35.664904184329373</v>
      </c>
      <c r="BY111" s="606">
        <f t="shared" si="24"/>
        <v>66.162226770813206</v>
      </c>
      <c r="BZ111" s="114">
        <f t="shared" si="63"/>
        <v>0.79091680211042981</v>
      </c>
      <c r="CA111" s="1503">
        <f t="shared" si="25"/>
        <v>50.172070130067617</v>
      </c>
      <c r="CB111" s="730">
        <f t="shared" si="26"/>
        <v>0.67206984488050125</v>
      </c>
      <c r="CC111" s="604">
        <f t="shared" si="27"/>
        <v>0.85</v>
      </c>
      <c r="CD111" s="114">
        <f t="shared" si="64"/>
        <v>0.67206984488050125</v>
      </c>
      <c r="CE111" s="604">
        <f t="shared" si="65"/>
        <v>0.85</v>
      </c>
      <c r="CF111"/>
      <c r="CG111" s="602">
        <f t="shared" si="66"/>
        <v>8.6899319949674325</v>
      </c>
      <c r="CH111" s="704">
        <f t="shared" si="67"/>
        <v>3.8266041510359425</v>
      </c>
      <c r="CI111" s="704">
        <f t="shared" si="68"/>
        <v>14.573606735140972</v>
      </c>
      <c r="CJ111" s="704">
        <f t="shared" si="69"/>
        <v>18.44835438659522</v>
      </c>
      <c r="CK111" s="704">
        <f t="shared" si="70"/>
        <v>0.22204383461451555</v>
      </c>
      <c r="CL111" s="704">
        <f t="shared" si="71"/>
        <v>45.760541102354082</v>
      </c>
      <c r="CM111" s="727">
        <f t="shared" si="72"/>
        <v>0</v>
      </c>
    </row>
    <row r="112" spans="1:91">
      <c r="A112" s="127">
        <f>'Input data'!A133</f>
        <v>2033</v>
      </c>
      <c r="B112" s="748">
        <f>'Input data'!B133</f>
        <v>67.659000000000006</v>
      </c>
      <c r="C112" s="236">
        <f>'Input data'!C133</f>
        <v>3964.01</v>
      </c>
      <c r="D112" s="236">
        <f>'Input data'!D133</f>
        <v>35483377.6692736</v>
      </c>
      <c r="E112" s="1128">
        <f t="shared" si="90"/>
        <v>1</v>
      </c>
      <c r="F112" s="640">
        <f t="shared" si="90"/>
        <v>0.37</v>
      </c>
      <c r="G112" s="1129">
        <f>B112*F112*'Input data'!$C$9</f>
        <v>766.21199458148715</v>
      </c>
      <c r="H112" s="608">
        <f>'Input data'!I133</f>
        <v>424.26313389388866</v>
      </c>
      <c r="I112" s="607">
        <f>'Input data'!K133</f>
        <v>28705.219376126617</v>
      </c>
      <c r="J112" s="608">
        <f>J111</f>
        <v>39.432581034713571</v>
      </c>
      <c r="K112" s="609">
        <f t="shared" si="75"/>
        <v>157.73032413885434</v>
      </c>
      <c r="L112" s="483">
        <f t="shared" ref="L112:P126" si="91">L111</f>
        <v>0.7</v>
      </c>
      <c r="M112" s="483">
        <f t="shared" si="89"/>
        <v>0.6</v>
      </c>
      <c r="N112" s="483">
        <f t="shared" si="89"/>
        <v>0.9</v>
      </c>
      <c r="O112" s="483">
        <f t="shared" si="89"/>
        <v>0.9</v>
      </c>
      <c r="P112" s="483">
        <f t="shared" si="89"/>
        <v>0.23600000000000002</v>
      </c>
      <c r="Q112" s="602">
        <f t="shared" si="33"/>
        <v>26.499337920908175</v>
      </c>
      <c r="R112" s="608">
        <f t="shared" si="34"/>
        <v>11.668960878701492</v>
      </c>
      <c r="S112" s="608">
        <f t="shared" si="11"/>
        <v>44.441191234244087</v>
      </c>
      <c r="T112" s="608">
        <f t="shared" si="12"/>
        <v>56.256962339656091</v>
      </c>
      <c r="U112" s="727">
        <f t="shared" si="13"/>
        <v>0.67710709475193609</v>
      </c>
      <c r="V112" s="602">
        <f t="shared" si="14"/>
        <v>139.54355946826178</v>
      </c>
      <c r="W112" s="730">
        <f t="shared" si="88"/>
        <v>0.5</v>
      </c>
      <c r="X112" s="606">
        <f t="shared" si="15"/>
        <v>53.669159952994768</v>
      </c>
      <c r="Y112" s="606">
        <f t="shared" si="16"/>
        <v>76.916015953074577</v>
      </c>
      <c r="Z112" s="607">
        <f t="shared" si="76"/>
        <v>120.24688922049333</v>
      </c>
      <c r="AA112" s="623">
        <f t="shared" si="17"/>
        <v>80.814308185779765</v>
      </c>
      <c r="AB112" s="811">
        <f t="shared" si="35"/>
        <v>0.67206984488050125</v>
      </c>
      <c r="AC112" s="135" t="str">
        <f t="shared" si="36"/>
        <v>Policies met</v>
      </c>
      <c r="AD112" s="1240">
        <f t="shared" si="37"/>
        <v>0.67206984488050125</v>
      </c>
      <c r="AE112" s="135" t="str">
        <f t="shared" si="38"/>
        <v>No</v>
      </c>
      <c r="AF112" s="1293">
        <f t="shared" si="39"/>
        <v>139.12867530930757</v>
      </c>
      <c r="AG112" s="236">
        <f t="shared" si="40"/>
        <v>39.432581034713564</v>
      </c>
      <c r="AH112" s="236">
        <f t="shared" si="18"/>
        <v>45.760541102354082</v>
      </c>
      <c r="AI112" s="748">
        <f t="shared" si="19"/>
        <v>37.035832164635039</v>
      </c>
      <c r="AJ112" s="748">
        <f t="shared" si="20"/>
        <v>16.899721007604906</v>
      </c>
      <c r="AK112" s="236">
        <f t="shared" si="41"/>
        <v>139.1286753093076</v>
      </c>
      <c r="AL112" s="236">
        <f t="shared" si="42"/>
        <v>0</v>
      </c>
      <c r="AM112" s="730">
        <f t="shared" si="43"/>
        <v>0.2834252604436</v>
      </c>
      <c r="AN112" s="483">
        <f t="shared" si="44"/>
        <v>0.32890804861485473</v>
      </c>
      <c r="AO112" s="483">
        <f t="shared" si="45"/>
        <v>0.26619841008546835</v>
      </c>
      <c r="AP112" s="483">
        <f t="shared" si="46"/>
        <v>0.1214682808560769</v>
      </c>
      <c r="AQ112" s="483">
        <f t="shared" si="47"/>
        <v>0.99999999999999989</v>
      </c>
      <c r="AR112" s="834">
        <f t="shared" si="77"/>
        <v>6.718330286861506</v>
      </c>
      <c r="AS112" s="835">
        <f t="shared" si="78"/>
        <v>10.881405661657253</v>
      </c>
      <c r="AT112" s="835">
        <f t="shared" si="79"/>
        <v>2.3248676805531701</v>
      </c>
      <c r="AU112" s="835">
        <f t="shared" si="48"/>
        <v>0</v>
      </c>
      <c r="AV112" s="835">
        <f t="shared" si="49"/>
        <v>0</v>
      </c>
      <c r="AW112" s="835">
        <f t="shared" si="50"/>
        <v>0</v>
      </c>
      <c r="AX112" s="1228">
        <f t="shared" si="21"/>
        <v>16.236099971375594</v>
      </c>
      <c r="AY112" s="835">
        <f t="shared" si="80"/>
        <v>1.307809078845948</v>
      </c>
      <c r="AZ112" s="835">
        <f t="shared" si="81"/>
        <v>0.36762547566046921</v>
      </c>
      <c r="BA112" s="835">
        <f t="shared" si="82"/>
        <v>0.94950499551831991</v>
      </c>
      <c r="BB112" s="835">
        <f t="shared" si="83"/>
        <v>0.64693788424127452</v>
      </c>
      <c r="BC112" s="608">
        <f t="shared" si="51"/>
        <v>39.432581034713529</v>
      </c>
      <c r="BD112" s="840">
        <f t="shared" si="52"/>
        <v>0</v>
      </c>
      <c r="BE112" s="760">
        <f t="shared" si="53"/>
        <v>0.17037510887119423</v>
      </c>
      <c r="BF112" s="705">
        <f t="shared" si="54"/>
        <v>0.2759496177051679</v>
      </c>
      <c r="BG112" s="705">
        <f t="shared" si="55"/>
        <v>5.8958039761752561E-2</v>
      </c>
      <c r="BH112" s="705">
        <f t="shared" si="56"/>
        <v>0</v>
      </c>
      <c r="BI112" s="705">
        <f t="shared" si="57"/>
        <v>0</v>
      </c>
      <c r="BJ112" s="705">
        <f t="shared" si="58"/>
        <v>0</v>
      </c>
      <c r="BK112" s="705">
        <f t="shared" si="59"/>
        <v>0.49471723366188552</v>
      </c>
      <c r="BL112" s="705">
        <f t="shared" si="60"/>
        <v>1.0000000000000002</v>
      </c>
      <c r="BM112" s="730">
        <f t="shared" si="84"/>
        <v>0.29028184578274857</v>
      </c>
      <c r="BN112" s="114">
        <f t="shared" si="61"/>
        <v>0.30317187715157518</v>
      </c>
      <c r="BO112" s="114">
        <f t="shared" si="61"/>
        <v>8.2805443243048754E-2</v>
      </c>
      <c r="BP112" s="114">
        <f t="shared" si="61"/>
        <v>0</v>
      </c>
      <c r="BQ112" s="114">
        <f t="shared" si="61"/>
        <v>0</v>
      </c>
      <c r="BR112" s="114">
        <f t="shared" si="61"/>
        <v>0</v>
      </c>
      <c r="BS112" s="114">
        <f t="shared" si="61"/>
        <v>0.32374083382262742</v>
      </c>
      <c r="BT112" s="604">
        <f t="shared" si="85"/>
        <v>0.99999999999999989</v>
      </c>
      <c r="BV112" s="606">
        <f t="shared" si="22"/>
        <v>51.737439622889518</v>
      </c>
      <c r="BW112" s="114">
        <f t="shared" si="62"/>
        <v>0.83020176927161193</v>
      </c>
      <c r="BX112" s="1503">
        <f t="shared" si="23"/>
        <v>35.483377669273601</v>
      </c>
      <c r="BY112" s="606">
        <f t="shared" si="24"/>
        <v>66.426132083683541</v>
      </c>
      <c r="BZ112" s="114">
        <f t="shared" si="63"/>
        <v>0.79133458123768419</v>
      </c>
      <c r="CA112" s="1503">
        <f t="shared" si="25"/>
        <v>50.172070130067617</v>
      </c>
      <c r="CB112" s="730">
        <f t="shared" si="26"/>
        <v>0.67206984488050125</v>
      </c>
      <c r="CC112" s="604">
        <f t="shared" si="27"/>
        <v>0.85</v>
      </c>
      <c r="CD112" s="114">
        <f t="shared" si="64"/>
        <v>0.67206984488050125</v>
      </c>
      <c r="CE112" s="604">
        <f t="shared" si="65"/>
        <v>0.85</v>
      </c>
      <c r="CG112" s="602">
        <f t="shared" si="66"/>
        <v>8.6899319949674325</v>
      </c>
      <c r="CH112" s="704">
        <f t="shared" si="67"/>
        <v>3.8266041510359425</v>
      </c>
      <c r="CI112" s="704">
        <f t="shared" si="68"/>
        <v>14.573606735140972</v>
      </c>
      <c r="CJ112" s="704">
        <f t="shared" si="69"/>
        <v>18.44835438659522</v>
      </c>
      <c r="CK112" s="704">
        <f t="shared" si="70"/>
        <v>0.22204383461451555</v>
      </c>
      <c r="CL112" s="704">
        <f t="shared" si="71"/>
        <v>45.760541102354082</v>
      </c>
      <c r="CM112" s="727">
        <f t="shared" si="72"/>
        <v>0</v>
      </c>
    </row>
    <row r="113" spans="1:91">
      <c r="A113" s="127">
        <f>'Input data'!A134</f>
        <v>2034</v>
      </c>
      <c r="B113" s="748">
        <f>'Input data'!B134</f>
        <v>68.236999999999995</v>
      </c>
      <c r="C113" s="236">
        <f>'Input data'!C134</f>
        <v>4078.22</v>
      </c>
      <c r="D113" s="236">
        <f>'Input data'!D134</f>
        <v>35301851.154217809</v>
      </c>
      <c r="E113" s="1128">
        <f t="shared" si="90"/>
        <v>1</v>
      </c>
      <c r="F113" s="640">
        <f t="shared" si="90"/>
        <v>0.37</v>
      </c>
      <c r="G113" s="1129">
        <f>B113*F113*'Input data'!$C$9</f>
        <v>772.75762092636501</v>
      </c>
      <c r="H113" s="608">
        <f>'Input data'!I134</f>
        <v>424.26313389388866</v>
      </c>
      <c r="I113" s="607">
        <f>'Input data'!K134</f>
        <v>28950.443467517278</v>
      </c>
      <c r="J113" s="608">
        <f t="shared" ref="J113:J129" si="92">J112</f>
        <v>39.432581034713571</v>
      </c>
      <c r="K113" s="609">
        <f t="shared" si="75"/>
        <v>157.73032413885434</v>
      </c>
      <c r="L113" s="483">
        <f t="shared" si="91"/>
        <v>0.7</v>
      </c>
      <c r="M113" s="483">
        <f t="shared" si="89"/>
        <v>0.6</v>
      </c>
      <c r="N113" s="483">
        <f t="shared" si="89"/>
        <v>0.9</v>
      </c>
      <c r="O113" s="483">
        <f t="shared" si="89"/>
        <v>0.9</v>
      </c>
      <c r="P113" s="483">
        <f t="shared" si="89"/>
        <v>0.23600000000000002</v>
      </c>
      <c r="Q113" s="602">
        <f t="shared" si="33"/>
        <v>26.499337920908175</v>
      </c>
      <c r="R113" s="608">
        <f t="shared" si="34"/>
        <v>11.668960878701492</v>
      </c>
      <c r="S113" s="608">
        <f t="shared" si="11"/>
        <v>44.441191234244087</v>
      </c>
      <c r="T113" s="608">
        <f t="shared" si="12"/>
        <v>56.256962339656091</v>
      </c>
      <c r="U113" s="727">
        <f t="shared" si="13"/>
        <v>0.67710709475193609</v>
      </c>
      <c r="V113" s="602">
        <f t="shared" si="14"/>
        <v>139.54355946826178</v>
      </c>
      <c r="W113" s="730">
        <f t="shared" si="88"/>
        <v>0.5</v>
      </c>
      <c r="X113" s="606">
        <f t="shared" si="15"/>
        <v>53.669159952994768</v>
      </c>
      <c r="Y113" s="606">
        <f t="shared" si="16"/>
        <v>76.916015953074577</v>
      </c>
      <c r="Z113" s="607">
        <f t="shared" si="76"/>
        <v>120.24688922049333</v>
      </c>
      <c r="AA113" s="623">
        <f t="shared" si="17"/>
        <v>80.814308185779765</v>
      </c>
      <c r="AB113" s="811">
        <f t="shared" si="35"/>
        <v>0.67206984488050125</v>
      </c>
      <c r="AC113" s="135" t="str">
        <f t="shared" si="36"/>
        <v>Policies met</v>
      </c>
      <c r="AD113" s="1240">
        <f t="shared" si="37"/>
        <v>0.67206984488050125</v>
      </c>
      <c r="AE113" s="135" t="str">
        <f t="shared" si="38"/>
        <v>No</v>
      </c>
      <c r="AF113" s="1293">
        <f t="shared" si="39"/>
        <v>139.12867530930757</v>
      </c>
      <c r="AG113" s="236">
        <f t="shared" si="40"/>
        <v>39.432581034713564</v>
      </c>
      <c r="AH113" s="236">
        <f t="shared" si="18"/>
        <v>45.760541102354082</v>
      </c>
      <c r="AI113" s="748">
        <f t="shared" si="19"/>
        <v>37.035832164635039</v>
      </c>
      <c r="AJ113" s="748">
        <f t="shared" si="20"/>
        <v>16.899721007604906</v>
      </c>
      <c r="AK113" s="236">
        <f t="shared" si="41"/>
        <v>139.1286753093076</v>
      </c>
      <c r="AL113" s="236">
        <f t="shared" si="42"/>
        <v>0</v>
      </c>
      <c r="AM113" s="730">
        <f t="shared" si="43"/>
        <v>0.2834252604436</v>
      </c>
      <c r="AN113" s="483">
        <f t="shared" si="44"/>
        <v>0.32890804861485473</v>
      </c>
      <c r="AO113" s="483">
        <f t="shared" si="45"/>
        <v>0.26619841008546835</v>
      </c>
      <c r="AP113" s="483">
        <f t="shared" si="46"/>
        <v>0.1214682808560769</v>
      </c>
      <c r="AQ113" s="483">
        <f t="shared" si="47"/>
        <v>0.99999999999999989</v>
      </c>
      <c r="AR113" s="834">
        <f t="shared" si="77"/>
        <v>6.718330286861506</v>
      </c>
      <c r="AS113" s="835">
        <f t="shared" si="78"/>
        <v>10.881405661657253</v>
      </c>
      <c r="AT113" s="835">
        <f t="shared" si="79"/>
        <v>2.3248676805531701</v>
      </c>
      <c r="AU113" s="835">
        <f t="shared" si="48"/>
        <v>0</v>
      </c>
      <c r="AV113" s="835">
        <f t="shared" si="49"/>
        <v>0</v>
      </c>
      <c r="AW113" s="835">
        <f t="shared" si="50"/>
        <v>0</v>
      </c>
      <c r="AX113" s="1228">
        <f t="shared" si="21"/>
        <v>16.236099971375594</v>
      </c>
      <c r="AY113" s="835">
        <f t="shared" si="80"/>
        <v>1.307809078845948</v>
      </c>
      <c r="AZ113" s="835">
        <f t="shared" si="81"/>
        <v>0.36762547566046921</v>
      </c>
      <c r="BA113" s="835">
        <f t="shared" si="82"/>
        <v>0.94950499551831991</v>
      </c>
      <c r="BB113" s="835">
        <f t="shared" si="83"/>
        <v>0.64693788424127452</v>
      </c>
      <c r="BC113" s="608">
        <f t="shared" si="51"/>
        <v>39.432581034713529</v>
      </c>
      <c r="BD113" s="840">
        <f t="shared" si="52"/>
        <v>0</v>
      </c>
      <c r="BE113" s="760">
        <f t="shared" si="53"/>
        <v>0.17037510887119423</v>
      </c>
      <c r="BF113" s="705">
        <f t="shared" si="54"/>
        <v>0.2759496177051679</v>
      </c>
      <c r="BG113" s="705">
        <f t="shared" si="55"/>
        <v>5.8958039761752561E-2</v>
      </c>
      <c r="BH113" s="705">
        <f t="shared" si="56"/>
        <v>0</v>
      </c>
      <c r="BI113" s="705">
        <f t="shared" si="57"/>
        <v>0</v>
      </c>
      <c r="BJ113" s="705">
        <f t="shared" si="58"/>
        <v>0</v>
      </c>
      <c r="BK113" s="705">
        <f t="shared" si="59"/>
        <v>0.49471723366188552</v>
      </c>
      <c r="BL113" s="705">
        <f t="shared" si="60"/>
        <v>1.0000000000000002</v>
      </c>
      <c r="BM113" s="730">
        <f t="shared" si="84"/>
        <v>0.29028184578274857</v>
      </c>
      <c r="BN113" s="114">
        <f t="shared" si="84"/>
        <v>0.30317187715157518</v>
      </c>
      <c r="BO113" s="114">
        <f t="shared" si="84"/>
        <v>8.2805443243048754E-2</v>
      </c>
      <c r="BP113" s="114">
        <f t="shared" si="84"/>
        <v>0</v>
      </c>
      <c r="BQ113" s="114">
        <f t="shared" si="84"/>
        <v>0</v>
      </c>
      <c r="BR113" s="114">
        <f t="shared" si="84"/>
        <v>0</v>
      </c>
      <c r="BS113" s="114">
        <f t="shared" si="84"/>
        <v>0.32374083382262742</v>
      </c>
      <c r="BT113" s="604">
        <f t="shared" si="85"/>
        <v>0.99999999999999989</v>
      </c>
      <c r="BV113" s="606">
        <f t="shared" si="22"/>
        <v>51.83342349009127</v>
      </c>
      <c r="BW113" s="114">
        <f t="shared" si="62"/>
        <v>0.8311308231127823</v>
      </c>
      <c r="BX113" s="1503">
        <f t="shared" si="23"/>
        <v>35.301851154217808</v>
      </c>
      <c r="BY113" s="606">
        <f t="shared" si="24"/>
        <v>66.703642465941087</v>
      </c>
      <c r="BZ113" s="114">
        <f t="shared" si="63"/>
        <v>0.79171600743637727</v>
      </c>
      <c r="CA113" s="1503">
        <f t="shared" si="25"/>
        <v>50.172070130067617</v>
      </c>
      <c r="CB113" s="730">
        <f t="shared" si="26"/>
        <v>0.67206984488050125</v>
      </c>
      <c r="CC113" s="604">
        <f t="shared" si="27"/>
        <v>0.85</v>
      </c>
      <c r="CD113" s="114">
        <f t="shared" si="64"/>
        <v>0.67206984488050125</v>
      </c>
      <c r="CE113" s="604">
        <f t="shared" si="65"/>
        <v>0.85</v>
      </c>
      <c r="CG113" s="602">
        <f t="shared" si="66"/>
        <v>8.6899319949674325</v>
      </c>
      <c r="CH113" s="704">
        <f t="shared" si="67"/>
        <v>3.8266041510359425</v>
      </c>
      <c r="CI113" s="704">
        <f t="shared" si="68"/>
        <v>14.573606735140972</v>
      </c>
      <c r="CJ113" s="704">
        <f t="shared" si="69"/>
        <v>18.44835438659522</v>
      </c>
      <c r="CK113" s="704">
        <f t="shared" si="70"/>
        <v>0.22204383461451555</v>
      </c>
      <c r="CL113" s="704">
        <f t="shared" si="71"/>
        <v>45.760541102354082</v>
      </c>
      <c r="CM113" s="727">
        <f t="shared" si="72"/>
        <v>0</v>
      </c>
    </row>
    <row r="114" spans="1:91">
      <c r="A114" s="127">
        <f>'Input data'!A135</f>
        <v>2035</v>
      </c>
      <c r="B114" s="748">
        <f>'Input data'!B135</f>
        <v>68.819000000000003</v>
      </c>
      <c r="C114" s="236">
        <f>'Input data'!C135</f>
        <v>4200.2899999999991</v>
      </c>
      <c r="D114" s="236">
        <f>'Input data'!D135</f>
        <v>35120324.639162026</v>
      </c>
      <c r="E114" s="1128">
        <f t="shared" si="90"/>
        <v>1</v>
      </c>
      <c r="F114" s="640">
        <f t="shared" si="90"/>
        <v>0.37</v>
      </c>
      <c r="G114" s="1129">
        <f>B114*F114*'Input data'!$C$9</f>
        <v>779.34854572345671</v>
      </c>
      <c r="H114" s="608">
        <f>'Input data'!I135</f>
        <v>424.26313389388866</v>
      </c>
      <c r="I114" s="607">
        <f>'Input data'!K135</f>
        <v>29197.364611443525</v>
      </c>
      <c r="J114" s="608">
        <f t="shared" si="92"/>
        <v>39.432581034713571</v>
      </c>
      <c r="K114" s="609">
        <f t="shared" si="75"/>
        <v>157.73032413885434</v>
      </c>
      <c r="L114" s="483">
        <f t="shared" si="91"/>
        <v>0.7</v>
      </c>
      <c r="M114" s="483">
        <f t="shared" si="89"/>
        <v>0.6</v>
      </c>
      <c r="N114" s="483">
        <f t="shared" si="89"/>
        <v>0.9</v>
      </c>
      <c r="O114" s="483">
        <f t="shared" si="89"/>
        <v>0.9</v>
      </c>
      <c r="P114" s="483">
        <f t="shared" si="89"/>
        <v>0.23600000000000002</v>
      </c>
      <c r="Q114" s="602">
        <f t="shared" si="33"/>
        <v>26.499337920908175</v>
      </c>
      <c r="R114" s="608">
        <f t="shared" si="34"/>
        <v>11.668960878701492</v>
      </c>
      <c r="S114" s="608">
        <f t="shared" si="11"/>
        <v>44.441191234244087</v>
      </c>
      <c r="T114" s="608">
        <f t="shared" si="12"/>
        <v>56.256962339656091</v>
      </c>
      <c r="U114" s="727">
        <f t="shared" si="13"/>
        <v>0.67710709475193609</v>
      </c>
      <c r="V114" s="602">
        <f t="shared" si="14"/>
        <v>139.54355946826178</v>
      </c>
      <c r="W114" s="730">
        <f t="shared" si="88"/>
        <v>0.5</v>
      </c>
      <c r="X114" s="606">
        <f t="shared" si="15"/>
        <v>53.669159952994768</v>
      </c>
      <c r="Y114" s="606">
        <f t="shared" si="16"/>
        <v>76.916015953074577</v>
      </c>
      <c r="Z114" s="607">
        <f t="shared" si="76"/>
        <v>120.24688922049333</v>
      </c>
      <c r="AA114" s="623">
        <f t="shared" si="17"/>
        <v>80.814308185779765</v>
      </c>
      <c r="AB114" s="811">
        <f t="shared" si="35"/>
        <v>0.67206984488050125</v>
      </c>
      <c r="AC114" s="135" t="str">
        <f t="shared" si="36"/>
        <v>Policies met</v>
      </c>
      <c r="AD114" s="1240">
        <f t="shared" si="37"/>
        <v>0.67206984488050125</v>
      </c>
      <c r="AE114" s="135" t="str">
        <f t="shared" si="38"/>
        <v>No</v>
      </c>
      <c r="AF114" s="1293">
        <f t="shared" si="39"/>
        <v>139.12867530930757</v>
      </c>
      <c r="AG114" s="236">
        <f t="shared" si="40"/>
        <v>39.432581034713564</v>
      </c>
      <c r="AH114" s="236">
        <f t="shared" si="18"/>
        <v>45.760541102354082</v>
      </c>
      <c r="AI114" s="748">
        <f t="shared" si="19"/>
        <v>37.035832164635039</v>
      </c>
      <c r="AJ114" s="748">
        <f t="shared" si="20"/>
        <v>16.899721007604906</v>
      </c>
      <c r="AK114" s="236">
        <f t="shared" si="41"/>
        <v>139.1286753093076</v>
      </c>
      <c r="AL114" s="236">
        <f t="shared" si="42"/>
        <v>0</v>
      </c>
      <c r="AM114" s="730">
        <f t="shared" si="43"/>
        <v>0.2834252604436</v>
      </c>
      <c r="AN114" s="483">
        <f t="shared" si="44"/>
        <v>0.32890804861485473</v>
      </c>
      <c r="AO114" s="483">
        <f t="shared" si="45"/>
        <v>0.26619841008546835</v>
      </c>
      <c r="AP114" s="483">
        <f t="shared" si="46"/>
        <v>0.1214682808560769</v>
      </c>
      <c r="AQ114" s="483">
        <f t="shared" si="47"/>
        <v>0.99999999999999989</v>
      </c>
      <c r="AR114" s="834">
        <f t="shared" si="77"/>
        <v>6.718330286861506</v>
      </c>
      <c r="AS114" s="835">
        <f t="shared" si="78"/>
        <v>10.881405661657253</v>
      </c>
      <c r="AT114" s="835">
        <f t="shared" si="79"/>
        <v>2.3248676805531701</v>
      </c>
      <c r="AU114" s="835">
        <f t="shared" si="48"/>
        <v>0</v>
      </c>
      <c r="AV114" s="835">
        <f t="shared" si="49"/>
        <v>0</v>
      </c>
      <c r="AW114" s="835">
        <f t="shared" si="50"/>
        <v>0</v>
      </c>
      <c r="AX114" s="1228">
        <f t="shared" si="21"/>
        <v>16.236099971375594</v>
      </c>
      <c r="AY114" s="835">
        <f t="shared" si="80"/>
        <v>1.307809078845948</v>
      </c>
      <c r="AZ114" s="835">
        <f t="shared" si="81"/>
        <v>0.36762547566046921</v>
      </c>
      <c r="BA114" s="835">
        <f t="shared" si="82"/>
        <v>0.94950499551831991</v>
      </c>
      <c r="BB114" s="835">
        <f t="shared" si="83"/>
        <v>0.64693788424127452</v>
      </c>
      <c r="BC114" s="608">
        <f t="shared" si="51"/>
        <v>39.432581034713529</v>
      </c>
      <c r="BD114" s="840">
        <f t="shared" si="52"/>
        <v>0</v>
      </c>
      <c r="BE114" s="760">
        <f t="shared" si="53"/>
        <v>0.17037510887119423</v>
      </c>
      <c r="BF114" s="705">
        <f t="shared" si="54"/>
        <v>0.2759496177051679</v>
      </c>
      <c r="BG114" s="705">
        <f t="shared" si="55"/>
        <v>5.8958039761752561E-2</v>
      </c>
      <c r="BH114" s="705">
        <f t="shared" si="56"/>
        <v>0</v>
      </c>
      <c r="BI114" s="705">
        <f t="shared" si="57"/>
        <v>0</v>
      </c>
      <c r="BJ114" s="705">
        <f t="shared" si="58"/>
        <v>0</v>
      </c>
      <c r="BK114" s="705">
        <f t="shared" si="59"/>
        <v>0.49471723366188552</v>
      </c>
      <c r="BL114" s="705">
        <f t="shared" si="60"/>
        <v>1.0000000000000002</v>
      </c>
      <c r="BM114" s="730">
        <f t="shared" ref="BM114:BS129" si="93">BM113</f>
        <v>0.29028184578274857</v>
      </c>
      <c r="BN114" s="114">
        <f t="shared" si="93"/>
        <v>0.30317187715157518</v>
      </c>
      <c r="BO114" s="114">
        <f t="shared" si="93"/>
        <v>8.2805443243048754E-2</v>
      </c>
      <c r="BP114" s="114">
        <f t="shared" si="93"/>
        <v>0</v>
      </c>
      <c r="BQ114" s="114">
        <f t="shared" si="93"/>
        <v>0</v>
      </c>
      <c r="BR114" s="114">
        <f t="shared" si="93"/>
        <v>0</v>
      </c>
      <c r="BS114" s="114">
        <f t="shared" si="93"/>
        <v>0.32374083382262742</v>
      </c>
      <c r="BT114" s="604">
        <f t="shared" si="85"/>
        <v>0.99999999999999989</v>
      </c>
      <c r="BV114" s="606">
        <f t="shared" si="22"/>
        <v>51.943527998623466</v>
      </c>
      <c r="BW114" s="114">
        <f t="shared" si="62"/>
        <v>0.83199291786398999</v>
      </c>
      <c r="BX114" s="1503">
        <f t="shared" si="23"/>
        <v>35.120324639162028</v>
      </c>
      <c r="BY114" s="606">
        <f t="shared" si="24"/>
        <v>66.995273489529069</v>
      </c>
      <c r="BZ114" s="114">
        <f t="shared" si="63"/>
        <v>0.7920548483855383</v>
      </c>
      <c r="CA114" s="1503">
        <f t="shared" si="25"/>
        <v>50.172070130067617</v>
      </c>
      <c r="CB114" s="730">
        <f t="shared" si="26"/>
        <v>0.67206984488050125</v>
      </c>
      <c r="CC114" s="604">
        <f t="shared" si="27"/>
        <v>0.85</v>
      </c>
      <c r="CD114" s="114">
        <f t="shared" si="64"/>
        <v>0.67206984488050125</v>
      </c>
      <c r="CE114" s="604">
        <f t="shared" si="65"/>
        <v>0.85</v>
      </c>
      <c r="CG114" s="602">
        <f t="shared" si="66"/>
        <v>8.6899319949674325</v>
      </c>
      <c r="CH114" s="704">
        <f t="shared" si="67"/>
        <v>3.8266041510359425</v>
      </c>
      <c r="CI114" s="704">
        <f t="shared" si="68"/>
        <v>14.573606735140972</v>
      </c>
      <c r="CJ114" s="704">
        <f t="shared" si="69"/>
        <v>18.44835438659522</v>
      </c>
      <c r="CK114" s="704">
        <f t="shared" si="70"/>
        <v>0.22204383461451555</v>
      </c>
      <c r="CL114" s="704">
        <f t="shared" si="71"/>
        <v>45.760541102354082</v>
      </c>
      <c r="CM114" s="727">
        <f t="shared" si="72"/>
        <v>0</v>
      </c>
    </row>
    <row r="115" spans="1:91">
      <c r="A115" s="127">
        <f>'Input data'!A136</f>
        <v>2036</v>
      </c>
      <c r="B115" s="748">
        <f>'Input data'!B136</f>
        <v>69.322999999999993</v>
      </c>
      <c r="C115" s="236">
        <f>'Input data'!C136</f>
        <v>4325.9699999999993</v>
      </c>
      <c r="D115" s="236">
        <f>'Input data'!D136</f>
        <v>32285395.803631678</v>
      </c>
      <c r="E115" s="1128">
        <f t="shared" si="90"/>
        <v>1</v>
      </c>
      <c r="F115" s="640">
        <f t="shared" si="90"/>
        <v>0.37</v>
      </c>
      <c r="G115" s="1129">
        <f>B115*F115*'Input data'!$C$9</f>
        <v>785.05615070238139</v>
      </c>
      <c r="H115" s="608">
        <f>'Input data'!I136</f>
        <v>424.26313389388866</v>
      </c>
      <c r="I115" s="607">
        <f>'Input data'!K136</f>
        <v>29411.193230926041</v>
      </c>
      <c r="J115" s="608">
        <f t="shared" si="92"/>
        <v>39.432581034713571</v>
      </c>
      <c r="K115" s="609">
        <f t="shared" si="75"/>
        <v>157.73032413885434</v>
      </c>
      <c r="L115" s="483">
        <f t="shared" si="91"/>
        <v>0.7</v>
      </c>
      <c r="M115" s="483">
        <f t="shared" si="89"/>
        <v>0.6</v>
      </c>
      <c r="N115" s="483">
        <f t="shared" si="89"/>
        <v>0.9</v>
      </c>
      <c r="O115" s="483">
        <f t="shared" si="89"/>
        <v>0.9</v>
      </c>
      <c r="P115" s="483">
        <f t="shared" si="89"/>
        <v>0.23600000000000002</v>
      </c>
      <c r="Q115" s="602">
        <f t="shared" si="33"/>
        <v>26.499337920908175</v>
      </c>
      <c r="R115" s="608">
        <f t="shared" si="34"/>
        <v>11.668960878701492</v>
      </c>
      <c r="S115" s="608">
        <f t="shared" si="11"/>
        <v>44.441191234244087</v>
      </c>
      <c r="T115" s="608">
        <f t="shared" si="12"/>
        <v>56.256962339656091</v>
      </c>
      <c r="U115" s="727">
        <f t="shared" si="13"/>
        <v>0.67710709475193609</v>
      </c>
      <c r="V115" s="602">
        <f t="shared" si="14"/>
        <v>139.54355946826178</v>
      </c>
      <c r="W115" s="730">
        <f t="shared" si="88"/>
        <v>0.5</v>
      </c>
      <c r="X115" s="606">
        <f t="shared" si="15"/>
        <v>53.669159952994768</v>
      </c>
      <c r="Y115" s="606">
        <f t="shared" si="16"/>
        <v>76.916015953074577</v>
      </c>
      <c r="Z115" s="607">
        <f t="shared" si="76"/>
        <v>120.24688922049333</v>
      </c>
      <c r="AA115" s="623">
        <f t="shared" si="17"/>
        <v>80.814308185779765</v>
      </c>
      <c r="AB115" s="811">
        <f t="shared" si="35"/>
        <v>0.67206984488050125</v>
      </c>
      <c r="AC115" s="135" t="str">
        <f t="shared" si="36"/>
        <v>Policies met</v>
      </c>
      <c r="AD115" s="1240">
        <f t="shared" si="37"/>
        <v>0.67206984488050125</v>
      </c>
      <c r="AE115" s="135" t="str">
        <f t="shared" si="38"/>
        <v>No</v>
      </c>
      <c r="AF115" s="1293">
        <f t="shared" si="39"/>
        <v>139.12867530930757</v>
      </c>
      <c r="AG115" s="236">
        <f t="shared" si="40"/>
        <v>39.432581034713564</v>
      </c>
      <c r="AH115" s="236">
        <f t="shared" si="18"/>
        <v>45.760541102354082</v>
      </c>
      <c r="AI115" s="748">
        <f t="shared" si="19"/>
        <v>37.035832164635039</v>
      </c>
      <c r="AJ115" s="748">
        <f t="shared" si="20"/>
        <v>16.899721007604906</v>
      </c>
      <c r="AK115" s="236">
        <f t="shared" si="41"/>
        <v>139.1286753093076</v>
      </c>
      <c r="AL115" s="236">
        <f t="shared" si="42"/>
        <v>0</v>
      </c>
      <c r="AM115" s="730">
        <f t="shared" si="43"/>
        <v>0.2834252604436</v>
      </c>
      <c r="AN115" s="483">
        <f t="shared" si="44"/>
        <v>0.32890804861485473</v>
      </c>
      <c r="AO115" s="483">
        <f t="shared" si="45"/>
        <v>0.26619841008546835</v>
      </c>
      <c r="AP115" s="483">
        <f t="shared" si="46"/>
        <v>0.1214682808560769</v>
      </c>
      <c r="AQ115" s="483">
        <f t="shared" si="47"/>
        <v>0.99999999999999989</v>
      </c>
      <c r="AR115" s="834">
        <f t="shared" si="77"/>
        <v>6.718330286861506</v>
      </c>
      <c r="AS115" s="835">
        <f t="shared" si="78"/>
        <v>10.881405661657253</v>
      </c>
      <c r="AT115" s="835">
        <f t="shared" si="79"/>
        <v>2.3248676805531701</v>
      </c>
      <c r="AU115" s="835">
        <f t="shared" si="48"/>
        <v>0</v>
      </c>
      <c r="AV115" s="835">
        <f t="shared" si="49"/>
        <v>0</v>
      </c>
      <c r="AW115" s="835">
        <f t="shared" si="50"/>
        <v>0</v>
      </c>
      <c r="AX115" s="1228">
        <f t="shared" si="21"/>
        <v>16.236099971375594</v>
      </c>
      <c r="AY115" s="835">
        <f t="shared" si="80"/>
        <v>1.307809078845948</v>
      </c>
      <c r="AZ115" s="835">
        <f t="shared" si="81"/>
        <v>0.36762547566046921</v>
      </c>
      <c r="BA115" s="835">
        <f t="shared" si="82"/>
        <v>0.94950499551831991</v>
      </c>
      <c r="BB115" s="835">
        <f t="shared" si="83"/>
        <v>0.64693788424127452</v>
      </c>
      <c r="BC115" s="608">
        <f t="shared" si="51"/>
        <v>39.432581034713529</v>
      </c>
      <c r="BD115" s="840">
        <f t="shared" si="52"/>
        <v>0</v>
      </c>
      <c r="BE115" s="760">
        <f t="shared" si="53"/>
        <v>0.17037510887119423</v>
      </c>
      <c r="BF115" s="705">
        <f t="shared" si="54"/>
        <v>0.2759496177051679</v>
      </c>
      <c r="BG115" s="705">
        <f t="shared" si="55"/>
        <v>5.8958039761752561E-2</v>
      </c>
      <c r="BH115" s="705">
        <f t="shared" si="56"/>
        <v>0</v>
      </c>
      <c r="BI115" s="705">
        <f t="shared" si="57"/>
        <v>0</v>
      </c>
      <c r="BJ115" s="705">
        <f t="shared" si="58"/>
        <v>0</v>
      </c>
      <c r="BK115" s="705">
        <f t="shared" si="59"/>
        <v>0.49471723366188552</v>
      </c>
      <c r="BL115" s="705">
        <f t="shared" si="60"/>
        <v>1.0000000000000002</v>
      </c>
      <c r="BM115" s="730">
        <f t="shared" si="93"/>
        <v>0.29028184578274857</v>
      </c>
      <c r="BN115" s="114">
        <f t="shared" si="93"/>
        <v>0.30317187715157518</v>
      </c>
      <c r="BO115" s="114">
        <f t="shared" si="93"/>
        <v>8.2805443243048754E-2</v>
      </c>
      <c r="BP115" s="114">
        <f t="shared" si="93"/>
        <v>0</v>
      </c>
      <c r="BQ115" s="114">
        <f t="shared" si="93"/>
        <v>0</v>
      </c>
      <c r="BR115" s="114">
        <f t="shared" si="93"/>
        <v>0</v>
      </c>
      <c r="BS115" s="114">
        <f t="shared" si="93"/>
        <v>0.32374083382262742</v>
      </c>
      <c r="BT115" s="604">
        <f t="shared" si="85"/>
        <v>0.99999999999999989</v>
      </c>
      <c r="BV115" s="606">
        <f t="shared" si="22"/>
        <v>49.395607984247604</v>
      </c>
      <c r="BW115" s="114">
        <f t="shared" si="62"/>
        <v>0.84249045104108611</v>
      </c>
      <c r="BX115" s="1503">
        <f t="shared" si="23"/>
        <v>32.28539580363168</v>
      </c>
      <c r="BY115" s="606">
        <f t="shared" si="24"/>
        <v>67.282282310683541</v>
      </c>
      <c r="BZ115" s="114">
        <f t="shared" si="63"/>
        <v>0.79222717216980165</v>
      </c>
      <c r="CA115" s="1503">
        <f t="shared" si="25"/>
        <v>50.172070130067617</v>
      </c>
      <c r="CB115" s="730">
        <f t="shared" si="26"/>
        <v>0.67206984488050125</v>
      </c>
      <c r="CC115" s="604">
        <f t="shared" si="27"/>
        <v>0.85</v>
      </c>
      <c r="CD115" s="114">
        <f t="shared" si="64"/>
        <v>0.67206984488050125</v>
      </c>
      <c r="CE115" s="604">
        <f t="shared" si="65"/>
        <v>0.85</v>
      </c>
      <c r="CG115" s="602">
        <f t="shared" si="66"/>
        <v>8.6899319949674325</v>
      </c>
      <c r="CH115" s="704">
        <f t="shared" si="67"/>
        <v>3.8266041510359425</v>
      </c>
      <c r="CI115" s="704">
        <f t="shared" si="68"/>
        <v>14.573606735140972</v>
      </c>
      <c r="CJ115" s="704">
        <f t="shared" si="69"/>
        <v>18.44835438659522</v>
      </c>
      <c r="CK115" s="704">
        <f t="shared" si="70"/>
        <v>0.22204383461451555</v>
      </c>
      <c r="CL115" s="704">
        <f t="shared" si="71"/>
        <v>45.760541102354082</v>
      </c>
      <c r="CM115" s="727">
        <f t="shared" si="72"/>
        <v>0</v>
      </c>
    </row>
    <row r="116" spans="1:91" s="1" customFormat="1">
      <c r="A116" s="157">
        <f>'Input data'!A137</f>
        <v>2037</v>
      </c>
      <c r="B116" s="749">
        <f>'Input data'!B137</f>
        <v>69.83</v>
      </c>
      <c r="C116" s="605">
        <f>'Input data'!C137</f>
        <v>4457.0000000000018</v>
      </c>
      <c r="D116" s="605">
        <f>'Input data'!D137</f>
        <v>29450466.968101323</v>
      </c>
      <c r="E116" s="1128">
        <f t="shared" si="90"/>
        <v>1</v>
      </c>
      <c r="F116" s="640">
        <f t="shared" si="90"/>
        <v>0.37</v>
      </c>
      <c r="G116" s="1130">
        <f>B116*F116*'Input data'!$C$9</f>
        <v>790.79772952046653</v>
      </c>
      <c r="H116" s="740">
        <f>'Input data'!I137</f>
        <v>424.26313389388866</v>
      </c>
      <c r="I116" s="770">
        <f>'Input data'!K137</f>
        <v>29626.294639810243</v>
      </c>
      <c r="J116" s="608">
        <f t="shared" si="92"/>
        <v>39.432581034713571</v>
      </c>
      <c r="K116" s="609">
        <f t="shared" si="75"/>
        <v>157.73032413885434</v>
      </c>
      <c r="L116" s="477">
        <f t="shared" si="91"/>
        <v>0.7</v>
      </c>
      <c r="M116" s="477">
        <f t="shared" si="89"/>
        <v>0.6</v>
      </c>
      <c r="N116" s="477">
        <f t="shared" si="89"/>
        <v>0.9</v>
      </c>
      <c r="O116" s="477">
        <f t="shared" si="89"/>
        <v>0.9</v>
      </c>
      <c r="P116" s="477">
        <f>P115</f>
        <v>0.23600000000000002</v>
      </c>
      <c r="Q116" s="602">
        <f t="shared" si="33"/>
        <v>26.499337920908175</v>
      </c>
      <c r="R116" s="608">
        <f t="shared" si="34"/>
        <v>11.668960878701492</v>
      </c>
      <c r="S116" s="608">
        <f t="shared" si="11"/>
        <v>44.441191234244087</v>
      </c>
      <c r="T116" s="608">
        <f t="shared" si="12"/>
        <v>56.256962339656091</v>
      </c>
      <c r="U116" s="727">
        <f t="shared" si="13"/>
        <v>0.67710709475193609</v>
      </c>
      <c r="V116" s="602">
        <f t="shared" si="14"/>
        <v>139.54355946826178</v>
      </c>
      <c r="W116" s="730">
        <f t="shared" si="88"/>
        <v>0.5</v>
      </c>
      <c r="X116" s="606">
        <f t="shared" si="15"/>
        <v>53.669159952994768</v>
      </c>
      <c r="Y116" s="606">
        <f t="shared" si="16"/>
        <v>76.916015953074577</v>
      </c>
      <c r="Z116" s="607">
        <f t="shared" si="76"/>
        <v>120.24688922049333</v>
      </c>
      <c r="AA116" s="623">
        <f t="shared" si="17"/>
        <v>80.814308185779765</v>
      </c>
      <c r="AB116" s="811">
        <f t="shared" si="35"/>
        <v>0.67206984488050125</v>
      </c>
      <c r="AC116" s="135" t="str">
        <f t="shared" si="36"/>
        <v>Policies met</v>
      </c>
      <c r="AD116" s="1240">
        <f t="shared" si="37"/>
        <v>0.67206984488050125</v>
      </c>
      <c r="AE116" s="135" t="str">
        <f t="shared" si="38"/>
        <v>No</v>
      </c>
      <c r="AF116" s="1293">
        <f t="shared" si="39"/>
        <v>139.12867530930757</v>
      </c>
      <c r="AG116" s="236">
        <f t="shared" si="40"/>
        <v>39.432581034713564</v>
      </c>
      <c r="AH116" s="236">
        <f t="shared" si="18"/>
        <v>45.760541102354082</v>
      </c>
      <c r="AI116" s="748">
        <f t="shared" si="19"/>
        <v>37.035832164635039</v>
      </c>
      <c r="AJ116" s="748">
        <f t="shared" si="20"/>
        <v>16.899721007604906</v>
      </c>
      <c r="AK116" s="236">
        <f t="shared" si="41"/>
        <v>139.1286753093076</v>
      </c>
      <c r="AL116" s="236">
        <f t="shared" si="42"/>
        <v>0</v>
      </c>
      <c r="AM116" s="730">
        <f t="shared" si="43"/>
        <v>0.2834252604436</v>
      </c>
      <c r="AN116" s="483">
        <f t="shared" si="44"/>
        <v>0.32890804861485473</v>
      </c>
      <c r="AO116" s="483">
        <f t="shared" si="45"/>
        <v>0.26619841008546835</v>
      </c>
      <c r="AP116" s="483">
        <f t="shared" si="46"/>
        <v>0.1214682808560769</v>
      </c>
      <c r="AQ116" s="483">
        <f t="shared" si="47"/>
        <v>0.99999999999999989</v>
      </c>
      <c r="AR116" s="834">
        <f t="shared" si="77"/>
        <v>6.718330286861506</v>
      </c>
      <c r="AS116" s="835">
        <f t="shared" si="78"/>
        <v>10.881405661657253</v>
      </c>
      <c r="AT116" s="835">
        <f t="shared" si="79"/>
        <v>2.3248676805531701</v>
      </c>
      <c r="AU116" s="835">
        <f t="shared" si="48"/>
        <v>0</v>
      </c>
      <c r="AV116" s="835">
        <f t="shared" si="49"/>
        <v>0</v>
      </c>
      <c r="AW116" s="835">
        <f t="shared" si="50"/>
        <v>0</v>
      </c>
      <c r="AX116" s="1228">
        <f t="shared" si="21"/>
        <v>16.236099971375594</v>
      </c>
      <c r="AY116" s="835">
        <f t="shared" si="80"/>
        <v>1.307809078845948</v>
      </c>
      <c r="AZ116" s="835">
        <f t="shared" si="81"/>
        <v>0.36762547566046921</v>
      </c>
      <c r="BA116" s="835">
        <f t="shared" si="82"/>
        <v>0.94950499551831991</v>
      </c>
      <c r="BB116" s="835">
        <f t="shared" si="83"/>
        <v>0.64693788424127452</v>
      </c>
      <c r="BC116" s="608">
        <f t="shared" si="51"/>
        <v>39.432581034713529</v>
      </c>
      <c r="BD116" s="840">
        <f t="shared" si="52"/>
        <v>0</v>
      </c>
      <c r="BE116" s="760">
        <f t="shared" si="53"/>
        <v>0.17037510887119423</v>
      </c>
      <c r="BF116" s="705">
        <f t="shared" si="54"/>
        <v>0.2759496177051679</v>
      </c>
      <c r="BG116" s="705">
        <f t="shared" si="55"/>
        <v>5.8958039761752561E-2</v>
      </c>
      <c r="BH116" s="705">
        <f t="shared" si="56"/>
        <v>0</v>
      </c>
      <c r="BI116" s="705">
        <f t="shared" si="57"/>
        <v>0</v>
      </c>
      <c r="BJ116" s="705">
        <f t="shared" si="58"/>
        <v>0</v>
      </c>
      <c r="BK116" s="705">
        <f t="shared" si="59"/>
        <v>0.49471723366188552</v>
      </c>
      <c r="BL116" s="705">
        <f t="shared" si="60"/>
        <v>1.0000000000000002</v>
      </c>
      <c r="BM116" s="730">
        <f t="shared" si="93"/>
        <v>0.29028184578274857</v>
      </c>
      <c r="BN116" s="114">
        <f t="shared" si="93"/>
        <v>0.30317187715157518</v>
      </c>
      <c r="BO116" s="114">
        <f t="shared" si="93"/>
        <v>8.2805443243048754E-2</v>
      </c>
      <c r="BP116" s="114">
        <f t="shared" si="93"/>
        <v>0</v>
      </c>
      <c r="BQ116" s="114">
        <f t="shared" si="93"/>
        <v>0</v>
      </c>
      <c r="BR116" s="114">
        <f t="shared" si="93"/>
        <v>0</v>
      </c>
      <c r="BS116" s="114">
        <f t="shared" si="93"/>
        <v>0.32374083382262742</v>
      </c>
      <c r="BT116" s="604">
        <f t="shared" si="85"/>
        <v>0.99999999999999989</v>
      </c>
      <c r="BV116" s="606">
        <f t="shared" si="22"/>
        <v>46.857337935727969</v>
      </c>
      <c r="BW116" s="114">
        <f t="shared" si="62"/>
        <v>0.85421767927943193</v>
      </c>
      <c r="BX116" s="1503">
        <f t="shared" si="23"/>
        <v>29.450466968101324</v>
      </c>
      <c r="BY116" s="606">
        <f t="shared" si="24"/>
        <v>67.578941097694269</v>
      </c>
      <c r="BZ116" s="114">
        <f t="shared" si="63"/>
        <v>0.79237180447108724</v>
      </c>
      <c r="CA116" s="1503">
        <f t="shared" si="25"/>
        <v>50.172070130067617</v>
      </c>
      <c r="CB116" s="730">
        <f t="shared" si="26"/>
        <v>0.67206984488050125</v>
      </c>
      <c r="CC116" s="604">
        <f t="shared" si="27"/>
        <v>0.85</v>
      </c>
      <c r="CD116" s="114">
        <f t="shared" si="64"/>
        <v>0.67206984488050125</v>
      </c>
      <c r="CE116" s="604">
        <f t="shared" si="65"/>
        <v>0.85</v>
      </c>
      <c r="CG116" s="602">
        <f t="shared" si="66"/>
        <v>8.6899319949674325</v>
      </c>
      <c r="CH116" s="704">
        <f t="shared" si="67"/>
        <v>3.8266041510359425</v>
      </c>
      <c r="CI116" s="704">
        <f t="shared" si="68"/>
        <v>14.573606735140972</v>
      </c>
      <c r="CJ116" s="704">
        <f t="shared" si="69"/>
        <v>18.44835438659522</v>
      </c>
      <c r="CK116" s="704">
        <f t="shared" si="70"/>
        <v>0.22204383461451555</v>
      </c>
      <c r="CL116" s="704">
        <f t="shared" si="71"/>
        <v>45.760541102354082</v>
      </c>
      <c r="CM116" s="727">
        <f t="shared" si="72"/>
        <v>0</v>
      </c>
    </row>
    <row r="117" spans="1:91">
      <c r="A117" s="127">
        <f>'Input data'!A138</f>
        <v>2038</v>
      </c>
      <c r="B117" s="748">
        <f>'Input data'!B138</f>
        <v>70.341999999999999</v>
      </c>
      <c r="C117" s="236">
        <f>'Input data'!C138</f>
        <v>4590.03</v>
      </c>
      <c r="D117" s="236">
        <f>'Input data'!D138</f>
        <v>26615538.132570967</v>
      </c>
      <c r="E117" s="1128">
        <f t="shared" si="90"/>
        <v>1</v>
      </c>
      <c r="F117" s="640">
        <f t="shared" si="90"/>
        <v>0.37</v>
      </c>
      <c r="G117" s="1129">
        <f>B117*F117*'Input data'!$C$9</f>
        <v>796.59593140381867</v>
      </c>
      <c r="H117" s="608">
        <f>'Input data'!I138</f>
        <v>424.26313389388866</v>
      </c>
      <c r="I117" s="607">
        <f>'Input data'!K138</f>
        <v>29843.517364363917</v>
      </c>
      <c r="J117" s="608">
        <f t="shared" si="92"/>
        <v>39.432581034713571</v>
      </c>
      <c r="K117" s="609">
        <f t="shared" si="75"/>
        <v>157.73032413885434</v>
      </c>
      <c r="L117" s="483">
        <f t="shared" si="91"/>
        <v>0.7</v>
      </c>
      <c r="M117" s="483">
        <f t="shared" si="89"/>
        <v>0.6</v>
      </c>
      <c r="N117" s="483">
        <f t="shared" si="89"/>
        <v>0.9</v>
      </c>
      <c r="O117" s="483">
        <f t="shared" si="89"/>
        <v>0.9</v>
      </c>
      <c r="P117" s="483">
        <f t="shared" si="89"/>
        <v>0.23600000000000002</v>
      </c>
      <c r="Q117" s="602">
        <f t="shared" si="33"/>
        <v>26.499337920908175</v>
      </c>
      <c r="R117" s="608">
        <f t="shared" si="34"/>
        <v>11.668960878701492</v>
      </c>
      <c r="S117" s="608">
        <f t="shared" si="11"/>
        <v>44.441191234244087</v>
      </c>
      <c r="T117" s="608">
        <f t="shared" si="12"/>
        <v>56.256962339656091</v>
      </c>
      <c r="U117" s="727">
        <f t="shared" si="13"/>
        <v>0.67710709475193609</v>
      </c>
      <c r="V117" s="602">
        <f t="shared" si="14"/>
        <v>139.54355946826178</v>
      </c>
      <c r="W117" s="730">
        <f t="shared" si="88"/>
        <v>0.5</v>
      </c>
      <c r="X117" s="606">
        <f t="shared" si="15"/>
        <v>53.669159952994768</v>
      </c>
      <c r="Y117" s="606">
        <f t="shared" si="16"/>
        <v>76.916015953074577</v>
      </c>
      <c r="Z117" s="607">
        <f t="shared" si="76"/>
        <v>120.24688922049333</v>
      </c>
      <c r="AA117" s="623">
        <f t="shared" si="17"/>
        <v>80.814308185779765</v>
      </c>
      <c r="AB117" s="811">
        <f t="shared" si="35"/>
        <v>0.67206984488050125</v>
      </c>
      <c r="AC117" s="135" t="str">
        <f t="shared" si="36"/>
        <v>Policies met</v>
      </c>
      <c r="AD117" s="1240">
        <f t="shared" si="37"/>
        <v>0.67206984488050125</v>
      </c>
      <c r="AE117" s="135" t="str">
        <f t="shared" si="38"/>
        <v>No</v>
      </c>
      <c r="AF117" s="1293">
        <f t="shared" si="39"/>
        <v>139.12867530930757</v>
      </c>
      <c r="AG117" s="236">
        <f t="shared" si="40"/>
        <v>39.432581034713564</v>
      </c>
      <c r="AH117" s="236">
        <f t="shared" si="18"/>
        <v>45.760541102354082</v>
      </c>
      <c r="AI117" s="748">
        <f t="shared" si="19"/>
        <v>37.035832164635039</v>
      </c>
      <c r="AJ117" s="748">
        <f t="shared" si="20"/>
        <v>16.899721007604906</v>
      </c>
      <c r="AK117" s="236">
        <f t="shared" si="41"/>
        <v>139.1286753093076</v>
      </c>
      <c r="AL117" s="236">
        <f t="shared" si="42"/>
        <v>0</v>
      </c>
      <c r="AM117" s="730">
        <f t="shared" si="43"/>
        <v>0.2834252604436</v>
      </c>
      <c r="AN117" s="483">
        <f t="shared" si="44"/>
        <v>0.32890804861485473</v>
      </c>
      <c r="AO117" s="483">
        <f t="shared" si="45"/>
        <v>0.26619841008546835</v>
      </c>
      <c r="AP117" s="483">
        <f t="shared" si="46"/>
        <v>0.1214682808560769</v>
      </c>
      <c r="AQ117" s="483">
        <f t="shared" si="47"/>
        <v>0.99999999999999989</v>
      </c>
      <c r="AR117" s="834">
        <f t="shared" si="77"/>
        <v>6.718330286861506</v>
      </c>
      <c r="AS117" s="835">
        <f t="shared" si="78"/>
        <v>10.881405661657253</v>
      </c>
      <c r="AT117" s="835">
        <f t="shared" si="79"/>
        <v>2.3248676805531701</v>
      </c>
      <c r="AU117" s="835">
        <f t="shared" si="48"/>
        <v>0</v>
      </c>
      <c r="AV117" s="835">
        <f t="shared" si="49"/>
        <v>0</v>
      </c>
      <c r="AW117" s="835">
        <f t="shared" si="50"/>
        <v>0</v>
      </c>
      <c r="AX117" s="1228">
        <f t="shared" si="21"/>
        <v>16.236099971375594</v>
      </c>
      <c r="AY117" s="835">
        <f t="shared" si="80"/>
        <v>1.307809078845948</v>
      </c>
      <c r="AZ117" s="835">
        <f t="shared" si="81"/>
        <v>0.36762547566046921</v>
      </c>
      <c r="BA117" s="835">
        <f t="shared" si="82"/>
        <v>0.94950499551831991</v>
      </c>
      <c r="BB117" s="835">
        <f t="shared" si="83"/>
        <v>0.64693788424127452</v>
      </c>
      <c r="BC117" s="608">
        <f t="shared" si="51"/>
        <v>39.432581034713529</v>
      </c>
      <c r="BD117" s="840">
        <f t="shared" si="52"/>
        <v>0</v>
      </c>
      <c r="BE117" s="760">
        <f t="shared" si="53"/>
        <v>0.17037510887119423</v>
      </c>
      <c r="BF117" s="705">
        <f t="shared" si="54"/>
        <v>0.2759496177051679</v>
      </c>
      <c r="BG117" s="705">
        <f t="shared" si="55"/>
        <v>5.8958039761752561E-2</v>
      </c>
      <c r="BH117" s="705">
        <f t="shared" si="56"/>
        <v>0</v>
      </c>
      <c r="BI117" s="705">
        <f t="shared" si="57"/>
        <v>0</v>
      </c>
      <c r="BJ117" s="705">
        <f t="shared" si="58"/>
        <v>0</v>
      </c>
      <c r="BK117" s="705">
        <f t="shared" si="59"/>
        <v>0.49471723366188552</v>
      </c>
      <c r="BL117" s="705">
        <f t="shared" si="60"/>
        <v>1.0000000000000002</v>
      </c>
      <c r="BM117" s="730">
        <f t="shared" si="93"/>
        <v>0.29028184578274857</v>
      </c>
      <c r="BN117" s="114">
        <f t="shared" si="93"/>
        <v>0.30317187715157518</v>
      </c>
      <c r="BO117" s="114">
        <f t="shared" si="93"/>
        <v>8.2805443243048754E-2</v>
      </c>
      <c r="BP117" s="114">
        <f t="shared" si="93"/>
        <v>0</v>
      </c>
      <c r="BQ117" s="114">
        <f t="shared" si="93"/>
        <v>0</v>
      </c>
      <c r="BR117" s="114">
        <f t="shared" si="93"/>
        <v>0</v>
      </c>
      <c r="BS117" s="114">
        <f t="shared" si="93"/>
        <v>0.32374083382262742</v>
      </c>
      <c r="BT117" s="604">
        <f t="shared" si="85"/>
        <v>0.99999999999999989</v>
      </c>
      <c r="BV117" s="606">
        <f t="shared" si="22"/>
        <v>45.402511363282024</v>
      </c>
      <c r="BW117" s="114">
        <f t="shared" si="62"/>
        <v>0.85963863629289472</v>
      </c>
      <c r="BX117" s="1503">
        <f t="shared" si="23"/>
        <v>26.615538132570968</v>
      </c>
      <c r="BY117" s="606">
        <f t="shared" si="24"/>
        <v>67.879746959793792</v>
      </c>
      <c r="BZ117" s="114">
        <f t="shared" si="63"/>
        <v>0.79251242467237626</v>
      </c>
      <c r="CA117" s="1503">
        <f t="shared" si="25"/>
        <v>50.172070130067617</v>
      </c>
      <c r="CB117" s="730">
        <f t="shared" si="26"/>
        <v>0.67206984488050125</v>
      </c>
      <c r="CC117" s="604">
        <f t="shared" si="27"/>
        <v>0.8295615868271945</v>
      </c>
      <c r="CD117" s="114">
        <f t="shared" si="64"/>
        <v>0.67206984488050125</v>
      </c>
      <c r="CE117" s="604">
        <f t="shared" si="65"/>
        <v>0.85</v>
      </c>
      <c r="CG117" s="602">
        <f t="shared" si="66"/>
        <v>8.6899319949674325</v>
      </c>
      <c r="CH117" s="704">
        <f t="shared" si="67"/>
        <v>3.8266041510359425</v>
      </c>
      <c r="CI117" s="704">
        <f t="shared" si="68"/>
        <v>14.573606735140972</v>
      </c>
      <c r="CJ117" s="704">
        <f t="shared" si="69"/>
        <v>18.44835438659522</v>
      </c>
      <c r="CK117" s="704">
        <f t="shared" si="70"/>
        <v>0.22204383461451555</v>
      </c>
      <c r="CL117" s="704">
        <f t="shared" si="71"/>
        <v>45.760541102354082</v>
      </c>
      <c r="CM117" s="727">
        <f t="shared" si="72"/>
        <v>0</v>
      </c>
    </row>
    <row r="118" spans="1:91">
      <c r="A118" s="127">
        <f>'Input data'!A139</f>
        <v>2039</v>
      </c>
      <c r="B118" s="748">
        <f>'Input data'!B139</f>
        <v>70.856999999999999</v>
      </c>
      <c r="C118" s="236">
        <f>'Input data'!C139</f>
        <v>4728.5300000000007</v>
      </c>
      <c r="D118" s="236">
        <f>'Input data'!D139</f>
        <v>23780609.297040608</v>
      </c>
      <c r="E118" s="1128">
        <f t="shared" si="90"/>
        <v>1</v>
      </c>
      <c r="F118" s="640">
        <f t="shared" si="90"/>
        <v>0.37</v>
      </c>
      <c r="G118" s="1129">
        <f>B118*F118*'Input data'!$C$9</f>
        <v>802.42810712633093</v>
      </c>
      <c r="H118" s="608">
        <f>'Input data'!I139</f>
        <v>424.26313389388866</v>
      </c>
      <c r="I118" s="607">
        <f>'Input data'!K139</f>
        <v>30062.01287831927</v>
      </c>
      <c r="J118" s="608">
        <f t="shared" si="92"/>
        <v>39.432581034713571</v>
      </c>
      <c r="K118" s="609">
        <f t="shared" si="75"/>
        <v>157.73032413885434</v>
      </c>
      <c r="L118" s="483">
        <f t="shared" si="91"/>
        <v>0.7</v>
      </c>
      <c r="M118" s="483">
        <f t="shared" si="89"/>
        <v>0.6</v>
      </c>
      <c r="N118" s="483">
        <f t="shared" si="89"/>
        <v>0.9</v>
      </c>
      <c r="O118" s="483">
        <f t="shared" si="89"/>
        <v>0.9</v>
      </c>
      <c r="P118" s="483">
        <f t="shared" si="89"/>
        <v>0.23600000000000002</v>
      </c>
      <c r="Q118" s="602">
        <f t="shared" si="33"/>
        <v>26.499337920908175</v>
      </c>
      <c r="R118" s="608">
        <f t="shared" si="34"/>
        <v>11.668960878701492</v>
      </c>
      <c r="S118" s="608">
        <f t="shared" si="11"/>
        <v>44.441191234244087</v>
      </c>
      <c r="T118" s="608">
        <f t="shared" si="12"/>
        <v>56.256962339656091</v>
      </c>
      <c r="U118" s="727">
        <f t="shared" si="13"/>
        <v>0.67710709475193609</v>
      </c>
      <c r="V118" s="602">
        <f t="shared" si="14"/>
        <v>139.54355946826178</v>
      </c>
      <c r="W118" s="730">
        <f t="shared" si="88"/>
        <v>0.5</v>
      </c>
      <c r="X118" s="606">
        <f t="shared" si="15"/>
        <v>53.669159952994768</v>
      </c>
      <c r="Y118" s="606">
        <f t="shared" si="16"/>
        <v>76.916015953074577</v>
      </c>
      <c r="Z118" s="607">
        <f t="shared" si="76"/>
        <v>120.24688922049333</v>
      </c>
      <c r="AA118" s="623">
        <f t="shared" si="17"/>
        <v>80.814308185779765</v>
      </c>
      <c r="AB118" s="811">
        <f t="shared" si="35"/>
        <v>0.67206984488050125</v>
      </c>
      <c r="AC118" s="135" t="str">
        <f t="shared" si="36"/>
        <v>Policies met</v>
      </c>
      <c r="AD118" s="1240">
        <f t="shared" si="37"/>
        <v>0.67206984488050125</v>
      </c>
      <c r="AE118" s="135" t="str">
        <f t="shared" si="38"/>
        <v>No</v>
      </c>
      <c r="AF118" s="1293">
        <f t="shared" si="39"/>
        <v>139.12867530930757</v>
      </c>
      <c r="AG118" s="236">
        <f t="shared" si="40"/>
        <v>39.432581034713564</v>
      </c>
      <c r="AH118" s="236">
        <f t="shared" si="18"/>
        <v>45.760541102354082</v>
      </c>
      <c r="AI118" s="748">
        <f t="shared" si="19"/>
        <v>37.035832164635039</v>
      </c>
      <c r="AJ118" s="748">
        <f t="shared" si="20"/>
        <v>16.899721007604906</v>
      </c>
      <c r="AK118" s="236">
        <f t="shared" si="41"/>
        <v>139.1286753093076</v>
      </c>
      <c r="AL118" s="236">
        <f t="shared" si="42"/>
        <v>0</v>
      </c>
      <c r="AM118" s="730">
        <f t="shared" si="43"/>
        <v>0.2834252604436</v>
      </c>
      <c r="AN118" s="483">
        <f t="shared" si="44"/>
        <v>0.32890804861485473</v>
      </c>
      <c r="AO118" s="483">
        <f t="shared" si="45"/>
        <v>0.26619841008546835</v>
      </c>
      <c r="AP118" s="483">
        <f t="shared" si="46"/>
        <v>0.1214682808560769</v>
      </c>
      <c r="AQ118" s="483">
        <f t="shared" si="47"/>
        <v>0.99999999999999989</v>
      </c>
      <c r="AR118" s="834">
        <f t="shared" si="77"/>
        <v>6.718330286861506</v>
      </c>
      <c r="AS118" s="835">
        <f t="shared" si="78"/>
        <v>10.881405661657253</v>
      </c>
      <c r="AT118" s="835">
        <f t="shared" si="79"/>
        <v>2.3248676805531701</v>
      </c>
      <c r="AU118" s="835">
        <f t="shared" si="48"/>
        <v>0</v>
      </c>
      <c r="AV118" s="835">
        <f t="shared" si="49"/>
        <v>0</v>
      </c>
      <c r="AW118" s="835">
        <f t="shared" si="50"/>
        <v>0</v>
      </c>
      <c r="AX118" s="1228">
        <f t="shared" si="21"/>
        <v>16.236099971375594</v>
      </c>
      <c r="AY118" s="835">
        <f t="shared" si="80"/>
        <v>1.307809078845948</v>
      </c>
      <c r="AZ118" s="835">
        <f t="shared" si="81"/>
        <v>0.36762547566046921</v>
      </c>
      <c r="BA118" s="835">
        <f t="shared" si="82"/>
        <v>0.94950499551831991</v>
      </c>
      <c r="BB118" s="835">
        <f t="shared" si="83"/>
        <v>0.64693788424127452</v>
      </c>
      <c r="BC118" s="608">
        <f t="shared" si="51"/>
        <v>39.432581034713529</v>
      </c>
      <c r="BD118" s="840">
        <f t="shared" si="52"/>
        <v>0</v>
      </c>
      <c r="BE118" s="760">
        <f t="shared" si="53"/>
        <v>0.17037510887119423</v>
      </c>
      <c r="BF118" s="705">
        <f t="shared" si="54"/>
        <v>0.2759496177051679</v>
      </c>
      <c r="BG118" s="705">
        <f t="shared" si="55"/>
        <v>5.8958039761752561E-2</v>
      </c>
      <c r="BH118" s="705">
        <f t="shared" si="56"/>
        <v>0</v>
      </c>
      <c r="BI118" s="705">
        <f t="shared" si="57"/>
        <v>0</v>
      </c>
      <c r="BJ118" s="705">
        <f t="shared" si="58"/>
        <v>0</v>
      </c>
      <c r="BK118" s="705">
        <f t="shared" si="59"/>
        <v>0.49471723366188552</v>
      </c>
      <c r="BL118" s="705">
        <f t="shared" si="60"/>
        <v>1.0000000000000002</v>
      </c>
      <c r="BM118" s="730">
        <f t="shared" si="93"/>
        <v>0.29028184578274857</v>
      </c>
      <c r="BN118" s="114">
        <f t="shared" si="93"/>
        <v>0.30317187715157518</v>
      </c>
      <c r="BO118" s="114">
        <f t="shared" si="93"/>
        <v>8.2805443243048754E-2</v>
      </c>
      <c r="BP118" s="114">
        <f t="shared" si="93"/>
        <v>0</v>
      </c>
      <c r="BQ118" s="114">
        <f t="shared" si="93"/>
        <v>0</v>
      </c>
      <c r="BR118" s="114">
        <f t="shared" si="93"/>
        <v>0</v>
      </c>
      <c r="BS118" s="114">
        <f t="shared" si="93"/>
        <v>0.32374083382262742</v>
      </c>
      <c r="BT118" s="604">
        <f t="shared" si="85"/>
        <v>0.99999999999999989</v>
      </c>
      <c r="BV118" s="606">
        <f t="shared" si="22"/>
        <v>46.37476793648645</v>
      </c>
      <c r="BW118" s="114">
        <f t="shared" si="62"/>
        <v>0.84848413511490561</v>
      </c>
      <c r="BX118" s="1503">
        <f t="shared" si="23"/>
        <v>23.780609297040609</v>
      </c>
      <c r="BY118" s="606">
        <f t="shared" si="24"/>
        <v>68.190409873652285</v>
      </c>
      <c r="BZ118" s="114">
        <f t="shared" si="63"/>
        <v>0.79262505199985489</v>
      </c>
      <c r="CA118" s="1503">
        <f t="shared" si="25"/>
        <v>50.172070130067617</v>
      </c>
      <c r="CB118" s="730">
        <f t="shared" si="26"/>
        <v>0.67206984488050125</v>
      </c>
      <c r="CC118" s="604">
        <f t="shared" si="27"/>
        <v>0.76588670458622865</v>
      </c>
      <c r="CD118" s="114">
        <f t="shared" si="64"/>
        <v>0.67206984488050125</v>
      </c>
      <c r="CE118" s="604">
        <f t="shared" si="65"/>
        <v>0.85</v>
      </c>
      <c r="CG118" s="602">
        <f t="shared" si="66"/>
        <v>8.6899319949674325</v>
      </c>
      <c r="CH118" s="704">
        <f t="shared" si="67"/>
        <v>3.8266041510359425</v>
      </c>
      <c r="CI118" s="704">
        <f t="shared" si="68"/>
        <v>14.573606735140972</v>
      </c>
      <c r="CJ118" s="704">
        <f t="shared" si="69"/>
        <v>18.44835438659522</v>
      </c>
      <c r="CK118" s="704">
        <f t="shared" si="70"/>
        <v>0.22204383461451555</v>
      </c>
      <c r="CL118" s="704">
        <f t="shared" si="71"/>
        <v>45.760541102354082</v>
      </c>
      <c r="CM118" s="727">
        <f t="shared" si="72"/>
        <v>0</v>
      </c>
    </row>
    <row r="119" spans="1:91">
      <c r="A119" s="127">
        <f>'Input data'!A140</f>
        <v>2040</v>
      </c>
      <c r="B119" s="748">
        <f>'Input data'!B140</f>
        <v>71.375</v>
      </c>
      <c r="C119" s="236">
        <f>'Input data'!C140</f>
        <v>4875.51</v>
      </c>
      <c r="D119" s="236">
        <f>'Input data'!D140</f>
        <v>20945680.461510252</v>
      </c>
      <c r="E119" s="1128">
        <f t="shared" si="90"/>
        <v>1</v>
      </c>
      <c r="F119" s="640">
        <f t="shared" si="90"/>
        <v>0.37</v>
      </c>
      <c r="G119" s="1129">
        <f>B119*F119*'Input data'!$C$9</f>
        <v>808.29425668800366</v>
      </c>
      <c r="H119" s="608">
        <f>'Input data'!I140</f>
        <v>424.26313389388866</v>
      </c>
      <c r="I119" s="607">
        <f>'Input data'!K140</f>
        <v>30281.781181676302</v>
      </c>
      <c r="J119" s="608">
        <f t="shared" si="92"/>
        <v>39.432581034713571</v>
      </c>
      <c r="K119" s="609">
        <f t="shared" si="75"/>
        <v>157.73032413885434</v>
      </c>
      <c r="L119" s="483">
        <f t="shared" si="91"/>
        <v>0.7</v>
      </c>
      <c r="M119" s="483">
        <f t="shared" si="89"/>
        <v>0.6</v>
      </c>
      <c r="N119" s="483">
        <f t="shared" si="89"/>
        <v>0.9</v>
      </c>
      <c r="O119" s="483">
        <f t="shared" si="89"/>
        <v>0.9</v>
      </c>
      <c r="P119" s="483">
        <f t="shared" si="89"/>
        <v>0.23600000000000002</v>
      </c>
      <c r="Q119" s="602">
        <f t="shared" si="33"/>
        <v>26.499337920908175</v>
      </c>
      <c r="R119" s="608">
        <f t="shared" si="34"/>
        <v>11.668960878701492</v>
      </c>
      <c r="S119" s="608">
        <f t="shared" si="11"/>
        <v>44.441191234244087</v>
      </c>
      <c r="T119" s="608">
        <f t="shared" si="12"/>
        <v>56.256962339656091</v>
      </c>
      <c r="U119" s="727">
        <f t="shared" si="13"/>
        <v>0.67710709475193609</v>
      </c>
      <c r="V119" s="602">
        <f t="shared" si="14"/>
        <v>139.54355946826178</v>
      </c>
      <c r="W119" s="730">
        <f t="shared" si="88"/>
        <v>0.5</v>
      </c>
      <c r="X119" s="606">
        <f t="shared" si="15"/>
        <v>53.669159952994768</v>
      </c>
      <c r="Y119" s="606">
        <f t="shared" si="16"/>
        <v>76.916015953074577</v>
      </c>
      <c r="Z119" s="607">
        <f t="shared" si="76"/>
        <v>120.24688922049333</v>
      </c>
      <c r="AA119" s="623">
        <f t="shared" si="17"/>
        <v>80.814308185779765</v>
      </c>
      <c r="AB119" s="811">
        <f t="shared" si="35"/>
        <v>0.67206984488050125</v>
      </c>
      <c r="AC119" s="135" t="str">
        <f t="shared" si="36"/>
        <v>Policies met</v>
      </c>
      <c r="AD119" s="1240">
        <f t="shared" si="37"/>
        <v>0.67206984488050125</v>
      </c>
      <c r="AE119" s="135" t="str">
        <f t="shared" si="38"/>
        <v>No</v>
      </c>
      <c r="AF119" s="1293">
        <f t="shared" si="39"/>
        <v>139.12867530930757</v>
      </c>
      <c r="AG119" s="236">
        <f t="shared" si="40"/>
        <v>39.432581034713564</v>
      </c>
      <c r="AH119" s="236">
        <f t="shared" si="18"/>
        <v>45.760541102354082</v>
      </c>
      <c r="AI119" s="748">
        <f t="shared" si="19"/>
        <v>37.035832164635039</v>
      </c>
      <c r="AJ119" s="748">
        <f t="shared" si="20"/>
        <v>16.899721007604906</v>
      </c>
      <c r="AK119" s="236">
        <f t="shared" si="41"/>
        <v>139.1286753093076</v>
      </c>
      <c r="AL119" s="236">
        <f t="shared" si="42"/>
        <v>0</v>
      </c>
      <c r="AM119" s="730">
        <f t="shared" si="43"/>
        <v>0.2834252604436</v>
      </c>
      <c r="AN119" s="483">
        <f t="shared" si="44"/>
        <v>0.32890804861485473</v>
      </c>
      <c r="AO119" s="483">
        <f t="shared" si="45"/>
        <v>0.26619841008546835</v>
      </c>
      <c r="AP119" s="483">
        <f t="shared" si="46"/>
        <v>0.1214682808560769</v>
      </c>
      <c r="AQ119" s="483">
        <f t="shared" si="47"/>
        <v>0.99999999999999989</v>
      </c>
      <c r="AR119" s="834">
        <f t="shared" si="77"/>
        <v>6.718330286861506</v>
      </c>
      <c r="AS119" s="835">
        <f t="shared" si="78"/>
        <v>10.881405661657253</v>
      </c>
      <c r="AT119" s="835">
        <f t="shared" si="79"/>
        <v>2.3248676805531701</v>
      </c>
      <c r="AU119" s="835">
        <f t="shared" si="48"/>
        <v>0</v>
      </c>
      <c r="AV119" s="835">
        <f t="shared" si="49"/>
        <v>0</v>
      </c>
      <c r="AW119" s="835">
        <f t="shared" si="50"/>
        <v>0</v>
      </c>
      <c r="AX119" s="1228">
        <f t="shared" si="21"/>
        <v>16.236099971375594</v>
      </c>
      <c r="AY119" s="835">
        <f t="shared" si="80"/>
        <v>1.307809078845948</v>
      </c>
      <c r="AZ119" s="835">
        <f t="shared" si="81"/>
        <v>0.36762547566046921</v>
      </c>
      <c r="BA119" s="835">
        <f t="shared" si="82"/>
        <v>0.94950499551831991</v>
      </c>
      <c r="BB119" s="835">
        <f t="shared" si="83"/>
        <v>0.64693788424127452</v>
      </c>
      <c r="BC119" s="608">
        <f t="shared" si="51"/>
        <v>39.432581034713529</v>
      </c>
      <c r="BD119" s="840">
        <f t="shared" si="52"/>
        <v>0</v>
      </c>
      <c r="BE119" s="760">
        <f t="shared" si="53"/>
        <v>0.17037510887119423</v>
      </c>
      <c r="BF119" s="705">
        <f t="shared" si="54"/>
        <v>0.2759496177051679</v>
      </c>
      <c r="BG119" s="705">
        <f t="shared" si="55"/>
        <v>5.8958039761752561E-2</v>
      </c>
      <c r="BH119" s="705">
        <f t="shared" si="56"/>
        <v>0</v>
      </c>
      <c r="BI119" s="705">
        <f t="shared" si="57"/>
        <v>0</v>
      </c>
      <c r="BJ119" s="705">
        <f t="shared" si="58"/>
        <v>0</v>
      </c>
      <c r="BK119" s="705">
        <f t="shared" si="59"/>
        <v>0.49471723366188552</v>
      </c>
      <c r="BL119" s="705">
        <f t="shared" si="60"/>
        <v>1.0000000000000002</v>
      </c>
      <c r="BM119" s="730">
        <f t="shared" si="93"/>
        <v>0.29028184578274857</v>
      </c>
      <c r="BN119" s="114">
        <f t="shared" si="93"/>
        <v>0.30317187715157518</v>
      </c>
      <c r="BO119" s="114">
        <f t="shared" si="93"/>
        <v>8.2805443243048754E-2</v>
      </c>
      <c r="BP119" s="114">
        <f t="shared" si="93"/>
        <v>0</v>
      </c>
      <c r="BQ119" s="114">
        <f t="shared" si="93"/>
        <v>0</v>
      </c>
      <c r="BR119" s="114">
        <f t="shared" si="93"/>
        <v>0</v>
      </c>
      <c r="BS119" s="114">
        <f t="shared" si="93"/>
        <v>0.32374083382262742</v>
      </c>
      <c r="BT119" s="604">
        <f t="shared" si="85"/>
        <v>0.99999999999999989</v>
      </c>
      <c r="BV119" s="606">
        <f t="shared" si="22"/>
        <v>47.410888911411924</v>
      </c>
      <c r="BW119" s="114">
        <f t="shared" si="62"/>
        <v>0.83753152455610469</v>
      </c>
      <c r="BX119" s="1503">
        <f t="shared" si="23"/>
        <v>20.945680461510253</v>
      </c>
      <c r="BY119" s="606">
        <f t="shared" si="24"/>
        <v>68.5161242439967</v>
      </c>
      <c r="BZ119" s="114">
        <f t="shared" si="63"/>
        <v>0.7926923838350951</v>
      </c>
      <c r="CA119" s="1503">
        <f t="shared" si="25"/>
        <v>50.172070130067617</v>
      </c>
      <c r="CB119" s="730">
        <f t="shared" si="26"/>
        <v>0.67206984488050125</v>
      </c>
      <c r="CC119" s="604">
        <f t="shared" si="27"/>
        <v>0.70521629632383942</v>
      </c>
      <c r="CD119" s="114">
        <f t="shared" si="64"/>
        <v>0.67206984488050125</v>
      </c>
      <c r="CE119" s="604">
        <f t="shared" si="65"/>
        <v>0.85</v>
      </c>
      <c r="CG119" s="602">
        <f t="shared" si="66"/>
        <v>8.6899319949674325</v>
      </c>
      <c r="CH119" s="704">
        <f t="shared" si="67"/>
        <v>3.8266041510359425</v>
      </c>
      <c r="CI119" s="704">
        <f t="shared" si="68"/>
        <v>14.573606735140972</v>
      </c>
      <c r="CJ119" s="704">
        <f t="shared" si="69"/>
        <v>18.44835438659522</v>
      </c>
      <c r="CK119" s="704">
        <f t="shared" si="70"/>
        <v>0.22204383461451555</v>
      </c>
      <c r="CL119" s="704">
        <f t="shared" si="71"/>
        <v>45.760541102354082</v>
      </c>
      <c r="CM119" s="727">
        <f t="shared" si="72"/>
        <v>0</v>
      </c>
    </row>
    <row r="120" spans="1:91">
      <c r="A120" s="127">
        <f>'Input data'!A141</f>
        <v>2041</v>
      </c>
      <c r="B120" s="748">
        <f>'Input data'!B141</f>
        <v>71.819000000000003</v>
      </c>
      <c r="C120" s="236">
        <f>'Input data'!C141</f>
        <v>5028.54</v>
      </c>
      <c r="D120" s="236">
        <f>'Input data'!D141</f>
        <v>19664699.523913871</v>
      </c>
      <c r="E120" s="1128">
        <f t="shared" si="90"/>
        <v>1</v>
      </c>
      <c r="F120" s="640">
        <f t="shared" si="90"/>
        <v>0.37</v>
      </c>
      <c r="G120" s="1129">
        <f>B120*F120*'Input data'!$C$9</f>
        <v>813.32238488372309</v>
      </c>
      <c r="H120" s="608">
        <f>'Input data'!I141</f>
        <v>424.26313389388866</v>
      </c>
      <c r="I120" s="607">
        <f>'Input data'!K141</f>
        <v>30470.15401312519</v>
      </c>
      <c r="J120" s="608">
        <f t="shared" si="92"/>
        <v>39.432581034713571</v>
      </c>
      <c r="K120" s="609">
        <f t="shared" si="75"/>
        <v>157.73032413885434</v>
      </c>
      <c r="L120" s="483">
        <f t="shared" si="91"/>
        <v>0.7</v>
      </c>
      <c r="M120" s="483">
        <f t="shared" si="89"/>
        <v>0.6</v>
      </c>
      <c r="N120" s="483">
        <f t="shared" si="89"/>
        <v>0.9</v>
      </c>
      <c r="O120" s="483">
        <f t="shared" si="89"/>
        <v>0.9</v>
      </c>
      <c r="P120" s="483">
        <f t="shared" si="89"/>
        <v>0.23600000000000002</v>
      </c>
      <c r="Q120" s="602">
        <f t="shared" si="33"/>
        <v>26.499337920908175</v>
      </c>
      <c r="R120" s="608">
        <f t="shared" si="34"/>
        <v>11.668960878701492</v>
      </c>
      <c r="S120" s="608">
        <f t="shared" si="11"/>
        <v>44.441191234244087</v>
      </c>
      <c r="T120" s="608">
        <f t="shared" si="12"/>
        <v>56.256962339656091</v>
      </c>
      <c r="U120" s="727">
        <f t="shared" si="13"/>
        <v>0.67710709475193609</v>
      </c>
      <c r="V120" s="602">
        <f t="shared" si="14"/>
        <v>139.54355946826178</v>
      </c>
      <c r="W120" s="730">
        <f t="shared" si="88"/>
        <v>0.5</v>
      </c>
      <c r="X120" s="606">
        <f t="shared" si="15"/>
        <v>53.669159952994768</v>
      </c>
      <c r="Y120" s="606">
        <f t="shared" si="16"/>
        <v>76.916015953074577</v>
      </c>
      <c r="Z120" s="607">
        <f t="shared" si="76"/>
        <v>120.24688922049333</v>
      </c>
      <c r="AA120" s="623">
        <f t="shared" si="17"/>
        <v>80.814308185779765</v>
      </c>
      <c r="AB120" s="811">
        <f t="shared" si="35"/>
        <v>0.67206984488050125</v>
      </c>
      <c r="AC120" s="135" t="str">
        <f t="shared" si="36"/>
        <v>Policies met</v>
      </c>
      <c r="AD120" s="1240">
        <f t="shared" si="37"/>
        <v>0.67206984488050125</v>
      </c>
      <c r="AE120" s="135" t="str">
        <f t="shared" si="38"/>
        <v>No</v>
      </c>
      <c r="AF120" s="1293">
        <f t="shared" si="39"/>
        <v>139.12867530930757</v>
      </c>
      <c r="AG120" s="236">
        <f t="shared" si="40"/>
        <v>39.432581034713564</v>
      </c>
      <c r="AH120" s="236">
        <f t="shared" si="18"/>
        <v>45.760541102354082</v>
      </c>
      <c r="AI120" s="748">
        <f t="shared" si="19"/>
        <v>37.035832164635039</v>
      </c>
      <c r="AJ120" s="748">
        <f t="shared" si="20"/>
        <v>16.899721007604906</v>
      </c>
      <c r="AK120" s="236">
        <f t="shared" si="41"/>
        <v>139.1286753093076</v>
      </c>
      <c r="AL120" s="236">
        <f t="shared" si="42"/>
        <v>0</v>
      </c>
      <c r="AM120" s="730">
        <f t="shared" si="43"/>
        <v>0.2834252604436</v>
      </c>
      <c r="AN120" s="483">
        <f t="shared" si="44"/>
        <v>0.32890804861485473</v>
      </c>
      <c r="AO120" s="483">
        <f t="shared" si="45"/>
        <v>0.26619841008546835</v>
      </c>
      <c r="AP120" s="483">
        <f t="shared" si="46"/>
        <v>0.1214682808560769</v>
      </c>
      <c r="AQ120" s="483">
        <f t="shared" si="47"/>
        <v>0.99999999999999989</v>
      </c>
      <c r="AR120" s="834">
        <f t="shared" si="77"/>
        <v>6.718330286861506</v>
      </c>
      <c r="AS120" s="835">
        <f t="shared" si="78"/>
        <v>10.881405661657253</v>
      </c>
      <c r="AT120" s="835">
        <f t="shared" si="79"/>
        <v>2.3248676805531701</v>
      </c>
      <c r="AU120" s="835">
        <f t="shared" si="48"/>
        <v>0</v>
      </c>
      <c r="AV120" s="835">
        <f t="shared" si="49"/>
        <v>0</v>
      </c>
      <c r="AW120" s="835">
        <f t="shared" si="50"/>
        <v>0</v>
      </c>
      <c r="AX120" s="1228">
        <f t="shared" si="21"/>
        <v>16.236099971375594</v>
      </c>
      <c r="AY120" s="835">
        <f t="shared" si="80"/>
        <v>1.307809078845948</v>
      </c>
      <c r="AZ120" s="835">
        <f t="shared" si="81"/>
        <v>0.36762547566046921</v>
      </c>
      <c r="BA120" s="835">
        <f t="shared" si="82"/>
        <v>0.94950499551831991</v>
      </c>
      <c r="BB120" s="835">
        <f t="shared" si="83"/>
        <v>0.64693788424127452</v>
      </c>
      <c r="BC120" s="608">
        <f t="shared" si="51"/>
        <v>39.432581034713529</v>
      </c>
      <c r="BD120" s="840">
        <f t="shared" si="52"/>
        <v>0</v>
      </c>
      <c r="BE120" s="760">
        <f t="shared" si="53"/>
        <v>0.17037510887119423</v>
      </c>
      <c r="BF120" s="705">
        <f t="shared" si="54"/>
        <v>0.2759496177051679</v>
      </c>
      <c r="BG120" s="705">
        <f t="shared" si="55"/>
        <v>5.8958039761752561E-2</v>
      </c>
      <c r="BH120" s="705">
        <f t="shared" si="56"/>
        <v>0</v>
      </c>
      <c r="BI120" s="705">
        <f t="shared" si="57"/>
        <v>0</v>
      </c>
      <c r="BJ120" s="705">
        <f t="shared" si="58"/>
        <v>0</v>
      </c>
      <c r="BK120" s="705">
        <f t="shared" si="59"/>
        <v>0.49471723366188552</v>
      </c>
      <c r="BL120" s="705">
        <f t="shared" si="60"/>
        <v>1.0000000000000002</v>
      </c>
      <c r="BM120" s="730">
        <f t="shared" si="93"/>
        <v>0.29028184578274857</v>
      </c>
      <c r="BN120" s="114">
        <f t="shared" si="93"/>
        <v>0.30317187715157518</v>
      </c>
      <c r="BO120" s="114">
        <f t="shared" si="93"/>
        <v>8.2805443243048754E-2</v>
      </c>
      <c r="BP120" s="114">
        <f t="shared" si="93"/>
        <v>0</v>
      </c>
      <c r="BQ120" s="114">
        <f t="shared" si="93"/>
        <v>0</v>
      </c>
      <c r="BR120" s="114">
        <f t="shared" si="93"/>
        <v>0</v>
      </c>
      <c r="BS120" s="114">
        <f t="shared" si="93"/>
        <v>0.32374083382262742</v>
      </c>
      <c r="BT120" s="604">
        <f t="shared" si="85"/>
        <v>0.99999999999999989</v>
      </c>
      <c r="BV120" s="606">
        <f t="shared" si="22"/>
        <v>48.556333734962038</v>
      </c>
      <c r="BW120" s="114">
        <f t="shared" si="62"/>
        <v>0.82952457660225665</v>
      </c>
      <c r="BX120" s="1503">
        <f t="shared" si="23"/>
        <v>19.664699523913871</v>
      </c>
      <c r="BY120" s="606">
        <f t="shared" si="24"/>
        <v>68.841983673297804</v>
      </c>
      <c r="BZ120" s="114">
        <f t="shared" si="63"/>
        <v>0.79259195130135063</v>
      </c>
      <c r="CA120" s="1503">
        <f t="shared" si="25"/>
        <v>50.172070130067617</v>
      </c>
      <c r="CB120" s="730">
        <f t="shared" si="26"/>
        <v>0.67206984488050125</v>
      </c>
      <c r="CC120" s="604">
        <f t="shared" si="27"/>
        <v>0.67331321468947369</v>
      </c>
      <c r="CD120" s="114">
        <f t="shared" si="64"/>
        <v>0.67206984488050125</v>
      </c>
      <c r="CE120" s="604">
        <f t="shared" si="65"/>
        <v>0.85</v>
      </c>
      <c r="CG120" s="602">
        <f t="shared" si="66"/>
        <v>8.6899319949674325</v>
      </c>
      <c r="CH120" s="704">
        <f t="shared" si="67"/>
        <v>3.8266041510359425</v>
      </c>
      <c r="CI120" s="704">
        <f t="shared" si="68"/>
        <v>14.573606735140972</v>
      </c>
      <c r="CJ120" s="704">
        <f t="shared" si="69"/>
        <v>18.44835438659522</v>
      </c>
      <c r="CK120" s="704">
        <f t="shared" si="70"/>
        <v>0.22204383461451555</v>
      </c>
      <c r="CL120" s="704">
        <f t="shared" si="71"/>
        <v>45.760541102354082</v>
      </c>
      <c r="CM120" s="727">
        <f t="shared" si="72"/>
        <v>0</v>
      </c>
    </row>
    <row r="121" spans="1:91">
      <c r="A121" s="127">
        <f>'Input data'!A142</f>
        <v>2042</v>
      </c>
      <c r="B121" s="748">
        <f>'Input data'!B142</f>
        <v>72.265000000000001</v>
      </c>
      <c r="C121" s="236">
        <f>'Input data'!C142</f>
        <v>5188.1000000000004</v>
      </c>
      <c r="D121" s="236">
        <f>'Input data'!D142</f>
        <v>18383718.586317491</v>
      </c>
      <c r="E121" s="1128">
        <f t="shared" si="90"/>
        <v>1</v>
      </c>
      <c r="F121" s="640">
        <f t="shared" si="90"/>
        <v>0.37</v>
      </c>
      <c r="G121" s="1129">
        <f>B121*F121*'Input data'!$C$9</f>
        <v>818.37316230554939</v>
      </c>
      <c r="H121" s="608">
        <f>'Input data'!I142</f>
        <v>424.26313389388866</v>
      </c>
      <c r="I121" s="607">
        <f>'Input data'!K142</f>
        <v>30659.375370841866</v>
      </c>
      <c r="J121" s="608">
        <f t="shared" si="92"/>
        <v>39.432581034713571</v>
      </c>
      <c r="K121" s="609">
        <f t="shared" si="75"/>
        <v>157.73032413885434</v>
      </c>
      <c r="L121" s="483">
        <f t="shared" si="91"/>
        <v>0.7</v>
      </c>
      <c r="M121" s="483">
        <f t="shared" si="89"/>
        <v>0.6</v>
      </c>
      <c r="N121" s="483">
        <f t="shared" si="89"/>
        <v>0.9</v>
      </c>
      <c r="O121" s="483">
        <f t="shared" si="89"/>
        <v>0.9</v>
      </c>
      <c r="P121" s="483">
        <f t="shared" si="89"/>
        <v>0.23600000000000002</v>
      </c>
      <c r="Q121" s="602">
        <f t="shared" si="33"/>
        <v>26.499337920908175</v>
      </c>
      <c r="R121" s="608">
        <f t="shared" si="34"/>
        <v>11.668960878701492</v>
      </c>
      <c r="S121" s="608">
        <f t="shared" si="11"/>
        <v>44.441191234244087</v>
      </c>
      <c r="T121" s="608">
        <f t="shared" si="12"/>
        <v>56.256962339656091</v>
      </c>
      <c r="U121" s="727">
        <f t="shared" si="13"/>
        <v>0.67710709475193609</v>
      </c>
      <c r="V121" s="602">
        <f t="shared" si="14"/>
        <v>139.54355946826178</v>
      </c>
      <c r="W121" s="730">
        <f t="shared" si="88"/>
        <v>0.5</v>
      </c>
      <c r="X121" s="606">
        <f t="shared" si="15"/>
        <v>53.669159952994768</v>
      </c>
      <c r="Y121" s="606">
        <f t="shared" si="16"/>
        <v>76.916015953074577</v>
      </c>
      <c r="Z121" s="607">
        <f t="shared" si="76"/>
        <v>120.24688922049333</v>
      </c>
      <c r="AA121" s="623">
        <f t="shared" si="17"/>
        <v>80.814308185779765</v>
      </c>
      <c r="AB121" s="811">
        <f t="shared" si="35"/>
        <v>0.67206984488050125</v>
      </c>
      <c r="AC121" s="135" t="str">
        <f t="shared" si="36"/>
        <v>Policies met</v>
      </c>
      <c r="AD121" s="1240">
        <f t="shared" si="37"/>
        <v>0.67206984488050125</v>
      </c>
      <c r="AE121" s="135" t="str">
        <f t="shared" si="38"/>
        <v>No</v>
      </c>
      <c r="AF121" s="1293">
        <f t="shared" si="39"/>
        <v>139.12867530930757</v>
      </c>
      <c r="AG121" s="236">
        <f t="shared" si="40"/>
        <v>39.432581034713564</v>
      </c>
      <c r="AH121" s="236">
        <f t="shared" si="18"/>
        <v>45.760541102354082</v>
      </c>
      <c r="AI121" s="748">
        <f t="shared" si="19"/>
        <v>37.035832164635039</v>
      </c>
      <c r="AJ121" s="748">
        <f t="shared" si="20"/>
        <v>16.899721007604906</v>
      </c>
      <c r="AK121" s="236">
        <f t="shared" si="41"/>
        <v>139.1286753093076</v>
      </c>
      <c r="AL121" s="236">
        <f t="shared" si="42"/>
        <v>0</v>
      </c>
      <c r="AM121" s="730">
        <f t="shared" si="43"/>
        <v>0.2834252604436</v>
      </c>
      <c r="AN121" s="483">
        <f t="shared" si="44"/>
        <v>0.32890804861485473</v>
      </c>
      <c r="AO121" s="483">
        <f t="shared" si="45"/>
        <v>0.26619841008546835</v>
      </c>
      <c r="AP121" s="483">
        <f t="shared" si="46"/>
        <v>0.1214682808560769</v>
      </c>
      <c r="AQ121" s="483">
        <f t="shared" si="47"/>
        <v>0.99999999999999989</v>
      </c>
      <c r="AR121" s="834">
        <f t="shared" si="77"/>
        <v>6.718330286861506</v>
      </c>
      <c r="AS121" s="835">
        <f t="shared" si="78"/>
        <v>10.881405661657253</v>
      </c>
      <c r="AT121" s="835">
        <f t="shared" si="79"/>
        <v>2.3248676805531701</v>
      </c>
      <c r="AU121" s="835">
        <f t="shared" si="48"/>
        <v>0</v>
      </c>
      <c r="AV121" s="835">
        <f t="shared" si="49"/>
        <v>0</v>
      </c>
      <c r="AW121" s="835">
        <f t="shared" si="50"/>
        <v>0</v>
      </c>
      <c r="AX121" s="1228">
        <f t="shared" si="21"/>
        <v>16.236099971375594</v>
      </c>
      <c r="AY121" s="835">
        <f t="shared" si="80"/>
        <v>1.307809078845948</v>
      </c>
      <c r="AZ121" s="835">
        <f t="shared" si="81"/>
        <v>0.36762547566046921</v>
      </c>
      <c r="BA121" s="835">
        <f t="shared" si="82"/>
        <v>0.94950499551831991</v>
      </c>
      <c r="BB121" s="835">
        <f t="shared" si="83"/>
        <v>0.64693788424127452</v>
      </c>
      <c r="BC121" s="608">
        <f t="shared" si="51"/>
        <v>39.432581034713529</v>
      </c>
      <c r="BD121" s="840">
        <f t="shared" si="52"/>
        <v>0</v>
      </c>
      <c r="BE121" s="760">
        <f t="shared" si="53"/>
        <v>0.17037510887119423</v>
      </c>
      <c r="BF121" s="705">
        <f t="shared" si="54"/>
        <v>0.2759496177051679</v>
      </c>
      <c r="BG121" s="705">
        <f t="shared" si="55"/>
        <v>5.8958039761752561E-2</v>
      </c>
      <c r="BH121" s="705">
        <f t="shared" si="56"/>
        <v>0</v>
      </c>
      <c r="BI121" s="705">
        <f t="shared" si="57"/>
        <v>0</v>
      </c>
      <c r="BJ121" s="705">
        <f t="shared" si="58"/>
        <v>0</v>
      </c>
      <c r="BK121" s="705">
        <f t="shared" si="59"/>
        <v>0.49471723366188552</v>
      </c>
      <c r="BL121" s="705">
        <f t="shared" si="60"/>
        <v>1.0000000000000002</v>
      </c>
      <c r="BM121" s="730">
        <f t="shared" si="93"/>
        <v>0.29028184578274857</v>
      </c>
      <c r="BN121" s="114">
        <f t="shared" si="93"/>
        <v>0.30317187715157518</v>
      </c>
      <c r="BO121" s="114">
        <f t="shared" si="93"/>
        <v>8.2805443243048754E-2</v>
      </c>
      <c r="BP121" s="114">
        <f t="shared" si="93"/>
        <v>0</v>
      </c>
      <c r="BQ121" s="114">
        <f t="shared" si="93"/>
        <v>0</v>
      </c>
      <c r="BR121" s="114">
        <f t="shared" si="93"/>
        <v>0</v>
      </c>
      <c r="BS121" s="114">
        <f t="shared" si="93"/>
        <v>0.32374083382262742</v>
      </c>
      <c r="BT121" s="604">
        <f t="shared" si="85"/>
        <v>0.99999999999999989</v>
      </c>
      <c r="BV121" s="606">
        <f t="shared" si="22"/>
        <v>49.750914010731776</v>
      </c>
      <c r="BW121" s="114">
        <f t="shared" si="62"/>
        <v>0.82169142216068014</v>
      </c>
      <c r="BX121" s="1503">
        <f t="shared" si="23"/>
        <v>18.383718586317492</v>
      </c>
      <c r="BY121" s="606">
        <f t="shared" si="24"/>
        <v>69.179390284490111</v>
      </c>
      <c r="BZ121" s="114">
        <f t="shared" si="63"/>
        <v>0.79245819927103844</v>
      </c>
      <c r="CA121" s="1503">
        <f t="shared" si="25"/>
        <v>50.172070130067617</v>
      </c>
      <c r="CB121" s="730">
        <f t="shared" si="26"/>
        <v>0.67206984488050125</v>
      </c>
      <c r="CC121" s="604">
        <f t="shared" si="27"/>
        <v>0.64292497656199366</v>
      </c>
      <c r="CD121" s="114">
        <f t="shared" si="64"/>
        <v>0.67206984488050125</v>
      </c>
      <c r="CE121" s="604">
        <f t="shared" si="65"/>
        <v>0.85</v>
      </c>
      <c r="CG121" s="602">
        <f t="shared" si="66"/>
        <v>8.6899319949674325</v>
      </c>
      <c r="CH121" s="704">
        <f t="shared" si="67"/>
        <v>3.8266041510359425</v>
      </c>
      <c r="CI121" s="704">
        <f t="shared" si="68"/>
        <v>14.573606735140972</v>
      </c>
      <c r="CJ121" s="704">
        <f t="shared" si="69"/>
        <v>18.44835438659522</v>
      </c>
      <c r="CK121" s="704">
        <f t="shared" si="70"/>
        <v>0.22204383461451555</v>
      </c>
      <c r="CL121" s="704">
        <f t="shared" si="71"/>
        <v>45.760541102354082</v>
      </c>
      <c r="CM121" s="727">
        <f t="shared" si="72"/>
        <v>0</v>
      </c>
    </row>
    <row r="122" spans="1:91">
      <c r="A122" s="127">
        <f>'Input data'!A143</f>
        <v>2043</v>
      </c>
      <c r="B122" s="748">
        <f>'Input data'!B143</f>
        <v>72.713999999999999</v>
      </c>
      <c r="C122" s="236">
        <f>'Input data'!C143</f>
        <v>5353.7899999999991</v>
      </c>
      <c r="D122" s="236">
        <f>'Input data'!D143</f>
        <v>17102737.64872111</v>
      </c>
      <c r="E122" s="1128">
        <f t="shared" si="90"/>
        <v>1</v>
      </c>
      <c r="F122" s="640">
        <f t="shared" si="90"/>
        <v>0.37</v>
      </c>
      <c r="G122" s="1129">
        <f>B122*F122*'Input data'!$C$9</f>
        <v>823.45791356653592</v>
      </c>
      <c r="H122" s="608">
        <f>'Input data'!I143</f>
        <v>424.26313389388866</v>
      </c>
      <c r="I122" s="607">
        <f>'Input data'!K143</f>
        <v>30849.869517960218</v>
      </c>
      <c r="J122" s="608">
        <f t="shared" si="92"/>
        <v>39.432581034713571</v>
      </c>
      <c r="K122" s="609">
        <f t="shared" si="75"/>
        <v>157.73032413885434</v>
      </c>
      <c r="L122" s="483">
        <f t="shared" si="91"/>
        <v>0.7</v>
      </c>
      <c r="M122" s="483">
        <f t="shared" si="89"/>
        <v>0.6</v>
      </c>
      <c r="N122" s="483">
        <f t="shared" si="89"/>
        <v>0.9</v>
      </c>
      <c r="O122" s="483">
        <f t="shared" si="89"/>
        <v>0.9</v>
      </c>
      <c r="P122" s="483">
        <f t="shared" si="89"/>
        <v>0.23600000000000002</v>
      </c>
      <c r="Q122" s="602">
        <f t="shared" si="33"/>
        <v>26.499337920908175</v>
      </c>
      <c r="R122" s="608">
        <f t="shared" si="34"/>
        <v>11.668960878701492</v>
      </c>
      <c r="S122" s="608">
        <f t="shared" si="11"/>
        <v>44.441191234244087</v>
      </c>
      <c r="T122" s="608">
        <f t="shared" si="12"/>
        <v>56.256962339656091</v>
      </c>
      <c r="U122" s="727">
        <f t="shared" si="13"/>
        <v>0.67710709475193609</v>
      </c>
      <c r="V122" s="602">
        <f t="shared" si="14"/>
        <v>139.54355946826178</v>
      </c>
      <c r="W122" s="730">
        <f t="shared" si="88"/>
        <v>0.5</v>
      </c>
      <c r="X122" s="606">
        <f t="shared" si="15"/>
        <v>53.669159952994768</v>
      </c>
      <c r="Y122" s="606">
        <f t="shared" si="16"/>
        <v>76.916015953074577</v>
      </c>
      <c r="Z122" s="607">
        <f t="shared" si="76"/>
        <v>120.24688922049333</v>
      </c>
      <c r="AA122" s="623">
        <f t="shared" si="17"/>
        <v>80.814308185779765</v>
      </c>
      <c r="AB122" s="811">
        <f t="shared" si="35"/>
        <v>0.67206984488050125</v>
      </c>
      <c r="AC122" s="135" t="str">
        <f t="shared" si="36"/>
        <v>Policies met</v>
      </c>
      <c r="AD122" s="1240">
        <f t="shared" si="37"/>
        <v>0.67206984488050125</v>
      </c>
      <c r="AE122" s="135" t="str">
        <f t="shared" si="38"/>
        <v>No</v>
      </c>
      <c r="AF122" s="1293">
        <f t="shared" si="39"/>
        <v>139.12867530930757</v>
      </c>
      <c r="AG122" s="236">
        <f t="shared" si="40"/>
        <v>39.432581034713564</v>
      </c>
      <c r="AH122" s="236">
        <f t="shared" si="18"/>
        <v>45.760541102354082</v>
      </c>
      <c r="AI122" s="748">
        <f t="shared" si="19"/>
        <v>37.035832164635039</v>
      </c>
      <c r="AJ122" s="748">
        <f t="shared" si="20"/>
        <v>16.899721007604906</v>
      </c>
      <c r="AK122" s="236">
        <f t="shared" si="41"/>
        <v>139.1286753093076</v>
      </c>
      <c r="AL122" s="236">
        <f t="shared" si="42"/>
        <v>0</v>
      </c>
      <c r="AM122" s="730">
        <f t="shared" si="43"/>
        <v>0.2834252604436</v>
      </c>
      <c r="AN122" s="483">
        <f t="shared" si="44"/>
        <v>0.32890804861485473</v>
      </c>
      <c r="AO122" s="483">
        <f t="shared" si="45"/>
        <v>0.26619841008546835</v>
      </c>
      <c r="AP122" s="483">
        <f t="shared" si="46"/>
        <v>0.1214682808560769</v>
      </c>
      <c r="AQ122" s="483">
        <f t="shared" si="47"/>
        <v>0.99999999999999989</v>
      </c>
      <c r="AR122" s="834">
        <f t="shared" si="77"/>
        <v>6.718330286861506</v>
      </c>
      <c r="AS122" s="835">
        <f t="shared" si="78"/>
        <v>10.881405661657253</v>
      </c>
      <c r="AT122" s="835">
        <f t="shared" si="79"/>
        <v>2.3248676805531701</v>
      </c>
      <c r="AU122" s="835">
        <f t="shared" si="48"/>
        <v>0</v>
      </c>
      <c r="AV122" s="835">
        <f t="shared" si="49"/>
        <v>0</v>
      </c>
      <c r="AW122" s="835">
        <f t="shared" si="50"/>
        <v>0</v>
      </c>
      <c r="AX122" s="1228">
        <f t="shared" si="21"/>
        <v>16.236099971375594</v>
      </c>
      <c r="AY122" s="835">
        <f t="shared" si="80"/>
        <v>1.307809078845948</v>
      </c>
      <c r="AZ122" s="835">
        <f t="shared" si="81"/>
        <v>0.36762547566046921</v>
      </c>
      <c r="BA122" s="835">
        <f t="shared" si="82"/>
        <v>0.94950499551831991</v>
      </c>
      <c r="BB122" s="835">
        <f t="shared" si="83"/>
        <v>0.64693788424127452</v>
      </c>
      <c r="BC122" s="608">
        <f t="shared" si="51"/>
        <v>39.432581034713529</v>
      </c>
      <c r="BD122" s="840">
        <f t="shared" si="52"/>
        <v>0</v>
      </c>
      <c r="BE122" s="760">
        <f t="shared" si="53"/>
        <v>0.17037510887119423</v>
      </c>
      <c r="BF122" s="705">
        <f t="shared" si="54"/>
        <v>0.2759496177051679</v>
      </c>
      <c r="BG122" s="705">
        <f t="shared" si="55"/>
        <v>5.8958039761752561E-2</v>
      </c>
      <c r="BH122" s="705">
        <f t="shared" si="56"/>
        <v>0</v>
      </c>
      <c r="BI122" s="705">
        <f t="shared" si="57"/>
        <v>0</v>
      </c>
      <c r="BJ122" s="705">
        <f t="shared" si="58"/>
        <v>0</v>
      </c>
      <c r="BK122" s="705">
        <f t="shared" si="59"/>
        <v>0.49471723366188552</v>
      </c>
      <c r="BL122" s="705">
        <f t="shared" si="60"/>
        <v>1.0000000000000002</v>
      </c>
      <c r="BM122" s="730">
        <f t="shared" si="93"/>
        <v>0.29028184578274857</v>
      </c>
      <c r="BN122" s="114">
        <f t="shared" si="93"/>
        <v>0.30317187715157518</v>
      </c>
      <c r="BO122" s="114">
        <f t="shared" si="93"/>
        <v>8.2805443243048754E-2</v>
      </c>
      <c r="BP122" s="114">
        <f t="shared" si="93"/>
        <v>0</v>
      </c>
      <c r="BQ122" s="114">
        <f t="shared" si="93"/>
        <v>0</v>
      </c>
      <c r="BR122" s="114">
        <f t="shared" si="93"/>
        <v>0</v>
      </c>
      <c r="BS122" s="114">
        <f t="shared" si="93"/>
        <v>0.32374083382262742</v>
      </c>
      <c r="BT122" s="604">
        <f t="shared" si="85"/>
        <v>0.99999999999999989</v>
      </c>
      <c r="BV122" s="606">
        <f t="shared" si="22"/>
        <v>50.991776083637212</v>
      </c>
      <c r="BW122" s="114">
        <f t="shared" si="62"/>
        <v>0.81406122796454849</v>
      </c>
      <c r="BX122" s="1503">
        <f t="shared" si="23"/>
        <v>17.10273764872111</v>
      </c>
      <c r="BY122" s="606">
        <f t="shared" si="24"/>
        <v>69.527792919906389</v>
      </c>
      <c r="BZ122" s="114">
        <f t="shared" si="63"/>
        <v>0.79229576189754736</v>
      </c>
      <c r="CA122" s="1503">
        <f t="shared" si="25"/>
        <v>50.172070130067617</v>
      </c>
      <c r="CB122" s="730">
        <f t="shared" si="26"/>
        <v>0.67206984488050125</v>
      </c>
      <c r="CC122" s="604">
        <f t="shared" si="27"/>
        <v>0.61404708700249144</v>
      </c>
      <c r="CD122" s="114">
        <f t="shared" si="64"/>
        <v>0.67206984488050125</v>
      </c>
      <c r="CE122" s="604">
        <f t="shared" si="65"/>
        <v>0.85</v>
      </c>
      <c r="CG122" s="602">
        <f t="shared" si="66"/>
        <v>8.6899319949674325</v>
      </c>
      <c r="CH122" s="704">
        <f t="shared" si="67"/>
        <v>3.8266041510359425</v>
      </c>
      <c r="CI122" s="704">
        <f t="shared" si="68"/>
        <v>14.573606735140972</v>
      </c>
      <c r="CJ122" s="704">
        <f t="shared" si="69"/>
        <v>18.44835438659522</v>
      </c>
      <c r="CK122" s="704">
        <f t="shared" si="70"/>
        <v>0.22204383461451555</v>
      </c>
      <c r="CL122" s="704">
        <f t="shared" si="71"/>
        <v>45.760541102354082</v>
      </c>
      <c r="CM122" s="727">
        <f t="shared" si="72"/>
        <v>0</v>
      </c>
    </row>
    <row r="123" spans="1:91">
      <c r="A123" s="127">
        <f>'Input data'!A144</f>
        <v>2044</v>
      </c>
      <c r="B123" s="748">
        <f>'Input data'!B144</f>
        <v>73.165000000000006</v>
      </c>
      <c r="C123" s="236">
        <f>'Input data'!C144</f>
        <v>5526.5000000000018</v>
      </c>
      <c r="D123" s="236">
        <f>'Input data'!D144</f>
        <v>15821756.711124728</v>
      </c>
      <c r="E123" s="1128">
        <f t="shared" si="90"/>
        <v>1</v>
      </c>
      <c r="F123" s="640">
        <f t="shared" si="90"/>
        <v>0.37</v>
      </c>
      <c r="G123" s="1129">
        <f>B123*F123*'Input data'!$C$9</f>
        <v>828.56531405362932</v>
      </c>
      <c r="H123" s="608">
        <f>'Input data'!I144</f>
        <v>424.26313389388866</v>
      </c>
      <c r="I123" s="607">
        <f>'Input data'!K144</f>
        <v>31041.212191346367</v>
      </c>
      <c r="J123" s="608">
        <f t="shared" si="92"/>
        <v>39.432581034713571</v>
      </c>
      <c r="K123" s="609">
        <f t="shared" si="75"/>
        <v>157.73032413885434</v>
      </c>
      <c r="L123" s="483">
        <f t="shared" si="91"/>
        <v>0.7</v>
      </c>
      <c r="M123" s="483">
        <f t="shared" si="89"/>
        <v>0.6</v>
      </c>
      <c r="N123" s="483">
        <f t="shared" si="89"/>
        <v>0.9</v>
      </c>
      <c r="O123" s="483">
        <f t="shared" si="89"/>
        <v>0.9</v>
      </c>
      <c r="P123" s="483">
        <f t="shared" si="89"/>
        <v>0.23600000000000002</v>
      </c>
      <c r="Q123" s="602">
        <f t="shared" si="33"/>
        <v>26.499337920908175</v>
      </c>
      <c r="R123" s="608">
        <f t="shared" si="34"/>
        <v>11.668960878701492</v>
      </c>
      <c r="S123" s="608">
        <f t="shared" si="11"/>
        <v>44.441191234244087</v>
      </c>
      <c r="T123" s="608">
        <f t="shared" si="12"/>
        <v>56.256962339656091</v>
      </c>
      <c r="U123" s="727">
        <f t="shared" si="13"/>
        <v>0.67710709475193609</v>
      </c>
      <c r="V123" s="602">
        <f t="shared" si="14"/>
        <v>139.54355946826178</v>
      </c>
      <c r="W123" s="730">
        <f t="shared" si="88"/>
        <v>0.5</v>
      </c>
      <c r="X123" s="606">
        <f t="shared" si="15"/>
        <v>53.669159952994768</v>
      </c>
      <c r="Y123" s="606">
        <f t="shared" si="16"/>
        <v>76.916015953074577</v>
      </c>
      <c r="Z123" s="607">
        <f t="shared" si="76"/>
        <v>120.24688922049333</v>
      </c>
      <c r="AA123" s="623">
        <f t="shared" si="17"/>
        <v>80.814308185779765</v>
      </c>
      <c r="AB123" s="811">
        <f t="shared" si="35"/>
        <v>0.67206984488050125</v>
      </c>
      <c r="AC123" s="135" t="str">
        <f t="shared" si="36"/>
        <v>Policies met</v>
      </c>
      <c r="AD123" s="1240">
        <f t="shared" si="37"/>
        <v>0.67206984488050125</v>
      </c>
      <c r="AE123" s="135" t="str">
        <f t="shared" si="38"/>
        <v>No</v>
      </c>
      <c r="AF123" s="1293">
        <f t="shared" si="39"/>
        <v>139.12867530930757</v>
      </c>
      <c r="AG123" s="236">
        <f t="shared" si="40"/>
        <v>39.432581034713564</v>
      </c>
      <c r="AH123" s="236">
        <f t="shared" si="18"/>
        <v>45.760541102354082</v>
      </c>
      <c r="AI123" s="748">
        <f t="shared" si="19"/>
        <v>37.035832164635039</v>
      </c>
      <c r="AJ123" s="748">
        <f t="shared" si="20"/>
        <v>16.899721007604906</v>
      </c>
      <c r="AK123" s="236">
        <f t="shared" si="41"/>
        <v>139.1286753093076</v>
      </c>
      <c r="AL123" s="236">
        <f t="shared" si="42"/>
        <v>0</v>
      </c>
      <c r="AM123" s="730">
        <f t="shared" si="43"/>
        <v>0.2834252604436</v>
      </c>
      <c r="AN123" s="483">
        <f t="shared" si="44"/>
        <v>0.32890804861485473</v>
      </c>
      <c r="AO123" s="483">
        <f t="shared" si="45"/>
        <v>0.26619841008546835</v>
      </c>
      <c r="AP123" s="483">
        <f t="shared" si="46"/>
        <v>0.1214682808560769</v>
      </c>
      <c r="AQ123" s="483">
        <f t="shared" si="47"/>
        <v>0.99999999999999989</v>
      </c>
      <c r="AR123" s="834">
        <f t="shared" si="77"/>
        <v>6.718330286861506</v>
      </c>
      <c r="AS123" s="835">
        <f t="shared" si="78"/>
        <v>10.881405661657253</v>
      </c>
      <c r="AT123" s="835">
        <f t="shared" si="79"/>
        <v>2.3248676805531701</v>
      </c>
      <c r="AU123" s="835">
        <f t="shared" si="48"/>
        <v>0</v>
      </c>
      <c r="AV123" s="835">
        <f t="shared" si="49"/>
        <v>0</v>
      </c>
      <c r="AW123" s="835">
        <f t="shared" si="50"/>
        <v>0</v>
      </c>
      <c r="AX123" s="1228">
        <f t="shared" si="21"/>
        <v>16.236099971375594</v>
      </c>
      <c r="AY123" s="835">
        <f t="shared" si="80"/>
        <v>1.307809078845948</v>
      </c>
      <c r="AZ123" s="835">
        <f t="shared" si="81"/>
        <v>0.36762547566046921</v>
      </c>
      <c r="BA123" s="835">
        <f t="shared" si="82"/>
        <v>0.94950499551831991</v>
      </c>
      <c r="BB123" s="835">
        <f t="shared" si="83"/>
        <v>0.64693788424127452</v>
      </c>
      <c r="BC123" s="608">
        <f t="shared" si="51"/>
        <v>39.432581034713529</v>
      </c>
      <c r="BD123" s="840">
        <f t="shared" si="52"/>
        <v>0</v>
      </c>
      <c r="BE123" s="760">
        <f t="shared" si="53"/>
        <v>0.17037510887119423</v>
      </c>
      <c r="BF123" s="705">
        <f t="shared" si="54"/>
        <v>0.2759496177051679</v>
      </c>
      <c r="BG123" s="705">
        <f t="shared" si="55"/>
        <v>5.8958039761752561E-2</v>
      </c>
      <c r="BH123" s="705">
        <f t="shared" si="56"/>
        <v>0</v>
      </c>
      <c r="BI123" s="705">
        <f t="shared" si="57"/>
        <v>0</v>
      </c>
      <c r="BJ123" s="705">
        <f t="shared" si="58"/>
        <v>0</v>
      </c>
      <c r="BK123" s="705">
        <f t="shared" si="59"/>
        <v>0.49471723366188552</v>
      </c>
      <c r="BL123" s="705">
        <f t="shared" si="60"/>
        <v>1.0000000000000002</v>
      </c>
      <c r="BM123" s="730">
        <f t="shared" si="93"/>
        <v>0.29028184578274857</v>
      </c>
      <c r="BN123" s="114">
        <f t="shared" si="93"/>
        <v>0.30317187715157518</v>
      </c>
      <c r="BO123" s="114">
        <f t="shared" si="93"/>
        <v>8.2805443243048754E-2</v>
      </c>
      <c r="BP123" s="114">
        <f t="shared" si="93"/>
        <v>0</v>
      </c>
      <c r="BQ123" s="114">
        <f t="shared" si="93"/>
        <v>0</v>
      </c>
      <c r="BR123" s="114">
        <f t="shared" si="93"/>
        <v>0</v>
      </c>
      <c r="BS123" s="114">
        <f t="shared" si="93"/>
        <v>0.32374083382262742</v>
      </c>
      <c r="BT123" s="604">
        <f t="shared" si="85"/>
        <v>0.99999999999999989</v>
      </c>
      <c r="BV123" s="606">
        <f t="shared" si="22"/>
        <v>52.285439768867342</v>
      </c>
      <c r="BW123" s="114">
        <f t="shared" si="62"/>
        <v>0.80660593745077303</v>
      </c>
      <c r="BX123" s="1503">
        <f t="shared" si="23"/>
        <v>15.821756711124728</v>
      </c>
      <c r="BY123" s="606">
        <f t="shared" si="24"/>
        <v>69.88858833798335</v>
      </c>
      <c r="BZ123" s="114">
        <f t="shared" si="63"/>
        <v>0.79209831292977029</v>
      </c>
      <c r="CA123" s="1503">
        <f t="shared" si="25"/>
        <v>50.172070130067617</v>
      </c>
      <c r="CB123" s="730">
        <f t="shared" si="26"/>
        <v>0.67206984488050125</v>
      </c>
      <c r="CC123" s="604">
        <f t="shared" si="27"/>
        <v>0.58660162548775696</v>
      </c>
      <c r="CD123" s="114">
        <f t="shared" si="64"/>
        <v>0.67206984488050125</v>
      </c>
      <c r="CE123" s="604">
        <f t="shared" si="65"/>
        <v>0.85</v>
      </c>
      <c r="CG123" s="602">
        <f t="shared" si="66"/>
        <v>8.6899319949674325</v>
      </c>
      <c r="CH123" s="704">
        <f t="shared" si="67"/>
        <v>3.8266041510359425</v>
      </c>
      <c r="CI123" s="704">
        <f t="shared" si="68"/>
        <v>14.573606735140972</v>
      </c>
      <c r="CJ123" s="704">
        <f t="shared" si="69"/>
        <v>18.44835438659522</v>
      </c>
      <c r="CK123" s="704">
        <f t="shared" si="70"/>
        <v>0.22204383461451555</v>
      </c>
      <c r="CL123" s="704">
        <f t="shared" si="71"/>
        <v>45.760541102354082</v>
      </c>
      <c r="CM123" s="727">
        <f t="shared" si="72"/>
        <v>0</v>
      </c>
    </row>
    <row r="124" spans="1:91">
      <c r="A124" s="127">
        <f>'Input data'!A145</f>
        <v>2045</v>
      </c>
      <c r="B124" s="748">
        <f>'Input data'!B145</f>
        <v>73.62</v>
      </c>
      <c r="C124" s="236">
        <f>'Input data'!C145</f>
        <v>5709.93</v>
      </c>
      <c r="D124" s="236">
        <f>'Input data'!D145</f>
        <v>14540775.773528345</v>
      </c>
      <c r="E124" s="1128">
        <f t="shared" si="90"/>
        <v>1</v>
      </c>
      <c r="F124" s="640">
        <f t="shared" si="90"/>
        <v>0.37</v>
      </c>
      <c r="G124" s="1129">
        <f>B124*F124*'Input data'!$C$9</f>
        <v>833.71801299293634</v>
      </c>
      <c r="H124" s="608">
        <f>'Input data'!I145</f>
        <v>424.26313389388866</v>
      </c>
      <c r="I124" s="607">
        <f>'Input data'!K145</f>
        <v>31234.251917268084</v>
      </c>
      <c r="J124" s="608">
        <f t="shared" si="92"/>
        <v>39.432581034713571</v>
      </c>
      <c r="K124" s="609">
        <f t="shared" si="75"/>
        <v>157.73032413885434</v>
      </c>
      <c r="L124" s="483">
        <f t="shared" si="91"/>
        <v>0.7</v>
      </c>
      <c r="M124" s="483">
        <f t="shared" si="89"/>
        <v>0.6</v>
      </c>
      <c r="N124" s="483">
        <f t="shared" si="89"/>
        <v>0.9</v>
      </c>
      <c r="O124" s="483">
        <f t="shared" si="89"/>
        <v>0.9</v>
      </c>
      <c r="P124" s="483">
        <f t="shared" si="89"/>
        <v>0.23600000000000002</v>
      </c>
      <c r="Q124" s="602">
        <f t="shared" si="33"/>
        <v>26.499337920908175</v>
      </c>
      <c r="R124" s="608">
        <f t="shared" si="34"/>
        <v>11.668960878701492</v>
      </c>
      <c r="S124" s="608">
        <f t="shared" si="11"/>
        <v>44.441191234244087</v>
      </c>
      <c r="T124" s="608">
        <f t="shared" si="12"/>
        <v>56.256962339656091</v>
      </c>
      <c r="U124" s="727">
        <f t="shared" si="13"/>
        <v>0.67710709475193609</v>
      </c>
      <c r="V124" s="602">
        <f t="shared" si="14"/>
        <v>139.54355946826178</v>
      </c>
      <c r="W124" s="730">
        <f t="shared" si="88"/>
        <v>0.5</v>
      </c>
      <c r="X124" s="606">
        <f t="shared" si="15"/>
        <v>53.669159952994768</v>
      </c>
      <c r="Y124" s="606">
        <f t="shared" si="16"/>
        <v>76.916015953074577</v>
      </c>
      <c r="Z124" s="607">
        <f t="shared" si="76"/>
        <v>120.24688922049333</v>
      </c>
      <c r="AA124" s="623">
        <f t="shared" si="17"/>
        <v>80.814308185779765</v>
      </c>
      <c r="AB124" s="811">
        <f t="shared" si="35"/>
        <v>0.67206984488050125</v>
      </c>
      <c r="AC124" s="135" t="str">
        <f t="shared" si="36"/>
        <v>Policies met</v>
      </c>
      <c r="AD124" s="1240">
        <f t="shared" si="37"/>
        <v>0.67206984488050125</v>
      </c>
      <c r="AE124" s="135" t="str">
        <f t="shared" si="38"/>
        <v>No</v>
      </c>
      <c r="AF124" s="1293">
        <f t="shared" si="39"/>
        <v>139.12867530930757</v>
      </c>
      <c r="AG124" s="236">
        <f t="shared" si="40"/>
        <v>39.432581034713564</v>
      </c>
      <c r="AH124" s="236">
        <f t="shared" si="18"/>
        <v>45.760541102354082</v>
      </c>
      <c r="AI124" s="748">
        <f t="shared" si="19"/>
        <v>37.035832164635039</v>
      </c>
      <c r="AJ124" s="748">
        <f t="shared" si="20"/>
        <v>16.899721007604906</v>
      </c>
      <c r="AK124" s="236">
        <f t="shared" si="41"/>
        <v>139.1286753093076</v>
      </c>
      <c r="AL124" s="236">
        <f t="shared" si="42"/>
        <v>0</v>
      </c>
      <c r="AM124" s="730">
        <f t="shared" si="43"/>
        <v>0.2834252604436</v>
      </c>
      <c r="AN124" s="483">
        <f t="shared" si="44"/>
        <v>0.32890804861485473</v>
      </c>
      <c r="AO124" s="483">
        <f t="shared" si="45"/>
        <v>0.26619841008546835</v>
      </c>
      <c r="AP124" s="483">
        <f t="shared" si="46"/>
        <v>0.1214682808560769</v>
      </c>
      <c r="AQ124" s="483">
        <f t="shared" si="47"/>
        <v>0.99999999999999989</v>
      </c>
      <c r="AR124" s="834">
        <f t="shared" si="77"/>
        <v>6.718330286861506</v>
      </c>
      <c r="AS124" s="835">
        <f t="shared" si="78"/>
        <v>10.881405661657253</v>
      </c>
      <c r="AT124" s="835">
        <f t="shared" si="79"/>
        <v>2.3248676805531701</v>
      </c>
      <c r="AU124" s="835">
        <f t="shared" si="48"/>
        <v>0</v>
      </c>
      <c r="AV124" s="835">
        <f t="shared" si="49"/>
        <v>0</v>
      </c>
      <c r="AW124" s="835">
        <f t="shared" si="50"/>
        <v>0</v>
      </c>
      <c r="AX124" s="1228">
        <f t="shared" si="21"/>
        <v>16.236099971375594</v>
      </c>
      <c r="AY124" s="835">
        <f t="shared" si="80"/>
        <v>1.307809078845948</v>
      </c>
      <c r="AZ124" s="835">
        <f t="shared" si="81"/>
        <v>0.36762547566046921</v>
      </c>
      <c r="BA124" s="835">
        <f t="shared" si="82"/>
        <v>0.94950499551831991</v>
      </c>
      <c r="BB124" s="835">
        <f t="shared" si="83"/>
        <v>0.64693788424127452</v>
      </c>
      <c r="BC124" s="608">
        <f t="shared" si="51"/>
        <v>39.432581034713529</v>
      </c>
      <c r="BD124" s="840">
        <f t="shared" si="52"/>
        <v>0</v>
      </c>
      <c r="BE124" s="760">
        <f t="shared" si="53"/>
        <v>0.17037510887119423</v>
      </c>
      <c r="BF124" s="705">
        <f t="shared" si="54"/>
        <v>0.2759496177051679</v>
      </c>
      <c r="BG124" s="705">
        <f t="shared" si="55"/>
        <v>5.8958039761752561E-2</v>
      </c>
      <c r="BH124" s="705">
        <f t="shared" si="56"/>
        <v>0</v>
      </c>
      <c r="BI124" s="705">
        <f t="shared" si="57"/>
        <v>0</v>
      </c>
      <c r="BJ124" s="705">
        <f t="shared" si="58"/>
        <v>0</v>
      </c>
      <c r="BK124" s="705">
        <f t="shared" si="59"/>
        <v>0.49471723366188552</v>
      </c>
      <c r="BL124" s="705">
        <f t="shared" si="60"/>
        <v>1.0000000000000002</v>
      </c>
      <c r="BM124" s="730">
        <f t="shared" si="93"/>
        <v>0.29028184578274857</v>
      </c>
      <c r="BN124" s="114">
        <f t="shared" si="93"/>
        <v>0.30317187715157518</v>
      </c>
      <c r="BO124" s="114">
        <f t="shared" si="93"/>
        <v>8.2805443243048754E-2</v>
      </c>
      <c r="BP124" s="114">
        <f t="shared" si="93"/>
        <v>0</v>
      </c>
      <c r="BQ124" s="114">
        <f t="shared" si="93"/>
        <v>0</v>
      </c>
      <c r="BR124" s="114">
        <f t="shared" si="93"/>
        <v>0</v>
      </c>
      <c r="BS124" s="114">
        <f t="shared" si="93"/>
        <v>0.32374083382262742</v>
      </c>
      <c r="BT124" s="604">
        <f t="shared" si="85"/>
        <v>0.99999999999999989</v>
      </c>
      <c r="BV124" s="606">
        <f t="shared" si="22"/>
        <v>53.65986657354533</v>
      </c>
      <c r="BW124" s="114">
        <f t="shared" si="62"/>
        <v>0.79921612323790836</v>
      </c>
      <c r="BX124" s="1503">
        <f t="shared" si="23"/>
        <v>14.540775773528345</v>
      </c>
      <c r="BY124" s="606">
        <f t="shared" si="24"/>
        <v>70.268439944739271</v>
      </c>
      <c r="BZ124" s="114">
        <f t="shared" si="63"/>
        <v>0.79184898362168576</v>
      </c>
      <c r="CA124" s="1503">
        <f t="shared" si="25"/>
        <v>50.172070130067617</v>
      </c>
      <c r="CB124" s="730">
        <f t="shared" si="26"/>
        <v>0.67206984488050125</v>
      </c>
      <c r="CC124" s="604">
        <f t="shared" si="27"/>
        <v>0.56042316076715204</v>
      </c>
      <c r="CD124" s="114">
        <f t="shared" si="64"/>
        <v>0.67206984488050125</v>
      </c>
      <c r="CE124" s="604">
        <f t="shared" si="65"/>
        <v>0.85</v>
      </c>
      <c r="CG124" s="602">
        <f t="shared" si="66"/>
        <v>8.6899319949674325</v>
      </c>
      <c r="CH124" s="704">
        <f t="shared" si="67"/>
        <v>3.8266041510359425</v>
      </c>
      <c r="CI124" s="704">
        <f t="shared" si="68"/>
        <v>14.573606735140972</v>
      </c>
      <c r="CJ124" s="704">
        <f t="shared" si="69"/>
        <v>18.44835438659522</v>
      </c>
      <c r="CK124" s="704">
        <f t="shared" si="70"/>
        <v>0.22204383461451555</v>
      </c>
      <c r="CL124" s="704">
        <f t="shared" si="71"/>
        <v>45.760541102354082</v>
      </c>
      <c r="CM124" s="727">
        <f t="shared" si="72"/>
        <v>0</v>
      </c>
    </row>
    <row r="125" spans="1:91">
      <c r="A125" s="127">
        <f>'Input data'!A146</f>
        <v>2046</v>
      </c>
      <c r="B125" s="748">
        <f>'Input data'!B146</f>
        <v>73.995000000000005</v>
      </c>
      <c r="C125" s="236">
        <f>'Input data'!C146</f>
        <v>5902.43</v>
      </c>
      <c r="D125" s="236">
        <f>'Input data'!D146</f>
        <v>13259794.835931966</v>
      </c>
      <c r="E125" s="1128">
        <f t="shared" si="90"/>
        <v>1</v>
      </c>
      <c r="F125" s="640">
        <f t="shared" si="90"/>
        <v>0.37</v>
      </c>
      <c r="G125" s="1129">
        <f>B125*F125*'Input data'!$C$9</f>
        <v>837.96474288796969</v>
      </c>
      <c r="H125" s="608">
        <f>'Input data'!I146</f>
        <v>424.26313389388866</v>
      </c>
      <c r="I125" s="607">
        <f>'Input data'!K146</f>
        <v>31393.350592478295</v>
      </c>
      <c r="J125" s="608">
        <f t="shared" si="92"/>
        <v>39.432581034713571</v>
      </c>
      <c r="K125" s="609">
        <f t="shared" si="75"/>
        <v>157.73032413885434</v>
      </c>
      <c r="L125" s="483">
        <f t="shared" si="91"/>
        <v>0.7</v>
      </c>
      <c r="M125" s="483">
        <f t="shared" si="89"/>
        <v>0.6</v>
      </c>
      <c r="N125" s="483">
        <f t="shared" si="89"/>
        <v>0.9</v>
      </c>
      <c r="O125" s="483">
        <f t="shared" si="89"/>
        <v>0.9</v>
      </c>
      <c r="P125" s="483">
        <f t="shared" si="89"/>
        <v>0.23600000000000002</v>
      </c>
      <c r="Q125" s="602">
        <f t="shared" si="33"/>
        <v>26.499337920908175</v>
      </c>
      <c r="R125" s="608">
        <f t="shared" si="34"/>
        <v>11.668960878701492</v>
      </c>
      <c r="S125" s="608">
        <f t="shared" si="11"/>
        <v>44.441191234244087</v>
      </c>
      <c r="T125" s="608">
        <f t="shared" si="12"/>
        <v>56.256962339656091</v>
      </c>
      <c r="U125" s="727">
        <f t="shared" si="13"/>
        <v>0.67710709475193609</v>
      </c>
      <c r="V125" s="602">
        <f t="shared" si="14"/>
        <v>139.54355946826178</v>
      </c>
      <c r="W125" s="730">
        <f t="shared" si="88"/>
        <v>0.5</v>
      </c>
      <c r="X125" s="606">
        <f t="shared" si="15"/>
        <v>53.669159952994768</v>
      </c>
      <c r="Y125" s="606">
        <f t="shared" si="16"/>
        <v>76.916015953074577</v>
      </c>
      <c r="Z125" s="607">
        <f t="shared" si="76"/>
        <v>120.24688922049333</v>
      </c>
      <c r="AA125" s="623">
        <f t="shared" si="17"/>
        <v>80.814308185779765</v>
      </c>
      <c r="AB125" s="811">
        <f t="shared" si="35"/>
        <v>0.67206984488050125</v>
      </c>
      <c r="AC125" s="135" t="str">
        <f t="shared" si="36"/>
        <v>Policies met</v>
      </c>
      <c r="AD125" s="1240">
        <f t="shared" si="37"/>
        <v>0.67206984488050125</v>
      </c>
      <c r="AE125" s="135" t="str">
        <f t="shared" si="38"/>
        <v>No</v>
      </c>
      <c r="AF125" s="1293">
        <f t="shared" si="39"/>
        <v>139.12867530930757</v>
      </c>
      <c r="AG125" s="236">
        <f t="shared" si="40"/>
        <v>39.432581034713564</v>
      </c>
      <c r="AH125" s="236">
        <f t="shared" si="18"/>
        <v>45.760541102354082</v>
      </c>
      <c r="AI125" s="748">
        <f t="shared" si="19"/>
        <v>37.035832164635039</v>
      </c>
      <c r="AJ125" s="748">
        <f t="shared" si="20"/>
        <v>16.899721007604906</v>
      </c>
      <c r="AK125" s="236">
        <f t="shared" si="41"/>
        <v>139.1286753093076</v>
      </c>
      <c r="AL125" s="236">
        <f t="shared" si="42"/>
        <v>0</v>
      </c>
      <c r="AM125" s="730">
        <f t="shared" si="43"/>
        <v>0.2834252604436</v>
      </c>
      <c r="AN125" s="483">
        <f t="shared" si="44"/>
        <v>0.32890804861485473</v>
      </c>
      <c r="AO125" s="483">
        <f t="shared" si="45"/>
        <v>0.26619841008546835</v>
      </c>
      <c r="AP125" s="483">
        <f t="shared" si="46"/>
        <v>0.1214682808560769</v>
      </c>
      <c r="AQ125" s="483">
        <f t="shared" si="47"/>
        <v>0.99999999999999989</v>
      </c>
      <c r="AR125" s="834">
        <f t="shared" si="77"/>
        <v>6.718330286861506</v>
      </c>
      <c r="AS125" s="835">
        <f t="shared" si="78"/>
        <v>10.881405661657253</v>
      </c>
      <c r="AT125" s="835">
        <f t="shared" si="79"/>
        <v>2.3248676805531701</v>
      </c>
      <c r="AU125" s="835">
        <f t="shared" si="48"/>
        <v>0</v>
      </c>
      <c r="AV125" s="835">
        <f t="shared" si="49"/>
        <v>0</v>
      </c>
      <c r="AW125" s="835">
        <f t="shared" si="50"/>
        <v>0</v>
      </c>
      <c r="AX125" s="1228">
        <f t="shared" si="21"/>
        <v>16.236099971375594</v>
      </c>
      <c r="AY125" s="835">
        <f t="shared" si="80"/>
        <v>1.307809078845948</v>
      </c>
      <c r="AZ125" s="835">
        <f t="shared" si="81"/>
        <v>0.36762547566046921</v>
      </c>
      <c r="BA125" s="835">
        <f t="shared" si="82"/>
        <v>0.94950499551831991</v>
      </c>
      <c r="BB125" s="835">
        <f t="shared" si="83"/>
        <v>0.64693788424127452</v>
      </c>
      <c r="BC125" s="608">
        <f t="shared" si="51"/>
        <v>39.432581034713529</v>
      </c>
      <c r="BD125" s="840">
        <f t="shared" si="52"/>
        <v>0</v>
      </c>
      <c r="BE125" s="760">
        <f t="shared" si="53"/>
        <v>0.17037510887119423</v>
      </c>
      <c r="BF125" s="705">
        <f t="shared" si="54"/>
        <v>0.2759496177051679</v>
      </c>
      <c r="BG125" s="705">
        <f t="shared" si="55"/>
        <v>5.8958039761752561E-2</v>
      </c>
      <c r="BH125" s="705">
        <f t="shared" si="56"/>
        <v>0</v>
      </c>
      <c r="BI125" s="705">
        <f t="shared" si="57"/>
        <v>0</v>
      </c>
      <c r="BJ125" s="705">
        <f t="shared" si="58"/>
        <v>0</v>
      </c>
      <c r="BK125" s="705">
        <f t="shared" si="59"/>
        <v>0.49471723366188552</v>
      </c>
      <c r="BL125" s="705">
        <f t="shared" si="60"/>
        <v>1.0000000000000002</v>
      </c>
      <c r="BM125" s="730">
        <f t="shared" si="93"/>
        <v>0.29028184578274857</v>
      </c>
      <c r="BN125" s="114">
        <f t="shared" si="93"/>
        <v>0.30317187715157518</v>
      </c>
      <c r="BO125" s="114">
        <f t="shared" si="93"/>
        <v>8.2805443243048754E-2</v>
      </c>
      <c r="BP125" s="114">
        <f t="shared" si="93"/>
        <v>0</v>
      </c>
      <c r="BQ125" s="114">
        <f t="shared" si="93"/>
        <v>0</v>
      </c>
      <c r="BR125" s="114">
        <f t="shared" si="93"/>
        <v>0</v>
      </c>
      <c r="BS125" s="114">
        <f t="shared" si="93"/>
        <v>0.32374083382262742</v>
      </c>
      <c r="BT125" s="604">
        <f t="shared" si="85"/>
        <v>0.99999999999999989</v>
      </c>
      <c r="BV125" s="606">
        <f t="shared" si="22"/>
        <v>55.091024455938516</v>
      </c>
      <c r="BW125" s="114">
        <f t="shared" si="62"/>
        <v>0.7917875026663157</v>
      </c>
      <c r="BX125" s="1503">
        <f t="shared" si="23"/>
        <v>13.259794835931967</v>
      </c>
      <c r="BY125" s="606">
        <f t="shared" si="24"/>
        <v>70.652813500285546</v>
      </c>
      <c r="BZ125" s="114">
        <f t="shared" si="63"/>
        <v>0.79141230762401338</v>
      </c>
      <c r="CA125" s="1503">
        <f t="shared" si="25"/>
        <v>50.172070130067617</v>
      </c>
      <c r="CB125" s="730">
        <f t="shared" si="26"/>
        <v>0.67206984488050125</v>
      </c>
      <c r="CC125" s="604">
        <f t="shared" si="27"/>
        <v>0.535588158172707</v>
      </c>
      <c r="CD125" s="114">
        <f t="shared" si="64"/>
        <v>0.67206984488050125</v>
      </c>
      <c r="CE125" s="604">
        <f t="shared" si="65"/>
        <v>0.85</v>
      </c>
      <c r="CG125" s="602">
        <f t="shared" si="66"/>
        <v>8.6899319949674325</v>
      </c>
      <c r="CH125" s="704">
        <f t="shared" si="67"/>
        <v>3.8266041510359425</v>
      </c>
      <c r="CI125" s="704">
        <f t="shared" si="68"/>
        <v>14.573606735140972</v>
      </c>
      <c r="CJ125" s="704">
        <f t="shared" si="69"/>
        <v>18.44835438659522</v>
      </c>
      <c r="CK125" s="704">
        <f t="shared" si="70"/>
        <v>0.22204383461451555</v>
      </c>
      <c r="CL125" s="704">
        <f t="shared" si="71"/>
        <v>45.760541102354082</v>
      </c>
      <c r="CM125" s="727">
        <f t="shared" si="72"/>
        <v>0</v>
      </c>
    </row>
    <row r="126" spans="1:91" s="1" customFormat="1">
      <c r="A126" s="157">
        <f>'Input data'!A147</f>
        <v>2047</v>
      </c>
      <c r="B126" s="749">
        <f>'Input data'!B147</f>
        <v>74.373000000000005</v>
      </c>
      <c r="C126" s="605">
        <f>'Input data'!C147</f>
        <v>6104.119999999999</v>
      </c>
      <c r="D126" s="605">
        <f>'Input data'!D147</f>
        <v>11978813.898335585</v>
      </c>
      <c r="E126" s="1128">
        <f t="shared" si="90"/>
        <v>1</v>
      </c>
      <c r="F126" s="640">
        <f t="shared" si="90"/>
        <v>0.37</v>
      </c>
      <c r="G126" s="1130">
        <f>B126*F126*'Input data'!$C$9</f>
        <v>842.24544662216317</v>
      </c>
      <c r="H126" s="740">
        <f>'Input data'!I147</f>
        <v>424.26313389388866</v>
      </c>
      <c r="I126" s="770">
        <f>'Input data'!K147</f>
        <v>31553.722057090185</v>
      </c>
      <c r="J126" s="608">
        <f t="shared" si="92"/>
        <v>39.432581034713571</v>
      </c>
      <c r="K126" s="609">
        <f t="shared" si="75"/>
        <v>157.73032413885434</v>
      </c>
      <c r="L126" s="477">
        <f t="shared" si="91"/>
        <v>0.7</v>
      </c>
      <c r="M126" s="477">
        <f t="shared" si="91"/>
        <v>0.6</v>
      </c>
      <c r="N126" s="477">
        <f t="shared" si="91"/>
        <v>0.9</v>
      </c>
      <c r="O126" s="477">
        <f t="shared" si="91"/>
        <v>0.9</v>
      </c>
      <c r="P126" s="477">
        <f t="shared" si="91"/>
        <v>0.23600000000000002</v>
      </c>
      <c r="Q126" s="602">
        <f t="shared" si="33"/>
        <v>26.499337920908175</v>
      </c>
      <c r="R126" s="608">
        <f t="shared" si="34"/>
        <v>11.668960878701492</v>
      </c>
      <c r="S126" s="608">
        <f t="shared" si="11"/>
        <v>44.441191234244087</v>
      </c>
      <c r="T126" s="608">
        <f t="shared" si="12"/>
        <v>56.256962339656091</v>
      </c>
      <c r="U126" s="727">
        <f t="shared" si="13"/>
        <v>0.67710709475193609</v>
      </c>
      <c r="V126" s="602">
        <f t="shared" si="14"/>
        <v>139.54355946826178</v>
      </c>
      <c r="W126" s="730">
        <f t="shared" si="88"/>
        <v>0.5</v>
      </c>
      <c r="X126" s="606">
        <f t="shared" si="15"/>
        <v>53.669159952994768</v>
      </c>
      <c r="Y126" s="606">
        <f t="shared" si="16"/>
        <v>76.916015953074577</v>
      </c>
      <c r="Z126" s="607">
        <f t="shared" si="76"/>
        <v>120.24688922049333</v>
      </c>
      <c r="AA126" s="623">
        <f t="shared" si="17"/>
        <v>80.814308185779765</v>
      </c>
      <c r="AB126" s="811">
        <f t="shared" si="35"/>
        <v>0.67206984488050125</v>
      </c>
      <c r="AC126" s="135" t="str">
        <f t="shared" si="36"/>
        <v>Policies met</v>
      </c>
      <c r="AD126" s="1240">
        <f t="shared" si="37"/>
        <v>0.67206984488050125</v>
      </c>
      <c r="AE126" s="135" t="str">
        <f t="shared" si="38"/>
        <v>No</v>
      </c>
      <c r="AF126" s="1293">
        <f t="shared" si="39"/>
        <v>139.12867530930757</v>
      </c>
      <c r="AG126" s="236">
        <f t="shared" si="40"/>
        <v>39.432581034713564</v>
      </c>
      <c r="AH126" s="236">
        <f t="shared" si="18"/>
        <v>45.760541102354082</v>
      </c>
      <c r="AI126" s="748">
        <f t="shared" si="19"/>
        <v>37.035832164635039</v>
      </c>
      <c r="AJ126" s="748">
        <f t="shared" si="20"/>
        <v>16.899721007604906</v>
      </c>
      <c r="AK126" s="236">
        <f t="shared" si="41"/>
        <v>139.1286753093076</v>
      </c>
      <c r="AL126" s="236">
        <f t="shared" si="42"/>
        <v>0</v>
      </c>
      <c r="AM126" s="730">
        <f t="shared" si="43"/>
        <v>0.2834252604436</v>
      </c>
      <c r="AN126" s="483">
        <f t="shared" si="44"/>
        <v>0.32890804861485473</v>
      </c>
      <c r="AO126" s="483">
        <f t="shared" si="45"/>
        <v>0.26619841008546835</v>
      </c>
      <c r="AP126" s="483">
        <f t="shared" si="46"/>
        <v>0.1214682808560769</v>
      </c>
      <c r="AQ126" s="483">
        <f t="shared" si="47"/>
        <v>0.99999999999999989</v>
      </c>
      <c r="AR126" s="834">
        <f t="shared" si="77"/>
        <v>6.718330286861506</v>
      </c>
      <c r="AS126" s="835">
        <f t="shared" si="78"/>
        <v>10.881405661657253</v>
      </c>
      <c r="AT126" s="835">
        <f t="shared" si="79"/>
        <v>2.3248676805531701</v>
      </c>
      <c r="AU126" s="835">
        <f t="shared" si="48"/>
        <v>0</v>
      </c>
      <c r="AV126" s="835">
        <f t="shared" si="49"/>
        <v>0</v>
      </c>
      <c r="AW126" s="835">
        <f t="shared" si="50"/>
        <v>0</v>
      </c>
      <c r="AX126" s="1228">
        <f t="shared" si="21"/>
        <v>16.236099971375594</v>
      </c>
      <c r="AY126" s="835">
        <f t="shared" si="80"/>
        <v>1.307809078845948</v>
      </c>
      <c r="AZ126" s="835">
        <f t="shared" si="81"/>
        <v>0.36762547566046921</v>
      </c>
      <c r="BA126" s="835">
        <f t="shared" si="82"/>
        <v>0.94950499551831991</v>
      </c>
      <c r="BB126" s="835">
        <f t="shared" si="83"/>
        <v>0.64693788424127452</v>
      </c>
      <c r="BC126" s="608">
        <f t="shared" si="51"/>
        <v>39.432581034713529</v>
      </c>
      <c r="BD126" s="840">
        <f t="shared" si="52"/>
        <v>0</v>
      </c>
      <c r="BE126" s="760">
        <f t="shared" si="53"/>
        <v>0.17037510887119423</v>
      </c>
      <c r="BF126" s="705">
        <f t="shared" si="54"/>
        <v>0.2759496177051679</v>
      </c>
      <c r="BG126" s="705">
        <f t="shared" si="55"/>
        <v>5.8958039761752561E-2</v>
      </c>
      <c r="BH126" s="705">
        <f t="shared" si="56"/>
        <v>0</v>
      </c>
      <c r="BI126" s="705">
        <f t="shared" si="57"/>
        <v>0</v>
      </c>
      <c r="BJ126" s="705">
        <f t="shared" si="58"/>
        <v>0</v>
      </c>
      <c r="BK126" s="705">
        <f t="shared" si="59"/>
        <v>0.49471723366188552</v>
      </c>
      <c r="BL126" s="705">
        <f t="shared" si="60"/>
        <v>1.0000000000000002</v>
      </c>
      <c r="BM126" s="730">
        <f t="shared" si="93"/>
        <v>0.29028184578274857</v>
      </c>
      <c r="BN126" s="114">
        <f t="shared" si="93"/>
        <v>0.30317187715157518</v>
      </c>
      <c r="BO126" s="114">
        <f t="shared" si="93"/>
        <v>8.2805443243048754E-2</v>
      </c>
      <c r="BP126" s="114">
        <f t="shared" si="93"/>
        <v>0</v>
      </c>
      <c r="BQ126" s="114">
        <f t="shared" si="93"/>
        <v>0</v>
      </c>
      <c r="BR126" s="114">
        <f t="shared" si="93"/>
        <v>0</v>
      </c>
      <c r="BS126" s="114">
        <f t="shared" si="93"/>
        <v>0.32374083382262742</v>
      </c>
      <c r="BT126" s="604">
        <f t="shared" si="85"/>
        <v>0.99999999999999989</v>
      </c>
      <c r="BV126" s="606">
        <f t="shared" si="22"/>
        <v>56.591358931225336</v>
      </c>
      <c r="BW126" s="114">
        <f t="shared" si="62"/>
        <v>0.78452776141344993</v>
      </c>
      <c r="BX126" s="1503">
        <f t="shared" si="23"/>
        <v>11.978813898335586</v>
      </c>
      <c r="BY126" s="606">
        <f t="shared" si="24"/>
        <v>71.053463770575604</v>
      </c>
      <c r="BZ126" s="114">
        <f t="shared" si="63"/>
        <v>0.79093434427047604</v>
      </c>
      <c r="CA126" s="1503">
        <f t="shared" si="25"/>
        <v>50.172070130067617</v>
      </c>
      <c r="CB126" s="730">
        <f t="shared" si="26"/>
        <v>0.67206984488050125</v>
      </c>
      <c r="CC126" s="604">
        <f t="shared" si="27"/>
        <v>0.51207702752838513</v>
      </c>
      <c r="CD126" s="114">
        <f t="shared" si="64"/>
        <v>0.67206984488050125</v>
      </c>
      <c r="CE126" s="604">
        <f t="shared" si="65"/>
        <v>0.85</v>
      </c>
      <c r="CG126" s="602">
        <f t="shared" si="66"/>
        <v>8.6899319949674325</v>
      </c>
      <c r="CH126" s="704">
        <f t="shared" si="67"/>
        <v>3.8266041510359425</v>
      </c>
      <c r="CI126" s="704">
        <f t="shared" si="68"/>
        <v>14.573606735140972</v>
      </c>
      <c r="CJ126" s="704">
        <f t="shared" si="69"/>
        <v>18.44835438659522</v>
      </c>
      <c r="CK126" s="704">
        <f t="shared" si="70"/>
        <v>0.22204383461451555</v>
      </c>
      <c r="CL126" s="704">
        <f t="shared" si="71"/>
        <v>45.760541102354082</v>
      </c>
      <c r="CM126" s="727">
        <f t="shared" si="72"/>
        <v>0</v>
      </c>
    </row>
    <row r="127" spans="1:91">
      <c r="A127" s="127">
        <f>'Input data'!A148</f>
        <v>2048</v>
      </c>
      <c r="B127" s="748">
        <f>'Input data'!B148</f>
        <v>74.753</v>
      </c>
      <c r="C127" s="236">
        <f>'Input data'!C148</f>
        <v>6308.13</v>
      </c>
      <c r="D127" s="236">
        <f>'Input data'!D148</f>
        <v>10697832.960739207</v>
      </c>
      <c r="E127" s="1128">
        <f t="shared" ref="E127:F129" si="94">E126</f>
        <v>1</v>
      </c>
      <c r="F127" s="640">
        <f t="shared" si="94"/>
        <v>0.37</v>
      </c>
      <c r="G127" s="1129">
        <f>B127*F127*'Input data'!$C$9</f>
        <v>846.54879958246352</v>
      </c>
      <c r="H127" s="608">
        <f>'Input data'!I148</f>
        <v>424.26313389388866</v>
      </c>
      <c r="I127" s="607">
        <f>'Input data'!K148</f>
        <v>31714.94204796986</v>
      </c>
      <c r="J127" s="608">
        <f t="shared" si="92"/>
        <v>39.432581034713571</v>
      </c>
      <c r="K127" s="609">
        <f t="shared" si="75"/>
        <v>157.73032413885434</v>
      </c>
      <c r="L127" s="483">
        <f t="shared" ref="L127:P129" si="95">L126</f>
        <v>0.7</v>
      </c>
      <c r="M127" s="483">
        <f t="shared" si="95"/>
        <v>0.6</v>
      </c>
      <c r="N127" s="483">
        <f t="shared" si="95"/>
        <v>0.9</v>
      </c>
      <c r="O127" s="483">
        <f t="shared" si="95"/>
        <v>0.9</v>
      </c>
      <c r="P127" s="483">
        <f t="shared" si="95"/>
        <v>0.23600000000000002</v>
      </c>
      <c r="Q127" s="602">
        <f t="shared" si="33"/>
        <v>26.499337920908175</v>
      </c>
      <c r="R127" s="608">
        <f t="shared" si="34"/>
        <v>11.668960878701492</v>
      </c>
      <c r="S127" s="608">
        <f t="shared" si="11"/>
        <v>44.441191234244087</v>
      </c>
      <c r="T127" s="608">
        <f t="shared" si="12"/>
        <v>56.256962339656091</v>
      </c>
      <c r="U127" s="727">
        <f t="shared" si="13"/>
        <v>0.67710709475193609</v>
      </c>
      <c r="V127" s="602">
        <f t="shared" si="14"/>
        <v>139.54355946826178</v>
      </c>
      <c r="W127" s="730">
        <f t="shared" si="88"/>
        <v>0.5</v>
      </c>
      <c r="X127" s="606">
        <f t="shared" si="15"/>
        <v>53.669159952994768</v>
      </c>
      <c r="Y127" s="606">
        <f t="shared" si="16"/>
        <v>76.916015953074577</v>
      </c>
      <c r="Z127" s="607">
        <f t="shared" si="76"/>
        <v>120.24688922049333</v>
      </c>
      <c r="AA127" s="623">
        <f t="shared" si="17"/>
        <v>80.814308185779765</v>
      </c>
      <c r="AB127" s="811">
        <f t="shared" si="35"/>
        <v>0.67206984488050125</v>
      </c>
      <c r="AC127" s="135" t="str">
        <f t="shared" si="36"/>
        <v>Policies met</v>
      </c>
      <c r="AD127" s="1240">
        <f t="shared" si="37"/>
        <v>0.67206984488050125</v>
      </c>
      <c r="AE127" s="135" t="str">
        <f t="shared" si="38"/>
        <v>No</v>
      </c>
      <c r="AF127" s="1293">
        <f t="shared" si="39"/>
        <v>139.12867530930757</v>
      </c>
      <c r="AG127" s="236">
        <f t="shared" si="40"/>
        <v>39.432581034713564</v>
      </c>
      <c r="AH127" s="236">
        <f t="shared" si="18"/>
        <v>45.760541102354082</v>
      </c>
      <c r="AI127" s="748">
        <f t="shared" si="19"/>
        <v>37.035832164635039</v>
      </c>
      <c r="AJ127" s="748">
        <f t="shared" si="20"/>
        <v>16.899721007604906</v>
      </c>
      <c r="AK127" s="236">
        <f t="shared" si="41"/>
        <v>139.1286753093076</v>
      </c>
      <c r="AL127" s="236">
        <f t="shared" si="42"/>
        <v>0</v>
      </c>
      <c r="AM127" s="730">
        <f t="shared" si="43"/>
        <v>0.2834252604436</v>
      </c>
      <c r="AN127" s="483">
        <f t="shared" si="44"/>
        <v>0.32890804861485473</v>
      </c>
      <c r="AO127" s="483">
        <f t="shared" si="45"/>
        <v>0.26619841008546835</v>
      </c>
      <c r="AP127" s="483">
        <f t="shared" si="46"/>
        <v>0.1214682808560769</v>
      </c>
      <c r="AQ127" s="483">
        <f t="shared" si="47"/>
        <v>0.99999999999999989</v>
      </c>
      <c r="AR127" s="834">
        <f t="shared" si="77"/>
        <v>6.718330286861506</v>
      </c>
      <c r="AS127" s="835">
        <f t="shared" si="78"/>
        <v>10.881405661657253</v>
      </c>
      <c r="AT127" s="835">
        <f t="shared" si="79"/>
        <v>2.3248676805531701</v>
      </c>
      <c r="AU127" s="835">
        <f t="shared" si="48"/>
        <v>0</v>
      </c>
      <c r="AV127" s="835">
        <f t="shared" si="49"/>
        <v>0</v>
      </c>
      <c r="AW127" s="835">
        <f t="shared" si="50"/>
        <v>0</v>
      </c>
      <c r="AX127" s="1228">
        <f t="shared" si="21"/>
        <v>16.236099971375594</v>
      </c>
      <c r="AY127" s="835">
        <f t="shared" si="80"/>
        <v>1.307809078845948</v>
      </c>
      <c r="AZ127" s="835">
        <f t="shared" si="81"/>
        <v>0.36762547566046921</v>
      </c>
      <c r="BA127" s="835">
        <f t="shared" si="82"/>
        <v>0.94950499551831991</v>
      </c>
      <c r="BB127" s="835">
        <f t="shared" si="83"/>
        <v>0.64693788424127452</v>
      </c>
      <c r="BC127" s="608">
        <f t="shared" si="51"/>
        <v>39.432581034713529</v>
      </c>
      <c r="BD127" s="840">
        <f t="shared" si="52"/>
        <v>0</v>
      </c>
      <c r="BE127" s="760">
        <f t="shared" si="53"/>
        <v>0.17037510887119423</v>
      </c>
      <c r="BF127" s="705">
        <f t="shared" si="54"/>
        <v>0.2759496177051679</v>
      </c>
      <c r="BG127" s="705">
        <f t="shared" si="55"/>
        <v>5.8958039761752561E-2</v>
      </c>
      <c r="BH127" s="705">
        <f t="shared" si="56"/>
        <v>0</v>
      </c>
      <c r="BI127" s="705">
        <f t="shared" si="57"/>
        <v>0</v>
      </c>
      <c r="BJ127" s="705">
        <f t="shared" si="58"/>
        <v>0</v>
      </c>
      <c r="BK127" s="705">
        <f t="shared" si="59"/>
        <v>0.49471723366188552</v>
      </c>
      <c r="BL127" s="705">
        <f t="shared" si="60"/>
        <v>1.0000000000000002</v>
      </c>
      <c r="BM127" s="730">
        <f t="shared" si="93"/>
        <v>0.29028184578274857</v>
      </c>
      <c r="BN127" s="114">
        <f t="shared" si="93"/>
        <v>0.30317187715157518</v>
      </c>
      <c r="BO127" s="114">
        <f t="shared" si="93"/>
        <v>8.2805443243048754E-2</v>
      </c>
      <c r="BP127" s="114">
        <f t="shared" si="93"/>
        <v>0</v>
      </c>
      <c r="BQ127" s="114">
        <f t="shared" si="93"/>
        <v>0</v>
      </c>
      <c r="BR127" s="114">
        <f t="shared" si="93"/>
        <v>0</v>
      </c>
      <c r="BS127" s="114">
        <f t="shared" si="93"/>
        <v>0.32374083382262742</v>
      </c>
      <c r="BT127" s="604">
        <f t="shared" si="85"/>
        <v>0.99999999999999989</v>
      </c>
      <c r="BV127" s="606">
        <f t="shared" si="22"/>
        <v>58.109329809666157</v>
      </c>
      <c r="BW127" s="114">
        <f t="shared" si="62"/>
        <v>0.77763754189993606</v>
      </c>
      <c r="BX127" s="1503">
        <f t="shared" si="23"/>
        <v>10.697832960739207</v>
      </c>
      <c r="BY127" s="606">
        <f t="shared" si="24"/>
        <v>71.45839595900253</v>
      </c>
      <c r="BZ127" s="114">
        <f t="shared" si="63"/>
        <v>0.79045255888919375</v>
      </c>
      <c r="CA127" s="1503">
        <f t="shared" si="25"/>
        <v>50.172070130067617</v>
      </c>
      <c r="CB127" s="730">
        <f t="shared" si="26"/>
        <v>0.67206984488050125</v>
      </c>
      <c r="CC127" s="604">
        <f t="shared" si="27"/>
        <v>0.49001825584653547</v>
      </c>
      <c r="CD127" s="114">
        <f t="shared" si="64"/>
        <v>0.67206984488050125</v>
      </c>
      <c r="CE127" s="604">
        <f t="shared" si="65"/>
        <v>0.85</v>
      </c>
      <c r="CG127" s="602">
        <f t="shared" si="66"/>
        <v>8.6899319949674325</v>
      </c>
      <c r="CH127" s="704">
        <f t="shared" si="67"/>
        <v>3.8266041510359425</v>
      </c>
      <c r="CI127" s="704">
        <f t="shared" si="68"/>
        <v>14.573606735140972</v>
      </c>
      <c r="CJ127" s="704">
        <f t="shared" si="69"/>
        <v>18.44835438659522</v>
      </c>
      <c r="CK127" s="704">
        <f t="shared" si="70"/>
        <v>0.22204383461451555</v>
      </c>
      <c r="CL127" s="704">
        <f t="shared" si="71"/>
        <v>45.760541102354082</v>
      </c>
      <c r="CM127" s="727">
        <f t="shared" si="72"/>
        <v>0</v>
      </c>
    </row>
    <row r="128" spans="1:91">
      <c r="A128" s="127">
        <f>'Input data'!A149</f>
        <v>2049</v>
      </c>
      <c r="B128" s="748">
        <f>'Input data'!B149</f>
        <v>75.134</v>
      </c>
      <c r="C128" s="236">
        <f>'Input data'!C149</f>
        <v>6522.2000000000007</v>
      </c>
      <c r="D128" s="236">
        <f>'Input data'!D149</f>
        <v>9416852.0231428221</v>
      </c>
      <c r="E128" s="1128">
        <f t="shared" si="94"/>
        <v>1</v>
      </c>
      <c r="F128" s="640">
        <f t="shared" si="94"/>
        <v>0.37</v>
      </c>
      <c r="G128" s="1129">
        <f>B128*F128*'Input data'!$C$9</f>
        <v>850.86347715581735</v>
      </c>
      <c r="H128" s="608">
        <f>'Input data'!I149</f>
        <v>424.26313389388866</v>
      </c>
      <c r="I128" s="607">
        <f>'Input data'!K149</f>
        <v>31876.586301983432</v>
      </c>
      <c r="J128" s="608">
        <f t="shared" si="92"/>
        <v>39.432581034713571</v>
      </c>
      <c r="K128" s="609">
        <f t="shared" si="75"/>
        <v>157.73032413885434</v>
      </c>
      <c r="L128" s="483">
        <f t="shared" si="95"/>
        <v>0.7</v>
      </c>
      <c r="M128" s="483">
        <f t="shared" si="95"/>
        <v>0.6</v>
      </c>
      <c r="N128" s="483">
        <f t="shared" si="95"/>
        <v>0.9</v>
      </c>
      <c r="O128" s="483">
        <f t="shared" si="95"/>
        <v>0.9</v>
      </c>
      <c r="P128" s="483">
        <f t="shared" si="95"/>
        <v>0.23600000000000002</v>
      </c>
      <c r="Q128" s="602">
        <f t="shared" ref="Q128:Q129" si="96">H128*$E$75*L128</f>
        <v>26.499337920908175</v>
      </c>
      <c r="R128" s="608">
        <f t="shared" si="34"/>
        <v>11.668960878701492</v>
      </c>
      <c r="S128" s="608">
        <f t="shared" si="11"/>
        <v>44.441191234244087</v>
      </c>
      <c r="T128" s="608">
        <f t="shared" si="12"/>
        <v>56.256962339656091</v>
      </c>
      <c r="U128" s="727">
        <f t="shared" si="13"/>
        <v>0.67710709475193609</v>
      </c>
      <c r="V128" s="602">
        <f t="shared" si="14"/>
        <v>139.54355946826178</v>
      </c>
      <c r="W128" s="730">
        <f t="shared" si="88"/>
        <v>0.5</v>
      </c>
      <c r="X128" s="606">
        <f t="shared" si="15"/>
        <v>53.669159952994768</v>
      </c>
      <c r="Y128" s="606">
        <f t="shared" si="16"/>
        <v>76.916015953074577</v>
      </c>
      <c r="Z128" s="607">
        <f t="shared" si="76"/>
        <v>120.24688922049333</v>
      </c>
      <c r="AA128" s="623">
        <f t="shared" si="17"/>
        <v>80.814308185779765</v>
      </c>
      <c r="AB128" s="811">
        <f t="shared" si="35"/>
        <v>0.67206984488050125</v>
      </c>
      <c r="AC128" s="135" t="str">
        <f t="shared" si="36"/>
        <v>Policies met</v>
      </c>
      <c r="AD128" s="1240">
        <f t="shared" si="37"/>
        <v>0.67206984488050125</v>
      </c>
      <c r="AE128" s="135" t="str">
        <f t="shared" si="38"/>
        <v>No</v>
      </c>
      <c r="AF128" s="1293">
        <f t="shared" si="39"/>
        <v>139.12867530930757</v>
      </c>
      <c r="AG128" s="236">
        <f t="shared" si="40"/>
        <v>39.432581034713564</v>
      </c>
      <c r="AH128" s="236">
        <f t="shared" si="18"/>
        <v>45.760541102354082</v>
      </c>
      <c r="AI128" s="748">
        <f t="shared" si="19"/>
        <v>37.035832164635039</v>
      </c>
      <c r="AJ128" s="748">
        <f t="shared" si="20"/>
        <v>16.899721007604906</v>
      </c>
      <c r="AK128" s="236">
        <f t="shared" si="41"/>
        <v>139.1286753093076</v>
      </c>
      <c r="AL128" s="236">
        <f t="shared" si="42"/>
        <v>0</v>
      </c>
      <c r="AM128" s="730">
        <f t="shared" si="43"/>
        <v>0.2834252604436</v>
      </c>
      <c r="AN128" s="483">
        <f t="shared" si="44"/>
        <v>0.32890804861485473</v>
      </c>
      <c r="AO128" s="483">
        <f t="shared" si="45"/>
        <v>0.26619841008546835</v>
      </c>
      <c r="AP128" s="483">
        <f t="shared" si="46"/>
        <v>0.1214682808560769</v>
      </c>
      <c r="AQ128" s="483">
        <f t="shared" si="47"/>
        <v>0.99999999999999989</v>
      </c>
      <c r="AR128" s="834">
        <f t="shared" si="77"/>
        <v>6.718330286861506</v>
      </c>
      <c r="AS128" s="835">
        <f t="shared" si="78"/>
        <v>10.881405661657253</v>
      </c>
      <c r="AT128" s="835">
        <f t="shared" si="79"/>
        <v>2.3248676805531701</v>
      </c>
      <c r="AU128" s="835">
        <f t="shared" si="48"/>
        <v>0</v>
      </c>
      <c r="AV128" s="835">
        <f t="shared" si="49"/>
        <v>0</v>
      </c>
      <c r="AW128" s="835">
        <f t="shared" si="50"/>
        <v>0</v>
      </c>
      <c r="AX128" s="1228">
        <f t="shared" si="21"/>
        <v>16.236099971375594</v>
      </c>
      <c r="AY128" s="835">
        <f t="shared" si="80"/>
        <v>1.307809078845948</v>
      </c>
      <c r="AZ128" s="835">
        <f t="shared" si="81"/>
        <v>0.36762547566046921</v>
      </c>
      <c r="BA128" s="835">
        <f t="shared" si="82"/>
        <v>0.94950499551831991</v>
      </c>
      <c r="BB128" s="835">
        <f t="shared" si="83"/>
        <v>0.64693788424127452</v>
      </c>
      <c r="BC128" s="608">
        <f t="shared" si="51"/>
        <v>39.432581034713529</v>
      </c>
      <c r="BD128" s="840">
        <f t="shared" si="52"/>
        <v>0</v>
      </c>
      <c r="BE128" s="760">
        <f t="shared" si="53"/>
        <v>0.17037510887119423</v>
      </c>
      <c r="BF128" s="705">
        <f t="shared" si="54"/>
        <v>0.2759496177051679</v>
      </c>
      <c r="BG128" s="705">
        <f t="shared" si="55"/>
        <v>5.8958039761752561E-2</v>
      </c>
      <c r="BH128" s="705">
        <f t="shared" si="56"/>
        <v>0</v>
      </c>
      <c r="BI128" s="705">
        <f t="shared" si="57"/>
        <v>0</v>
      </c>
      <c r="BJ128" s="705">
        <f t="shared" si="58"/>
        <v>0</v>
      </c>
      <c r="BK128" s="705">
        <f t="shared" si="59"/>
        <v>0.49471723366188552</v>
      </c>
      <c r="BL128" s="705">
        <f t="shared" si="60"/>
        <v>1.0000000000000002</v>
      </c>
      <c r="BM128" s="730">
        <f t="shared" si="93"/>
        <v>0.29028184578274857</v>
      </c>
      <c r="BN128" s="114">
        <f t="shared" si="93"/>
        <v>0.30317187715157518</v>
      </c>
      <c r="BO128" s="114">
        <f t="shared" si="93"/>
        <v>8.2805443243048754E-2</v>
      </c>
      <c r="BP128" s="114">
        <f t="shared" si="93"/>
        <v>0</v>
      </c>
      <c r="BQ128" s="114">
        <f t="shared" si="93"/>
        <v>0</v>
      </c>
      <c r="BR128" s="114">
        <f t="shared" si="93"/>
        <v>0</v>
      </c>
      <c r="BS128" s="114">
        <f t="shared" si="93"/>
        <v>0.32374083382262742</v>
      </c>
      <c r="BT128" s="604">
        <f t="shared" si="85"/>
        <v>0.99999999999999989</v>
      </c>
      <c r="BV128" s="606">
        <f t="shared" si="22"/>
        <v>59.702708328326267</v>
      </c>
      <c r="BW128" s="114">
        <f t="shared" si="62"/>
        <v>0.77089004315281895</v>
      </c>
      <c r="BX128" s="1503">
        <f t="shared" si="23"/>
        <v>9.4168520231428214</v>
      </c>
      <c r="BY128" s="606">
        <f t="shared" si="24"/>
        <v>71.880827977617415</v>
      </c>
      <c r="BZ128" s="114">
        <f t="shared" si="63"/>
        <v>0.7899228486263834</v>
      </c>
      <c r="CA128" s="1503">
        <f t="shared" si="25"/>
        <v>50.172070130067617</v>
      </c>
      <c r="CB128" s="730">
        <f t="shared" si="26"/>
        <v>0.67206984488050125</v>
      </c>
      <c r="CC128" s="604">
        <f t="shared" si="27"/>
        <v>0.46915699032269942</v>
      </c>
      <c r="CD128" s="114">
        <f t="shared" si="64"/>
        <v>0.67206984488050125</v>
      </c>
      <c r="CE128" s="604">
        <f t="shared" si="65"/>
        <v>0.85</v>
      </c>
      <c r="CG128" s="602">
        <f t="shared" si="66"/>
        <v>8.6899319949674325</v>
      </c>
      <c r="CH128" s="704">
        <f t="shared" si="67"/>
        <v>3.8266041510359425</v>
      </c>
      <c r="CI128" s="704">
        <f t="shared" si="68"/>
        <v>14.573606735140972</v>
      </c>
      <c r="CJ128" s="704">
        <f t="shared" si="69"/>
        <v>18.44835438659522</v>
      </c>
      <c r="CK128" s="704">
        <f t="shared" si="70"/>
        <v>0.22204383461451555</v>
      </c>
      <c r="CL128" s="704">
        <f t="shared" si="71"/>
        <v>45.760541102354082</v>
      </c>
      <c r="CM128" s="727">
        <f t="shared" si="72"/>
        <v>0</v>
      </c>
    </row>
    <row r="129" spans="1:91" ht="15" thickBot="1">
      <c r="A129" s="172">
        <f>'Input data'!A150</f>
        <v>2050</v>
      </c>
      <c r="B129" s="751">
        <f>'Input data'!B150</f>
        <v>75.518000000000001</v>
      </c>
      <c r="C129" s="239">
        <f>'Input data'!C150</f>
        <v>6747.1300000000019</v>
      </c>
      <c r="D129" s="239">
        <f>'Input data'!D150</f>
        <v>8135871.0855464395</v>
      </c>
      <c r="E129" s="1132">
        <f t="shared" si="94"/>
        <v>1</v>
      </c>
      <c r="F129" s="919">
        <f t="shared" si="94"/>
        <v>0.37</v>
      </c>
      <c r="G129" s="1133">
        <f>B129*F129*'Input data'!$C$9</f>
        <v>855.21212856833142</v>
      </c>
      <c r="H129" s="739">
        <f>'Input data'!I150</f>
        <v>424.26313389388866</v>
      </c>
      <c r="I129" s="754">
        <f>'Input data'!K150</f>
        <v>32039.503345398683</v>
      </c>
      <c r="J129" s="739">
        <f t="shared" si="92"/>
        <v>39.432581034713571</v>
      </c>
      <c r="K129" s="745">
        <f t="shared" si="75"/>
        <v>157.73032413885434</v>
      </c>
      <c r="L129" s="732">
        <f t="shared" si="95"/>
        <v>0.7</v>
      </c>
      <c r="M129" s="732">
        <f t="shared" si="95"/>
        <v>0.6</v>
      </c>
      <c r="N129" s="732">
        <f t="shared" si="95"/>
        <v>0.9</v>
      </c>
      <c r="O129" s="732">
        <f t="shared" si="95"/>
        <v>0.9</v>
      </c>
      <c r="P129" s="732">
        <f t="shared" si="95"/>
        <v>0.23600000000000002</v>
      </c>
      <c r="Q129" s="735">
        <f t="shared" si="96"/>
        <v>26.499337920908175</v>
      </c>
      <c r="R129" s="739">
        <f t="shared" si="34"/>
        <v>11.668960878701492</v>
      </c>
      <c r="S129" s="739">
        <f t="shared" si="11"/>
        <v>44.441191234244087</v>
      </c>
      <c r="T129" s="739">
        <f t="shared" si="12"/>
        <v>56.256962339656091</v>
      </c>
      <c r="U129" s="736">
        <f t="shared" si="13"/>
        <v>0.67710709475193609</v>
      </c>
      <c r="V129" s="735">
        <f t="shared" si="14"/>
        <v>139.54355946826178</v>
      </c>
      <c r="W129" s="731">
        <f t="shared" si="88"/>
        <v>0.5</v>
      </c>
      <c r="X129" s="757">
        <f t="shared" si="15"/>
        <v>53.669159952994768</v>
      </c>
      <c r="Y129" s="757">
        <f t="shared" si="16"/>
        <v>76.916015953074577</v>
      </c>
      <c r="Z129" s="754">
        <f t="shared" si="76"/>
        <v>120.24688922049333</v>
      </c>
      <c r="AA129" s="769">
        <f t="shared" si="17"/>
        <v>80.814308185779765</v>
      </c>
      <c r="AB129" s="812">
        <f t="shared" si="35"/>
        <v>0.67206984488050125</v>
      </c>
      <c r="AC129" s="1267" t="str">
        <f t="shared" si="36"/>
        <v>Policies met</v>
      </c>
      <c r="AD129" s="1249">
        <f t="shared" si="37"/>
        <v>0.67206984488050125</v>
      </c>
      <c r="AE129" s="1267" t="str">
        <f t="shared" si="38"/>
        <v>No</v>
      </c>
      <c r="AF129" s="1294">
        <f t="shared" si="39"/>
        <v>139.12867530930757</v>
      </c>
      <c r="AG129" s="239">
        <f t="shared" si="40"/>
        <v>39.432581034713564</v>
      </c>
      <c r="AH129" s="239">
        <f t="shared" si="18"/>
        <v>45.760541102354082</v>
      </c>
      <c r="AI129" s="751">
        <f t="shared" si="19"/>
        <v>37.035832164635039</v>
      </c>
      <c r="AJ129" s="751">
        <f t="shared" si="20"/>
        <v>16.899721007604906</v>
      </c>
      <c r="AK129" s="239">
        <f t="shared" si="41"/>
        <v>139.1286753093076</v>
      </c>
      <c r="AL129" s="239">
        <f t="shared" si="42"/>
        <v>0</v>
      </c>
      <c r="AM129" s="731">
        <f t="shared" si="43"/>
        <v>0.2834252604436</v>
      </c>
      <c r="AN129" s="732">
        <f t="shared" si="44"/>
        <v>0.32890804861485473</v>
      </c>
      <c r="AO129" s="732">
        <f t="shared" si="45"/>
        <v>0.26619841008546835</v>
      </c>
      <c r="AP129" s="732">
        <f t="shared" si="46"/>
        <v>0.1214682808560769</v>
      </c>
      <c r="AQ129" s="732">
        <f t="shared" si="47"/>
        <v>0.99999999999999989</v>
      </c>
      <c r="AR129" s="836">
        <f t="shared" si="77"/>
        <v>6.718330286861506</v>
      </c>
      <c r="AS129" s="837">
        <f t="shared" si="78"/>
        <v>10.881405661657253</v>
      </c>
      <c r="AT129" s="837">
        <f t="shared" si="79"/>
        <v>2.3248676805531701</v>
      </c>
      <c r="AU129" s="837">
        <f t="shared" si="48"/>
        <v>0</v>
      </c>
      <c r="AV129" s="837">
        <f t="shared" si="49"/>
        <v>0</v>
      </c>
      <c r="AW129" s="837">
        <f t="shared" si="50"/>
        <v>0</v>
      </c>
      <c r="AX129" s="1357">
        <f t="shared" si="21"/>
        <v>16.236099971375594</v>
      </c>
      <c r="AY129" s="837">
        <f t="shared" si="80"/>
        <v>1.307809078845948</v>
      </c>
      <c r="AZ129" s="837">
        <f t="shared" si="81"/>
        <v>0.36762547566046921</v>
      </c>
      <c r="BA129" s="837">
        <f t="shared" si="82"/>
        <v>0.94950499551831991</v>
      </c>
      <c r="BB129" s="837">
        <f t="shared" si="83"/>
        <v>0.64693788424127452</v>
      </c>
      <c r="BC129" s="739">
        <f t="shared" si="51"/>
        <v>39.432581034713529</v>
      </c>
      <c r="BD129" s="841">
        <f t="shared" si="52"/>
        <v>0</v>
      </c>
      <c r="BE129" s="768">
        <f t="shared" si="53"/>
        <v>0.17037510887119423</v>
      </c>
      <c r="BF129" s="777">
        <f t="shared" si="54"/>
        <v>0.2759496177051679</v>
      </c>
      <c r="BG129" s="777">
        <f t="shared" si="55"/>
        <v>5.8958039761752561E-2</v>
      </c>
      <c r="BH129" s="777">
        <f t="shared" si="56"/>
        <v>0</v>
      </c>
      <c r="BI129" s="777">
        <f t="shared" si="57"/>
        <v>0</v>
      </c>
      <c r="BJ129" s="777">
        <f t="shared" si="58"/>
        <v>0</v>
      </c>
      <c r="BK129" s="777">
        <f t="shared" si="59"/>
        <v>0.49471723366188552</v>
      </c>
      <c r="BL129" s="777">
        <f t="shared" si="60"/>
        <v>1.0000000000000002</v>
      </c>
      <c r="BM129" s="731">
        <f t="shared" si="93"/>
        <v>0.29028184578274857</v>
      </c>
      <c r="BN129" s="732">
        <f t="shared" si="93"/>
        <v>0.30317187715157518</v>
      </c>
      <c r="BO129" s="732">
        <f t="shared" si="93"/>
        <v>8.2805443243048754E-2</v>
      </c>
      <c r="BP129" s="732">
        <f t="shared" si="93"/>
        <v>0</v>
      </c>
      <c r="BQ129" s="732">
        <f t="shared" si="93"/>
        <v>0</v>
      </c>
      <c r="BR129" s="732">
        <f t="shared" si="93"/>
        <v>0</v>
      </c>
      <c r="BS129" s="732">
        <f t="shared" si="93"/>
        <v>0.32374083382262742</v>
      </c>
      <c r="BT129" s="733">
        <f t="shared" si="85"/>
        <v>0.99999999999999989</v>
      </c>
      <c r="BV129" s="757">
        <f t="shared" si="22"/>
        <v>61.37775831207469</v>
      </c>
      <c r="BW129" s="732">
        <f t="shared" si="62"/>
        <v>0.76428504859512059</v>
      </c>
      <c r="BX129" s="769">
        <f t="shared" si="23"/>
        <v>8.1358710855464391</v>
      </c>
      <c r="BY129" s="757">
        <f t="shared" si="24"/>
        <v>72.322418656455824</v>
      </c>
      <c r="BZ129" s="732">
        <f t="shared" si="63"/>
        <v>0.78934556267027101</v>
      </c>
      <c r="CA129" s="769">
        <f t="shared" si="25"/>
        <v>50.172070130067617</v>
      </c>
      <c r="CB129" s="731">
        <f t="shared" si="26"/>
        <v>0.67206984488050125</v>
      </c>
      <c r="CC129" s="733">
        <f t="shared" si="27"/>
        <v>0.44946072524742625</v>
      </c>
      <c r="CD129" s="732">
        <f t="shared" si="64"/>
        <v>0.67206984488050125</v>
      </c>
      <c r="CE129" s="733">
        <f t="shared" si="65"/>
        <v>0.85</v>
      </c>
      <c r="CG129" s="735">
        <f t="shared" si="66"/>
        <v>8.6899319949674325</v>
      </c>
      <c r="CH129" s="739">
        <f t="shared" si="67"/>
        <v>3.8266041510359425</v>
      </c>
      <c r="CI129" s="739">
        <f t="shared" si="68"/>
        <v>14.573606735140972</v>
      </c>
      <c r="CJ129" s="739">
        <f t="shared" si="69"/>
        <v>18.44835438659522</v>
      </c>
      <c r="CK129" s="739">
        <f t="shared" si="70"/>
        <v>0.22204383461451555</v>
      </c>
      <c r="CL129" s="739">
        <f t="shared" si="71"/>
        <v>45.760541102354082</v>
      </c>
      <c r="CM129" s="736">
        <f t="shared" si="72"/>
        <v>0</v>
      </c>
    </row>
    <row r="130" spans="1:91">
      <c r="AM130" s="607"/>
      <c r="AN130" s="704"/>
      <c r="AO130" s="704"/>
      <c r="AP130" s="704"/>
      <c r="AS130" s="114"/>
    </row>
    <row r="131" spans="1:91" ht="23.4">
      <c r="A131" s="783" t="s">
        <v>779</v>
      </c>
      <c r="AM131" s="607"/>
      <c r="AO131" s="704"/>
      <c r="AS131" s="114"/>
    </row>
    <row r="132" spans="1:91" ht="15" thickBot="1">
      <c r="AM132" s="607"/>
    </row>
    <row r="133" spans="1:91" ht="21.6" customHeight="1" thickBot="1">
      <c r="A133" s="1793" t="s">
        <v>687</v>
      </c>
      <c r="B133" s="1794"/>
      <c r="C133" s="1794"/>
      <c r="D133" s="1795"/>
      <c r="E133" s="1796" t="s">
        <v>689</v>
      </c>
      <c r="F133" s="1797"/>
      <c r="G133" s="1797"/>
      <c r="H133" s="1797"/>
      <c r="I133" s="1798"/>
      <c r="J133" s="1236" t="s">
        <v>690</v>
      </c>
      <c r="K133" s="1237"/>
      <c r="L133" s="1237"/>
      <c r="M133" s="1802" t="s">
        <v>697</v>
      </c>
      <c r="N133" s="1804" t="s">
        <v>695</v>
      </c>
      <c r="O133" s="1852"/>
      <c r="P133" s="1791" t="s">
        <v>674</v>
      </c>
      <c r="Q133" s="1787" t="s">
        <v>680</v>
      </c>
      <c r="R133" s="1787" t="s">
        <v>661</v>
      </c>
      <c r="S133" s="1787" t="s">
        <v>726</v>
      </c>
      <c r="T133" s="1771" t="s">
        <v>728</v>
      </c>
      <c r="U133" s="1787" t="s">
        <v>727</v>
      </c>
      <c r="V133" s="1771" t="s">
        <v>730</v>
      </c>
      <c r="W133" s="1822" t="s">
        <v>698</v>
      </c>
      <c r="X133" s="1256" t="s">
        <v>672</v>
      </c>
      <c r="Y133" s="1256"/>
      <c r="Z133" s="1256"/>
      <c r="AA133" s="1256"/>
      <c r="AB133" s="1256"/>
      <c r="AC133" s="1256"/>
      <c r="AD133" s="1256"/>
      <c r="AE133" s="1256"/>
      <c r="AF133" s="1256"/>
      <c r="AG133" s="1256"/>
      <c r="AH133" s="1256"/>
      <c r="AI133" s="1256"/>
      <c r="AJ133" s="1257"/>
      <c r="AK133" s="1746" t="s">
        <v>855</v>
      </c>
      <c r="AL133" s="1747"/>
      <c r="AM133" s="1747"/>
      <c r="AN133" s="1747"/>
      <c r="AO133" s="1748"/>
    </row>
    <row r="134" spans="1:91" ht="43.2" customHeight="1">
      <c r="A134" s="1789" t="s">
        <v>217</v>
      </c>
      <c r="B134" s="802" t="s">
        <v>218</v>
      </c>
      <c r="C134" s="802" t="s">
        <v>464</v>
      </c>
      <c r="D134" s="592" t="s">
        <v>721</v>
      </c>
      <c r="E134" s="804" t="s">
        <v>551</v>
      </c>
      <c r="F134" s="803" t="s">
        <v>555</v>
      </c>
      <c r="G134" s="803" t="s">
        <v>676</v>
      </c>
      <c r="H134" s="805" t="s">
        <v>679</v>
      </c>
      <c r="I134" s="805" t="s">
        <v>718</v>
      </c>
      <c r="J134" s="582" t="s">
        <v>367</v>
      </c>
      <c r="K134" s="1220" t="s">
        <v>367</v>
      </c>
      <c r="L134" s="806" t="s">
        <v>692</v>
      </c>
      <c r="M134" s="1803"/>
      <c r="N134" s="587" t="s">
        <v>693</v>
      </c>
      <c r="O134" s="590" t="s">
        <v>694</v>
      </c>
      <c r="P134" s="1792"/>
      <c r="Q134" s="1788"/>
      <c r="R134" s="1788"/>
      <c r="S134" s="1788"/>
      <c r="T134" s="1772"/>
      <c r="U134" s="1788"/>
      <c r="V134" s="1772"/>
      <c r="W134" s="1823"/>
      <c r="X134" s="1247" t="s">
        <v>549</v>
      </c>
      <c r="Y134" s="819" t="s">
        <v>565</v>
      </c>
      <c r="Z134" s="819" t="s">
        <v>428</v>
      </c>
      <c r="AA134" s="819" t="s">
        <v>429</v>
      </c>
      <c r="AB134" s="819" t="s">
        <v>553</v>
      </c>
      <c r="AC134" s="819" t="s">
        <v>225</v>
      </c>
      <c r="AD134" s="823" t="s">
        <v>671</v>
      </c>
      <c r="AE134" s="1247" t="s">
        <v>549</v>
      </c>
      <c r="AF134" s="819" t="s">
        <v>565</v>
      </c>
      <c r="AG134" s="819" t="s">
        <v>428</v>
      </c>
      <c r="AH134" s="819" t="s">
        <v>429</v>
      </c>
      <c r="AI134" s="819" t="s">
        <v>553</v>
      </c>
      <c r="AJ134" s="820" t="s">
        <v>225</v>
      </c>
      <c r="AK134" s="189" t="s">
        <v>851</v>
      </c>
      <c r="AL134" s="822" t="s">
        <v>569</v>
      </c>
      <c r="AM134" s="822" t="s">
        <v>852</v>
      </c>
      <c r="AN134" s="822" t="s">
        <v>225</v>
      </c>
      <c r="AO134" s="1399" t="s">
        <v>708</v>
      </c>
    </row>
    <row r="135" spans="1:91" ht="45" customHeight="1" thickBot="1">
      <c r="A135" s="1813"/>
      <c r="B135" s="524" t="s">
        <v>232</v>
      </c>
      <c r="C135" s="525" t="s">
        <v>558</v>
      </c>
      <c r="D135" s="556" t="s">
        <v>556</v>
      </c>
      <c r="E135" s="1258" t="s">
        <v>688</v>
      </c>
      <c r="F135" s="1259" t="s">
        <v>688</v>
      </c>
      <c r="G135" s="1259" t="str">
        <f>F135</f>
        <v>Gg/GDP ZAR billion</v>
      </c>
      <c r="H135" s="1245" t="str">
        <f>G135</f>
        <v>Gg/GDP ZAR billion</v>
      </c>
      <c r="I135" s="1245" t="s">
        <v>691</v>
      </c>
      <c r="J135" s="807" t="s">
        <v>229</v>
      </c>
      <c r="K135" s="808" t="s">
        <v>691</v>
      </c>
      <c r="L135" s="810" t="s">
        <v>691</v>
      </c>
      <c r="M135" s="1246" t="s">
        <v>691</v>
      </c>
      <c r="N135" s="786" t="s">
        <v>229</v>
      </c>
      <c r="O135" s="1250" t="s">
        <v>691</v>
      </c>
      <c r="P135" s="1251" t="s">
        <v>691</v>
      </c>
      <c r="Q135" s="1252" t="s">
        <v>691</v>
      </c>
      <c r="R135" s="1252" t="s">
        <v>691</v>
      </c>
      <c r="S135" s="1284" t="s">
        <v>28</v>
      </c>
      <c r="T135" s="1773"/>
      <c r="U135" s="1284" t="s">
        <v>28</v>
      </c>
      <c r="V135" s="1773"/>
      <c r="W135" s="1253" t="s">
        <v>691</v>
      </c>
      <c r="X135" s="1283" t="s">
        <v>228</v>
      </c>
      <c r="Y135" s="1254" t="s">
        <v>228</v>
      </c>
      <c r="Z135" s="1254" t="s">
        <v>228</v>
      </c>
      <c r="AA135" s="1254" t="s">
        <v>228</v>
      </c>
      <c r="AB135" s="1254" t="s">
        <v>228</v>
      </c>
      <c r="AC135" s="1254" t="s">
        <v>228</v>
      </c>
      <c r="AD135" s="1255" t="s">
        <v>669</v>
      </c>
      <c r="AE135" s="1248" t="s">
        <v>229</v>
      </c>
      <c r="AF135" s="821" t="s">
        <v>229</v>
      </c>
      <c r="AG135" s="821" t="s">
        <v>229</v>
      </c>
      <c r="AH135" s="821" t="s">
        <v>229</v>
      </c>
      <c r="AI135" s="821" t="s">
        <v>229</v>
      </c>
      <c r="AJ135" s="824" t="s">
        <v>229</v>
      </c>
      <c r="AK135" s="191" t="s">
        <v>691</v>
      </c>
      <c r="AL135" s="1254" t="s">
        <v>691</v>
      </c>
      <c r="AM135" s="1254" t="s">
        <v>691</v>
      </c>
      <c r="AN135" s="1254" t="s">
        <v>691</v>
      </c>
      <c r="AO135" s="1255" t="s">
        <v>669</v>
      </c>
    </row>
    <row r="136" spans="1:91">
      <c r="A136" s="127">
        <f>'Input data'!A117</f>
        <v>2017</v>
      </c>
      <c r="B136" s="236">
        <f>'Input data'!B117</f>
        <v>56.521999999999998</v>
      </c>
      <c r="C136" s="236">
        <f>'Input data'!C117</f>
        <v>3120.54</v>
      </c>
      <c r="D136" s="237">
        <f>'Input data'!D117</f>
        <v>49995051</v>
      </c>
      <c r="E136" s="602">
        <f>'Input data'!J117</f>
        <v>11.504772374209397</v>
      </c>
      <c r="F136" s="608">
        <f>'Input data'!L117/C136</f>
        <v>27.526054267727826</v>
      </c>
      <c r="G136" s="623">
        <f>F136*B11</f>
        <v>23.573842715560573</v>
      </c>
      <c r="H136" s="623">
        <f t="shared" ref="H136:H169" si="97">E136*$B$12+I136*$E$80-G136</f>
        <v>0</v>
      </c>
      <c r="I136" s="1238">
        <f t="shared" ref="I136:I169" si="98">D136/1000/C136</f>
        <v>16.021281893518431</v>
      </c>
      <c r="J136" s="730">
        <f>H17</f>
        <v>6.154773859516615E-2</v>
      </c>
      <c r="K136" s="623">
        <f>(I136)*J136</f>
        <v>0.98607366994174095</v>
      </c>
      <c r="L136" s="608">
        <f t="shared" ref="L136:L169" si="99">(E136)*$C$12*$G$12</f>
        <v>0.96248877021284696</v>
      </c>
      <c r="M136" s="727">
        <f>K136+L136</f>
        <v>1.9485624401545878</v>
      </c>
      <c r="N136" s="730">
        <v>0</v>
      </c>
      <c r="O136" s="1280">
        <f t="shared" ref="O136:O169" si="100">N136*E136*($C$84)*$B$12</f>
        <v>0</v>
      </c>
      <c r="P136" s="816">
        <f>O136+(K136-I136*$J$136)</f>
        <v>0</v>
      </c>
      <c r="Q136" s="623">
        <f t="shared" ref="Q136:Q169" si="101">E136*$B$12+I136*(1-$H$80)-P136</f>
        <v>23.573842715560573</v>
      </c>
      <c r="R136" s="608">
        <f t="shared" ref="R136:R169" si="102">Q136-G136</f>
        <v>0</v>
      </c>
      <c r="S136" s="1349">
        <f>R136/(Q136-(I136-K136))</f>
        <v>0</v>
      </c>
      <c r="T136" s="135" t="str">
        <f>IF(AND(S136&gt;=0,S136&lt;=0.85),"Policies met","Policies not met")</f>
        <v>Policies met</v>
      </c>
      <c r="U136" s="1240">
        <f>IF(S136&lt;=0,0,IF(S136&gt;=0.85,0.85,S136))</f>
        <v>0</v>
      </c>
      <c r="V136" s="135" t="str">
        <f>IF(AND(S136&gt;=0,S136&lt;=0.85),"No","Yes")</f>
        <v>No</v>
      </c>
      <c r="W136" s="1241">
        <f>($E$136)*(1-U136)+I136</f>
        <v>27.526054267727829</v>
      </c>
      <c r="X136" s="623">
        <f>Q136-U136*(Q136-(I136-K136))</f>
        <v>23.573842715560573</v>
      </c>
      <c r="Y136" s="118">
        <f>(L136)*(1-U136)+K136</f>
        <v>1.9485624401545878</v>
      </c>
      <c r="Z136" s="608">
        <f t="shared" ref="Z136:Z169" si="103">($C$12*$H$12*$E$136+O136)*(1-U136)</f>
        <v>1.9789482589551808</v>
      </c>
      <c r="AA136" s="608">
        <f t="shared" ref="AA136:AA169" si="104">$F$136*$D$11*(1-U136)</f>
        <v>0</v>
      </c>
      <c r="AB136" s="608">
        <f t="shared" ref="AB136:AB169" si="105">$E$136*$E$12*(1-U136)</f>
        <v>2.4700853057483641E-2</v>
      </c>
      <c r="AC136" s="608">
        <f>SUM(X136:AB136)</f>
        <v>27.526054267727829</v>
      </c>
      <c r="AD136" s="609">
        <f>AC136-W136</f>
        <v>0</v>
      </c>
      <c r="AE136" s="728">
        <f>X136/AC136</f>
        <v>0.85641924869700925</v>
      </c>
      <c r="AF136" s="728">
        <f>Y136/AC136</f>
        <v>7.0789747822270571E-2</v>
      </c>
      <c r="AG136" s="728">
        <f>Z136/AC136</f>
        <v>7.1893640828694608E-2</v>
      </c>
      <c r="AH136" s="728">
        <f>AB136/AC136</f>
        <v>8.9736265202541149E-4</v>
      </c>
      <c r="AI136" s="728">
        <f>AB136/AC136</f>
        <v>8.9736265202541149E-4</v>
      </c>
      <c r="AJ136" s="825">
        <f>SUM(AE136:AI136)</f>
        <v>1.0008973626520252</v>
      </c>
      <c r="AK136" s="1400">
        <f>(I136-K136)</f>
        <v>15.03520822357669</v>
      </c>
      <c r="AL136" s="608">
        <f>E136*$C$85*$B$12</f>
        <v>5.9608665077198184</v>
      </c>
      <c r="AM136" s="608">
        <f>(E136*($C$84)*$B$12-O136)</f>
        <v>2.5777679842640651</v>
      </c>
      <c r="AN136" s="1401">
        <f>SUM(AK136:AM136)</f>
        <v>23.573842715560573</v>
      </c>
      <c r="AO136" s="1402">
        <f>AN136-X136</f>
        <v>0</v>
      </c>
    </row>
    <row r="137" spans="1:91">
      <c r="A137" s="127">
        <f>'Input data'!A118</f>
        <v>2018</v>
      </c>
      <c r="B137" s="748">
        <f>'Input data'!B118</f>
        <v>57.436</v>
      </c>
      <c r="C137" s="236">
        <f>'Input data'!C118</f>
        <v>3152.24</v>
      </c>
      <c r="D137" s="237">
        <f>'Input data'!D118</f>
        <v>50172070.130067617</v>
      </c>
      <c r="E137" s="602">
        <f>'Input data'!J118</f>
        <v>11.504772374209397</v>
      </c>
      <c r="F137" s="608">
        <f>'Input data'!L118/C137</f>
        <v>27.421095411182346</v>
      </c>
      <c r="G137" s="623">
        <f>G136*0.94</f>
        <v>22.159412152626938</v>
      </c>
      <c r="H137" s="623">
        <f t="shared" si="97"/>
        <v>1.3159316866540678</v>
      </c>
      <c r="I137" s="1238">
        <f t="shared" si="98"/>
        <v>15.916323036972953</v>
      </c>
      <c r="J137" s="730">
        <f>($J$149-$J$136)/($A$149-$A$136)+J136</f>
        <v>8.7582527933999524E-2</v>
      </c>
      <c r="K137" s="623">
        <f>(I137)*J137</f>
        <v>1.3939918069922437</v>
      </c>
      <c r="L137" s="608">
        <f t="shared" si="99"/>
        <v>0.96248877021284696</v>
      </c>
      <c r="M137" s="727">
        <f>K137+L137</f>
        <v>2.3564805772050907</v>
      </c>
      <c r="N137" s="730">
        <v>0.05</v>
      </c>
      <c r="O137" s="1280">
        <f t="shared" si="100"/>
        <v>0.12888839921320328</v>
      </c>
      <c r="P137" s="816">
        <f>O137+(K137-I137*$J$136)</f>
        <v>0.54326651652961466</v>
      </c>
      <c r="Q137" s="623">
        <f t="shared" si="101"/>
        <v>22.93207732275139</v>
      </c>
      <c r="R137" s="608">
        <f t="shared" si="102"/>
        <v>0.77266517012445135</v>
      </c>
      <c r="S137" s="1349">
        <f>R137/(Q137-(I137-K137))</f>
        <v>9.1877348210151324E-2</v>
      </c>
      <c r="T137" s="135" t="str">
        <f t="shared" ref="T137:T169" si="106">IF(AND(S137&gt;=0,S137&lt;=0.85),"Policies met","Policies not met")</f>
        <v>Policies met</v>
      </c>
      <c r="U137" s="1240">
        <f t="shared" ref="U137:U169" si="107">IF(S137&lt;=0,0,IF(S137&gt;=0.85,0.85,S137))</f>
        <v>9.1877348210151324E-2</v>
      </c>
      <c r="V137" s="135" t="str">
        <f t="shared" ref="V137:V169" si="108">IF(AND(S137&gt;=0,S137&lt;=0.85),"No","Yes")</f>
        <v>No</v>
      </c>
      <c r="W137" s="1241">
        <f t="shared" ref="W137:W169" si="109">($E$136)*(1-U137)+I137</f>
        <v>26.364067433678585</v>
      </c>
      <c r="X137" s="623">
        <f t="shared" ref="X137:X169" si="110">Q137-U137*(Q137-(I137-K137))</f>
        <v>22.159412152626938</v>
      </c>
      <c r="Y137" s="118">
        <f t="shared" ref="Y137:Y169" si="111">(L137)*(1-U137)+K137</f>
        <v>2.2680496613158843</v>
      </c>
      <c r="Z137" s="608">
        <f t="shared" si="103"/>
        <v>1.9141742155557255</v>
      </c>
      <c r="AA137" s="608">
        <f t="shared" si="104"/>
        <v>0</v>
      </c>
      <c r="AB137" s="608">
        <f t="shared" si="105"/>
        <v>2.2431404180033435E-2</v>
      </c>
      <c r="AC137" s="608">
        <f t="shared" ref="AC137:AC169" si="112">SUM(X137:AB137)</f>
        <v>26.364067433678581</v>
      </c>
      <c r="AD137" s="767">
        <f>AC137-W137</f>
        <v>0</v>
      </c>
      <c r="AE137" s="483">
        <f t="shared" ref="AE137:AE169" si="113">X137/AC137</f>
        <v>0.84051568326363646</v>
      </c>
      <c r="AF137" s="483">
        <f t="shared" ref="AF137:AF169" si="114">Y137/AC137</f>
        <v>8.6028063272914443E-2</v>
      </c>
      <c r="AG137" s="483">
        <f t="shared" ref="AG137:AG169" si="115">Z137/AC137</f>
        <v>7.2605421009903734E-2</v>
      </c>
      <c r="AH137" s="483">
        <f t="shared" ref="AH137:AH169" si="116">AB137/AC137</f>
        <v>8.5083245354541177E-4</v>
      </c>
      <c r="AI137" s="483">
        <f t="shared" ref="AI137:AI168" si="117">AB137/AC137</f>
        <v>8.5083245354541177E-4</v>
      </c>
      <c r="AJ137" s="604">
        <f t="shared" ref="AJ137:AJ169" si="118">SUM(AE137:AI137)</f>
        <v>1.0008508324535454</v>
      </c>
      <c r="AK137" s="1400">
        <f>(I137-K137)</f>
        <v>14.522331229980709</v>
      </c>
      <c r="AL137" s="608">
        <f>$AL$176*(1-U137)</f>
        <v>5.4131978999558159</v>
      </c>
      <c r="AM137" s="608">
        <f>($AM$176-O137)*(1-U137)</f>
        <v>2.2238830226904129</v>
      </c>
      <c r="AN137" s="1401">
        <f t="shared" ref="AN137:AN169" si="119">SUM(AK137:AM137)</f>
        <v>22.159412152626938</v>
      </c>
      <c r="AO137" s="1402">
        <f t="shared" ref="AO137:AO169" si="120">AN137-X137</f>
        <v>0</v>
      </c>
    </row>
    <row r="138" spans="1:91">
      <c r="A138" s="127">
        <f>'Input data'!A119</f>
        <v>2019</v>
      </c>
      <c r="B138" s="748">
        <f>'Input data'!B119</f>
        <v>58.365000000000002</v>
      </c>
      <c r="C138" s="236">
        <f>'Input data'!C119</f>
        <v>3179.2899999999995</v>
      </c>
      <c r="D138" s="237">
        <f>'Input data'!D119</f>
        <v>49847473.41597119</v>
      </c>
      <c r="E138" s="602">
        <f>'Input data'!J119</f>
        <v>11.504772374209397</v>
      </c>
      <c r="F138" s="608">
        <f>'Input data'!L119/C138</f>
        <v>27.183579093939649</v>
      </c>
      <c r="G138" s="623">
        <f>G136*0.89</f>
        <v>20.98072001684891</v>
      </c>
      <c r="H138" s="623">
        <f t="shared" si="97"/>
        <v>2.2717260973951348</v>
      </c>
      <c r="I138" s="1238">
        <f t="shared" si="98"/>
        <v>15.678806719730252</v>
      </c>
      <c r="J138" s="730">
        <f t="shared" ref="J138:J148" si="121">($J$149-$J$136)/($A$149-$A$136)+J137</f>
        <v>0.11361731727283289</v>
      </c>
      <c r="K138" s="623">
        <f t="shared" ref="K138:K169" si="122">(I138)*J138</f>
        <v>1.7813839575350163</v>
      </c>
      <c r="L138" s="608">
        <f t="shared" si="99"/>
        <v>0.96248877021284696</v>
      </c>
      <c r="M138" s="727">
        <f t="shared" ref="M138:M169" si="123">K138+L138</f>
        <v>2.7438727277478634</v>
      </c>
      <c r="N138" s="730">
        <v>0.1</v>
      </c>
      <c r="O138" s="1280">
        <f t="shared" si="100"/>
        <v>0.25777679842640655</v>
      </c>
      <c r="P138" s="816">
        <f t="shared" ref="P138:P169" si="124">O138+(K138-I138*$J$136)</f>
        <v>1.0741656584913308</v>
      </c>
      <c r="Q138" s="623">
        <f t="shared" si="101"/>
        <v>22.178280455752713</v>
      </c>
      <c r="R138" s="608">
        <f t="shared" si="102"/>
        <v>1.1975604389038033</v>
      </c>
      <c r="S138" s="1349">
        <f t="shared" ref="S138:S169" si="125">R138/(Q138-(I138-K138))</f>
        <v>0.14461792283129168</v>
      </c>
      <c r="T138" s="135" t="str">
        <f t="shared" si="106"/>
        <v>Policies met</v>
      </c>
      <c r="U138" s="1240">
        <f t="shared" si="107"/>
        <v>0.14461792283129168</v>
      </c>
      <c r="V138" s="135" t="str">
        <f t="shared" si="108"/>
        <v>No</v>
      </c>
      <c r="W138" s="1241">
        <f t="shared" si="109"/>
        <v>25.519782810534657</v>
      </c>
      <c r="X138" s="623">
        <f t="shared" si="110"/>
        <v>20.98072001684891</v>
      </c>
      <c r="Y138" s="118">
        <f t="shared" si="111"/>
        <v>2.6046796010512372</v>
      </c>
      <c r="Z138" s="608">
        <f t="shared" si="103"/>
        <v>1.9132545256383604</v>
      </c>
      <c r="AA138" s="608">
        <f t="shared" si="104"/>
        <v>0</v>
      </c>
      <c r="AB138" s="608">
        <f t="shared" si="105"/>
        <v>2.1128666996149396E-2</v>
      </c>
      <c r="AC138" s="608">
        <f t="shared" si="112"/>
        <v>25.519782810534657</v>
      </c>
      <c r="AD138" s="767">
        <f t="shared" ref="AD138:AD162" si="126">AC138-W138</f>
        <v>0</v>
      </c>
      <c r="AE138" s="483">
        <f t="shared" si="113"/>
        <v>0.82213552413886504</v>
      </c>
      <c r="AF138" s="483">
        <f t="shared" si="114"/>
        <v>0.10206511632128845</v>
      </c>
      <c r="AG138" s="483">
        <f t="shared" si="115"/>
        <v>7.497142667094181E-2</v>
      </c>
      <c r="AH138" s="483">
        <f t="shared" si="116"/>
        <v>8.2793286890464471E-4</v>
      </c>
      <c r="AI138" s="483">
        <f t="shared" si="117"/>
        <v>8.2793286890464471E-4</v>
      </c>
      <c r="AJ138" s="604">
        <f t="shared" si="118"/>
        <v>1.0008279328689045</v>
      </c>
      <c r="AK138" s="1400">
        <f t="shared" ref="AK138:AK169" si="127">(I138-K138)</f>
        <v>13.897422762195236</v>
      </c>
      <c r="AL138" s="608">
        <f t="shared" ref="AL138:AL169" si="128">$AL$176*(1-U138)</f>
        <v>5.0988183750987623</v>
      </c>
      <c r="AM138" s="608">
        <f t="shared" ref="AM138:AM169" si="129">($AM$176-O138)*(1-U138)</f>
        <v>1.9844788795549111</v>
      </c>
      <c r="AN138" s="1401">
        <f t="shared" si="119"/>
        <v>20.98072001684891</v>
      </c>
      <c r="AO138" s="1402">
        <f t="shared" si="120"/>
        <v>0</v>
      </c>
    </row>
    <row r="139" spans="1:91">
      <c r="A139" s="127">
        <f>'Input data'!A120</f>
        <v>2020</v>
      </c>
      <c r="B139" s="748">
        <f>'Input data'!B120</f>
        <v>59.308999999999997</v>
      </c>
      <c r="C139" s="236">
        <f>'Input data'!C120</f>
        <v>2948.9199999999987</v>
      </c>
      <c r="D139" s="237">
        <f>'Input data'!D120</f>
        <v>47586944.933914557</v>
      </c>
      <c r="E139" s="602">
        <f>'Input data'!J120</f>
        <v>11.504772374209397</v>
      </c>
      <c r="F139" s="608">
        <f>'Input data'!L120/C139</f>
        <v>27.641847959140343</v>
      </c>
      <c r="G139" s="623">
        <f>G136*0.81</f>
        <v>19.094812599604065</v>
      </c>
      <c r="H139" s="623">
        <f t="shared" si="97"/>
        <v>4.5876969675190047</v>
      </c>
      <c r="I139" s="1238">
        <f t="shared" si="98"/>
        <v>16.137075584930951</v>
      </c>
      <c r="J139" s="730">
        <f t="shared" si="121"/>
        <v>0.13965210661166627</v>
      </c>
      <c r="K139" s="623">
        <f t="shared" si="122"/>
        <v>2.2535765999872939</v>
      </c>
      <c r="L139" s="608">
        <f t="shared" si="99"/>
        <v>0.96248877021284696</v>
      </c>
      <c r="M139" s="727">
        <f t="shared" si="123"/>
        <v>3.2160653702001407</v>
      </c>
      <c r="N139" s="730">
        <f>($N$141-$N$136)/($A$101-$A$96)+N138</f>
        <v>0.2</v>
      </c>
      <c r="O139" s="1280">
        <f t="shared" si="100"/>
        <v>0.5155535968528131</v>
      </c>
      <c r="P139" s="816">
        <f t="shared" si="124"/>
        <v>1.7759296870483388</v>
      </c>
      <c r="Q139" s="623">
        <f t="shared" si="101"/>
        <v>21.90657988007473</v>
      </c>
      <c r="R139" s="608">
        <f t="shared" si="102"/>
        <v>2.811767280470665</v>
      </c>
      <c r="S139" s="1349">
        <f t="shared" si="125"/>
        <v>0.35045979433873437</v>
      </c>
      <c r="T139" s="135" t="str">
        <f t="shared" si="106"/>
        <v>Policies met</v>
      </c>
      <c r="U139" s="1240">
        <f t="shared" si="107"/>
        <v>0.35045979433873437</v>
      </c>
      <c r="V139" s="135" t="str">
        <f t="shared" si="108"/>
        <v>No</v>
      </c>
      <c r="W139" s="1241">
        <f t="shared" si="109"/>
        <v>23.609887798960969</v>
      </c>
      <c r="X139" s="623">
        <f t="shared" si="110"/>
        <v>19.094812599604065</v>
      </c>
      <c r="Y139" s="118">
        <f t="shared" si="111"/>
        <v>2.8787517537380052</v>
      </c>
      <c r="Z139" s="608">
        <f t="shared" si="103"/>
        <v>1.620279248443933</v>
      </c>
      <c r="AA139" s="608">
        <f t="shared" si="104"/>
        <v>0</v>
      </c>
      <c r="AB139" s="608">
        <f t="shared" si="105"/>
        <v>1.6044197174966624E-2</v>
      </c>
      <c r="AC139" s="608">
        <f t="shared" si="112"/>
        <v>23.609887798960969</v>
      </c>
      <c r="AD139" s="767">
        <f t="shared" si="126"/>
        <v>0</v>
      </c>
      <c r="AE139" s="483">
        <f t="shared" si="113"/>
        <v>0.80876337753898164</v>
      </c>
      <c r="AF139" s="483">
        <f t="shared" si="114"/>
        <v>0.12192992098271192</v>
      </c>
      <c r="AG139" s="483">
        <f t="shared" si="115"/>
        <v>6.8627147330841562E-2</v>
      </c>
      <c r="AH139" s="483">
        <f t="shared" si="116"/>
        <v>6.7955414746497444E-4</v>
      </c>
      <c r="AI139" s="483">
        <f t="shared" si="117"/>
        <v>6.7955414746497444E-4</v>
      </c>
      <c r="AJ139" s="604">
        <f t="shared" si="118"/>
        <v>1.0006795541474649</v>
      </c>
      <c r="AK139" s="1400">
        <f t="shared" si="127"/>
        <v>13.883498984943657</v>
      </c>
      <c r="AL139" s="608">
        <f t="shared" si="128"/>
        <v>3.8718224573436806</v>
      </c>
      <c r="AM139" s="608">
        <f t="shared" si="129"/>
        <v>1.3394911573167254</v>
      </c>
      <c r="AN139" s="1401">
        <f t="shared" si="119"/>
        <v>19.094812599604062</v>
      </c>
      <c r="AO139" s="1402">
        <f t="shared" si="120"/>
        <v>0</v>
      </c>
    </row>
    <row r="140" spans="1:91">
      <c r="A140" s="127">
        <f>'Input data'!A121</f>
        <v>2021</v>
      </c>
      <c r="B140" s="748">
        <f>'Input data'!B121</f>
        <v>59.991999999999997</v>
      </c>
      <c r="C140" s="236">
        <f>'Input data'!C121</f>
        <v>3014.38</v>
      </c>
      <c r="D140" s="237">
        <f>'Input data'!D121</f>
        <v>47328556.831579238</v>
      </c>
      <c r="E140" s="602">
        <f>'Input data'!J121</f>
        <v>11.504772374209397</v>
      </c>
      <c r="F140" s="608">
        <f>'Input data'!L121/C140</f>
        <v>27.205698213545922</v>
      </c>
      <c r="G140" s="623">
        <f>G136*0.65</f>
        <v>15.322997765114373</v>
      </c>
      <c r="H140" s="623">
        <f t="shared" si="97"/>
        <v>7.9502060869444655</v>
      </c>
      <c r="I140" s="1238">
        <f t="shared" si="98"/>
        <v>15.700925839336527</v>
      </c>
      <c r="J140" s="730">
        <f t="shared" si="121"/>
        <v>0.16568689595049965</v>
      </c>
      <c r="K140" s="623">
        <f t="shared" si="122"/>
        <v>2.6014376658686627</v>
      </c>
      <c r="L140" s="608">
        <f t="shared" si="99"/>
        <v>0.96248877021284696</v>
      </c>
      <c r="M140" s="727">
        <f t="shared" si="123"/>
        <v>3.5639264360815095</v>
      </c>
      <c r="N140" s="730">
        <v>0.4</v>
      </c>
      <c r="O140" s="1280">
        <f t="shared" si="100"/>
        <v>1.0311071937056262</v>
      </c>
      <c r="P140" s="816">
        <f t="shared" si="124"/>
        <v>2.6661883803127147</v>
      </c>
      <c r="Q140" s="623">
        <f t="shared" si="101"/>
        <v>20.607015471746124</v>
      </c>
      <c r="R140" s="608">
        <f t="shared" si="102"/>
        <v>5.2840177066317509</v>
      </c>
      <c r="S140" s="1349">
        <f t="shared" si="125"/>
        <v>0.70382930313734093</v>
      </c>
      <c r="T140" s="135" t="str">
        <f t="shared" si="106"/>
        <v>Policies met</v>
      </c>
      <c r="U140" s="1240">
        <f t="shared" si="107"/>
        <v>0.70382930313734093</v>
      </c>
      <c r="V140" s="135" t="str">
        <f t="shared" si="108"/>
        <v>No</v>
      </c>
      <c r="W140" s="1241">
        <f t="shared" si="109"/>
        <v>19.108302290652393</v>
      </c>
      <c r="X140" s="623">
        <f t="shared" si="110"/>
        <v>15.322997765114373</v>
      </c>
      <c r="Y140" s="118">
        <f t="shared" si="111"/>
        <v>2.8864986356650855</v>
      </c>
      <c r="Z140" s="608">
        <f t="shared" si="103"/>
        <v>0.89149022100979791</v>
      </c>
      <c r="AA140" s="608">
        <f t="shared" si="104"/>
        <v>0</v>
      </c>
      <c r="AB140" s="608">
        <f t="shared" si="105"/>
        <v>7.3156688631370731E-3</v>
      </c>
      <c r="AC140" s="608">
        <f t="shared" si="112"/>
        <v>19.108302290652389</v>
      </c>
      <c r="AD140" s="767">
        <f t="shared" si="126"/>
        <v>0</v>
      </c>
      <c r="AE140" s="483">
        <f t="shared" si="113"/>
        <v>0.80190262494487785</v>
      </c>
      <c r="AF140" s="483">
        <f t="shared" si="114"/>
        <v>0.15105992106253913</v>
      </c>
      <c r="AG140" s="483">
        <f t="shared" si="115"/>
        <v>4.6654601096922509E-2</v>
      </c>
      <c r="AH140" s="483">
        <f t="shared" si="116"/>
        <v>3.8285289566074288E-4</v>
      </c>
      <c r="AI140" s="483">
        <f t="shared" si="117"/>
        <v>3.8285289566074288E-4</v>
      </c>
      <c r="AJ140" s="604">
        <f t="shared" si="118"/>
        <v>1.0003828528956609</v>
      </c>
      <c r="AK140" s="1400">
        <f t="shared" si="127"/>
        <v>13.099488173467865</v>
      </c>
      <c r="AL140" s="608">
        <f t="shared" si="128"/>
        <v>1.7654339874966636</v>
      </c>
      <c r="AM140" s="608">
        <f t="shared" si="129"/>
        <v>0.458075604149844</v>
      </c>
      <c r="AN140" s="1401">
        <f t="shared" si="119"/>
        <v>15.322997765114373</v>
      </c>
      <c r="AO140" s="1402">
        <f t="shared" si="120"/>
        <v>0</v>
      </c>
    </row>
    <row r="141" spans="1:91">
      <c r="A141" s="127">
        <f>'Input data'!A122</f>
        <v>2022</v>
      </c>
      <c r="B141" s="749">
        <f>'Input data'!B122</f>
        <v>60.682000000000002</v>
      </c>
      <c r="C141" s="236">
        <f>'Input data'!C122</f>
        <v>3077.2</v>
      </c>
      <c r="D141" s="750">
        <f>'Input data'!D122</f>
        <v>45903210.392984279</v>
      </c>
      <c r="E141" s="734">
        <f>'Input data'!J122</f>
        <v>11.504772374209397</v>
      </c>
      <c r="F141" s="608">
        <f>'Input data'!L122/C141</f>
        <v>26.421973203854616</v>
      </c>
      <c r="G141" s="858">
        <f>G136*(1-E4)</f>
        <v>11.786921357780287</v>
      </c>
      <c r="H141" s="623">
        <f t="shared" si="97"/>
        <v>10.750793986614219</v>
      </c>
      <c r="I141" s="1238">
        <f t="shared" si="98"/>
        <v>14.917200829645223</v>
      </c>
      <c r="J141" s="730">
        <f t="shared" si="121"/>
        <v>0.19172168528933303</v>
      </c>
      <c r="K141" s="623">
        <f t="shared" si="122"/>
        <v>2.8599508828590192</v>
      </c>
      <c r="L141" s="608">
        <f t="shared" si="99"/>
        <v>0.96248877021284696</v>
      </c>
      <c r="M141" s="727">
        <f t="shared" si="123"/>
        <v>3.8224396530718661</v>
      </c>
      <c r="N141" s="729">
        <f>$E$26</f>
        <v>0.5</v>
      </c>
      <c r="O141" s="1280">
        <f t="shared" si="100"/>
        <v>1.2888839921320325</v>
      </c>
      <c r="P141" s="816">
        <f t="shared" si="124"/>
        <v>3.2307148977564522</v>
      </c>
      <c r="Q141" s="623">
        <f t="shared" si="101"/>
        <v>19.307000446638053</v>
      </c>
      <c r="R141" s="608">
        <f t="shared" si="102"/>
        <v>7.5200790888577664</v>
      </c>
      <c r="S141" s="1349">
        <f t="shared" si="125"/>
        <v>1.037287985153619</v>
      </c>
      <c r="T141" s="135" t="str">
        <f t="shared" si="106"/>
        <v>Policies not met</v>
      </c>
      <c r="U141" s="1240">
        <f t="shared" si="107"/>
        <v>0.85</v>
      </c>
      <c r="V141" s="135" t="str">
        <f t="shared" si="108"/>
        <v>Yes</v>
      </c>
      <c r="W141" s="1241">
        <f t="shared" si="109"/>
        <v>16.642916685776633</v>
      </c>
      <c r="X141" s="623">
        <f t="shared" si="110"/>
        <v>13.144712521763982</v>
      </c>
      <c r="Y141" s="118">
        <f t="shared" si="111"/>
        <v>3.0043241983909463</v>
      </c>
      <c r="Z141" s="608">
        <f t="shared" si="103"/>
        <v>0.49017483766308212</v>
      </c>
      <c r="AA141" s="608">
        <f t="shared" si="104"/>
        <v>0</v>
      </c>
      <c r="AB141" s="608">
        <f t="shared" si="105"/>
        <v>3.7051279586225467E-3</v>
      </c>
      <c r="AC141" s="608">
        <f t="shared" si="112"/>
        <v>16.642916685776633</v>
      </c>
      <c r="AD141" s="767">
        <f t="shared" si="126"/>
        <v>0</v>
      </c>
      <c r="AE141" s="483">
        <f t="shared" si="113"/>
        <v>0.78980822712389787</v>
      </c>
      <c r="AF141" s="483">
        <f t="shared" si="114"/>
        <v>0.1805166879768437</v>
      </c>
      <c r="AG141" s="483">
        <f t="shared" si="115"/>
        <v>2.9452459981488415E-2</v>
      </c>
      <c r="AH141" s="483">
        <f t="shared" si="116"/>
        <v>2.2262491776991366E-4</v>
      </c>
      <c r="AI141" s="483">
        <f t="shared" si="117"/>
        <v>2.2262491776991366E-4</v>
      </c>
      <c r="AJ141" s="604">
        <f t="shared" si="118"/>
        <v>1.0002226249177697</v>
      </c>
      <c r="AK141" s="1400">
        <f t="shared" si="127"/>
        <v>12.057249946786204</v>
      </c>
      <c r="AL141" s="608">
        <f t="shared" si="128"/>
        <v>0.89412997615797285</v>
      </c>
      <c r="AM141" s="608">
        <f t="shared" si="129"/>
        <v>0.19333259881980491</v>
      </c>
      <c r="AN141" s="1401">
        <f t="shared" si="119"/>
        <v>13.144712521763982</v>
      </c>
      <c r="AO141" s="1402">
        <f t="shared" si="120"/>
        <v>0</v>
      </c>
    </row>
    <row r="142" spans="1:91">
      <c r="A142" s="127">
        <f>'Input data'!A123</f>
        <v>2023</v>
      </c>
      <c r="B142" s="748">
        <f>'Input data'!B123</f>
        <v>61.381</v>
      </c>
      <c r="C142" s="236">
        <f>'Input data'!C123</f>
        <v>3140.61</v>
      </c>
      <c r="D142" s="237">
        <f>'Input data'!D123</f>
        <v>44745286.877069645</v>
      </c>
      <c r="E142" s="602">
        <f>'Input data'!J123</f>
        <v>11.504772374209397</v>
      </c>
      <c r="F142" s="608">
        <f>'Input data'!L123/C142</f>
        <v>25.752095944174989</v>
      </c>
      <c r="G142" s="623">
        <f>($G$146-$G$141)/($A$146-$A$141)+G141</f>
        <v>11.079706076313469</v>
      </c>
      <c r="H142" s="623">
        <f t="shared" si="97"/>
        <v>10.829361438871016</v>
      </c>
      <c r="I142" s="1238">
        <f t="shared" si="98"/>
        <v>14.247323569965593</v>
      </c>
      <c r="J142" s="730">
        <f t="shared" si="121"/>
        <v>0.21775647462816641</v>
      </c>
      <c r="K142" s="623">
        <f t="shared" si="122"/>
        <v>3.1024469534824899</v>
      </c>
      <c r="L142" s="608">
        <f t="shared" si="99"/>
        <v>0.96248877021284696</v>
      </c>
      <c r="M142" s="727">
        <f t="shared" si="123"/>
        <v>4.0649357236953367</v>
      </c>
      <c r="N142" s="730">
        <f>($N$146-$N$141)/($A$106-$A$101)+N141</f>
        <v>0.5</v>
      </c>
      <c r="O142" s="1280">
        <f t="shared" si="100"/>
        <v>1.2888839921320325</v>
      </c>
      <c r="P142" s="816">
        <f t="shared" si="124"/>
        <v>3.5144403988495307</v>
      </c>
      <c r="Q142" s="623">
        <f t="shared" si="101"/>
        <v>18.394627116334956</v>
      </c>
      <c r="R142" s="608">
        <f t="shared" si="102"/>
        <v>7.3149210400214866</v>
      </c>
      <c r="S142" s="1349">
        <f t="shared" si="125"/>
        <v>1.0089893493811912</v>
      </c>
      <c r="T142" s="135" t="str">
        <f t="shared" si="106"/>
        <v>Policies not met</v>
      </c>
      <c r="U142" s="1240">
        <f t="shared" si="107"/>
        <v>0.85</v>
      </c>
      <c r="V142" s="135" t="str">
        <f t="shared" si="108"/>
        <v>Yes</v>
      </c>
      <c r="W142" s="1241">
        <f t="shared" si="109"/>
        <v>15.973039426097003</v>
      </c>
      <c r="X142" s="623">
        <f t="shared" si="110"/>
        <v>12.232339191460881</v>
      </c>
      <c r="Y142" s="118">
        <f t="shared" si="111"/>
        <v>3.246820269014417</v>
      </c>
      <c r="Z142" s="608">
        <f t="shared" si="103"/>
        <v>0.49017483766308212</v>
      </c>
      <c r="AA142" s="608">
        <f t="shared" si="104"/>
        <v>0</v>
      </c>
      <c r="AB142" s="608">
        <f t="shared" si="105"/>
        <v>3.7051279586225467E-3</v>
      </c>
      <c r="AC142" s="608">
        <f t="shared" si="112"/>
        <v>15.973039426097003</v>
      </c>
      <c r="AD142" s="767">
        <f t="shared" si="126"/>
        <v>0</v>
      </c>
      <c r="AE142" s="483">
        <f t="shared" si="113"/>
        <v>0.7658116195140352</v>
      </c>
      <c r="AF142" s="483">
        <f t="shared" si="114"/>
        <v>0.20326878200210982</v>
      </c>
      <c r="AG142" s="483">
        <f t="shared" si="115"/>
        <v>3.0687637123228206E-2</v>
      </c>
      <c r="AH142" s="483">
        <f t="shared" si="116"/>
        <v>2.3196136062677279E-4</v>
      </c>
      <c r="AI142" s="483">
        <f t="shared" si="117"/>
        <v>2.3196136062677279E-4</v>
      </c>
      <c r="AJ142" s="604">
        <f t="shared" si="118"/>
        <v>1.0002319613606268</v>
      </c>
      <c r="AK142" s="1400">
        <f t="shared" si="127"/>
        <v>11.144876616483103</v>
      </c>
      <c r="AL142" s="608">
        <f t="shared" si="128"/>
        <v>0.89412997615797285</v>
      </c>
      <c r="AM142" s="608">
        <f t="shared" si="129"/>
        <v>0.19333259881980491</v>
      </c>
      <c r="AN142" s="1401">
        <f t="shared" si="119"/>
        <v>12.232339191460881</v>
      </c>
      <c r="AO142" s="1402">
        <f t="shared" si="120"/>
        <v>0</v>
      </c>
    </row>
    <row r="143" spans="1:91">
      <c r="A143" s="127">
        <f>'Input data'!A124</f>
        <v>2024</v>
      </c>
      <c r="B143" s="748">
        <f>'Input data'!B124</f>
        <v>62.088000000000001</v>
      </c>
      <c r="C143" s="236">
        <f>'Input data'!C124</f>
        <v>3201.77</v>
      </c>
      <c r="D143" s="237">
        <f>'Input data'!D124</f>
        <v>43251251.992583826</v>
      </c>
      <c r="E143" s="602">
        <f>'Input data'!J124</f>
        <v>11.504772374209397</v>
      </c>
      <c r="F143" s="608">
        <f>'Input data'!L124/C143</f>
        <v>25.013316708307045</v>
      </c>
      <c r="G143" s="623">
        <f t="shared" ref="G143:G145" si="130">($G$146-$G$141)/($A$146-$A$141)+G142</f>
        <v>10.372490794846652</v>
      </c>
      <c r="H143" s="623">
        <f t="shared" si="97"/>
        <v>10.843267675758629</v>
      </c>
      <c r="I143" s="1238">
        <f t="shared" si="98"/>
        <v>13.508544334097648</v>
      </c>
      <c r="J143" s="730">
        <f t="shared" si="121"/>
        <v>0.24379126396699979</v>
      </c>
      <c r="K143" s="623">
        <f t="shared" si="122"/>
        <v>3.2932650975639191</v>
      </c>
      <c r="L143" s="608">
        <f t="shared" si="99"/>
        <v>0.96248877021284696</v>
      </c>
      <c r="M143" s="727">
        <f t="shared" si="123"/>
        <v>4.2557538677767663</v>
      </c>
      <c r="N143" s="730">
        <f>($N$146-$N$141)/($A$106-$A$101)+N142</f>
        <v>0.5</v>
      </c>
      <c r="O143" s="1280">
        <f t="shared" si="100"/>
        <v>1.2888839921320325</v>
      </c>
      <c r="P143" s="816">
        <f t="shared" si="124"/>
        <v>3.7507287342196971</v>
      </c>
      <c r="Q143" s="623">
        <f t="shared" si="101"/>
        <v>17.465029736385581</v>
      </c>
      <c r="R143" s="608">
        <f t="shared" si="102"/>
        <v>7.0925389415389297</v>
      </c>
      <c r="S143" s="1349">
        <f t="shared" si="125"/>
        <v>0.97831490086229367</v>
      </c>
      <c r="T143" s="135" t="str">
        <f t="shared" si="106"/>
        <v>Policies not met</v>
      </c>
      <c r="U143" s="1240">
        <f t="shared" si="107"/>
        <v>0.85</v>
      </c>
      <c r="V143" s="135" t="str">
        <f t="shared" si="108"/>
        <v>Yes</v>
      </c>
      <c r="W143" s="1241">
        <f t="shared" si="109"/>
        <v>15.234260190229058</v>
      </c>
      <c r="X143" s="623">
        <f t="shared" si="110"/>
        <v>11.302741811511506</v>
      </c>
      <c r="Y143" s="118">
        <f t="shared" si="111"/>
        <v>3.4376384130958462</v>
      </c>
      <c r="Z143" s="608">
        <f t="shared" si="103"/>
        <v>0.49017483766308212</v>
      </c>
      <c r="AA143" s="608">
        <f t="shared" si="104"/>
        <v>0</v>
      </c>
      <c r="AB143" s="608">
        <f t="shared" si="105"/>
        <v>3.7051279586225467E-3</v>
      </c>
      <c r="AC143" s="608">
        <f t="shared" si="112"/>
        <v>15.234260190229058</v>
      </c>
      <c r="AD143" s="767">
        <f t="shared" si="126"/>
        <v>0</v>
      </c>
      <c r="AE143" s="483">
        <f t="shared" si="113"/>
        <v>0.74192915641291546</v>
      </c>
      <c r="AF143" s="483">
        <f t="shared" si="114"/>
        <v>0.22565181178280497</v>
      </c>
      <c r="AG143" s="483">
        <f t="shared" si="115"/>
        <v>3.2175821572055743E-2</v>
      </c>
      <c r="AH143" s="483">
        <f t="shared" si="116"/>
        <v>2.4321023222374395E-4</v>
      </c>
      <c r="AI143" s="483">
        <f t="shared" si="117"/>
        <v>2.4321023222374395E-4</v>
      </c>
      <c r="AJ143" s="604">
        <f t="shared" si="118"/>
        <v>1.0002432102322236</v>
      </c>
      <c r="AK143" s="1400">
        <f t="shared" si="127"/>
        <v>10.215279236533728</v>
      </c>
      <c r="AL143" s="608">
        <f t="shared" si="128"/>
        <v>0.89412997615797285</v>
      </c>
      <c r="AM143" s="608">
        <f t="shared" si="129"/>
        <v>0.19333259881980491</v>
      </c>
      <c r="AN143" s="1401">
        <f t="shared" si="119"/>
        <v>11.302741811511506</v>
      </c>
      <c r="AO143" s="1402">
        <f t="shared" si="120"/>
        <v>0</v>
      </c>
    </row>
    <row r="144" spans="1:91">
      <c r="A144" s="127">
        <f>'Input data'!A125</f>
        <v>2025</v>
      </c>
      <c r="B144" s="748">
        <f>'Input data'!B125</f>
        <v>62.802999999999997</v>
      </c>
      <c r="C144" s="236">
        <f>'Input data'!C125</f>
        <v>3265.54</v>
      </c>
      <c r="D144" s="237">
        <f>'Input data'!D125</f>
        <v>40955103.194912732</v>
      </c>
      <c r="E144" s="602">
        <f>'Input data'!J125</f>
        <v>11.504772374209397</v>
      </c>
      <c r="F144" s="608">
        <f>'Input data'!L125/C144</f>
        <v>24.046374435403784</v>
      </c>
      <c r="G144" s="608">
        <f t="shared" si="130"/>
        <v>9.665275513379834</v>
      </c>
      <c r="H144" s="623">
        <f t="shared" si="97"/>
        <v>10.643053794571449</v>
      </c>
      <c r="I144" s="1238">
        <f t="shared" si="98"/>
        <v>12.541602061194389</v>
      </c>
      <c r="J144" s="730">
        <f t="shared" si="121"/>
        <v>0.26982605330583315</v>
      </c>
      <c r="K144" s="623">
        <f t="shared" si="122"/>
        <v>3.3840509863043842</v>
      </c>
      <c r="L144" s="608">
        <f t="shared" si="99"/>
        <v>0.96248877021284696</v>
      </c>
      <c r="M144" s="727">
        <f t="shared" si="123"/>
        <v>4.346539756517231</v>
      </c>
      <c r="N144" s="730">
        <f>($N$146-$N$141)/($A$106-$A$101)+N143</f>
        <v>0.5</v>
      </c>
      <c r="O144" s="1280">
        <f t="shared" si="100"/>
        <v>1.2888839921320325</v>
      </c>
      <c r="P144" s="816">
        <f t="shared" si="124"/>
        <v>3.9010277332094274</v>
      </c>
      <c r="Q144" s="623">
        <f t="shared" si="101"/>
        <v>16.407301574741854</v>
      </c>
      <c r="R144" s="608">
        <f t="shared" si="102"/>
        <v>6.7420260613620204</v>
      </c>
      <c r="S144" s="1349">
        <f t="shared" si="125"/>
        <v>0.92996663285168168</v>
      </c>
      <c r="T144" s="135" t="str">
        <f t="shared" si="106"/>
        <v>Policies not met</v>
      </c>
      <c r="U144" s="1240">
        <f t="shared" si="107"/>
        <v>0.85</v>
      </c>
      <c r="V144" s="135" t="str">
        <f t="shared" si="108"/>
        <v>Yes</v>
      </c>
      <c r="W144" s="1241">
        <f t="shared" si="109"/>
        <v>14.2673179173258</v>
      </c>
      <c r="X144" s="623">
        <f t="shared" si="110"/>
        <v>10.245013649867783</v>
      </c>
      <c r="Y144" s="118">
        <f t="shared" si="111"/>
        <v>3.5284243018363113</v>
      </c>
      <c r="Z144" s="608">
        <f t="shared" si="103"/>
        <v>0.49017483766308212</v>
      </c>
      <c r="AA144" s="608">
        <f t="shared" si="104"/>
        <v>0</v>
      </c>
      <c r="AB144" s="608">
        <f t="shared" si="105"/>
        <v>3.7051279586225467E-3</v>
      </c>
      <c r="AC144" s="608">
        <f t="shared" si="112"/>
        <v>14.2673179173258</v>
      </c>
      <c r="AD144" s="767">
        <f t="shared" si="126"/>
        <v>0</v>
      </c>
      <c r="AE144" s="483">
        <f t="shared" si="113"/>
        <v>0.71807565438957155</v>
      </c>
      <c r="AF144" s="483">
        <f t="shared" si="114"/>
        <v>0.24730817118412279</v>
      </c>
      <c r="AG144" s="483">
        <f t="shared" si="115"/>
        <v>3.4356481050150892E-2</v>
      </c>
      <c r="AH144" s="483">
        <f t="shared" si="116"/>
        <v>2.5969337615468365E-4</v>
      </c>
      <c r="AI144" s="483">
        <f t="shared" si="117"/>
        <v>2.5969337615468365E-4</v>
      </c>
      <c r="AJ144" s="604">
        <f t="shared" si="118"/>
        <v>1.0002596933761547</v>
      </c>
      <c r="AK144" s="1400">
        <f t="shared" si="127"/>
        <v>9.1575510748900051</v>
      </c>
      <c r="AL144" s="608">
        <f t="shared" si="128"/>
        <v>0.89412997615797285</v>
      </c>
      <c r="AM144" s="608">
        <f t="shared" si="129"/>
        <v>0.19333259881980491</v>
      </c>
      <c r="AN144" s="1401">
        <f t="shared" si="119"/>
        <v>10.245013649867783</v>
      </c>
      <c r="AO144" s="1402">
        <f t="shared" si="120"/>
        <v>0</v>
      </c>
    </row>
    <row r="145" spans="1:41">
      <c r="A145" s="127">
        <f>'Input data'!A126</f>
        <v>2026</v>
      </c>
      <c r="B145" s="748">
        <f>'Input data'!B126</f>
        <v>63.420999999999999</v>
      </c>
      <c r="C145" s="236">
        <f>'Input data'!C126</f>
        <v>3341.28</v>
      </c>
      <c r="D145" s="237">
        <f>'Input data'!D126</f>
        <v>39969673.998818383</v>
      </c>
      <c r="E145" s="602">
        <f>'Input data'!J126</f>
        <v>11.504772374209397</v>
      </c>
      <c r="F145" s="608">
        <f>'Input data'!L126/C145</f>
        <v>23.467156250693375</v>
      </c>
      <c r="G145" s="608">
        <f t="shared" si="130"/>
        <v>8.9580602319130165</v>
      </c>
      <c r="H145" s="623">
        <f t="shared" si="97"/>
        <v>10.80670046074998</v>
      </c>
      <c r="I145" s="1238">
        <f t="shared" si="98"/>
        <v>11.962383876483976</v>
      </c>
      <c r="J145" s="730">
        <f t="shared" si="121"/>
        <v>0.2958608426446665</v>
      </c>
      <c r="K145" s="623">
        <f t="shared" si="122"/>
        <v>3.5392009737355212</v>
      </c>
      <c r="L145" s="608">
        <f t="shared" si="99"/>
        <v>0.96248877021284696</v>
      </c>
      <c r="M145" s="727">
        <f t="shared" si="123"/>
        <v>4.5016897439483685</v>
      </c>
      <c r="N145" s="730">
        <f>($N$146-$N$141)/($A$106-$A$101)+N144</f>
        <v>0.5</v>
      </c>
      <c r="O145" s="1280">
        <f t="shared" si="100"/>
        <v>1.2888839921320325</v>
      </c>
      <c r="P145" s="816">
        <f t="shared" si="124"/>
        <v>4.091827290062688</v>
      </c>
      <c r="Q145" s="623">
        <f t="shared" si="101"/>
        <v>15.672933402600307</v>
      </c>
      <c r="R145" s="608">
        <f t="shared" si="102"/>
        <v>6.7148731706872908</v>
      </c>
      <c r="S145" s="1349">
        <f t="shared" si="125"/>
        <v>0.92622127765976325</v>
      </c>
      <c r="T145" s="135" t="str">
        <f t="shared" si="106"/>
        <v>Policies not met</v>
      </c>
      <c r="U145" s="1240">
        <f t="shared" si="107"/>
        <v>0.85</v>
      </c>
      <c r="V145" s="135" t="str">
        <f t="shared" si="108"/>
        <v>Yes</v>
      </c>
      <c r="W145" s="1241">
        <f t="shared" si="109"/>
        <v>13.688099732615386</v>
      </c>
      <c r="X145" s="623">
        <f t="shared" si="110"/>
        <v>9.5106454777262321</v>
      </c>
      <c r="Y145" s="118">
        <f t="shared" si="111"/>
        <v>3.6835742892674483</v>
      </c>
      <c r="Z145" s="608">
        <f t="shared" si="103"/>
        <v>0.49017483766308212</v>
      </c>
      <c r="AA145" s="608">
        <f t="shared" si="104"/>
        <v>0</v>
      </c>
      <c r="AB145" s="608">
        <f t="shared" si="105"/>
        <v>3.7051279586225467E-3</v>
      </c>
      <c r="AC145" s="608">
        <f t="shared" si="112"/>
        <v>13.688099732615385</v>
      </c>
      <c r="AD145" s="767">
        <f t="shared" si="126"/>
        <v>0</v>
      </c>
      <c r="AE145" s="483">
        <f t="shared" si="113"/>
        <v>0.69481123483230445</v>
      </c>
      <c r="AF145" s="483">
        <f t="shared" si="114"/>
        <v>0.26910779152860748</v>
      </c>
      <c r="AG145" s="483">
        <f t="shared" si="115"/>
        <v>3.5810291219249057E-2</v>
      </c>
      <c r="AH145" s="483">
        <f t="shared" si="116"/>
        <v>2.7068241983904716E-4</v>
      </c>
      <c r="AI145" s="483">
        <f t="shared" si="117"/>
        <v>2.7068241983904716E-4</v>
      </c>
      <c r="AJ145" s="604">
        <f t="shared" si="118"/>
        <v>1.0002706824198391</v>
      </c>
      <c r="AK145" s="1400">
        <f t="shared" si="127"/>
        <v>8.4231829027484544</v>
      </c>
      <c r="AL145" s="608">
        <f t="shared" si="128"/>
        <v>0.89412997615797285</v>
      </c>
      <c r="AM145" s="608">
        <f t="shared" si="129"/>
        <v>0.19333259881980491</v>
      </c>
      <c r="AN145" s="1401">
        <f t="shared" si="119"/>
        <v>9.5106454777262321</v>
      </c>
      <c r="AO145" s="1402">
        <f t="shared" si="120"/>
        <v>0</v>
      </c>
    </row>
    <row r="146" spans="1:41">
      <c r="A146" s="127">
        <f>'Input data'!A127</f>
        <v>2027</v>
      </c>
      <c r="B146" s="749">
        <f>'Input data'!B127</f>
        <v>64.046000000000006</v>
      </c>
      <c r="C146" s="236">
        <f>'Input data'!C127</f>
        <v>3416.2799999999997</v>
      </c>
      <c r="D146" s="750">
        <f>'Input data'!D127</f>
        <v>38984244.802724026</v>
      </c>
      <c r="E146" s="734">
        <f>'Input data'!J127</f>
        <v>11.504772374209397</v>
      </c>
      <c r="F146" s="608">
        <f>'Input data'!L127/C146</f>
        <v>22.916086670087964</v>
      </c>
      <c r="G146" s="856">
        <f>G136*(1-E5)</f>
        <v>8.2508449504462007</v>
      </c>
      <c r="H146" s="623">
        <f t="shared" si="97"/>
        <v>10.996763248106234</v>
      </c>
      <c r="I146" s="1238">
        <f t="shared" si="98"/>
        <v>11.411314295878565</v>
      </c>
      <c r="J146" s="730">
        <f t="shared" si="121"/>
        <v>0.32189563198349985</v>
      </c>
      <c r="K146" s="623">
        <f t="shared" si="122"/>
        <v>3.6732522270341774</v>
      </c>
      <c r="L146" s="608">
        <f t="shared" si="99"/>
        <v>0.96248877021284696</v>
      </c>
      <c r="M146" s="727">
        <f t="shared" si="123"/>
        <v>4.6357409972470247</v>
      </c>
      <c r="N146" s="729">
        <f>$C$27</f>
        <v>0.5</v>
      </c>
      <c r="O146" s="1280">
        <f t="shared" si="100"/>
        <v>1.2888839921320325</v>
      </c>
      <c r="P146" s="816">
        <f t="shared" si="124"/>
        <v>4.2597956298561934</v>
      </c>
      <c r="Q146" s="623">
        <f t="shared" si="101"/>
        <v>14.987812568696242</v>
      </c>
      <c r="R146" s="608">
        <f t="shared" si="102"/>
        <v>6.7369676182500413</v>
      </c>
      <c r="S146" s="1349">
        <f t="shared" si="125"/>
        <v>0.92926889254846878</v>
      </c>
      <c r="T146" s="135" t="str">
        <f t="shared" si="106"/>
        <v>Policies not met</v>
      </c>
      <c r="U146" s="1240">
        <f t="shared" si="107"/>
        <v>0.85</v>
      </c>
      <c r="V146" s="135" t="str">
        <f t="shared" si="108"/>
        <v>Yes</v>
      </c>
      <c r="W146" s="1241">
        <f t="shared" si="109"/>
        <v>13.137030152009975</v>
      </c>
      <c r="X146" s="623">
        <f t="shared" si="110"/>
        <v>8.8255246438221668</v>
      </c>
      <c r="Y146" s="118">
        <f t="shared" si="111"/>
        <v>3.8176255425661045</v>
      </c>
      <c r="Z146" s="608">
        <f t="shared" si="103"/>
        <v>0.49017483766308212</v>
      </c>
      <c r="AA146" s="608">
        <f t="shared" si="104"/>
        <v>0</v>
      </c>
      <c r="AB146" s="608">
        <f t="shared" si="105"/>
        <v>3.7051279586225467E-3</v>
      </c>
      <c r="AC146" s="608">
        <f t="shared" si="112"/>
        <v>13.137030152009977</v>
      </c>
      <c r="AD146" s="767">
        <f t="shared" si="126"/>
        <v>0</v>
      </c>
      <c r="AE146" s="483">
        <f t="shared" si="113"/>
        <v>0.67180516004767288</v>
      </c>
      <c r="AF146" s="483">
        <f t="shared" si="114"/>
        <v>0.29060034866266971</v>
      </c>
      <c r="AG146" s="483">
        <f t="shared" si="115"/>
        <v>3.7312454336422829E-2</v>
      </c>
      <c r="AH146" s="483">
        <f t="shared" si="116"/>
        <v>2.8203695323449182E-4</v>
      </c>
      <c r="AI146" s="483">
        <f t="shared" si="117"/>
        <v>2.8203695323449182E-4</v>
      </c>
      <c r="AJ146" s="604">
        <f t="shared" si="118"/>
        <v>1.0002820369532344</v>
      </c>
      <c r="AK146" s="1400">
        <f t="shared" si="127"/>
        <v>7.7380620688443873</v>
      </c>
      <c r="AL146" s="608">
        <f t="shared" si="128"/>
        <v>0.89412997615797285</v>
      </c>
      <c r="AM146" s="608">
        <f t="shared" si="129"/>
        <v>0.19333259881980491</v>
      </c>
      <c r="AN146" s="1401">
        <f t="shared" si="119"/>
        <v>8.8255246438221651</v>
      </c>
      <c r="AO146" s="1402">
        <f t="shared" si="120"/>
        <v>0</v>
      </c>
    </row>
    <row r="147" spans="1:41">
      <c r="A147" s="127">
        <f>'Input data'!A128</f>
        <v>2028</v>
      </c>
      <c r="B147" s="748">
        <f>'Input data'!B128</f>
        <v>64.676000000000002</v>
      </c>
      <c r="C147" s="236">
        <f>'Input data'!C128</f>
        <v>3494.8800000000006</v>
      </c>
      <c r="D147" s="237">
        <f>'Input data'!D128</f>
        <v>37998815.60662967</v>
      </c>
      <c r="E147" s="602">
        <f>'Input data'!J128</f>
        <v>11.504772374209397</v>
      </c>
      <c r="F147" s="608">
        <f>'Input data'!L128/C147</f>
        <v>22.377482054264124</v>
      </c>
      <c r="G147" s="608">
        <f>($G$151-$G$146)/($A$151-$A$146)+G146</f>
        <v>7.5436296689793831</v>
      </c>
      <c r="H147" s="623">
        <f t="shared" si="97"/>
        <v>11.198523809850089</v>
      </c>
      <c r="I147" s="1238">
        <f t="shared" si="98"/>
        <v>10.872709680054728</v>
      </c>
      <c r="J147" s="730">
        <f t="shared" si="121"/>
        <v>0.34793042132233321</v>
      </c>
      <c r="K147" s="623">
        <f t="shared" si="122"/>
        <v>3.7829464598968521</v>
      </c>
      <c r="L147" s="608">
        <f t="shared" si="99"/>
        <v>0.96248877021284696</v>
      </c>
      <c r="M147" s="727">
        <f t="shared" si="123"/>
        <v>4.7454352301096989</v>
      </c>
      <c r="N147" s="730">
        <f>N146</f>
        <v>0.5</v>
      </c>
      <c r="O147" s="1280">
        <f t="shared" si="100"/>
        <v>1.2888839921320325</v>
      </c>
      <c r="P147" s="816">
        <f t="shared" si="124"/>
        <v>4.4026397588197437</v>
      </c>
      <c r="Q147" s="623">
        <f t="shared" si="101"/>
        <v>14.339513720009728</v>
      </c>
      <c r="R147" s="608">
        <f t="shared" si="102"/>
        <v>6.7958840510303453</v>
      </c>
      <c r="S147" s="1349">
        <f t="shared" si="125"/>
        <v>0.93739557674008478</v>
      </c>
      <c r="T147" s="135" t="str">
        <f t="shared" si="106"/>
        <v>Policies not met</v>
      </c>
      <c r="U147" s="1240">
        <f t="shared" si="107"/>
        <v>0.85</v>
      </c>
      <c r="V147" s="135" t="str">
        <f t="shared" si="108"/>
        <v>Yes</v>
      </c>
      <c r="W147" s="1241">
        <f t="shared" si="109"/>
        <v>12.598425536186138</v>
      </c>
      <c r="X147" s="623">
        <f t="shared" si="110"/>
        <v>8.1772257951356533</v>
      </c>
      <c r="Y147" s="118">
        <f t="shared" si="111"/>
        <v>3.9273197754287792</v>
      </c>
      <c r="Z147" s="608">
        <f t="shared" si="103"/>
        <v>0.49017483766308212</v>
      </c>
      <c r="AA147" s="608">
        <f t="shared" si="104"/>
        <v>0</v>
      </c>
      <c r="AB147" s="608">
        <f t="shared" si="105"/>
        <v>3.7051279586225467E-3</v>
      </c>
      <c r="AC147" s="608">
        <f t="shared" si="112"/>
        <v>12.598425536186138</v>
      </c>
      <c r="AD147" s="767">
        <f t="shared" si="126"/>
        <v>0</v>
      </c>
      <c r="AE147" s="483">
        <f t="shared" si="113"/>
        <v>0.64906728000641156</v>
      </c>
      <c r="AF147" s="483">
        <f t="shared" si="114"/>
        <v>0.31173099877825511</v>
      </c>
      <c r="AG147" s="483">
        <f t="shared" si="115"/>
        <v>3.8907626691538987E-2</v>
      </c>
      <c r="AH147" s="483">
        <f t="shared" si="116"/>
        <v>2.9409452379429489E-4</v>
      </c>
      <c r="AI147" s="483">
        <f t="shared" si="117"/>
        <v>2.9409452379429489E-4</v>
      </c>
      <c r="AJ147" s="604">
        <f t="shared" si="118"/>
        <v>1.0002940945237944</v>
      </c>
      <c r="AK147" s="1400">
        <f t="shared" si="127"/>
        <v>7.0897632201578755</v>
      </c>
      <c r="AL147" s="608">
        <f t="shared" si="128"/>
        <v>0.89412997615797285</v>
      </c>
      <c r="AM147" s="608">
        <f t="shared" si="129"/>
        <v>0.19333259881980491</v>
      </c>
      <c r="AN147" s="1401">
        <f t="shared" si="119"/>
        <v>8.1772257951356533</v>
      </c>
      <c r="AO147" s="1402">
        <f t="shared" si="120"/>
        <v>0</v>
      </c>
    </row>
    <row r="148" spans="1:41">
      <c r="A148" s="127">
        <f>'Input data'!A129</f>
        <v>2029</v>
      </c>
      <c r="B148" s="748">
        <f>'Input data'!B129</f>
        <v>65.313000000000002</v>
      </c>
      <c r="C148" s="236">
        <f>'Input data'!C129</f>
        <v>3576.08</v>
      </c>
      <c r="D148" s="237">
        <f>'Input data'!D129</f>
        <v>37013386.410535313</v>
      </c>
      <c r="E148" s="602">
        <f>'Input data'!J129</f>
        <v>11.504772374209397</v>
      </c>
      <c r="F148" s="608">
        <f>'Input data'!L129/C148</f>
        <v>21.855040380108402</v>
      </c>
      <c r="G148" s="608">
        <f t="shared" ref="G148:G150" si="131">($G$151-$G$146)/($A$151-$A$146)+G147</f>
        <v>6.8364143875125656</v>
      </c>
      <c r="H148" s="623">
        <f t="shared" si="97"/>
        <v>11.415452520753341</v>
      </c>
      <c r="I148" s="1238">
        <f t="shared" si="98"/>
        <v>10.350268005899006</v>
      </c>
      <c r="J148" s="730">
        <f t="shared" si="121"/>
        <v>0.37396521066116656</v>
      </c>
      <c r="K148" s="623">
        <f t="shared" si="122"/>
        <v>3.870640155225554</v>
      </c>
      <c r="L148" s="608">
        <f t="shared" si="99"/>
        <v>0.96248877021284696</v>
      </c>
      <c r="M148" s="727">
        <f t="shared" si="123"/>
        <v>4.8331289254384009</v>
      </c>
      <c r="N148" s="730">
        <f t="shared" ref="N148:N169" si="132">N147</f>
        <v>0.5</v>
      </c>
      <c r="O148" s="1280">
        <f t="shared" si="100"/>
        <v>1.2888839921320325</v>
      </c>
      <c r="P148" s="816">
        <f t="shared" si="124"/>
        <v>4.5224885577406031</v>
      </c>
      <c r="Q148" s="623">
        <f t="shared" si="101"/>
        <v>13.729378350525304</v>
      </c>
      <c r="R148" s="608">
        <f t="shared" si="102"/>
        <v>6.8929639630127379</v>
      </c>
      <c r="S148" s="1349">
        <f t="shared" si="125"/>
        <v>0.95078637025558255</v>
      </c>
      <c r="T148" s="135" t="str">
        <f t="shared" si="106"/>
        <v>Policies not met</v>
      </c>
      <c r="U148" s="1240">
        <f t="shared" si="107"/>
        <v>0.85</v>
      </c>
      <c r="V148" s="135" t="str">
        <f t="shared" si="108"/>
        <v>Yes</v>
      </c>
      <c r="W148" s="1241">
        <f t="shared" si="109"/>
        <v>12.075983862030416</v>
      </c>
      <c r="X148" s="623">
        <f t="shared" si="110"/>
        <v>7.5670904256512292</v>
      </c>
      <c r="Y148" s="118">
        <f t="shared" si="111"/>
        <v>4.0150134707574807</v>
      </c>
      <c r="Z148" s="608">
        <f t="shared" si="103"/>
        <v>0.49017483766308212</v>
      </c>
      <c r="AA148" s="608">
        <f t="shared" si="104"/>
        <v>0</v>
      </c>
      <c r="AB148" s="608">
        <f t="shared" si="105"/>
        <v>3.7051279586225467E-3</v>
      </c>
      <c r="AC148" s="608">
        <f t="shared" si="112"/>
        <v>12.075983862030416</v>
      </c>
      <c r="AD148" s="767">
        <f t="shared" si="126"/>
        <v>0</v>
      </c>
      <c r="AE148" s="483">
        <f t="shared" si="113"/>
        <v>0.62662309854883524</v>
      </c>
      <c r="AF148" s="483">
        <f t="shared" si="114"/>
        <v>0.33247920141576021</v>
      </c>
      <c r="AG148" s="483">
        <f t="shared" si="115"/>
        <v>4.0590882139574652E-2</v>
      </c>
      <c r="AH148" s="483">
        <f t="shared" si="116"/>
        <v>3.0681789582977952E-4</v>
      </c>
      <c r="AI148" s="483">
        <f t="shared" si="117"/>
        <v>3.0681789582977952E-4</v>
      </c>
      <c r="AJ148" s="604">
        <f t="shared" si="118"/>
        <v>1.0003068178958296</v>
      </c>
      <c r="AK148" s="1400">
        <f t="shared" si="127"/>
        <v>6.4796278506734515</v>
      </c>
      <c r="AL148" s="608">
        <f t="shared" si="128"/>
        <v>0.89412997615797285</v>
      </c>
      <c r="AM148" s="608">
        <f t="shared" si="129"/>
        <v>0.19333259881980491</v>
      </c>
      <c r="AN148" s="1401">
        <f t="shared" si="119"/>
        <v>7.5670904256512292</v>
      </c>
      <c r="AO148" s="1402">
        <f t="shared" si="120"/>
        <v>0</v>
      </c>
    </row>
    <row r="149" spans="1:41">
      <c r="A149" s="127">
        <f>'Input data'!A130</f>
        <v>2030</v>
      </c>
      <c r="B149" s="749">
        <f>'Input data'!B130</f>
        <v>65.956000000000003</v>
      </c>
      <c r="C149" s="236">
        <f>'Input data'!C130</f>
        <v>3660.12</v>
      </c>
      <c r="D149" s="750">
        <f>'Input data'!D130</f>
        <v>36027957.214440949</v>
      </c>
      <c r="E149" s="734">
        <f>'Input data'!J130</f>
        <v>11.504772374209397</v>
      </c>
      <c r="F149" s="608">
        <f>'Input data'!L130/C149</f>
        <v>21.348153797343326</v>
      </c>
      <c r="G149" s="608">
        <f t="shared" si="131"/>
        <v>6.129199106045748</v>
      </c>
      <c r="H149" s="623">
        <f t="shared" si="97"/>
        <v>11.646978942348502</v>
      </c>
      <c r="I149" s="1238">
        <f t="shared" si="98"/>
        <v>9.8433814231339269</v>
      </c>
      <c r="J149" s="729">
        <f>$H$19</f>
        <v>0.4</v>
      </c>
      <c r="K149" s="623">
        <f t="shared" si="122"/>
        <v>3.9373525692535711</v>
      </c>
      <c r="L149" s="608">
        <f t="shared" si="99"/>
        <v>0.96248877021284696</v>
      </c>
      <c r="M149" s="727">
        <f t="shared" si="123"/>
        <v>4.899841339466418</v>
      </c>
      <c r="N149" s="730">
        <f t="shared" si="132"/>
        <v>0.5</v>
      </c>
      <c r="O149" s="1280">
        <f t="shared" si="100"/>
        <v>1.2888839921320325</v>
      </c>
      <c r="P149" s="816">
        <f t="shared" si="124"/>
        <v>4.6203986946620423</v>
      </c>
      <c r="Q149" s="623">
        <f t="shared" si="101"/>
        <v>13.155779353732207</v>
      </c>
      <c r="R149" s="608">
        <f t="shared" si="102"/>
        <v>7.0265802476864589</v>
      </c>
      <c r="S149" s="1349">
        <f t="shared" si="125"/>
        <v>0.96921683688701388</v>
      </c>
      <c r="T149" s="135" t="str">
        <f t="shared" si="106"/>
        <v>Policies not met</v>
      </c>
      <c r="U149" s="1240">
        <f t="shared" si="107"/>
        <v>0.85</v>
      </c>
      <c r="V149" s="135" t="str">
        <f t="shared" si="108"/>
        <v>Yes</v>
      </c>
      <c r="W149" s="1241">
        <f t="shared" si="109"/>
        <v>11.569097279265337</v>
      </c>
      <c r="X149" s="623">
        <f t="shared" si="110"/>
        <v>6.9934914288581336</v>
      </c>
      <c r="Y149" s="118">
        <f t="shared" si="111"/>
        <v>4.0817258847854978</v>
      </c>
      <c r="Z149" s="608">
        <f t="shared" si="103"/>
        <v>0.49017483766308212</v>
      </c>
      <c r="AA149" s="608">
        <f t="shared" si="104"/>
        <v>0</v>
      </c>
      <c r="AB149" s="608">
        <f t="shared" si="105"/>
        <v>3.7051279586225467E-3</v>
      </c>
      <c r="AC149" s="608">
        <f t="shared" si="112"/>
        <v>11.569097279265335</v>
      </c>
      <c r="AD149" s="767">
        <f t="shared" si="126"/>
        <v>0</v>
      </c>
      <c r="AE149" s="483">
        <f t="shared" si="113"/>
        <v>0.60449759043794959</v>
      </c>
      <c r="AF149" s="483">
        <f t="shared" si="114"/>
        <v>0.35281282422103522</v>
      </c>
      <c r="AG149" s="483">
        <f t="shared" si="115"/>
        <v>4.2369324574839204E-2</v>
      </c>
      <c r="AH149" s="483">
        <f t="shared" si="116"/>
        <v>3.2026076617603055E-4</v>
      </c>
      <c r="AI149" s="483">
        <f t="shared" si="117"/>
        <v>3.2026076617603055E-4</v>
      </c>
      <c r="AJ149" s="604">
        <f t="shared" si="118"/>
        <v>1.0003202607661761</v>
      </c>
      <c r="AK149" s="1400">
        <f t="shared" si="127"/>
        <v>5.9060288538803558</v>
      </c>
      <c r="AL149" s="608">
        <f t="shared" si="128"/>
        <v>0.89412997615797285</v>
      </c>
      <c r="AM149" s="608">
        <f t="shared" si="129"/>
        <v>0.19333259881980491</v>
      </c>
      <c r="AN149" s="1401">
        <f t="shared" si="119"/>
        <v>6.9934914288581336</v>
      </c>
      <c r="AO149" s="1402">
        <f t="shared" si="120"/>
        <v>0</v>
      </c>
    </row>
    <row r="150" spans="1:41">
      <c r="A150" s="127">
        <f>'Input data'!A131</f>
        <v>2031</v>
      </c>
      <c r="B150" s="748">
        <f>'Input data'!B131</f>
        <v>66.519000000000005</v>
      </c>
      <c r="C150" s="236">
        <f>'Input data'!C131</f>
        <v>3761.03</v>
      </c>
      <c r="D150" s="237">
        <f>'Input data'!D131</f>
        <v>35846430.699385166</v>
      </c>
      <c r="E150" s="602">
        <f>'Input data'!J131</f>
        <v>11.504772374209397</v>
      </c>
      <c r="F150" s="608">
        <f>'Input data'!L131/C150</f>
        <v>21.035786670661476</v>
      </c>
      <c r="G150" s="608">
        <f t="shared" si="131"/>
        <v>5.4219838245789305</v>
      </c>
      <c r="H150" s="623">
        <f t="shared" si="97"/>
        <v>12.061052587392211</v>
      </c>
      <c r="I150" s="1238">
        <f t="shared" si="98"/>
        <v>9.5310142964520796</v>
      </c>
      <c r="J150" s="730">
        <f>J149</f>
        <v>0.4</v>
      </c>
      <c r="K150" s="623">
        <f t="shared" si="122"/>
        <v>3.8124057185808322</v>
      </c>
      <c r="L150" s="608">
        <f t="shared" si="99"/>
        <v>0.96248877021284696</v>
      </c>
      <c r="M150" s="727">
        <f t="shared" si="123"/>
        <v>4.7748944887936791</v>
      </c>
      <c r="N150" s="730">
        <f t="shared" si="132"/>
        <v>0.5</v>
      </c>
      <c r="O150" s="1280">
        <f t="shared" si="100"/>
        <v>1.2888839921320325</v>
      </c>
      <c r="P150" s="816">
        <f t="shared" si="124"/>
        <v>4.5146773342480406</v>
      </c>
      <c r="Q150" s="623">
        <f t="shared" si="101"/>
        <v>12.9683590777231</v>
      </c>
      <c r="R150" s="608">
        <f t="shared" si="102"/>
        <v>7.5463752531441699</v>
      </c>
      <c r="S150" s="1349">
        <f t="shared" si="125"/>
        <v>1.0409151671217345</v>
      </c>
      <c r="T150" s="135" t="str">
        <f t="shared" si="106"/>
        <v>Policies not met</v>
      </c>
      <c r="U150" s="1240">
        <f t="shared" si="107"/>
        <v>0.85</v>
      </c>
      <c r="V150" s="135" t="str">
        <f t="shared" si="108"/>
        <v>Yes</v>
      </c>
      <c r="W150" s="1241">
        <f t="shared" si="109"/>
        <v>11.25673015258349</v>
      </c>
      <c r="X150" s="623">
        <f t="shared" si="110"/>
        <v>6.8060711528490252</v>
      </c>
      <c r="Y150" s="118">
        <f t="shared" si="111"/>
        <v>3.9567790341127593</v>
      </c>
      <c r="Z150" s="608">
        <f t="shared" si="103"/>
        <v>0.49017483766308212</v>
      </c>
      <c r="AA150" s="608">
        <f t="shared" si="104"/>
        <v>0</v>
      </c>
      <c r="AB150" s="608">
        <f t="shared" si="105"/>
        <v>3.7051279586225467E-3</v>
      </c>
      <c r="AC150" s="608">
        <f t="shared" si="112"/>
        <v>11.25673015258349</v>
      </c>
      <c r="AD150" s="767">
        <f t="shared" si="126"/>
        <v>0</v>
      </c>
      <c r="AE150" s="483">
        <f t="shared" si="113"/>
        <v>0.60462239572181531</v>
      </c>
      <c r="AF150" s="483">
        <f t="shared" si="114"/>
        <v>0.35150341000265106</v>
      </c>
      <c r="AG150" s="483">
        <f t="shared" si="115"/>
        <v>4.3545046476092697E-2</v>
      </c>
      <c r="AH150" s="483">
        <f t="shared" si="116"/>
        <v>3.2914779944087018E-4</v>
      </c>
      <c r="AI150" s="483">
        <f t="shared" si="117"/>
        <v>3.2914779944087018E-4</v>
      </c>
      <c r="AJ150" s="604">
        <f t="shared" si="118"/>
        <v>1.0003291477994407</v>
      </c>
      <c r="AK150" s="1400">
        <f t="shared" si="127"/>
        <v>5.7186085778712474</v>
      </c>
      <c r="AL150" s="608">
        <f t="shared" si="128"/>
        <v>0.89412997615797285</v>
      </c>
      <c r="AM150" s="608">
        <f t="shared" si="129"/>
        <v>0.19333259881980491</v>
      </c>
      <c r="AN150" s="1401">
        <f t="shared" si="119"/>
        <v>6.8060711528490252</v>
      </c>
      <c r="AO150" s="1402">
        <f t="shared" si="120"/>
        <v>0</v>
      </c>
    </row>
    <row r="151" spans="1:41">
      <c r="A151" s="127">
        <f>'Input data'!A132</f>
        <v>2032</v>
      </c>
      <c r="B151" s="748">
        <f>'Input data'!B132</f>
        <v>67.087000000000003</v>
      </c>
      <c r="C151" s="236">
        <f>'Input data'!C132</f>
        <v>3857.2</v>
      </c>
      <c r="D151" s="237">
        <f>'Input data'!D132</f>
        <v>35664904.184329376</v>
      </c>
      <c r="E151" s="602">
        <f>'Input data'!J132</f>
        <v>11.504772374209397</v>
      </c>
      <c r="F151" s="608">
        <f>'Input data'!L132/C151</f>
        <v>20.751092032077636</v>
      </c>
      <c r="G151" s="857">
        <f>G136*(1-E6)</f>
        <v>4.7147685431121138</v>
      </c>
      <c r="H151" s="623">
        <f t="shared" si="97"/>
        <v>12.501095541470189</v>
      </c>
      <c r="I151" s="1238">
        <f t="shared" si="98"/>
        <v>9.2463196578682396</v>
      </c>
      <c r="J151" s="730">
        <f t="shared" ref="J151:J169" si="133">J150</f>
        <v>0.4</v>
      </c>
      <c r="K151" s="623">
        <f t="shared" si="122"/>
        <v>3.6985278631472962</v>
      </c>
      <c r="L151" s="608">
        <f t="shared" si="99"/>
        <v>0.96248877021284696</v>
      </c>
      <c r="M151" s="727">
        <f t="shared" si="123"/>
        <v>4.661016633360143</v>
      </c>
      <c r="N151" s="730">
        <f t="shared" si="132"/>
        <v>0.5</v>
      </c>
      <c r="O151" s="1280">
        <f t="shared" si="100"/>
        <v>1.2888839921320325</v>
      </c>
      <c r="P151" s="816">
        <f t="shared" si="124"/>
        <v>4.4183217900095082</v>
      </c>
      <c r="Q151" s="623">
        <f t="shared" si="101"/>
        <v>12.797542294572796</v>
      </c>
      <c r="R151" s="608">
        <f t="shared" si="102"/>
        <v>8.0827737514606817</v>
      </c>
      <c r="S151" s="1349">
        <f t="shared" si="125"/>
        <v>1.114903713117555</v>
      </c>
      <c r="T151" s="135" t="str">
        <f t="shared" si="106"/>
        <v>Policies not met</v>
      </c>
      <c r="U151" s="1240">
        <f t="shared" si="107"/>
        <v>0.85</v>
      </c>
      <c r="V151" s="135" t="str">
        <f t="shared" si="108"/>
        <v>Yes</v>
      </c>
      <c r="W151" s="1241">
        <f t="shared" si="109"/>
        <v>10.97203551399965</v>
      </c>
      <c r="X151" s="623">
        <f t="shared" si="110"/>
        <v>6.6352543696987212</v>
      </c>
      <c r="Y151" s="118">
        <f t="shared" si="111"/>
        <v>3.8429011786792233</v>
      </c>
      <c r="Z151" s="608">
        <f t="shared" si="103"/>
        <v>0.49017483766308212</v>
      </c>
      <c r="AA151" s="608">
        <f t="shared" si="104"/>
        <v>0</v>
      </c>
      <c r="AB151" s="608">
        <f t="shared" si="105"/>
        <v>3.7051279586225467E-3</v>
      </c>
      <c r="AC151" s="608">
        <f t="shared" si="112"/>
        <v>10.97203551399965</v>
      </c>
      <c r="AD151" s="767">
        <f t="shared" si="126"/>
        <v>0</v>
      </c>
      <c r="AE151" s="483">
        <f t="shared" si="113"/>
        <v>0.60474233438567893</v>
      </c>
      <c r="AF151" s="483">
        <f t="shared" si="114"/>
        <v>0.3502450546916217</v>
      </c>
      <c r="AG151" s="483">
        <f t="shared" si="115"/>
        <v>4.4674922628317126E-2</v>
      </c>
      <c r="AH151" s="483">
        <f t="shared" si="116"/>
        <v>3.3768829438211612E-4</v>
      </c>
      <c r="AI151" s="483">
        <f t="shared" si="117"/>
        <v>3.3768829438211612E-4</v>
      </c>
      <c r="AJ151" s="604">
        <f t="shared" si="118"/>
        <v>1.000337688294382</v>
      </c>
      <c r="AK151" s="1400">
        <f t="shared" si="127"/>
        <v>5.5477917947209434</v>
      </c>
      <c r="AL151" s="608">
        <f t="shared" si="128"/>
        <v>0.89412997615797285</v>
      </c>
      <c r="AM151" s="608">
        <f t="shared" si="129"/>
        <v>0.19333259881980491</v>
      </c>
      <c r="AN151" s="1401">
        <f t="shared" si="119"/>
        <v>6.6352543696987212</v>
      </c>
      <c r="AO151" s="1402">
        <f t="shared" si="120"/>
        <v>0</v>
      </c>
    </row>
    <row r="152" spans="1:41">
      <c r="A152" s="127">
        <f>'Input data'!A133</f>
        <v>2033</v>
      </c>
      <c r="B152" s="748">
        <f>'Input data'!B133</f>
        <v>67.659000000000006</v>
      </c>
      <c r="C152" s="236">
        <f>'Input data'!C133</f>
        <v>3964.01</v>
      </c>
      <c r="D152" s="237">
        <f>'Input data'!D133</f>
        <v>35483377.6692736</v>
      </c>
      <c r="E152" s="602">
        <f>'Input data'!J133</f>
        <v>11.504772374209397</v>
      </c>
      <c r="F152" s="608">
        <f>'Input data'!L133/C152</f>
        <v>20.456156873560708</v>
      </c>
      <c r="G152" s="608">
        <f>G151</f>
        <v>4.7147685431121138</v>
      </c>
      <c r="H152" s="623">
        <f t="shared" si="97"/>
        <v>12.224312974992188</v>
      </c>
      <c r="I152" s="1238">
        <f t="shared" si="98"/>
        <v>8.9513844993513132</v>
      </c>
      <c r="J152" s="730">
        <f t="shared" si="133"/>
        <v>0.4</v>
      </c>
      <c r="K152" s="623">
        <f t="shared" si="122"/>
        <v>3.5805537997405255</v>
      </c>
      <c r="L152" s="608">
        <f t="shared" si="99"/>
        <v>0.96248877021284696</v>
      </c>
      <c r="M152" s="727">
        <f t="shared" si="123"/>
        <v>4.5430425699533723</v>
      </c>
      <c r="N152" s="730">
        <f t="shared" si="132"/>
        <v>0.5</v>
      </c>
      <c r="O152" s="1280">
        <f t="shared" si="100"/>
        <v>1.2888839921320325</v>
      </c>
      <c r="P152" s="816">
        <f t="shared" si="124"/>
        <v>4.3185003186416608</v>
      </c>
      <c r="Q152" s="623">
        <f t="shared" si="101"/>
        <v>12.620581199462642</v>
      </c>
      <c r="R152" s="608">
        <f t="shared" si="102"/>
        <v>7.9058126563505278</v>
      </c>
      <c r="S152" s="1349">
        <f t="shared" si="125"/>
        <v>1.0904944461898489</v>
      </c>
      <c r="T152" s="135" t="str">
        <f t="shared" si="106"/>
        <v>Policies not met</v>
      </c>
      <c r="U152" s="1240">
        <f t="shared" si="107"/>
        <v>0.85</v>
      </c>
      <c r="V152" s="135" t="str">
        <f t="shared" si="108"/>
        <v>Yes</v>
      </c>
      <c r="W152" s="1241">
        <f t="shared" si="109"/>
        <v>10.677100355482724</v>
      </c>
      <c r="X152" s="623">
        <f t="shared" si="110"/>
        <v>6.4582932745885664</v>
      </c>
      <c r="Y152" s="118">
        <f t="shared" si="111"/>
        <v>3.7249271152724526</v>
      </c>
      <c r="Z152" s="608">
        <f t="shared" si="103"/>
        <v>0.49017483766308212</v>
      </c>
      <c r="AA152" s="608">
        <f t="shared" si="104"/>
        <v>0</v>
      </c>
      <c r="AB152" s="608">
        <f t="shared" si="105"/>
        <v>3.7051279586225467E-3</v>
      </c>
      <c r="AC152" s="608">
        <f t="shared" si="112"/>
        <v>10.677100355482724</v>
      </c>
      <c r="AD152" s="767">
        <f t="shared" si="126"/>
        <v>0</v>
      </c>
      <c r="AE152" s="483">
        <f t="shared" si="113"/>
        <v>0.60487333260590859</v>
      </c>
      <c r="AF152" s="483">
        <f t="shared" si="114"/>
        <v>0.34887066630966818</v>
      </c>
      <c r="AG152" s="483">
        <f t="shared" si="115"/>
        <v>4.5908984775194686E-2</v>
      </c>
      <c r="AH152" s="483">
        <f t="shared" si="116"/>
        <v>3.4701630922855868E-4</v>
      </c>
      <c r="AI152" s="483">
        <f t="shared" si="117"/>
        <v>3.4701630922855868E-4</v>
      </c>
      <c r="AJ152" s="604">
        <f t="shared" si="118"/>
        <v>1.0003470163092285</v>
      </c>
      <c r="AK152" s="1400">
        <f t="shared" si="127"/>
        <v>5.3708306996107877</v>
      </c>
      <c r="AL152" s="608">
        <f t="shared" si="128"/>
        <v>0.89412997615797285</v>
      </c>
      <c r="AM152" s="608">
        <f t="shared" si="129"/>
        <v>0.19333259881980491</v>
      </c>
      <c r="AN152" s="1401">
        <f t="shared" si="119"/>
        <v>6.4582932745885655</v>
      </c>
      <c r="AO152" s="1402">
        <f t="shared" si="120"/>
        <v>0</v>
      </c>
    </row>
    <row r="153" spans="1:41">
      <c r="A153" s="127">
        <f>'Input data'!A134</f>
        <v>2034</v>
      </c>
      <c r="B153" s="748">
        <f>'Input data'!B134</f>
        <v>68.236999999999995</v>
      </c>
      <c r="C153" s="236">
        <f>'Input data'!C134</f>
        <v>4078.22</v>
      </c>
      <c r="D153" s="237">
        <f>'Input data'!D134</f>
        <v>35301851.154217809</v>
      </c>
      <c r="E153" s="602">
        <f>'Input data'!J134</f>
        <v>11.504772374209397</v>
      </c>
      <c r="F153" s="608">
        <f>'Input data'!L134/C153</f>
        <v>20.160963348266169</v>
      </c>
      <c r="G153" s="608">
        <f t="shared" ref="G153:G169" si="134">G152</f>
        <v>4.7147685431121138</v>
      </c>
      <c r="H153" s="623">
        <f t="shared" si="97"/>
        <v>11.947287943627458</v>
      </c>
      <c r="I153" s="1238">
        <f t="shared" si="98"/>
        <v>8.6561909740567717</v>
      </c>
      <c r="J153" s="730">
        <f t="shared" si="133"/>
        <v>0.4</v>
      </c>
      <c r="K153" s="623">
        <f t="shared" si="122"/>
        <v>3.4624763896227089</v>
      </c>
      <c r="L153" s="608">
        <f t="shared" si="99"/>
        <v>0.96248877021284696</v>
      </c>
      <c r="M153" s="727">
        <f t="shared" si="123"/>
        <v>4.4249651598355557</v>
      </c>
      <c r="N153" s="730">
        <f t="shared" si="132"/>
        <v>0.5</v>
      </c>
      <c r="O153" s="1280">
        <f t="shared" si="100"/>
        <v>1.2888839921320325</v>
      </c>
      <c r="P153" s="816">
        <f t="shared" si="124"/>
        <v>4.2185914024536588</v>
      </c>
      <c r="Q153" s="623">
        <f t="shared" si="101"/>
        <v>12.443465084285915</v>
      </c>
      <c r="R153" s="608">
        <f t="shared" si="102"/>
        <v>7.7286965411738011</v>
      </c>
      <c r="S153" s="1349">
        <f t="shared" si="125"/>
        <v>1.066063796448131</v>
      </c>
      <c r="T153" s="135" t="str">
        <f t="shared" si="106"/>
        <v>Policies not met</v>
      </c>
      <c r="U153" s="1240">
        <f t="shared" si="107"/>
        <v>0.85</v>
      </c>
      <c r="V153" s="135" t="str">
        <f t="shared" si="108"/>
        <v>Yes</v>
      </c>
      <c r="W153" s="1241">
        <f t="shared" si="109"/>
        <v>10.381906830188182</v>
      </c>
      <c r="X153" s="623">
        <f t="shared" si="110"/>
        <v>6.2811771594118406</v>
      </c>
      <c r="Y153" s="118">
        <f t="shared" si="111"/>
        <v>3.606849705154636</v>
      </c>
      <c r="Z153" s="608">
        <f t="shared" si="103"/>
        <v>0.49017483766308212</v>
      </c>
      <c r="AA153" s="608">
        <f t="shared" si="104"/>
        <v>0</v>
      </c>
      <c r="AB153" s="608">
        <f t="shared" si="105"/>
        <v>3.7051279586225467E-3</v>
      </c>
      <c r="AC153" s="608">
        <f t="shared" si="112"/>
        <v>10.381906830188182</v>
      </c>
      <c r="AD153" s="767">
        <f t="shared" si="126"/>
        <v>0</v>
      </c>
      <c r="AE153" s="483">
        <f t="shared" si="113"/>
        <v>0.60501189831020552</v>
      </c>
      <c r="AF153" s="483">
        <f t="shared" si="114"/>
        <v>0.3474168824812367</v>
      </c>
      <c r="AG153" s="483">
        <f t="shared" si="115"/>
        <v>4.721433602522488E-2</v>
      </c>
      <c r="AH153" s="483">
        <f t="shared" si="116"/>
        <v>3.5688318333284327E-4</v>
      </c>
      <c r="AI153" s="483">
        <f t="shared" si="117"/>
        <v>3.5688318333284327E-4</v>
      </c>
      <c r="AJ153" s="604">
        <f t="shared" si="118"/>
        <v>1.0003568831833327</v>
      </c>
      <c r="AK153" s="1400">
        <f t="shared" si="127"/>
        <v>5.1937145844340629</v>
      </c>
      <c r="AL153" s="608">
        <f t="shared" si="128"/>
        <v>0.89412997615797285</v>
      </c>
      <c r="AM153" s="608">
        <f t="shared" si="129"/>
        <v>0.19333259881980491</v>
      </c>
      <c r="AN153" s="1401">
        <f t="shared" si="119"/>
        <v>6.2811771594118406</v>
      </c>
      <c r="AO153" s="1402">
        <f t="shared" si="120"/>
        <v>0</v>
      </c>
    </row>
    <row r="154" spans="1:41">
      <c r="A154" s="127">
        <f>'Input data'!A135</f>
        <v>2035</v>
      </c>
      <c r="B154" s="748">
        <f>'Input data'!B135</f>
        <v>68.819000000000003</v>
      </c>
      <c r="C154" s="236">
        <f>'Input data'!C135</f>
        <v>4200.2899999999991</v>
      </c>
      <c r="D154" s="237">
        <f>'Input data'!D135</f>
        <v>35120324.639162026</v>
      </c>
      <c r="E154" s="602">
        <f>'Input data'!J135</f>
        <v>11.504772374209397</v>
      </c>
      <c r="F154" s="608">
        <f>'Input data'!L135/C154</f>
        <v>19.866177096064803</v>
      </c>
      <c r="G154" s="608">
        <f t="shared" si="134"/>
        <v>4.7147685431121138</v>
      </c>
      <c r="H154" s="623">
        <f t="shared" si="97"/>
        <v>11.67064511861803</v>
      </c>
      <c r="I154" s="1238">
        <f t="shared" si="98"/>
        <v>8.3614047218554042</v>
      </c>
      <c r="J154" s="730">
        <f t="shared" si="133"/>
        <v>0.4</v>
      </c>
      <c r="K154" s="623">
        <f t="shared" si="122"/>
        <v>3.3445618887421618</v>
      </c>
      <c r="L154" s="608">
        <f t="shared" si="99"/>
        <v>0.96248877021284696</v>
      </c>
      <c r="M154" s="727">
        <f t="shared" si="123"/>
        <v>4.307050658955009</v>
      </c>
      <c r="N154" s="730">
        <f t="shared" si="132"/>
        <v>0.5</v>
      </c>
      <c r="O154" s="1280">
        <f t="shared" si="100"/>
        <v>1.2888839921320325</v>
      </c>
      <c r="P154" s="816">
        <f t="shared" si="124"/>
        <v>4.1188203287650502</v>
      </c>
      <c r="Q154" s="623">
        <f t="shared" si="101"/>
        <v>12.266593332965094</v>
      </c>
      <c r="R154" s="608">
        <f t="shared" si="102"/>
        <v>7.5518247898529802</v>
      </c>
      <c r="S154" s="1349">
        <f t="shared" si="125"/>
        <v>1.0416668532258182</v>
      </c>
      <c r="T154" s="135" t="str">
        <f t="shared" si="106"/>
        <v>Policies not met</v>
      </c>
      <c r="U154" s="1240">
        <f t="shared" si="107"/>
        <v>0.85</v>
      </c>
      <c r="V154" s="135" t="str">
        <f t="shared" si="108"/>
        <v>Yes</v>
      </c>
      <c r="W154" s="1241">
        <f t="shared" si="109"/>
        <v>10.087120577986814</v>
      </c>
      <c r="X154" s="623">
        <f t="shared" si="110"/>
        <v>6.1043054080910206</v>
      </c>
      <c r="Y154" s="118">
        <f t="shared" si="111"/>
        <v>3.4889352042740889</v>
      </c>
      <c r="Z154" s="608">
        <f t="shared" si="103"/>
        <v>0.49017483766308212</v>
      </c>
      <c r="AA154" s="608">
        <f t="shared" si="104"/>
        <v>0</v>
      </c>
      <c r="AB154" s="608">
        <f t="shared" si="105"/>
        <v>3.7051279586225467E-3</v>
      </c>
      <c r="AC154" s="608">
        <f t="shared" si="112"/>
        <v>10.087120577986814</v>
      </c>
      <c r="AD154" s="767">
        <f t="shared" si="126"/>
        <v>0</v>
      </c>
      <c r="AE154" s="483">
        <f t="shared" si="113"/>
        <v>0.60515836614588348</v>
      </c>
      <c r="AF154" s="483">
        <f t="shared" si="114"/>
        <v>0.3458801922015301</v>
      </c>
      <c r="AG154" s="483">
        <f t="shared" si="115"/>
        <v>4.859412890659736E-2</v>
      </c>
      <c r="AH154" s="483">
        <f t="shared" si="116"/>
        <v>3.6731274598900604E-4</v>
      </c>
      <c r="AI154" s="483">
        <f t="shared" si="117"/>
        <v>3.6731274598900604E-4</v>
      </c>
      <c r="AJ154" s="604">
        <f t="shared" si="118"/>
        <v>1.0003673127459889</v>
      </c>
      <c r="AK154" s="1400">
        <f t="shared" si="127"/>
        <v>5.0168428331132429</v>
      </c>
      <c r="AL154" s="608">
        <f t="shared" si="128"/>
        <v>0.89412997615797285</v>
      </c>
      <c r="AM154" s="608">
        <f t="shared" si="129"/>
        <v>0.19333259881980491</v>
      </c>
      <c r="AN154" s="1401">
        <f t="shared" si="119"/>
        <v>6.1043054080910206</v>
      </c>
      <c r="AO154" s="1402">
        <f t="shared" si="120"/>
        <v>0</v>
      </c>
    </row>
    <row r="155" spans="1:41">
      <c r="A155" s="127">
        <f>'Input data'!A136</f>
        <v>2036</v>
      </c>
      <c r="B155" s="748">
        <f>'Input data'!B136</f>
        <v>69.322999999999993</v>
      </c>
      <c r="C155" s="236">
        <f>'Input data'!C136</f>
        <v>4325.9699999999993</v>
      </c>
      <c r="D155" s="237">
        <f>'Input data'!D136</f>
        <v>32285395.803631678</v>
      </c>
      <c r="E155" s="602">
        <f>'Input data'!J136</f>
        <v>11.504772374209397</v>
      </c>
      <c r="F155" s="608">
        <f>'Input data'!L136/C155</f>
        <v>18.967929955892046</v>
      </c>
      <c r="G155" s="608">
        <f t="shared" si="134"/>
        <v>4.7147685431121138</v>
      </c>
      <c r="H155" s="623">
        <f t="shared" si="97"/>
        <v>10.827683058622483</v>
      </c>
      <c r="I155" s="1238">
        <f t="shared" si="98"/>
        <v>7.4631575816826476</v>
      </c>
      <c r="J155" s="730">
        <f t="shared" si="133"/>
        <v>0.4</v>
      </c>
      <c r="K155" s="623">
        <f t="shared" si="122"/>
        <v>2.9852630326730591</v>
      </c>
      <c r="L155" s="608">
        <f t="shared" si="99"/>
        <v>0.96248877021284696</v>
      </c>
      <c r="M155" s="727">
        <f t="shared" si="123"/>
        <v>3.947751802885906</v>
      </c>
      <c r="N155" s="730">
        <f t="shared" si="132"/>
        <v>0.5</v>
      </c>
      <c r="O155" s="1280">
        <f t="shared" si="100"/>
        <v>1.2888839921320325</v>
      </c>
      <c r="P155" s="816">
        <f t="shared" si="124"/>
        <v>3.8148065528731561</v>
      </c>
      <c r="Q155" s="623">
        <f t="shared" si="101"/>
        <v>11.72764504886144</v>
      </c>
      <c r="R155" s="608">
        <f t="shared" si="102"/>
        <v>7.0128765057493263</v>
      </c>
      <c r="S155" s="1349">
        <f t="shared" si="125"/>
        <v>0.967326600535099</v>
      </c>
      <c r="T155" s="135" t="str">
        <f t="shared" si="106"/>
        <v>Policies not met</v>
      </c>
      <c r="U155" s="1240">
        <f t="shared" si="107"/>
        <v>0.85</v>
      </c>
      <c r="V155" s="135" t="str">
        <f t="shared" si="108"/>
        <v>Yes</v>
      </c>
      <c r="W155" s="1241">
        <f t="shared" si="109"/>
        <v>9.188873437814058</v>
      </c>
      <c r="X155" s="623">
        <f t="shared" si="110"/>
        <v>5.5653571239873667</v>
      </c>
      <c r="Y155" s="118">
        <f t="shared" si="111"/>
        <v>3.1296363482049863</v>
      </c>
      <c r="Z155" s="608">
        <f t="shared" si="103"/>
        <v>0.49017483766308212</v>
      </c>
      <c r="AA155" s="608">
        <f t="shared" si="104"/>
        <v>0</v>
      </c>
      <c r="AB155" s="608">
        <f t="shared" si="105"/>
        <v>3.7051279586225467E-3</v>
      </c>
      <c r="AC155" s="608">
        <f t="shared" si="112"/>
        <v>9.188873437814058</v>
      </c>
      <c r="AD155" s="767">
        <f t="shared" si="126"/>
        <v>0</v>
      </c>
      <c r="AE155" s="483">
        <f t="shared" si="113"/>
        <v>0.60566261595080906</v>
      </c>
      <c r="AF155" s="483">
        <f t="shared" si="114"/>
        <v>0.3405897762533005</v>
      </c>
      <c r="AG155" s="483">
        <f t="shared" si="115"/>
        <v>5.3344388839432079E-2</v>
      </c>
      <c r="AH155" s="483">
        <f t="shared" si="116"/>
        <v>4.0321895645827505E-4</v>
      </c>
      <c r="AI155" s="483">
        <f t="shared" si="117"/>
        <v>4.0321895645827505E-4</v>
      </c>
      <c r="AJ155" s="604">
        <f t="shared" si="118"/>
        <v>1.000403218956458</v>
      </c>
      <c r="AK155" s="1400">
        <f t="shared" si="127"/>
        <v>4.4778945490095889</v>
      </c>
      <c r="AL155" s="608">
        <f t="shared" si="128"/>
        <v>0.89412997615797285</v>
      </c>
      <c r="AM155" s="608">
        <f t="shared" si="129"/>
        <v>0.19333259881980491</v>
      </c>
      <c r="AN155" s="1401">
        <f t="shared" si="119"/>
        <v>5.5653571239873667</v>
      </c>
      <c r="AO155" s="1402">
        <f t="shared" si="120"/>
        <v>0</v>
      </c>
    </row>
    <row r="156" spans="1:41">
      <c r="A156" s="127">
        <f>'Input data'!A137</f>
        <v>2037</v>
      </c>
      <c r="B156" s="749">
        <f>'Input data'!B137</f>
        <v>69.83</v>
      </c>
      <c r="C156" s="236">
        <f>'Input data'!C137</f>
        <v>4457.0000000000018</v>
      </c>
      <c r="D156" s="750">
        <f>'Input data'!D137</f>
        <v>29450466.968101323</v>
      </c>
      <c r="E156" s="734">
        <f>'Input data'!J137</f>
        <v>11.504772374209397</v>
      </c>
      <c r="F156" s="608">
        <f>'Input data'!L137/C156</f>
        <v>18.112460722448418</v>
      </c>
      <c r="G156" s="608">
        <f t="shared" si="134"/>
        <v>4.7147685431121138</v>
      </c>
      <c r="H156" s="623">
        <f t="shared" si="97"/>
        <v>10.02486602193505</v>
      </c>
      <c r="I156" s="1238">
        <f t="shared" si="98"/>
        <v>6.6076883482390194</v>
      </c>
      <c r="J156" s="729">
        <f t="shared" si="133"/>
        <v>0.4</v>
      </c>
      <c r="K156" s="623">
        <f t="shared" si="122"/>
        <v>2.6430753392956081</v>
      </c>
      <c r="L156" s="608">
        <f t="shared" si="99"/>
        <v>0.96248877021284696</v>
      </c>
      <c r="M156" s="727">
        <f t="shared" si="123"/>
        <v>3.605564109508455</v>
      </c>
      <c r="N156" s="730">
        <f t="shared" si="132"/>
        <v>0.5</v>
      </c>
      <c r="O156" s="1280">
        <f t="shared" si="100"/>
        <v>1.2888839921320325</v>
      </c>
      <c r="P156" s="816">
        <f t="shared" si="124"/>
        <v>3.5252710562519001</v>
      </c>
      <c r="Q156" s="623">
        <f t="shared" si="101"/>
        <v>11.214363508795262</v>
      </c>
      <c r="R156" s="608">
        <f t="shared" si="102"/>
        <v>6.4995949656831487</v>
      </c>
      <c r="S156" s="1349">
        <f t="shared" si="125"/>
        <v>0.8965267102386445</v>
      </c>
      <c r="T156" s="135" t="str">
        <f t="shared" si="106"/>
        <v>Policies not met</v>
      </c>
      <c r="U156" s="1240">
        <f t="shared" si="107"/>
        <v>0.85</v>
      </c>
      <c r="V156" s="135" t="str">
        <f t="shared" si="108"/>
        <v>Yes</v>
      </c>
      <c r="W156" s="1241">
        <f t="shared" si="109"/>
        <v>8.3334042043704297</v>
      </c>
      <c r="X156" s="623">
        <f t="shared" si="110"/>
        <v>5.0520755839211891</v>
      </c>
      <c r="Y156" s="118">
        <f t="shared" si="111"/>
        <v>2.7874486548275352</v>
      </c>
      <c r="Z156" s="608">
        <f t="shared" si="103"/>
        <v>0.49017483766308212</v>
      </c>
      <c r="AA156" s="608">
        <f t="shared" si="104"/>
        <v>0</v>
      </c>
      <c r="AB156" s="608">
        <f t="shared" si="105"/>
        <v>3.7051279586225467E-3</v>
      </c>
      <c r="AC156" s="608">
        <f t="shared" si="112"/>
        <v>8.3334042043704297</v>
      </c>
      <c r="AD156" s="767">
        <f t="shared" si="126"/>
        <v>0</v>
      </c>
      <c r="AE156" s="483">
        <f t="shared" si="113"/>
        <v>0.60624391425435031</v>
      </c>
      <c r="AF156" s="483">
        <f t="shared" si="114"/>
        <v>0.33449099389246784</v>
      </c>
      <c r="AG156" s="483">
        <f t="shared" si="115"/>
        <v>5.8820480279357067E-2</v>
      </c>
      <c r="AH156" s="483">
        <f t="shared" si="116"/>
        <v>4.4461157382470458E-4</v>
      </c>
      <c r="AI156" s="483">
        <f t="shared" si="117"/>
        <v>4.4461157382470458E-4</v>
      </c>
      <c r="AJ156" s="604">
        <f t="shared" si="118"/>
        <v>1.0004446115738246</v>
      </c>
      <c r="AK156" s="1400">
        <f t="shared" si="127"/>
        <v>3.9646130089434113</v>
      </c>
      <c r="AL156" s="608">
        <f t="shared" si="128"/>
        <v>0.89412997615797285</v>
      </c>
      <c r="AM156" s="608">
        <f t="shared" si="129"/>
        <v>0.19333259881980491</v>
      </c>
      <c r="AN156" s="1401">
        <f t="shared" si="119"/>
        <v>5.0520755839211891</v>
      </c>
      <c r="AO156" s="1402">
        <f t="shared" si="120"/>
        <v>0</v>
      </c>
    </row>
    <row r="157" spans="1:41">
      <c r="A157" s="127">
        <f>'Input data'!A138</f>
        <v>2038</v>
      </c>
      <c r="B157" s="748">
        <f>'Input data'!B138</f>
        <v>70.341999999999999</v>
      </c>
      <c r="C157" s="236">
        <f>'Input data'!C138</f>
        <v>4590.03</v>
      </c>
      <c r="D157" s="237">
        <f>'Input data'!D138</f>
        <v>26615538.132570967</v>
      </c>
      <c r="E157" s="602">
        <f>'Input data'!J138</f>
        <v>11.504772374209397</v>
      </c>
      <c r="F157" s="608">
        <f>'Input data'!L138/C157</f>
        <v>17.303326660907082</v>
      </c>
      <c r="G157" s="608">
        <f t="shared" si="134"/>
        <v>4.7147685431121138</v>
      </c>
      <c r="H157" s="623">
        <f t="shared" si="97"/>
        <v>9.2655323321019054</v>
      </c>
      <c r="I157" s="1238">
        <f t="shared" si="98"/>
        <v>5.7985542866976836</v>
      </c>
      <c r="J157" s="730">
        <f t="shared" si="133"/>
        <v>0.4</v>
      </c>
      <c r="K157" s="623">
        <f t="shared" si="122"/>
        <v>2.3194217146790734</v>
      </c>
      <c r="L157" s="608">
        <f t="shared" si="99"/>
        <v>0.96248877021284696</v>
      </c>
      <c r="M157" s="727">
        <f t="shared" si="123"/>
        <v>3.2819104848919203</v>
      </c>
      <c r="N157" s="730">
        <f t="shared" si="132"/>
        <v>0.5</v>
      </c>
      <c r="O157" s="1280">
        <f t="shared" si="100"/>
        <v>1.2888839921320325</v>
      </c>
      <c r="P157" s="816">
        <f t="shared" si="124"/>
        <v>3.251417803343557</v>
      </c>
      <c r="Q157" s="623">
        <f t="shared" si="101"/>
        <v>10.728883071870463</v>
      </c>
      <c r="R157" s="608">
        <f t="shared" si="102"/>
        <v>6.0141145287583493</v>
      </c>
      <c r="S157" s="1349">
        <f t="shared" si="125"/>
        <v>0.8295615868271945</v>
      </c>
      <c r="T157" s="135" t="str">
        <f t="shared" si="106"/>
        <v>Policies met</v>
      </c>
      <c r="U157" s="1240">
        <f t="shared" si="107"/>
        <v>0.8295615868271945</v>
      </c>
      <c r="V157" s="135" t="str">
        <f t="shared" si="108"/>
        <v>No</v>
      </c>
      <c r="W157" s="1241">
        <f t="shared" si="109"/>
        <v>7.7594094340722632</v>
      </c>
      <c r="X157" s="623">
        <f t="shared" si="110"/>
        <v>4.7147685431121138</v>
      </c>
      <c r="Y157" s="118">
        <f t="shared" si="111"/>
        <v>2.4834667733707962</v>
      </c>
      <c r="Z157" s="608">
        <f t="shared" si="103"/>
        <v>0.5569641433902216</v>
      </c>
      <c r="AA157" s="608">
        <f t="shared" si="104"/>
        <v>0</v>
      </c>
      <c r="AB157" s="608">
        <f t="shared" si="105"/>
        <v>4.2099741991321526E-3</v>
      </c>
      <c r="AC157" s="608">
        <f t="shared" si="112"/>
        <v>7.7594094340722632</v>
      </c>
      <c r="AD157" s="767">
        <f t="shared" si="126"/>
        <v>0</v>
      </c>
      <c r="AE157" s="483">
        <f t="shared" si="113"/>
        <v>0.60761950805291209</v>
      </c>
      <c r="AF157" s="483">
        <f t="shared" si="114"/>
        <v>0.32005873571584853</v>
      </c>
      <c r="AG157" s="483">
        <f t="shared" si="115"/>
        <v>7.1779192491704599E-2</v>
      </c>
      <c r="AH157" s="483">
        <f t="shared" si="116"/>
        <v>5.4256373953483856E-4</v>
      </c>
      <c r="AI157" s="483">
        <f t="shared" si="117"/>
        <v>5.4256373953483856E-4</v>
      </c>
      <c r="AJ157" s="604">
        <f t="shared" si="118"/>
        <v>1.0005425637395349</v>
      </c>
      <c r="AK157" s="1400">
        <f t="shared" si="127"/>
        <v>3.4791325720186101</v>
      </c>
      <c r="AL157" s="608">
        <f t="shared" si="128"/>
        <v>1.0159606287106886</v>
      </c>
      <c r="AM157" s="608">
        <f t="shared" si="129"/>
        <v>0.21967534238281436</v>
      </c>
      <c r="AN157" s="1401">
        <f t="shared" si="119"/>
        <v>4.7147685431121129</v>
      </c>
      <c r="AO157" s="1402">
        <f t="shared" si="120"/>
        <v>0</v>
      </c>
    </row>
    <row r="158" spans="1:41">
      <c r="A158" s="127">
        <f>'Input data'!A139</f>
        <v>2039</v>
      </c>
      <c r="B158" s="748">
        <f>'Input data'!B139</f>
        <v>70.856999999999999</v>
      </c>
      <c r="C158" s="236">
        <f>'Input data'!C139</f>
        <v>4728.5300000000007</v>
      </c>
      <c r="D158" s="237">
        <f>'Input data'!D139</f>
        <v>23780609.297040608</v>
      </c>
      <c r="E158" s="602">
        <f>'Input data'!J139</f>
        <v>11.504772374209397</v>
      </c>
      <c r="F158" s="608">
        <f>'Input data'!L139/C158</f>
        <v>16.533948311982996</v>
      </c>
      <c r="G158" s="608">
        <f t="shared" si="134"/>
        <v>4.7147685431121138</v>
      </c>
      <c r="H158" s="623">
        <f t="shared" si="97"/>
        <v>8.5435074806781834</v>
      </c>
      <c r="I158" s="1238">
        <f t="shared" si="98"/>
        <v>5.0291759377736005</v>
      </c>
      <c r="J158" s="730">
        <f t="shared" si="133"/>
        <v>0.4</v>
      </c>
      <c r="K158" s="623">
        <f t="shared" si="122"/>
        <v>2.0116703751094405</v>
      </c>
      <c r="L158" s="608">
        <f t="shared" si="99"/>
        <v>0.96248877021284696</v>
      </c>
      <c r="M158" s="727">
        <f t="shared" si="123"/>
        <v>2.9741591453222873</v>
      </c>
      <c r="N158" s="730">
        <f t="shared" si="132"/>
        <v>0.5</v>
      </c>
      <c r="O158" s="1280">
        <f t="shared" si="100"/>
        <v>1.2888839921320325</v>
      </c>
      <c r="P158" s="816">
        <f t="shared" si="124"/>
        <v>2.9910199612742838</v>
      </c>
      <c r="Q158" s="623">
        <f t="shared" si="101"/>
        <v>10.267256062516012</v>
      </c>
      <c r="R158" s="608">
        <f t="shared" si="102"/>
        <v>5.5524875194038978</v>
      </c>
      <c r="S158" s="1349">
        <f t="shared" si="125"/>
        <v>0.76588670458622865</v>
      </c>
      <c r="T158" s="135" t="str">
        <f t="shared" si="106"/>
        <v>Policies met</v>
      </c>
      <c r="U158" s="1240">
        <f t="shared" si="107"/>
        <v>0.76588670458622865</v>
      </c>
      <c r="V158" s="135" t="str">
        <f t="shared" si="108"/>
        <v>No</v>
      </c>
      <c r="W158" s="1241">
        <f t="shared" si="109"/>
        <v>7.7225961112850801</v>
      </c>
      <c r="X158" s="623">
        <f t="shared" si="110"/>
        <v>4.7147685431121138</v>
      </c>
      <c r="Y158" s="118">
        <f t="shared" si="111"/>
        <v>2.2370017929027184</v>
      </c>
      <c r="Z158" s="608">
        <f t="shared" si="103"/>
        <v>0.76504297716143022</v>
      </c>
      <c r="AA158" s="608">
        <f t="shared" si="104"/>
        <v>0</v>
      </c>
      <c r="AB158" s="608">
        <f t="shared" si="105"/>
        <v>5.7827981088188251E-3</v>
      </c>
      <c r="AC158" s="608">
        <f t="shared" si="112"/>
        <v>7.7225961112850809</v>
      </c>
      <c r="AD158" s="767">
        <f t="shared" si="126"/>
        <v>0</v>
      </c>
      <c r="AE158" s="483">
        <f t="shared" si="113"/>
        <v>0.61051600720415655</v>
      </c>
      <c r="AF158" s="483">
        <f t="shared" si="114"/>
        <v>0.28966966039228348</v>
      </c>
      <c r="AG158" s="483">
        <f t="shared" si="115"/>
        <v>9.9065517105506512E-2</v>
      </c>
      <c r="AH158" s="483">
        <f t="shared" si="116"/>
        <v>7.4881529805351124E-4</v>
      </c>
      <c r="AI158" s="483">
        <f t="shared" si="117"/>
        <v>7.4881529805351124E-4</v>
      </c>
      <c r="AJ158" s="604">
        <f t="shared" si="118"/>
        <v>1.0007488152980535</v>
      </c>
      <c r="AK158" s="1400">
        <f t="shared" si="127"/>
        <v>3.01750556266416</v>
      </c>
      <c r="AL158" s="608">
        <f t="shared" si="128"/>
        <v>1.3955181016438654</v>
      </c>
      <c r="AM158" s="608">
        <f t="shared" si="129"/>
        <v>0.30174487880408746</v>
      </c>
      <c r="AN158" s="1401">
        <f t="shared" si="119"/>
        <v>4.7147685431121129</v>
      </c>
      <c r="AO158" s="1402">
        <f t="shared" si="120"/>
        <v>0</v>
      </c>
    </row>
    <row r="159" spans="1:41">
      <c r="A159" s="127">
        <f>'Input data'!A140</f>
        <v>2040</v>
      </c>
      <c r="B159" s="748">
        <f>'Input data'!B140</f>
        <v>71.375</v>
      </c>
      <c r="C159" s="236">
        <f>'Input data'!C140</f>
        <v>4875.51</v>
      </c>
      <c r="D159" s="237">
        <f>'Input data'!D140</f>
        <v>20945680.461510252</v>
      </c>
      <c r="E159" s="602">
        <f>'Input data'!J140</f>
        <v>11.504772374209397</v>
      </c>
      <c r="F159" s="608">
        <f>'Input data'!L140/C159</f>
        <v>15.800872774272213</v>
      </c>
      <c r="G159" s="608">
        <f t="shared" si="134"/>
        <v>4.7147685431121138</v>
      </c>
      <c r="H159" s="623">
        <f t="shared" si="97"/>
        <v>7.855551084532931</v>
      </c>
      <c r="I159" s="1238">
        <f t="shared" si="98"/>
        <v>4.296100400062814</v>
      </c>
      <c r="J159" s="730">
        <f t="shared" si="133"/>
        <v>0.4</v>
      </c>
      <c r="K159" s="623">
        <f t="shared" si="122"/>
        <v>1.7184401600251258</v>
      </c>
      <c r="L159" s="608">
        <f t="shared" si="99"/>
        <v>0.96248877021284696</v>
      </c>
      <c r="M159" s="727">
        <f t="shared" si="123"/>
        <v>2.6809289302379726</v>
      </c>
      <c r="N159" s="730">
        <f t="shared" si="132"/>
        <v>0.5</v>
      </c>
      <c r="O159" s="1280">
        <f t="shared" si="100"/>
        <v>1.2888839921320325</v>
      </c>
      <c r="P159" s="816">
        <f t="shared" si="124"/>
        <v>2.7429088877555037</v>
      </c>
      <c r="Q159" s="623">
        <f t="shared" si="101"/>
        <v>9.8274107398895403</v>
      </c>
      <c r="R159" s="608">
        <f t="shared" si="102"/>
        <v>5.1126421967774265</v>
      </c>
      <c r="S159" s="1349">
        <f t="shared" si="125"/>
        <v>0.70521629632383942</v>
      </c>
      <c r="T159" s="135" t="str">
        <f t="shared" si="106"/>
        <v>Policies met</v>
      </c>
      <c r="U159" s="1240">
        <f t="shared" si="107"/>
        <v>0.70521629632383942</v>
      </c>
      <c r="V159" s="135" t="str">
        <f t="shared" si="108"/>
        <v>No</v>
      </c>
      <c r="W159" s="1241">
        <f t="shared" si="109"/>
        <v>7.687519810483435</v>
      </c>
      <c r="X159" s="623">
        <f t="shared" si="110"/>
        <v>4.7147685431121138</v>
      </c>
      <c r="Y159" s="118">
        <f t="shared" si="111"/>
        <v>2.0021661644551818</v>
      </c>
      <c r="Z159" s="608">
        <f t="shared" si="103"/>
        <v>0.96330369396789395</v>
      </c>
      <c r="AA159" s="608">
        <f t="shared" si="104"/>
        <v>0</v>
      </c>
      <c r="AB159" s="608">
        <f t="shared" si="105"/>
        <v>7.2814089482456431E-3</v>
      </c>
      <c r="AC159" s="608">
        <f t="shared" si="112"/>
        <v>7.687519810483435</v>
      </c>
      <c r="AD159" s="767">
        <f t="shared" si="126"/>
        <v>0</v>
      </c>
      <c r="AE159" s="483">
        <f t="shared" si="113"/>
        <v>0.61330164465821679</v>
      </c>
      <c r="AF159" s="483">
        <f t="shared" si="114"/>
        <v>0.26044370795959931</v>
      </c>
      <c r="AG159" s="483">
        <f t="shared" si="115"/>
        <v>0.12530747467528358</v>
      </c>
      <c r="AH159" s="483">
        <f t="shared" si="116"/>
        <v>9.4717270690034775E-4</v>
      </c>
      <c r="AI159" s="483">
        <f t="shared" si="117"/>
        <v>9.4717270690034775E-4</v>
      </c>
      <c r="AJ159" s="604">
        <f t="shared" si="118"/>
        <v>1.0009471727069004</v>
      </c>
      <c r="AK159" s="1400">
        <f t="shared" si="127"/>
        <v>2.5776602400376882</v>
      </c>
      <c r="AL159" s="608">
        <f t="shared" si="128"/>
        <v>1.7571663062648291</v>
      </c>
      <c r="AM159" s="608">
        <f t="shared" si="129"/>
        <v>0.37994199680959595</v>
      </c>
      <c r="AN159" s="1401">
        <f t="shared" si="119"/>
        <v>4.7147685431121138</v>
      </c>
      <c r="AO159" s="1402">
        <f t="shared" si="120"/>
        <v>0</v>
      </c>
    </row>
    <row r="160" spans="1:41">
      <c r="A160" s="127">
        <f>'Input data'!A141</f>
        <v>2041</v>
      </c>
      <c r="B160" s="748">
        <f>'Input data'!B141</f>
        <v>71.819000000000003</v>
      </c>
      <c r="C160" s="236">
        <f>'Input data'!C141</f>
        <v>5028.54</v>
      </c>
      <c r="D160" s="237">
        <f>'Input data'!D141</f>
        <v>19664699.523913871</v>
      </c>
      <c r="E160" s="602">
        <f>'Input data'!J141</f>
        <v>11.504772374209397</v>
      </c>
      <c r="F160" s="608">
        <f>'Input data'!L141/C160</f>
        <v>15.415390470896282</v>
      </c>
      <c r="G160" s="608">
        <f t="shared" si="134"/>
        <v>4.7147685431121138</v>
      </c>
      <c r="H160" s="623">
        <f t="shared" si="97"/>
        <v>7.4937943451982454</v>
      </c>
      <c r="I160" s="1238">
        <f t="shared" si="98"/>
        <v>3.9106180966868855</v>
      </c>
      <c r="J160" s="730">
        <f t="shared" si="133"/>
        <v>0.4</v>
      </c>
      <c r="K160" s="623">
        <f t="shared" si="122"/>
        <v>1.5642472386747543</v>
      </c>
      <c r="L160" s="608">
        <f t="shared" si="99"/>
        <v>0.96248877021284696</v>
      </c>
      <c r="M160" s="727">
        <f t="shared" si="123"/>
        <v>2.5267360088876014</v>
      </c>
      <c r="N160" s="730">
        <f t="shared" si="132"/>
        <v>0.5</v>
      </c>
      <c r="O160" s="1280">
        <f t="shared" si="100"/>
        <v>1.2888839921320325</v>
      </c>
      <c r="P160" s="816">
        <f t="shared" si="124"/>
        <v>2.6124415304463762</v>
      </c>
      <c r="Q160" s="623">
        <f t="shared" si="101"/>
        <v>9.5961213578639821</v>
      </c>
      <c r="R160" s="608">
        <f t="shared" si="102"/>
        <v>4.8813528147518683</v>
      </c>
      <c r="S160" s="1349">
        <f t="shared" si="125"/>
        <v>0.67331321468947369</v>
      </c>
      <c r="T160" s="135" t="str">
        <f t="shared" si="106"/>
        <v>Policies met</v>
      </c>
      <c r="U160" s="1240">
        <f t="shared" si="107"/>
        <v>0.67331321468947369</v>
      </c>
      <c r="V160" s="135" t="str">
        <f t="shared" si="108"/>
        <v>No</v>
      </c>
      <c r="W160" s="1241">
        <f t="shared" si="109"/>
        <v>7.6690751993467048</v>
      </c>
      <c r="X160" s="623">
        <f t="shared" si="110"/>
        <v>4.7147685431121138</v>
      </c>
      <c r="Y160" s="118">
        <f t="shared" si="111"/>
        <v>1.8786796009130713</v>
      </c>
      <c r="Z160" s="608">
        <f t="shared" si="103"/>
        <v>1.0675576130417423</v>
      </c>
      <c r="AA160" s="608">
        <f t="shared" si="104"/>
        <v>0</v>
      </c>
      <c r="AB160" s="608">
        <f t="shared" si="105"/>
        <v>8.0694422797770154E-3</v>
      </c>
      <c r="AC160" s="608">
        <f t="shared" si="112"/>
        <v>7.6690751993467048</v>
      </c>
      <c r="AD160" s="767">
        <f t="shared" si="126"/>
        <v>0</v>
      </c>
      <c r="AE160" s="483">
        <f t="shared" si="113"/>
        <v>0.61477667392200619</v>
      </c>
      <c r="AF160" s="483">
        <f t="shared" si="114"/>
        <v>0.24496820699751487</v>
      </c>
      <c r="AG160" s="483">
        <f t="shared" si="115"/>
        <v>0.13920291368803933</v>
      </c>
      <c r="AH160" s="483">
        <f t="shared" si="116"/>
        <v>1.0522053924395495E-3</v>
      </c>
      <c r="AI160" s="483">
        <f t="shared" si="117"/>
        <v>1.0522053924395495E-3</v>
      </c>
      <c r="AJ160" s="604">
        <f t="shared" si="118"/>
        <v>1.0010522053924396</v>
      </c>
      <c r="AK160" s="1400">
        <f t="shared" si="127"/>
        <v>2.346370858012131</v>
      </c>
      <c r="AL160" s="608">
        <f t="shared" si="128"/>
        <v>1.9473363170721709</v>
      </c>
      <c r="AM160" s="608">
        <f t="shared" si="129"/>
        <v>0.42106136802781141</v>
      </c>
      <c r="AN160" s="1401">
        <f t="shared" si="119"/>
        <v>4.7147685431121138</v>
      </c>
      <c r="AO160" s="1402">
        <f t="shared" si="120"/>
        <v>0</v>
      </c>
    </row>
    <row r="161" spans="1:41">
      <c r="A161" s="127">
        <f>'Input data'!A142</f>
        <v>2042</v>
      </c>
      <c r="B161" s="748">
        <f>'Input data'!B142</f>
        <v>72.265000000000001</v>
      </c>
      <c r="C161" s="236">
        <f>'Input data'!C142</f>
        <v>5188.1000000000004</v>
      </c>
      <c r="D161" s="237">
        <f>'Input data'!D142</f>
        <v>18383718.586317491</v>
      </c>
      <c r="E161" s="602">
        <f>'Input data'!J142</f>
        <v>11.504772374209397</v>
      </c>
      <c r="F161" s="608">
        <f>'Input data'!L142/C161</f>
        <v>15.04821189663909</v>
      </c>
      <c r="G161" s="608">
        <f t="shared" si="134"/>
        <v>4.7147685431121138</v>
      </c>
      <c r="H161" s="623">
        <f t="shared" si="97"/>
        <v>7.1492147818471805</v>
      </c>
      <c r="I161" s="1238">
        <f t="shared" si="98"/>
        <v>3.5434395224296926</v>
      </c>
      <c r="J161" s="730">
        <f t="shared" si="133"/>
        <v>0.4</v>
      </c>
      <c r="K161" s="623">
        <f t="shared" si="122"/>
        <v>1.4173758089718771</v>
      </c>
      <c r="L161" s="608">
        <f t="shared" si="99"/>
        <v>0.96248877021284696</v>
      </c>
      <c r="M161" s="727">
        <f t="shared" si="123"/>
        <v>2.3798645791847242</v>
      </c>
      <c r="N161" s="730">
        <f t="shared" si="132"/>
        <v>0.5</v>
      </c>
      <c r="O161" s="1280">
        <f t="shared" si="100"/>
        <v>1.2888839921320325</v>
      </c>
      <c r="P161" s="816">
        <f t="shared" si="124"/>
        <v>2.4881691116496265</v>
      </c>
      <c r="Q161" s="623">
        <f t="shared" si="101"/>
        <v>9.3758142133096669</v>
      </c>
      <c r="R161" s="608">
        <f t="shared" si="102"/>
        <v>4.6610456701975531</v>
      </c>
      <c r="S161" s="1349">
        <f t="shared" si="125"/>
        <v>0.64292497656199366</v>
      </c>
      <c r="T161" s="135" t="str">
        <f t="shared" si="106"/>
        <v>Policies met</v>
      </c>
      <c r="U161" s="1240">
        <f t="shared" si="107"/>
        <v>0.64292497656199366</v>
      </c>
      <c r="V161" s="135" t="str">
        <f t="shared" si="108"/>
        <v>No</v>
      </c>
      <c r="W161" s="1241">
        <f t="shared" si="109"/>
        <v>7.6515063875994409</v>
      </c>
      <c r="X161" s="623">
        <f t="shared" si="110"/>
        <v>4.7147685431121138</v>
      </c>
      <c r="Y161" s="118">
        <f t="shared" si="111"/>
        <v>1.7610565091544474</v>
      </c>
      <c r="Z161" s="608">
        <f t="shared" si="103"/>
        <v>1.1668612776484397</v>
      </c>
      <c r="AA161" s="608">
        <f t="shared" si="104"/>
        <v>0</v>
      </c>
      <c r="AB161" s="608">
        <f t="shared" si="105"/>
        <v>8.8200576844397211E-3</v>
      </c>
      <c r="AC161" s="608">
        <f t="shared" si="112"/>
        <v>7.6515063875994409</v>
      </c>
      <c r="AD161" s="767">
        <f t="shared" si="126"/>
        <v>0</v>
      </c>
      <c r="AE161" s="483">
        <f t="shared" si="113"/>
        <v>0.61618827774269302</v>
      </c>
      <c r="AF161" s="483">
        <f t="shared" si="114"/>
        <v>0.23015814402357909</v>
      </c>
      <c r="AG161" s="483">
        <f t="shared" si="115"/>
        <v>0.15250085650317638</v>
      </c>
      <c r="AH161" s="483">
        <f t="shared" si="116"/>
        <v>1.1527217305515309E-3</v>
      </c>
      <c r="AI161" s="483">
        <f t="shared" si="117"/>
        <v>1.1527217305515309E-3</v>
      </c>
      <c r="AJ161" s="604">
        <f t="shared" si="118"/>
        <v>1.0011527217305516</v>
      </c>
      <c r="AK161" s="1400">
        <f t="shared" si="127"/>
        <v>2.1260637134578158</v>
      </c>
      <c r="AL161" s="608">
        <f t="shared" si="128"/>
        <v>2.1284765479548811</v>
      </c>
      <c r="AM161" s="608">
        <f t="shared" si="129"/>
        <v>0.46022828169941671</v>
      </c>
      <c r="AN161" s="1401">
        <f t="shared" si="119"/>
        <v>4.7147685431121129</v>
      </c>
      <c r="AO161" s="1402">
        <f t="shared" si="120"/>
        <v>0</v>
      </c>
    </row>
    <row r="162" spans="1:41">
      <c r="A162" s="127">
        <f>'Input data'!A143</f>
        <v>2043</v>
      </c>
      <c r="B162" s="748">
        <f>'Input data'!B143</f>
        <v>72.713999999999999</v>
      </c>
      <c r="C162" s="236">
        <f>'Input data'!C143</f>
        <v>5353.7899999999991</v>
      </c>
      <c r="D162" s="237">
        <f>'Input data'!D143</f>
        <v>17102737.64872111</v>
      </c>
      <c r="E162" s="602">
        <f>'Input data'!J143</f>
        <v>11.504772374209397</v>
      </c>
      <c r="F162" s="608">
        <f>'Input data'!L143/C162</f>
        <v>14.699282739524643</v>
      </c>
      <c r="G162" s="608">
        <f t="shared" si="134"/>
        <v>4.7147685431121138</v>
      </c>
      <c r="H162" s="623">
        <f t="shared" si="97"/>
        <v>6.8217614252830456</v>
      </c>
      <c r="I162" s="1238">
        <f t="shared" si="98"/>
        <v>3.1945103653152467</v>
      </c>
      <c r="J162" s="730">
        <f t="shared" si="133"/>
        <v>0.4</v>
      </c>
      <c r="K162" s="623">
        <f t="shared" si="122"/>
        <v>1.2778041461260987</v>
      </c>
      <c r="L162" s="608">
        <f t="shared" si="99"/>
        <v>0.96248877021284696</v>
      </c>
      <c r="M162" s="727">
        <f t="shared" si="123"/>
        <v>2.2402929163389458</v>
      </c>
      <c r="N162" s="730">
        <f t="shared" si="132"/>
        <v>0.5</v>
      </c>
      <c r="O162" s="1280">
        <f t="shared" si="100"/>
        <v>1.2888839921320325</v>
      </c>
      <c r="P162" s="816">
        <f t="shared" si="124"/>
        <v>2.3700732493541596</v>
      </c>
      <c r="Q162" s="623">
        <f t="shared" si="101"/>
        <v>9.1664567190409993</v>
      </c>
      <c r="R162" s="608">
        <f t="shared" si="102"/>
        <v>4.4516881759288855</v>
      </c>
      <c r="S162" s="1349">
        <f t="shared" si="125"/>
        <v>0.61404708700249144</v>
      </c>
      <c r="T162" s="135" t="str">
        <f t="shared" si="106"/>
        <v>Policies met</v>
      </c>
      <c r="U162" s="1240">
        <f t="shared" si="107"/>
        <v>0.61404708700249144</v>
      </c>
      <c r="V162" s="135" t="str">
        <f t="shared" si="108"/>
        <v>No</v>
      </c>
      <c r="W162" s="1241">
        <f t="shared" si="109"/>
        <v>7.6348107765146258</v>
      </c>
      <c r="X162" s="623">
        <f t="shared" si="110"/>
        <v>4.7147685431121138</v>
      </c>
      <c r="Y162" s="118">
        <f t="shared" si="111"/>
        <v>1.6492794907171366</v>
      </c>
      <c r="Z162" s="608">
        <f t="shared" si="103"/>
        <v>1.2612293764943159</v>
      </c>
      <c r="AA162" s="608">
        <f t="shared" si="104"/>
        <v>0</v>
      </c>
      <c r="AB162" s="608">
        <f t="shared" si="105"/>
        <v>9.5333661910592272E-3</v>
      </c>
      <c r="AC162" s="608">
        <f t="shared" si="112"/>
        <v>7.6348107765146258</v>
      </c>
      <c r="AD162" s="767">
        <f t="shared" si="126"/>
        <v>0</v>
      </c>
      <c r="AE162" s="483">
        <f t="shared" si="113"/>
        <v>0.61753574268208089</v>
      </c>
      <c r="AF162" s="483">
        <f t="shared" si="114"/>
        <v>0.21602100418657011</v>
      </c>
      <c r="AG162" s="483">
        <f t="shared" si="115"/>
        <v>0.1651945822120402</v>
      </c>
      <c r="AH162" s="483">
        <f t="shared" si="116"/>
        <v>1.248670919308797E-3</v>
      </c>
      <c r="AI162" s="483">
        <f t="shared" si="117"/>
        <v>1.248670919308797E-3</v>
      </c>
      <c r="AJ162" s="604">
        <f t="shared" si="118"/>
        <v>1.0012486709193087</v>
      </c>
      <c r="AK162" s="1400">
        <f t="shared" si="127"/>
        <v>1.916706219189148</v>
      </c>
      <c r="AL162" s="608">
        <f t="shared" si="128"/>
        <v>2.3006137926437495</v>
      </c>
      <c r="AM162" s="608">
        <f t="shared" si="129"/>
        <v>0.49744853127921584</v>
      </c>
      <c r="AN162" s="1401">
        <f t="shared" si="119"/>
        <v>4.7147685431121129</v>
      </c>
      <c r="AO162" s="1402">
        <f t="shared" si="120"/>
        <v>0</v>
      </c>
    </row>
    <row r="163" spans="1:41">
      <c r="A163" s="127">
        <f>'Input data'!A144</f>
        <v>2044</v>
      </c>
      <c r="B163" s="748">
        <f>'Input data'!B144</f>
        <v>73.165000000000006</v>
      </c>
      <c r="C163" s="236">
        <f>'Input data'!C144</f>
        <v>5526.5000000000018</v>
      </c>
      <c r="D163" s="237">
        <f>'Input data'!D144</f>
        <v>15821756.711124728</v>
      </c>
      <c r="E163" s="602">
        <f>'Input data'!J144</f>
        <v>11.504772374209397</v>
      </c>
      <c r="F163" s="608">
        <f>'Input data'!L144/C163</f>
        <v>14.367661492299458</v>
      </c>
      <c r="G163" s="608">
        <f t="shared" si="134"/>
        <v>4.7147685431121138</v>
      </c>
      <c r="H163" s="623">
        <f t="shared" si="97"/>
        <v>6.5105507158946798</v>
      </c>
      <c r="I163" s="1238">
        <f t="shared" si="98"/>
        <v>2.8628891180900613</v>
      </c>
      <c r="J163" s="730">
        <f t="shared" si="133"/>
        <v>0.4</v>
      </c>
      <c r="K163" s="623">
        <f t="shared" si="122"/>
        <v>1.1451556472360245</v>
      </c>
      <c r="L163" s="608">
        <f t="shared" si="99"/>
        <v>0.96248877021284696</v>
      </c>
      <c r="M163" s="727">
        <f t="shared" si="123"/>
        <v>2.1076444174488715</v>
      </c>
      <c r="N163" s="730">
        <f t="shared" si="132"/>
        <v>0.5</v>
      </c>
      <c r="O163" s="1280">
        <f t="shared" si="100"/>
        <v>1.2888839921320325</v>
      </c>
      <c r="P163" s="816">
        <f t="shared" si="124"/>
        <v>2.2578352883009041</v>
      </c>
      <c r="Q163" s="623">
        <f t="shared" si="101"/>
        <v>8.9674839707058887</v>
      </c>
      <c r="R163" s="608">
        <f t="shared" si="102"/>
        <v>4.2527154275937749</v>
      </c>
      <c r="S163" s="1349">
        <f t="shared" si="125"/>
        <v>0.58660162548775696</v>
      </c>
      <c r="T163" s="135" t="str">
        <f t="shared" si="106"/>
        <v>Policies met</v>
      </c>
      <c r="U163" s="1240">
        <f t="shared" si="107"/>
        <v>0.58660162548775696</v>
      </c>
      <c r="V163" s="135" t="str">
        <f t="shared" si="108"/>
        <v>No</v>
      </c>
      <c r="W163" s="1241">
        <f t="shared" si="109"/>
        <v>7.6189433167215848</v>
      </c>
      <c r="X163" s="623">
        <f t="shared" si="110"/>
        <v>4.7147685431121138</v>
      </c>
      <c r="Y163" s="118">
        <f t="shared" si="111"/>
        <v>1.5430469403283031</v>
      </c>
      <c r="Z163" s="608">
        <f t="shared" si="103"/>
        <v>1.3509165407781381</v>
      </c>
      <c r="AA163" s="608">
        <f t="shared" si="104"/>
        <v>0</v>
      </c>
      <c r="AB163" s="608">
        <f t="shared" si="105"/>
        <v>1.0211292503029505E-2</v>
      </c>
      <c r="AC163" s="608">
        <f t="shared" si="112"/>
        <v>7.6189433167215856</v>
      </c>
      <c r="AD163" s="767">
        <f t="shared" ref="AD163:AD169" si="135">AC163-W163</f>
        <v>0</v>
      </c>
      <c r="AE163" s="483">
        <f t="shared" si="113"/>
        <v>0.61882184275664986</v>
      </c>
      <c r="AF163" s="483">
        <f t="shared" si="114"/>
        <v>0.20252768345732658</v>
      </c>
      <c r="AG163" s="483">
        <f t="shared" si="115"/>
        <v>0.17731022329740004</v>
      </c>
      <c r="AH163" s="483">
        <f t="shared" si="116"/>
        <v>1.3402504886233229E-3</v>
      </c>
      <c r="AI163" s="483">
        <f t="shared" si="117"/>
        <v>1.3402504886233229E-3</v>
      </c>
      <c r="AJ163" s="604">
        <f t="shared" si="118"/>
        <v>1.0013402504886231</v>
      </c>
      <c r="AK163" s="1400">
        <f t="shared" si="127"/>
        <v>1.7177334708540368</v>
      </c>
      <c r="AL163" s="608">
        <f t="shared" si="128"/>
        <v>2.4642125249758435</v>
      </c>
      <c r="AM163" s="608">
        <f t="shared" si="129"/>
        <v>0.53282254728223288</v>
      </c>
      <c r="AN163" s="1401">
        <f t="shared" si="119"/>
        <v>4.7147685431121138</v>
      </c>
      <c r="AO163" s="1402">
        <f t="shared" si="120"/>
        <v>0</v>
      </c>
    </row>
    <row r="164" spans="1:41">
      <c r="A164" s="127">
        <f>'Input data'!A145</f>
        <v>2045</v>
      </c>
      <c r="B164" s="748">
        <f>'Input data'!B145</f>
        <v>73.62</v>
      </c>
      <c r="C164" s="236">
        <f>'Input data'!C145</f>
        <v>5709.93</v>
      </c>
      <c r="D164" s="237">
        <f>'Input data'!D145</f>
        <v>14540775.773528345</v>
      </c>
      <c r="E164" s="602">
        <f>'Input data'!J145</f>
        <v>11.504772374209397</v>
      </c>
      <c r="F164" s="608">
        <f>'Input data'!L145/C164</f>
        <v>14.051349262810195</v>
      </c>
      <c r="G164" s="608">
        <f t="shared" si="134"/>
        <v>4.7147685431121138</v>
      </c>
      <c r="H164" s="623">
        <f t="shared" si="97"/>
        <v>6.2137067888204731</v>
      </c>
      <c r="I164" s="1238">
        <f t="shared" si="98"/>
        <v>2.546576888600796</v>
      </c>
      <c r="J164" s="730">
        <f t="shared" si="133"/>
        <v>0.4</v>
      </c>
      <c r="K164" s="623">
        <f t="shared" si="122"/>
        <v>1.0186307554403184</v>
      </c>
      <c r="L164" s="608">
        <f t="shared" si="99"/>
        <v>0.96248877021284696</v>
      </c>
      <c r="M164" s="727">
        <f t="shared" si="123"/>
        <v>1.9811195256531655</v>
      </c>
      <c r="N164" s="730">
        <f t="shared" si="132"/>
        <v>0.5</v>
      </c>
      <c r="O164" s="1280">
        <f t="shared" si="100"/>
        <v>1.2888839921320325</v>
      </c>
      <c r="P164" s="816">
        <f t="shared" si="124"/>
        <v>2.1507786989202575</v>
      </c>
      <c r="Q164" s="623">
        <f t="shared" si="101"/>
        <v>8.7776966330123294</v>
      </c>
      <c r="R164" s="608">
        <f t="shared" si="102"/>
        <v>4.0629280899002156</v>
      </c>
      <c r="S164" s="1349">
        <f t="shared" si="125"/>
        <v>0.56042316076715204</v>
      </c>
      <c r="T164" s="135" t="str">
        <f t="shared" si="106"/>
        <v>Policies met</v>
      </c>
      <c r="U164" s="1240">
        <f t="shared" si="107"/>
        <v>0.56042316076715204</v>
      </c>
      <c r="V164" s="135" t="str">
        <f t="shared" si="108"/>
        <v>No</v>
      </c>
      <c r="W164" s="1241">
        <f t="shared" si="109"/>
        <v>7.6038083649491508</v>
      </c>
      <c r="X164" s="623">
        <f t="shared" si="110"/>
        <v>4.7147685431121138</v>
      </c>
      <c r="Y164" s="118">
        <f t="shared" si="111"/>
        <v>1.4417185268475925</v>
      </c>
      <c r="Z164" s="608">
        <f t="shared" si="103"/>
        <v>1.4364633720760798</v>
      </c>
      <c r="AA164" s="608">
        <f t="shared" si="104"/>
        <v>0</v>
      </c>
      <c r="AB164" s="608">
        <f t="shared" si="105"/>
        <v>1.0857922913363688E-2</v>
      </c>
      <c r="AC164" s="608">
        <f t="shared" si="112"/>
        <v>7.6038083649491499</v>
      </c>
      <c r="AD164" s="767">
        <f t="shared" si="135"/>
        <v>0</v>
      </c>
      <c r="AE164" s="483">
        <f t="shared" si="113"/>
        <v>0.62005357273935502</v>
      </c>
      <c r="AF164" s="483">
        <f t="shared" si="114"/>
        <v>0.18960479507787201</v>
      </c>
      <c r="AG164" s="483">
        <f t="shared" si="115"/>
        <v>0.18891367366616768</v>
      </c>
      <c r="AH164" s="483">
        <f t="shared" si="116"/>
        <v>1.4279585166052905E-3</v>
      </c>
      <c r="AI164" s="483">
        <f t="shared" si="117"/>
        <v>1.4279585166052905E-3</v>
      </c>
      <c r="AJ164" s="604">
        <f t="shared" si="118"/>
        <v>1.0014279585166053</v>
      </c>
      <c r="AK164" s="1400">
        <f t="shared" si="127"/>
        <v>1.5279461331604776</v>
      </c>
      <c r="AL164" s="608">
        <f t="shared" si="128"/>
        <v>2.6202588585524227</v>
      </c>
      <c r="AM164" s="608">
        <f t="shared" si="129"/>
        <v>0.56656355139921377</v>
      </c>
      <c r="AN164" s="1401">
        <f t="shared" si="119"/>
        <v>4.7147685431121138</v>
      </c>
      <c r="AO164" s="1402">
        <f t="shared" si="120"/>
        <v>0</v>
      </c>
    </row>
    <row r="165" spans="1:41">
      <c r="A165" s="127">
        <f>'Input data'!A146</f>
        <v>2046</v>
      </c>
      <c r="B165" s="748">
        <f>'Input data'!B146</f>
        <v>73.995000000000005</v>
      </c>
      <c r="C165" s="236">
        <f>'Input data'!C146</f>
        <v>5902.43</v>
      </c>
      <c r="D165" s="237">
        <f>'Input data'!D146</f>
        <v>13259794.835931966</v>
      </c>
      <c r="E165" s="602">
        <f>'Input data'!J146</f>
        <v>11.504772374209397</v>
      </c>
      <c r="F165" s="608">
        <f>'Input data'!L146/C165</f>
        <v>13.751269975355362</v>
      </c>
      <c r="G165" s="608">
        <f t="shared" si="134"/>
        <v>4.7147685431121138</v>
      </c>
      <c r="H165" s="623">
        <f t="shared" si="97"/>
        <v>5.9320967029077343</v>
      </c>
      <c r="I165" s="1238">
        <f t="shared" si="98"/>
        <v>2.2464976011459625</v>
      </c>
      <c r="J165" s="730">
        <f t="shared" si="133"/>
        <v>0.4</v>
      </c>
      <c r="K165" s="623">
        <f t="shared" si="122"/>
        <v>0.89859904045838501</v>
      </c>
      <c r="L165" s="608">
        <f t="shared" si="99"/>
        <v>0.96248877021284696</v>
      </c>
      <c r="M165" s="727">
        <f t="shared" si="123"/>
        <v>1.8610878106712319</v>
      </c>
      <c r="N165" s="730">
        <f t="shared" si="132"/>
        <v>0.5</v>
      </c>
      <c r="O165" s="1280">
        <f t="shared" si="100"/>
        <v>1.2888839921320325</v>
      </c>
      <c r="P165" s="816">
        <f t="shared" si="124"/>
        <v>2.0492161854804181</v>
      </c>
      <c r="Q165" s="623">
        <f t="shared" si="101"/>
        <v>8.59764906053943</v>
      </c>
      <c r="R165" s="608">
        <f t="shared" si="102"/>
        <v>3.8828805174273162</v>
      </c>
      <c r="S165" s="1349">
        <f t="shared" si="125"/>
        <v>0.535588158172707</v>
      </c>
      <c r="T165" s="135" t="str">
        <f t="shared" si="106"/>
        <v>Policies met</v>
      </c>
      <c r="U165" s="1240">
        <f t="shared" si="107"/>
        <v>0.535588158172707</v>
      </c>
      <c r="V165" s="135" t="str">
        <f t="shared" si="108"/>
        <v>No</v>
      </c>
      <c r="W165" s="1241">
        <f t="shared" si="109"/>
        <v>7.5894501292563064</v>
      </c>
      <c r="X165" s="623">
        <f t="shared" si="110"/>
        <v>4.7147685431121147</v>
      </c>
      <c r="Y165" s="118">
        <f t="shared" si="111"/>
        <v>1.3455902229710195</v>
      </c>
      <c r="Z165" s="608">
        <f t="shared" si="103"/>
        <v>1.5176199945100419</v>
      </c>
      <c r="AA165" s="608">
        <f t="shared" si="104"/>
        <v>0</v>
      </c>
      <c r="AB165" s="608">
        <f t="shared" si="105"/>
        <v>1.1471368663131299E-2</v>
      </c>
      <c r="AC165" s="608">
        <f t="shared" si="112"/>
        <v>7.5894501292563072</v>
      </c>
      <c r="AD165" s="767">
        <f t="shared" si="135"/>
        <v>0</v>
      </c>
      <c r="AE165" s="483">
        <f t="shared" si="113"/>
        <v>0.62122663207671891</v>
      </c>
      <c r="AF165" s="483">
        <f t="shared" si="114"/>
        <v>0.17729745897979493</v>
      </c>
      <c r="AG165" s="483">
        <f t="shared" si="115"/>
        <v>0.19996442017054983</v>
      </c>
      <c r="AH165" s="483">
        <f t="shared" si="116"/>
        <v>1.511488772936358E-3</v>
      </c>
      <c r="AI165" s="483">
        <f t="shared" si="117"/>
        <v>1.511488772936358E-3</v>
      </c>
      <c r="AJ165" s="604">
        <f t="shared" si="118"/>
        <v>1.0015114887729364</v>
      </c>
      <c r="AK165" s="1400">
        <f t="shared" si="127"/>
        <v>1.3478985606875775</v>
      </c>
      <c r="AL165" s="608">
        <f t="shared" si="128"/>
        <v>2.7682969937367847</v>
      </c>
      <c r="AM165" s="608">
        <f t="shared" si="129"/>
        <v>0.59857298868775144</v>
      </c>
      <c r="AN165" s="1401">
        <f t="shared" si="119"/>
        <v>4.7147685431121129</v>
      </c>
      <c r="AO165" s="1402">
        <f t="shared" si="120"/>
        <v>0</v>
      </c>
    </row>
    <row r="166" spans="1:41">
      <c r="A166" s="127">
        <f>'Input data'!A147</f>
        <v>2047</v>
      </c>
      <c r="B166" s="749">
        <f>'Input data'!B147</f>
        <v>74.373000000000005</v>
      </c>
      <c r="C166" s="236">
        <f>'Input data'!C147</f>
        <v>6104.119999999999</v>
      </c>
      <c r="D166" s="750">
        <f>'Input data'!D147</f>
        <v>11978813.898335585</v>
      </c>
      <c r="E166" s="734">
        <f>'Input data'!J147</f>
        <v>11.504772374209397</v>
      </c>
      <c r="F166" s="608">
        <f>'Input data'!L147/C166</f>
        <v>13.467186923454101</v>
      </c>
      <c r="G166" s="608">
        <f t="shared" si="134"/>
        <v>4.7147685431121138</v>
      </c>
      <c r="H166" s="623">
        <f t="shared" si="97"/>
        <v>5.665498320424212</v>
      </c>
      <c r="I166" s="1238">
        <f t="shared" si="98"/>
        <v>1.9624145492447049</v>
      </c>
      <c r="J166" s="729">
        <f t="shared" si="133"/>
        <v>0.4</v>
      </c>
      <c r="K166" s="623">
        <f t="shared" si="122"/>
        <v>0.78496581969788204</v>
      </c>
      <c r="L166" s="608">
        <f t="shared" si="99"/>
        <v>0.96248877021284696</v>
      </c>
      <c r="M166" s="727">
        <f t="shared" si="123"/>
        <v>1.747454589910729</v>
      </c>
      <c r="N166" s="730">
        <f t="shared" si="132"/>
        <v>0.5</v>
      </c>
      <c r="O166" s="1280">
        <f t="shared" si="100"/>
        <v>1.2888839921320325</v>
      </c>
      <c r="P166" s="816">
        <f t="shared" si="124"/>
        <v>1.9530676341376507</v>
      </c>
      <c r="Q166" s="623">
        <f t="shared" si="101"/>
        <v>8.4271992293986742</v>
      </c>
      <c r="R166" s="608">
        <f t="shared" si="102"/>
        <v>3.7124306862865604</v>
      </c>
      <c r="S166" s="1349">
        <f t="shared" si="125"/>
        <v>0.51207702752838513</v>
      </c>
      <c r="T166" s="135" t="str">
        <f t="shared" si="106"/>
        <v>Policies met</v>
      </c>
      <c r="U166" s="1240">
        <f t="shared" si="107"/>
        <v>0.51207702752838513</v>
      </c>
      <c r="V166" s="135" t="str">
        <f t="shared" si="108"/>
        <v>No</v>
      </c>
      <c r="W166" s="1241">
        <f t="shared" si="109"/>
        <v>7.5758572836782712</v>
      </c>
      <c r="X166" s="623">
        <f t="shared" si="110"/>
        <v>4.7147685431121138</v>
      </c>
      <c r="Y166" s="118">
        <f t="shared" si="111"/>
        <v>1.2545862014306834</v>
      </c>
      <c r="Z166" s="608">
        <f t="shared" si="103"/>
        <v>1.5944504254890817</v>
      </c>
      <c r="AA166" s="608">
        <f t="shared" si="104"/>
        <v>0</v>
      </c>
      <c r="AB166" s="608">
        <f t="shared" si="105"/>
        <v>1.2052113646391995E-2</v>
      </c>
      <c r="AC166" s="608">
        <f t="shared" si="112"/>
        <v>7.5758572836782703</v>
      </c>
      <c r="AD166" s="767">
        <f t="shared" si="135"/>
        <v>0</v>
      </c>
      <c r="AE166" s="483">
        <f t="shared" si="113"/>
        <v>0.62234125678024577</v>
      </c>
      <c r="AF166" s="483">
        <f t="shared" si="114"/>
        <v>0.16560319901136655</v>
      </c>
      <c r="AG166" s="483">
        <f t="shared" si="115"/>
        <v>0.21046468614505573</v>
      </c>
      <c r="AH166" s="483">
        <f t="shared" si="116"/>
        <v>1.5908580633319943E-3</v>
      </c>
      <c r="AI166" s="483">
        <f t="shared" si="117"/>
        <v>1.5908580633319943E-3</v>
      </c>
      <c r="AJ166" s="604">
        <f t="shared" si="118"/>
        <v>1.0015908580633319</v>
      </c>
      <c r="AK166" s="1400">
        <f t="shared" si="127"/>
        <v>1.177448729546823</v>
      </c>
      <c r="AL166" s="608">
        <f t="shared" si="128"/>
        <v>2.908443704953148</v>
      </c>
      <c r="AM166" s="608">
        <f t="shared" si="129"/>
        <v>0.62887610861214283</v>
      </c>
      <c r="AN166" s="1401">
        <f t="shared" si="119"/>
        <v>4.7147685431121147</v>
      </c>
      <c r="AO166" s="1402">
        <f t="shared" si="120"/>
        <v>0</v>
      </c>
    </row>
    <row r="167" spans="1:41">
      <c r="A167" s="127">
        <f>'Input data'!A148</f>
        <v>2048</v>
      </c>
      <c r="B167" s="748">
        <f>'Input data'!B148</f>
        <v>74.753</v>
      </c>
      <c r="C167" s="236">
        <f>'Input data'!C148</f>
        <v>6308.13</v>
      </c>
      <c r="D167" s="237">
        <f>'Input data'!D148</f>
        <v>10697832.960739207</v>
      </c>
      <c r="E167" s="602">
        <f>'Input data'!J148</f>
        <v>11.504772374209397</v>
      </c>
      <c r="F167" s="608">
        <f>'Input data'!L148/C167</f>
        <v>13.200652605076423</v>
      </c>
      <c r="G167" s="608">
        <f t="shared" si="134"/>
        <v>4.7147685431121138</v>
      </c>
      <c r="H167" s="623">
        <f t="shared" si="97"/>
        <v>5.4153685866006827</v>
      </c>
      <c r="I167" s="1238">
        <f t="shared" si="98"/>
        <v>1.6958802308670249</v>
      </c>
      <c r="J167" s="730">
        <f t="shared" si="133"/>
        <v>0.4</v>
      </c>
      <c r="K167" s="623">
        <f t="shared" si="122"/>
        <v>0.67835209234681004</v>
      </c>
      <c r="L167" s="608">
        <f t="shared" si="99"/>
        <v>0.96248877021284696</v>
      </c>
      <c r="M167" s="727">
        <f t="shared" si="123"/>
        <v>1.6408408625596569</v>
      </c>
      <c r="N167" s="730">
        <f t="shared" si="132"/>
        <v>0.5</v>
      </c>
      <c r="O167" s="1280">
        <f t="shared" si="100"/>
        <v>1.2888839921320325</v>
      </c>
      <c r="P167" s="816">
        <f t="shared" si="124"/>
        <v>1.8628584913407289</v>
      </c>
      <c r="Q167" s="623">
        <f t="shared" si="101"/>
        <v>8.2672786383720673</v>
      </c>
      <c r="R167" s="608">
        <f t="shared" si="102"/>
        <v>3.5525100952599535</v>
      </c>
      <c r="S167" s="1349">
        <f t="shared" si="125"/>
        <v>0.49001825584653547</v>
      </c>
      <c r="T167" s="135" t="str">
        <f t="shared" si="106"/>
        <v>Policies met</v>
      </c>
      <c r="U167" s="1240">
        <f t="shared" si="107"/>
        <v>0.49001825584653547</v>
      </c>
      <c r="V167" s="135" t="str">
        <f t="shared" si="108"/>
        <v>No</v>
      </c>
      <c r="W167" s="1241">
        <f t="shared" si="109"/>
        <v>7.5631041123549281</v>
      </c>
      <c r="X167" s="623">
        <f t="shared" si="110"/>
        <v>4.7147685431121138</v>
      </c>
      <c r="Y167" s="118">
        <f t="shared" si="111"/>
        <v>1.1692037941080808</v>
      </c>
      <c r="Z167" s="608">
        <f t="shared" si="103"/>
        <v>1.6665347910103994</v>
      </c>
      <c r="AA167" s="608">
        <f t="shared" si="104"/>
        <v>0</v>
      </c>
      <c r="AB167" s="608">
        <f t="shared" si="105"/>
        <v>1.2596984124333944E-2</v>
      </c>
      <c r="AC167" s="608">
        <f t="shared" si="112"/>
        <v>7.5631041123549281</v>
      </c>
      <c r="AD167" s="767">
        <f t="shared" si="135"/>
        <v>0</v>
      </c>
      <c r="AE167" s="483">
        <f t="shared" si="113"/>
        <v>0.62339067042726104</v>
      </c>
      <c r="AF167" s="483">
        <f t="shared" si="114"/>
        <v>0.15459311107433971</v>
      </c>
      <c r="AG167" s="483">
        <f t="shared" si="115"/>
        <v>0.22035063464060783</v>
      </c>
      <c r="AH167" s="483">
        <f t="shared" si="116"/>
        <v>1.6655838577913763E-3</v>
      </c>
      <c r="AI167" s="483">
        <f t="shared" si="117"/>
        <v>1.6655838577913763E-3</v>
      </c>
      <c r="AJ167" s="604">
        <f t="shared" si="118"/>
        <v>1.0016655838577913</v>
      </c>
      <c r="AK167" s="1400">
        <f t="shared" si="127"/>
        <v>1.0175281385202148</v>
      </c>
      <c r="AL167" s="608">
        <f t="shared" si="128"/>
        <v>3.039933098272924</v>
      </c>
      <c r="AM167" s="608">
        <f t="shared" si="129"/>
        <v>0.65730730631897416</v>
      </c>
      <c r="AN167" s="1401">
        <f t="shared" si="119"/>
        <v>4.7147685431121129</v>
      </c>
      <c r="AO167" s="1402">
        <f t="shared" si="120"/>
        <v>0</v>
      </c>
    </row>
    <row r="168" spans="1:41">
      <c r="A168" s="127">
        <f>'Input data'!A149</f>
        <v>2049</v>
      </c>
      <c r="B168" s="748">
        <f>'Input data'!B149</f>
        <v>75.134</v>
      </c>
      <c r="C168" s="236">
        <f>'Input data'!C149</f>
        <v>6522.2000000000007</v>
      </c>
      <c r="D168" s="237">
        <f>'Input data'!D149</f>
        <v>9416852.0231428221</v>
      </c>
      <c r="E168" s="602">
        <f>'Input data'!J149</f>
        <v>11.504772374209397</v>
      </c>
      <c r="F168" s="608">
        <f>'Input data'!L149/C168</f>
        <v>12.948587654811467</v>
      </c>
      <c r="G168" s="608">
        <f t="shared" si="134"/>
        <v>4.7147685431121138</v>
      </c>
      <c r="H168" s="623">
        <f t="shared" si="97"/>
        <v>5.1788176640036392</v>
      </c>
      <c r="I168" s="1238">
        <f t="shared" si="98"/>
        <v>1.4438152806020701</v>
      </c>
      <c r="J168" s="730">
        <f t="shared" si="133"/>
        <v>0.4</v>
      </c>
      <c r="K168" s="623">
        <f t="shared" si="122"/>
        <v>0.57752611224082806</v>
      </c>
      <c r="L168" s="608">
        <f t="shared" si="99"/>
        <v>0.96248877021284696</v>
      </c>
      <c r="M168" s="727">
        <f t="shared" si="123"/>
        <v>1.540014882453675</v>
      </c>
      <c r="N168" s="730">
        <f t="shared" si="132"/>
        <v>0.5</v>
      </c>
      <c r="O168" s="1280">
        <f t="shared" si="100"/>
        <v>1.2888839921320325</v>
      </c>
      <c r="P168" s="816">
        <f t="shared" si="124"/>
        <v>1.7775465389026579</v>
      </c>
      <c r="Q168" s="623">
        <f t="shared" si="101"/>
        <v>8.1160396682130944</v>
      </c>
      <c r="R168" s="608">
        <f t="shared" si="102"/>
        <v>3.4012711251009806</v>
      </c>
      <c r="S168" s="1349">
        <f t="shared" si="125"/>
        <v>0.46915699032269942</v>
      </c>
      <c r="T168" s="135" t="str">
        <f t="shared" si="106"/>
        <v>Policies met</v>
      </c>
      <c r="U168" s="1240">
        <f t="shared" si="107"/>
        <v>0.46915699032269942</v>
      </c>
      <c r="V168" s="135" t="str">
        <f t="shared" si="108"/>
        <v>No</v>
      </c>
      <c r="W168" s="1241">
        <f t="shared" si="109"/>
        <v>7.5510432733796495</v>
      </c>
      <c r="X168" s="623">
        <f t="shared" si="110"/>
        <v>4.7147685431121138</v>
      </c>
      <c r="Y168" s="118">
        <f t="shared" si="111"/>
        <v>1.0884565478012194</v>
      </c>
      <c r="Z168" s="608">
        <f t="shared" si="103"/>
        <v>1.7347059072876847</v>
      </c>
      <c r="AA168" s="608">
        <f t="shared" si="104"/>
        <v>0</v>
      </c>
      <c r="AB168" s="608">
        <f t="shared" si="105"/>
        <v>1.3112275178631368E-2</v>
      </c>
      <c r="AC168" s="608">
        <f t="shared" si="112"/>
        <v>7.5510432733796495</v>
      </c>
      <c r="AD168" s="767">
        <f t="shared" si="135"/>
        <v>0</v>
      </c>
      <c r="AE168" s="483">
        <f t="shared" si="113"/>
        <v>0.62438637581822609</v>
      </c>
      <c r="AF168" s="483">
        <f t="shared" si="114"/>
        <v>0.14414651173281579</v>
      </c>
      <c r="AG168" s="483">
        <f t="shared" si="115"/>
        <v>0.22973062721057294</v>
      </c>
      <c r="AH168" s="483">
        <f t="shared" si="116"/>
        <v>1.7364852383851665E-3</v>
      </c>
      <c r="AI168" s="483">
        <f t="shared" si="117"/>
        <v>1.7364852383851665E-3</v>
      </c>
      <c r="AJ168" s="604">
        <f t="shared" si="118"/>
        <v>1.0017364852383852</v>
      </c>
      <c r="AK168" s="1400">
        <f t="shared" si="127"/>
        <v>0.86628916836124203</v>
      </c>
      <c r="AL168" s="608">
        <f t="shared" si="128"/>
        <v>3.1642843172426085</v>
      </c>
      <c r="AM168" s="608">
        <f t="shared" si="129"/>
        <v>0.68419505750826237</v>
      </c>
      <c r="AN168" s="1401">
        <f t="shared" si="119"/>
        <v>4.7147685431121129</v>
      </c>
      <c r="AO168" s="1402">
        <f t="shared" si="120"/>
        <v>0</v>
      </c>
    </row>
    <row r="169" spans="1:41" ht="15" thickBot="1">
      <c r="A169" s="172">
        <f>'Input data'!A150</f>
        <v>2050</v>
      </c>
      <c r="B169" s="751">
        <f>'Input data'!B150</f>
        <v>75.518000000000001</v>
      </c>
      <c r="C169" s="239">
        <f>'Input data'!C150</f>
        <v>6747.1300000000019</v>
      </c>
      <c r="D169" s="240">
        <f>'Input data'!D150</f>
        <v>8135871.0855464395</v>
      </c>
      <c r="E169" s="735">
        <f>'Input data'!J150</f>
        <v>11.504772374209397</v>
      </c>
      <c r="F169" s="739">
        <f>'Input data'!L150/C169</f>
        <v>12.710599308853674</v>
      </c>
      <c r="G169" s="739">
        <f t="shared" si="134"/>
        <v>4.7147685431121138</v>
      </c>
      <c r="H169" s="769">
        <f t="shared" si="97"/>
        <v>4.9554769625515513</v>
      </c>
      <c r="I169" s="1239">
        <f t="shared" si="98"/>
        <v>1.2058269346442765</v>
      </c>
      <c r="J169" s="731">
        <f t="shared" si="133"/>
        <v>0.4</v>
      </c>
      <c r="K169" s="769">
        <f t="shared" si="122"/>
        <v>0.48233077385771062</v>
      </c>
      <c r="L169" s="739">
        <f t="shared" si="99"/>
        <v>0.96248877021284696</v>
      </c>
      <c r="M169" s="736">
        <f t="shared" si="123"/>
        <v>1.4448195440705576</v>
      </c>
      <c r="N169" s="731">
        <f t="shared" si="132"/>
        <v>0.5</v>
      </c>
      <c r="O169" s="1281">
        <f t="shared" si="100"/>
        <v>1.2888839921320325</v>
      </c>
      <c r="P169" s="817">
        <f t="shared" si="124"/>
        <v>1.6969988450252467</v>
      </c>
      <c r="Q169" s="769">
        <f t="shared" si="101"/>
        <v>7.9732466606384182</v>
      </c>
      <c r="R169" s="739">
        <f t="shared" si="102"/>
        <v>3.2584781175263045</v>
      </c>
      <c r="S169" s="1350">
        <f t="shared" si="125"/>
        <v>0.44946072524742625</v>
      </c>
      <c r="T169" s="1267" t="str">
        <f t="shared" si="106"/>
        <v>Policies met</v>
      </c>
      <c r="U169" s="1249">
        <f t="shared" si="107"/>
        <v>0.44946072524742625</v>
      </c>
      <c r="V169" s="1267" t="str">
        <f t="shared" si="108"/>
        <v>No</v>
      </c>
      <c r="W169" s="1242">
        <f t="shared" si="109"/>
        <v>7.5396559737349635</v>
      </c>
      <c r="X169" s="769">
        <f t="shared" si="110"/>
        <v>4.7147685431121138</v>
      </c>
      <c r="Y169" s="121">
        <f t="shared" si="111"/>
        <v>1.0122186433681879</v>
      </c>
      <c r="Z169" s="739">
        <f t="shared" si="103"/>
        <v>1.7990699975266249</v>
      </c>
      <c r="AA169" s="739">
        <f t="shared" si="104"/>
        <v>0</v>
      </c>
      <c r="AB169" s="739">
        <f t="shared" si="105"/>
        <v>1.3598789728036936E-2</v>
      </c>
      <c r="AC169" s="739">
        <f t="shared" si="112"/>
        <v>7.5396559737349635</v>
      </c>
      <c r="AD169" s="778">
        <f t="shared" si="135"/>
        <v>0</v>
      </c>
      <c r="AE169" s="732">
        <f t="shared" si="113"/>
        <v>0.62532939958221079</v>
      </c>
      <c r="AF169" s="732">
        <f t="shared" si="114"/>
        <v>0.13425262994682227</v>
      </c>
      <c r="AG169" s="732">
        <f t="shared" si="115"/>
        <v>0.23861433516248476</v>
      </c>
      <c r="AH169" s="732">
        <f t="shared" si="116"/>
        <v>1.8036353084821752E-3</v>
      </c>
      <c r="AI169" s="732">
        <f>AB169/AC169</f>
        <v>1.8036353084821752E-3</v>
      </c>
      <c r="AJ169" s="733">
        <f t="shared" si="118"/>
        <v>1.0018036353084823</v>
      </c>
      <c r="AK169" s="1403">
        <f t="shared" si="127"/>
        <v>0.72349616078656587</v>
      </c>
      <c r="AL169" s="739">
        <f t="shared" si="128"/>
        <v>3.2816911240569757</v>
      </c>
      <c r="AM169" s="739">
        <f t="shared" si="129"/>
        <v>0.7095812582685711</v>
      </c>
      <c r="AN169" s="1404">
        <f t="shared" si="119"/>
        <v>4.7147685431121129</v>
      </c>
      <c r="AO169" s="1405">
        <f t="shared" si="120"/>
        <v>0</v>
      </c>
    </row>
    <row r="170" spans="1:41">
      <c r="F170" s="835"/>
      <c r="G170" s="835"/>
      <c r="S170" s="104"/>
      <c r="T170" s="1228"/>
    </row>
    <row r="171" spans="1:41" ht="23.4">
      <c r="A171" s="783" t="s">
        <v>780</v>
      </c>
    </row>
    <row r="172" spans="1:41" ht="24" thickBot="1">
      <c r="A172" s="783"/>
    </row>
    <row r="173" spans="1:41" ht="21.6" customHeight="1" thickBot="1">
      <c r="A173" s="1793" t="s">
        <v>687</v>
      </c>
      <c r="B173" s="1794"/>
      <c r="C173" s="1794"/>
      <c r="D173" s="1795"/>
      <c r="E173" s="1796" t="s">
        <v>689</v>
      </c>
      <c r="F173" s="1797"/>
      <c r="G173" s="1797"/>
      <c r="H173" s="1797"/>
      <c r="I173" s="1798"/>
      <c r="J173" s="1799" t="s">
        <v>690</v>
      </c>
      <c r="K173" s="1800"/>
      <c r="L173" s="1801"/>
      <c r="M173" s="1802" t="s">
        <v>697</v>
      </c>
      <c r="N173" s="1804" t="s">
        <v>695</v>
      </c>
      <c r="O173" s="1805"/>
      <c r="P173" s="1791" t="s">
        <v>674</v>
      </c>
      <c r="Q173" s="1787" t="s">
        <v>680</v>
      </c>
      <c r="R173" s="1787" t="s">
        <v>661</v>
      </c>
      <c r="S173" s="1787" t="s">
        <v>726</v>
      </c>
      <c r="T173" s="1771" t="s">
        <v>728</v>
      </c>
      <c r="U173" s="1787" t="s">
        <v>727</v>
      </c>
      <c r="V173" s="1771" t="s">
        <v>730</v>
      </c>
      <c r="W173" s="1822" t="s">
        <v>698</v>
      </c>
      <c r="X173" s="1313" t="s">
        <v>672</v>
      </c>
      <c r="Y173" s="1313"/>
      <c r="Z173" s="1313"/>
      <c r="AA173" s="1313"/>
      <c r="AB173" s="1313"/>
      <c r="AC173" s="1313"/>
      <c r="AD173" s="1313"/>
      <c r="AE173" s="1313"/>
      <c r="AF173" s="1313"/>
      <c r="AG173" s="1313"/>
      <c r="AH173" s="1313"/>
      <c r="AI173" s="1313"/>
      <c r="AJ173" s="1314"/>
      <c r="AK173" s="1746" t="s">
        <v>850</v>
      </c>
      <c r="AL173" s="1747"/>
      <c r="AM173" s="1747"/>
      <c r="AN173" s="1747"/>
      <c r="AO173" s="1748"/>
    </row>
    <row r="174" spans="1:41" ht="37.950000000000003" customHeight="1">
      <c r="A174" s="1789" t="s">
        <v>217</v>
      </c>
      <c r="B174" s="802" t="s">
        <v>218</v>
      </c>
      <c r="C174" s="802" t="s">
        <v>464</v>
      </c>
      <c r="D174" s="535" t="s">
        <v>722</v>
      </c>
      <c r="E174" s="804" t="s">
        <v>551</v>
      </c>
      <c r="F174" s="803" t="s">
        <v>555</v>
      </c>
      <c r="G174" s="803" t="s">
        <v>676</v>
      </c>
      <c r="H174" s="805" t="s">
        <v>679</v>
      </c>
      <c r="I174" s="805" t="s">
        <v>718</v>
      </c>
      <c r="J174" s="582" t="s">
        <v>367</v>
      </c>
      <c r="K174" s="1311" t="s">
        <v>367</v>
      </c>
      <c r="L174" s="806" t="s">
        <v>692</v>
      </c>
      <c r="M174" s="1803"/>
      <c r="N174" s="587" t="s">
        <v>693</v>
      </c>
      <c r="O174" s="639" t="s">
        <v>694</v>
      </c>
      <c r="P174" s="1792"/>
      <c r="Q174" s="1788"/>
      <c r="R174" s="1788"/>
      <c r="S174" s="1788"/>
      <c r="T174" s="1772"/>
      <c r="U174" s="1788"/>
      <c r="V174" s="1772"/>
      <c r="W174" s="1823"/>
      <c r="X174" s="1247" t="s">
        <v>549</v>
      </c>
      <c r="Y174" s="819" t="s">
        <v>565</v>
      </c>
      <c r="Z174" s="819" t="s">
        <v>428</v>
      </c>
      <c r="AA174" s="819" t="s">
        <v>429</v>
      </c>
      <c r="AB174" s="819" t="s">
        <v>553</v>
      </c>
      <c r="AC174" s="819" t="s">
        <v>225</v>
      </c>
      <c r="AD174" s="823" t="s">
        <v>671</v>
      </c>
      <c r="AE174" s="818" t="s">
        <v>549</v>
      </c>
      <c r="AF174" s="819" t="s">
        <v>565</v>
      </c>
      <c r="AG174" s="819" t="s">
        <v>428</v>
      </c>
      <c r="AH174" s="819" t="s">
        <v>429</v>
      </c>
      <c r="AI174" s="819" t="s">
        <v>553</v>
      </c>
      <c r="AJ174" s="820" t="s">
        <v>225</v>
      </c>
      <c r="AK174" s="189" t="s">
        <v>851</v>
      </c>
      <c r="AL174" s="822" t="s">
        <v>569</v>
      </c>
      <c r="AM174" s="822" t="s">
        <v>852</v>
      </c>
      <c r="AN174" s="822" t="s">
        <v>225</v>
      </c>
      <c r="AO174" s="1399" t="s">
        <v>708</v>
      </c>
    </row>
    <row r="175" spans="1:41" ht="36" customHeight="1" thickBot="1">
      <c r="A175" s="1790"/>
      <c r="B175" s="1303" t="s">
        <v>232</v>
      </c>
      <c r="C175" s="1304" t="s">
        <v>558</v>
      </c>
      <c r="D175" s="1305" t="s">
        <v>556</v>
      </c>
      <c r="E175" s="1306" t="s">
        <v>688</v>
      </c>
      <c r="F175" s="1307" t="s">
        <v>688</v>
      </c>
      <c r="G175" s="1307" t="str">
        <f>F175</f>
        <v>Gg/GDP ZAR billion</v>
      </c>
      <c r="H175" s="1308" t="str">
        <f>G175</f>
        <v>Gg/GDP ZAR billion</v>
      </c>
      <c r="I175" s="1308" t="s">
        <v>691</v>
      </c>
      <c r="J175" s="807" t="s">
        <v>229</v>
      </c>
      <c r="K175" s="808" t="s">
        <v>691</v>
      </c>
      <c r="L175" s="810" t="s">
        <v>691</v>
      </c>
      <c r="M175" s="1246" t="s">
        <v>691</v>
      </c>
      <c r="N175" s="786" t="s">
        <v>229</v>
      </c>
      <c r="O175" s="1407" t="s">
        <v>691</v>
      </c>
      <c r="P175" s="1406" t="s">
        <v>691</v>
      </c>
      <c r="Q175" s="1253" t="s">
        <v>691</v>
      </c>
      <c r="R175" s="1253" t="s">
        <v>691</v>
      </c>
      <c r="S175" s="1284" t="s">
        <v>28</v>
      </c>
      <c r="T175" s="1773"/>
      <c r="U175" s="1284" t="s">
        <v>28</v>
      </c>
      <c r="V175" s="1773"/>
      <c r="W175" s="1253" t="s">
        <v>691</v>
      </c>
      <c r="X175" s="1283" t="s">
        <v>228</v>
      </c>
      <c r="Y175" s="1254" t="s">
        <v>228</v>
      </c>
      <c r="Z175" s="1254" t="s">
        <v>228</v>
      </c>
      <c r="AA175" s="1254" t="s">
        <v>228</v>
      </c>
      <c r="AB175" s="1254" t="s">
        <v>228</v>
      </c>
      <c r="AC175" s="1254" t="s">
        <v>228</v>
      </c>
      <c r="AD175" s="1255" t="s">
        <v>669</v>
      </c>
      <c r="AE175" s="826" t="s">
        <v>229</v>
      </c>
      <c r="AF175" s="821" t="s">
        <v>229</v>
      </c>
      <c r="AG175" s="821" t="s">
        <v>229</v>
      </c>
      <c r="AH175" s="821" t="s">
        <v>229</v>
      </c>
      <c r="AI175" s="821" t="s">
        <v>229</v>
      </c>
      <c r="AJ175" s="824" t="s">
        <v>229</v>
      </c>
      <c r="AK175" s="191" t="s">
        <v>691</v>
      </c>
      <c r="AL175" s="1254" t="s">
        <v>691</v>
      </c>
      <c r="AM175" s="1254" t="s">
        <v>691</v>
      </c>
      <c r="AN175" s="1254" t="s">
        <v>691</v>
      </c>
      <c r="AO175" s="1255" t="s">
        <v>669</v>
      </c>
    </row>
    <row r="176" spans="1:41">
      <c r="A176" s="852">
        <f>'Input data'!A117</f>
        <v>2017</v>
      </c>
      <c r="B176" s="853">
        <f>'Input data'!B117</f>
        <v>56.521999999999998</v>
      </c>
      <c r="C176" s="854">
        <f>'Input data'!C117</f>
        <v>3120.54</v>
      </c>
      <c r="D176" s="115">
        <f>'Input data'!E117</f>
        <v>49995051</v>
      </c>
      <c r="E176" s="737">
        <f>'Input data'!J117</f>
        <v>11.504772374209397</v>
      </c>
      <c r="F176" s="738">
        <f>'Input data'!L117/C136</f>
        <v>27.526054267727826</v>
      </c>
      <c r="G176" s="771">
        <f>F176*B11</f>
        <v>23.573842715560573</v>
      </c>
      <c r="H176" s="771">
        <f t="shared" ref="H176:H209" si="136">E176*$B$12+I176*$E$80-G176</f>
        <v>0</v>
      </c>
      <c r="I176" s="1309">
        <f t="shared" ref="I176:I209" si="137">D176/1000/C176</f>
        <v>16.021281893518431</v>
      </c>
      <c r="J176" s="483">
        <f>H17</f>
        <v>6.154773859516615E-2</v>
      </c>
      <c r="K176" s="623">
        <f>(I176)*J176</f>
        <v>0.98607366994174095</v>
      </c>
      <c r="L176" s="608">
        <f t="shared" ref="L176:L209" si="138">(E176)*$C$12*$G$12</f>
        <v>0.96248877021284696</v>
      </c>
      <c r="M176" s="727">
        <f>L176+K176</f>
        <v>1.9485624401545878</v>
      </c>
      <c r="N176" s="730">
        <v>0</v>
      </c>
      <c r="O176" s="767">
        <f t="shared" ref="O176:O209" si="139">N176*E176*($C$84)*$B$12</f>
        <v>0</v>
      </c>
      <c r="P176" s="779">
        <f>O176+(K176-I176*$J$136)</f>
        <v>0</v>
      </c>
      <c r="Q176" s="623">
        <f t="shared" ref="Q176:Q209" si="140">E176*$B$12+I176*(1-$H$80)-P176</f>
        <v>23.573842715560573</v>
      </c>
      <c r="R176" s="608">
        <f t="shared" ref="R176:R209" si="141">Q176-G176</f>
        <v>0</v>
      </c>
      <c r="S176" s="1240">
        <f>R176/(Q176-(I176-K176))</f>
        <v>0</v>
      </c>
      <c r="T176" s="135" t="str">
        <f>IF(AND(S176&gt;=0,S176&lt;=0.85),"Policies met","Policies not met")</f>
        <v>Policies met</v>
      </c>
      <c r="U176" s="1240">
        <f>IF(S176&lt;=0,0,IF(S176&gt;=0.85,0.85,S176))</f>
        <v>0</v>
      </c>
      <c r="V176" s="135" t="str">
        <f>IF(AND(S176&gt;=0,S176&lt;=0.85),"No","Yes")</f>
        <v>No</v>
      </c>
      <c r="W176" s="1241">
        <f>($E$136)*(1-U176)+I176</f>
        <v>27.526054267727829</v>
      </c>
      <c r="X176" s="623">
        <f>Q176-U176*(Q176-(I176-K176))</f>
        <v>23.573842715560573</v>
      </c>
      <c r="Y176" s="118">
        <f>(L176)*(1-U176)+K176</f>
        <v>1.9485624401545878</v>
      </c>
      <c r="Z176" s="608">
        <f t="shared" ref="Z176:Z209" si="142">($C$12*$H$12*$E$136+O176)*(1-U176)</f>
        <v>1.9789482589551808</v>
      </c>
      <c r="AA176" s="608">
        <f t="shared" ref="AA176:AA209" si="143">$F$136*$D$11*(1-U176)</f>
        <v>0</v>
      </c>
      <c r="AB176" s="608">
        <f t="shared" ref="AB176:AB209" si="144">$E$136*$E$12*(1-U176)</f>
        <v>2.4700853057483641E-2</v>
      </c>
      <c r="AC176" s="608">
        <f>SUM(X176:AB176)</f>
        <v>27.526054267727829</v>
      </c>
      <c r="AD176" s="609">
        <f t="shared" ref="AD176:AD194" si="145">AC176-W176</f>
        <v>0</v>
      </c>
      <c r="AE176" s="809">
        <f>X176/AC176</f>
        <v>0.85641924869700925</v>
      </c>
      <c r="AF176" s="728">
        <f>Y176/AC176</f>
        <v>7.0789747822270571E-2</v>
      </c>
      <c r="AG176" s="728">
        <f>Z176/AC176</f>
        <v>7.1893640828694608E-2</v>
      </c>
      <c r="AH176" s="728">
        <f>AB176/AC176</f>
        <v>8.9736265202541149E-4</v>
      </c>
      <c r="AI176" s="728">
        <f>AB176/AC176</f>
        <v>8.9736265202541149E-4</v>
      </c>
      <c r="AJ176" s="825">
        <f>SUM(AE176:AI176)</f>
        <v>1.0008973626520252</v>
      </c>
      <c r="AK176" s="1400">
        <f>(I176-K176)</f>
        <v>15.03520822357669</v>
      </c>
      <c r="AL176" s="608">
        <f>E176*C85*B12</f>
        <v>5.9608665077198184</v>
      </c>
      <c r="AM176" s="608">
        <f>(E176*($C$84)*$B$12-O176)</f>
        <v>2.5777679842640651</v>
      </c>
      <c r="AN176" s="1401">
        <f>SUM(AK176:AM176)</f>
        <v>23.573842715560573</v>
      </c>
      <c r="AO176" s="1402">
        <f>AN176-X176</f>
        <v>0</v>
      </c>
    </row>
    <row r="177" spans="1:41">
      <c r="A177" s="127">
        <f>'Input data'!A118</f>
        <v>2018</v>
      </c>
      <c r="B177" s="748">
        <f>'Input data'!B118</f>
        <v>57.436</v>
      </c>
      <c r="C177" s="236">
        <f>'Input data'!C118</f>
        <v>3152.24</v>
      </c>
      <c r="D177" s="104">
        <f>'Input data'!E118</f>
        <v>50172070.130067617</v>
      </c>
      <c r="E177" s="602">
        <f>'Input data'!J118</f>
        <v>11.504772374209397</v>
      </c>
      <c r="F177" s="608">
        <f>'Input data'!L118/C137</f>
        <v>27.421095411182346</v>
      </c>
      <c r="G177" s="623">
        <f>G176*0.94</f>
        <v>22.159412152626938</v>
      </c>
      <c r="H177" s="623">
        <f t="shared" si="136"/>
        <v>1.3159316866540678</v>
      </c>
      <c r="I177" s="1238">
        <f t="shared" si="137"/>
        <v>15.916323036972953</v>
      </c>
      <c r="J177" s="730">
        <f>($J$189-$J$176)/($A$189-$A$176)+J176</f>
        <v>8.7582527933999524E-2</v>
      </c>
      <c r="K177" s="623">
        <f>(I177)*J177</f>
        <v>1.3939918069922437</v>
      </c>
      <c r="L177" s="608">
        <f t="shared" si="138"/>
        <v>0.96248877021284696</v>
      </c>
      <c r="M177" s="727">
        <f t="shared" ref="M177:M209" si="146">L177+K177</f>
        <v>2.3564805772050907</v>
      </c>
      <c r="N177" s="730">
        <v>0.05</v>
      </c>
      <c r="O177" s="727">
        <f t="shared" si="139"/>
        <v>0.12888839921320328</v>
      </c>
      <c r="P177" s="779">
        <f>O177+(K177-I177*$J$136)</f>
        <v>0.54326651652961466</v>
      </c>
      <c r="Q177" s="623">
        <f t="shared" si="140"/>
        <v>22.93207732275139</v>
      </c>
      <c r="R177" s="608">
        <f t="shared" si="141"/>
        <v>0.77266517012445135</v>
      </c>
      <c r="S177" s="1240">
        <f>R177/(Q177-(I177-K177))</f>
        <v>9.1877348210151324E-2</v>
      </c>
      <c r="T177" s="135" t="str">
        <f t="shared" ref="T177:T209" si="147">IF(AND(S177&gt;=0,S177&lt;=0.85),"Policies met","Policies not met")</f>
        <v>Policies met</v>
      </c>
      <c r="U177" s="1240">
        <f t="shared" ref="U177:U209" si="148">IF(S177&lt;=0,0,IF(S177&gt;=0.85,0.85,S177))</f>
        <v>9.1877348210151324E-2</v>
      </c>
      <c r="V177" s="135" t="str">
        <f t="shared" ref="V177:V209" si="149">IF(AND(S177&gt;=0,S177&lt;=0.85),"No","Yes")</f>
        <v>No</v>
      </c>
      <c r="W177" s="1241">
        <f t="shared" ref="W177:W209" si="150">($E$136)*(1-U177)+I177</f>
        <v>26.364067433678585</v>
      </c>
      <c r="X177" s="623">
        <f t="shared" ref="X177:X209" si="151">Q177-U177*(Q177-(I177-K177))</f>
        <v>22.159412152626938</v>
      </c>
      <c r="Y177" s="118">
        <f t="shared" ref="Y177:Y209" si="152">(L177)*(1-U177)+K177</f>
        <v>2.2680496613158843</v>
      </c>
      <c r="Z177" s="608">
        <f t="shared" si="142"/>
        <v>1.9141742155557255</v>
      </c>
      <c r="AA177" s="608">
        <f t="shared" si="143"/>
        <v>0</v>
      </c>
      <c r="AB177" s="608">
        <f t="shared" si="144"/>
        <v>2.2431404180033435E-2</v>
      </c>
      <c r="AC177" s="608">
        <f t="shared" ref="AC177:AC209" si="153">SUM(X177:AB177)</f>
        <v>26.364067433678581</v>
      </c>
      <c r="AD177" s="767">
        <f t="shared" si="145"/>
        <v>0</v>
      </c>
      <c r="AE177" s="730">
        <f t="shared" ref="AE177:AE209" si="154">X177/AC177</f>
        <v>0.84051568326363646</v>
      </c>
      <c r="AF177" s="483">
        <f t="shared" ref="AF177:AF209" si="155">Y177/AC177</f>
        <v>8.6028063272914443E-2</v>
      </c>
      <c r="AG177" s="483">
        <f t="shared" ref="AG177:AG209" si="156">Z177/AC177</f>
        <v>7.2605421009903734E-2</v>
      </c>
      <c r="AH177" s="483">
        <f t="shared" ref="AH177:AH209" si="157">AB177/AC177</f>
        <v>8.5083245354541177E-4</v>
      </c>
      <c r="AI177" s="483">
        <f t="shared" ref="AI177:AI208" si="158">AB177/AC177</f>
        <v>8.5083245354541177E-4</v>
      </c>
      <c r="AJ177" s="604">
        <f t="shared" ref="AJ177:AJ209" si="159">SUM(AE177:AI177)</f>
        <v>1.0008508324535454</v>
      </c>
      <c r="AK177" s="1400">
        <f>(I177-K177)</f>
        <v>14.522331229980709</v>
      </c>
      <c r="AL177" s="608">
        <f>$AL$176*(1-U177)</f>
        <v>5.4131978999558159</v>
      </c>
      <c r="AM177" s="608">
        <f>($AM$176-O177)*(1-U177)</f>
        <v>2.2238830226904129</v>
      </c>
      <c r="AN177" s="1401">
        <f t="shared" ref="AN177:AN209" si="160">SUM(AK177:AM177)</f>
        <v>22.159412152626938</v>
      </c>
      <c r="AO177" s="1402">
        <f t="shared" ref="AO177:AO209" si="161">AN177-X177</f>
        <v>0</v>
      </c>
    </row>
    <row r="178" spans="1:41">
      <c r="A178" s="127">
        <f>'Input data'!A119</f>
        <v>2019</v>
      </c>
      <c r="B178" s="748">
        <f>'Input data'!B119</f>
        <v>58.365000000000002</v>
      </c>
      <c r="C178" s="236">
        <f>'Input data'!C119</f>
        <v>3179.2899999999995</v>
      </c>
      <c r="D178" s="104">
        <f>'Input data'!E119</f>
        <v>50172070.130067617</v>
      </c>
      <c r="E178" s="602">
        <f>'Input data'!J119</f>
        <v>11.504772374209397</v>
      </c>
      <c r="F178" s="608">
        <f>'Input data'!L119/C138</f>
        <v>27.183579093939649</v>
      </c>
      <c r="G178" s="623">
        <f>G176*0.89</f>
        <v>20.98072001684891</v>
      </c>
      <c r="H178" s="623">
        <f t="shared" si="136"/>
        <v>2.3675394772341498</v>
      </c>
      <c r="I178" s="1238">
        <f t="shared" si="137"/>
        <v>15.780903953419671</v>
      </c>
      <c r="J178" s="730">
        <f t="shared" ref="J178:J188" si="162">($J$189-$J$176)/($A$189-$A$176)+J177</f>
        <v>0.11361731727283289</v>
      </c>
      <c r="K178" s="623">
        <f t="shared" ref="K178:K209" si="163">(I178)*J178</f>
        <v>1.7929839713277855</v>
      </c>
      <c r="L178" s="608">
        <f t="shared" si="138"/>
        <v>0.96248877021284696</v>
      </c>
      <c r="M178" s="727">
        <f t="shared" si="146"/>
        <v>2.7554727415406326</v>
      </c>
      <c r="N178" s="730">
        <v>0.1</v>
      </c>
      <c r="O178" s="727">
        <f t="shared" si="139"/>
        <v>0.25777679842640655</v>
      </c>
      <c r="P178" s="779">
        <f t="shared" ref="P178:P209" si="164">O178+(K178-I178*$J$136)</f>
        <v>1.0794818184336941</v>
      </c>
      <c r="Q178" s="623">
        <f t="shared" si="140"/>
        <v>22.268777675649364</v>
      </c>
      <c r="R178" s="608">
        <f t="shared" si="141"/>
        <v>1.2880576588004544</v>
      </c>
      <c r="S178" s="1240">
        <f t="shared" ref="S178:S209" si="165">R178/(Q178-(I178-K178))</f>
        <v>0.15554640672095663</v>
      </c>
      <c r="T178" s="135" t="str">
        <f t="shared" si="147"/>
        <v>Policies met</v>
      </c>
      <c r="U178" s="1240">
        <f t="shared" si="148"/>
        <v>0.15554640672095663</v>
      </c>
      <c r="V178" s="135" t="str">
        <f t="shared" si="149"/>
        <v>No</v>
      </c>
      <c r="W178" s="1241">
        <f t="shared" si="150"/>
        <v>25.496150324678268</v>
      </c>
      <c r="X178" s="623">
        <f t="shared" si="151"/>
        <v>20.98072001684891</v>
      </c>
      <c r="Y178" s="118">
        <f t="shared" si="152"/>
        <v>2.6057610718247517</v>
      </c>
      <c r="Z178" s="608">
        <f t="shared" si="142"/>
        <v>1.8888105118831557</v>
      </c>
      <c r="AA178" s="608">
        <f t="shared" si="143"/>
        <v>0</v>
      </c>
      <c r="AB178" s="608">
        <f t="shared" si="144"/>
        <v>2.0858724121449707E-2</v>
      </c>
      <c r="AC178" s="608">
        <f t="shared" si="153"/>
        <v>25.496150324678265</v>
      </c>
      <c r="AD178" s="767">
        <f t="shared" si="145"/>
        <v>0</v>
      </c>
      <c r="AE178" s="730">
        <f t="shared" si="154"/>
        <v>0.82289756491360289</v>
      </c>
      <c r="AF178" s="483">
        <f t="shared" si="155"/>
        <v>0.10220213791658501</v>
      </c>
      <c r="AG178" s="483">
        <f t="shared" si="156"/>
        <v>7.4082184480020727E-2</v>
      </c>
      <c r="AH178" s="483">
        <f t="shared" si="157"/>
        <v>8.1811268979145081E-4</v>
      </c>
      <c r="AI178" s="483">
        <f t="shared" si="158"/>
        <v>8.1811268979145081E-4</v>
      </c>
      <c r="AJ178" s="604">
        <f t="shared" si="159"/>
        <v>1.0008181126897915</v>
      </c>
      <c r="AK178" s="1400">
        <f t="shared" ref="AK178:AK209" si="166">(I178-K178)</f>
        <v>13.987919982091885</v>
      </c>
      <c r="AL178" s="608">
        <f t="shared" ref="AL178:AL209" si="167">$AL$176*(1-U178)</f>
        <v>5.0336751415007033</v>
      </c>
      <c r="AM178" s="608">
        <f t="shared" ref="AM178:AM209" si="168">($AM$176-O178)*(1-U178)</f>
        <v>1.9591248932563194</v>
      </c>
      <c r="AN178" s="1401">
        <f t="shared" si="160"/>
        <v>20.98072001684891</v>
      </c>
      <c r="AO178" s="1402">
        <f t="shared" si="161"/>
        <v>0</v>
      </c>
    </row>
    <row r="179" spans="1:41">
      <c r="A179" s="127">
        <f>'Input data'!A120</f>
        <v>2020</v>
      </c>
      <c r="B179" s="748">
        <f>'Input data'!B120</f>
        <v>59.308999999999997</v>
      </c>
      <c r="C179" s="236">
        <f>'Input data'!C120</f>
        <v>2948.9199999999987</v>
      </c>
      <c r="D179" s="104">
        <f>'Input data'!E120</f>
        <v>50172070.130067617</v>
      </c>
      <c r="E179" s="602">
        <f>'Input data'!J120</f>
        <v>11.504772374209397</v>
      </c>
      <c r="F179" s="608">
        <f>'Input data'!L120/C139</f>
        <v>27.641847959140343</v>
      </c>
      <c r="G179" s="623">
        <f>G176*0.81</f>
        <v>19.094812599604065</v>
      </c>
      <c r="H179" s="623">
        <f t="shared" si="136"/>
        <v>5.4103766557928274</v>
      </c>
      <c r="I179" s="1238">
        <f t="shared" si="137"/>
        <v>17.013710148144959</v>
      </c>
      <c r="J179" s="730">
        <f t="shared" si="162"/>
        <v>0.13965210661166627</v>
      </c>
      <c r="K179" s="623">
        <f t="shared" si="163"/>
        <v>2.3760004634687282</v>
      </c>
      <c r="L179" s="608">
        <f t="shared" si="138"/>
        <v>0.96248877021284696</v>
      </c>
      <c r="M179" s="727">
        <f t="shared" si="146"/>
        <v>3.338489233681575</v>
      </c>
      <c r="N179" s="730">
        <f>($N$141-$N$136)/($A$101-$A$96)+N178</f>
        <v>0.2</v>
      </c>
      <c r="O179" s="727">
        <f t="shared" si="139"/>
        <v>0.5155535968528131</v>
      </c>
      <c r="P179" s="779">
        <f t="shared" si="164"/>
        <v>1.8443986755895898</v>
      </c>
      <c r="Q179" s="623">
        <f t="shared" si="140"/>
        <v>22.660790579807301</v>
      </c>
      <c r="R179" s="608">
        <f t="shared" si="141"/>
        <v>3.5659779802032361</v>
      </c>
      <c r="S179" s="1240">
        <f t="shared" si="165"/>
        <v>0.44446491650948011</v>
      </c>
      <c r="T179" s="135" t="str">
        <f t="shared" si="147"/>
        <v>Policies met</v>
      </c>
      <c r="U179" s="1240">
        <f t="shared" si="148"/>
        <v>0.44446491650948011</v>
      </c>
      <c r="V179" s="135" t="str">
        <f t="shared" si="149"/>
        <v>No</v>
      </c>
      <c r="W179" s="1241">
        <f t="shared" si="150"/>
        <v>23.405014829590804</v>
      </c>
      <c r="X179" s="623">
        <f t="shared" si="151"/>
        <v>19.094812599604065</v>
      </c>
      <c r="Y179" s="118">
        <f t="shared" si="152"/>
        <v>2.9106967427876098</v>
      </c>
      <c r="Z179" s="608">
        <f t="shared" si="142"/>
        <v>1.3857832967335508</v>
      </c>
      <c r="AA179" s="608">
        <f t="shared" si="143"/>
        <v>0</v>
      </c>
      <c r="AB179" s="608">
        <f t="shared" si="144"/>
        <v>1.3722190465576239E-2</v>
      </c>
      <c r="AC179" s="608">
        <f t="shared" si="153"/>
        <v>23.405014829590801</v>
      </c>
      <c r="AD179" s="767">
        <f t="shared" si="145"/>
        <v>0</v>
      </c>
      <c r="AE179" s="730">
        <f t="shared" si="154"/>
        <v>0.81584279004440641</v>
      </c>
      <c r="AF179" s="483">
        <f t="shared" si="155"/>
        <v>0.1243620977803285</v>
      </c>
      <c r="AG179" s="483">
        <f t="shared" si="156"/>
        <v>5.9208819427087667E-2</v>
      </c>
      <c r="AH179" s="483">
        <f t="shared" si="157"/>
        <v>5.8629274817751308E-4</v>
      </c>
      <c r="AI179" s="483">
        <f t="shared" si="158"/>
        <v>5.8629274817751308E-4</v>
      </c>
      <c r="AJ179" s="604">
        <f t="shared" si="159"/>
        <v>1.0005862927481775</v>
      </c>
      <c r="AK179" s="1400">
        <f t="shared" si="166"/>
        <v>14.637709684676231</v>
      </c>
      <c r="AL179" s="608">
        <f t="shared" si="167"/>
        <v>3.3114704730419735</v>
      </c>
      <c r="AM179" s="608">
        <f t="shared" si="168"/>
        <v>1.1456324418858612</v>
      </c>
      <c r="AN179" s="1401">
        <f t="shared" si="160"/>
        <v>19.094812599604065</v>
      </c>
      <c r="AO179" s="1402">
        <f t="shared" si="161"/>
        <v>0</v>
      </c>
    </row>
    <row r="180" spans="1:41">
      <c r="A180" s="127">
        <f>'Input data'!A121</f>
        <v>2021</v>
      </c>
      <c r="B180" s="748">
        <f>'Input data'!B121</f>
        <v>59.991999999999997</v>
      </c>
      <c r="C180" s="236">
        <f>'Input data'!C121</f>
        <v>3014.38</v>
      </c>
      <c r="D180" s="104">
        <f>'Input data'!E121</f>
        <v>50172070.130067617</v>
      </c>
      <c r="E180" s="602">
        <f>'Input data'!J121</f>
        <v>11.504772374209397</v>
      </c>
      <c r="F180" s="608">
        <f>'Input data'!L121/C140</f>
        <v>27.205698213545922</v>
      </c>
      <c r="G180" s="623">
        <f>G176*0.65</f>
        <v>15.322997765114373</v>
      </c>
      <c r="H180" s="623">
        <f t="shared" si="136"/>
        <v>8.8354632493795719</v>
      </c>
      <c r="I180" s="1238">
        <f t="shared" si="137"/>
        <v>16.644241976813678</v>
      </c>
      <c r="J180" s="730">
        <f t="shared" si="162"/>
        <v>0.16568689595049965</v>
      </c>
      <c r="K180" s="623">
        <f t="shared" si="163"/>
        <v>2.7577327885872664</v>
      </c>
      <c r="L180" s="608">
        <f t="shared" si="138"/>
        <v>0.96248877021284696</v>
      </c>
      <c r="M180" s="727">
        <f t="shared" si="146"/>
        <v>3.7202215588001133</v>
      </c>
      <c r="N180" s="730">
        <v>0.4</v>
      </c>
      <c r="O180" s="727">
        <f t="shared" si="139"/>
        <v>1.0311071937056262</v>
      </c>
      <c r="P180" s="779">
        <f t="shared" si="164"/>
        <v>2.7644245279892727</v>
      </c>
      <c r="Q180" s="623">
        <f t="shared" si="140"/>
        <v>21.394036486504671</v>
      </c>
      <c r="R180" s="608">
        <f t="shared" si="141"/>
        <v>6.0710387213902983</v>
      </c>
      <c r="S180" s="1240">
        <f t="shared" si="165"/>
        <v>0.80866022595516929</v>
      </c>
      <c r="T180" s="135" t="str">
        <f t="shared" si="147"/>
        <v>Policies met</v>
      </c>
      <c r="U180" s="1240">
        <f t="shared" si="148"/>
        <v>0.80866022595516929</v>
      </c>
      <c r="V180" s="135" t="str">
        <f t="shared" si="149"/>
        <v>No</v>
      </c>
      <c r="W180" s="1241">
        <f t="shared" si="150"/>
        <v>18.845562523332113</v>
      </c>
      <c r="X180" s="623">
        <f t="shared" si="151"/>
        <v>15.322997765114373</v>
      </c>
      <c r="Y180" s="118">
        <f t="shared" si="152"/>
        <v>2.9418951724004794</v>
      </c>
      <c r="Z180" s="608">
        <f t="shared" si="142"/>
        <v>0.57594333017452948</v>
      </c>
      <c r="AA180" s="608">
        <f t="shared" si="143"/>
        <v>0</v>
      </c>
      <c r="AB180" s="608">
        <f t="shared" si="144"/>
        <v>4.7262556427334857E-3</v>
      </c>
      <c r="AC180" s="608">
        <f t="shared" si="153"/>
        <v>18.845562523332113</v>
      </c>
      <c r="AD180" s="767">
        <f t="shared" si="145"/>
        <v>0</v>
      </c>
      <c r="AE180" s="730">
        <f t="shared" si="154"/>
        <v>0.81308253580350487</v>
      </c>
      <c r="AF180" s="483">
        <f t="shared" si="155"/>
        <v>0.15610545818190405</v>
      </c>
      <c r="AG180" s="483">
        <f t="shared" si="156"/>
        <v>3.0561217234108651E-2</v>
      </c>
      <c r="AH180" s="483">
        <f t="shared" si="157"/>
        <v>2.5078878048251694E-4</v>
      </c>
      <c r="AI180" s="483">
        <f t="shared" si="158"/>
        <v>2.5078878048251694E-4</v>
      </c>
      <c r="AJ180" s="604">
        <f t="shared" si="159"/>
        <v>1.0002507887804826</v>
      </c>
      <c r="AK180" s="1400">
        <f t="shared" si="166"/>
        <v>13.886509188226412</v>
      </c>
      <c r="AL180" s="608">
        <f t="shared" si="167"/>
        <v>1.1405508506985091</v>
      </c>
      <c r="AM180" s="608">
        <f t="shared" si="168"/>
        <v>0.29593772618945091</v>
      </c>
      <c r="AN180" s="1401">
        <f t="shared" si="160"/>
        <v>15.322997765114373</v>
      </c>
      <c r="AO180" s="1402">
        <f t="shared" si="161"/>
        <v>0</v>
      </c>
    </row>
    <row r="181" spans="1:41">
      <c r="A181" s="127">
        <f>'Input data'!A122</f>
        <v>2022</v>
      </c>
      <c r="B181" s="749">
        <f>'Input data'!B122</f>
        <v>60.682000000000002</v>
      </c>
      <c r="C181" s="605">
        <f>'Input data'!C122</f>
        <v>3077.2</v>
      </c>
      <c r="D181" s="104">
        <f>'Input data'!E122</f>
        <v>50172070.130067617</v>
      </c>
      <c r="E181" s="602">
        <f>'Input data'!J122</f>
        <v>11.504772374209397</v>
      </c>
      <c r="F181" s="608">
        <f>'Input data'!L122/C141</f>
        <v>26.421973203854616</v>
      </c>
      <c r="G181" s="858">
        <f>G136*(1-E4)</f>
        <v>11.786921357780287</v>
      </c>
      <c r="H181" s="623">
        <f t="shared" si="136"/>
        <v>12.052666167130891</v>
      </c>
      <c r="I181" s="1238">
        <f t="shared" si="137"/>
        <v>16.304455391286758</v>
      </c>
      <c r="J181" s="730">
        <f t="shared" si="162"/>
        <v>0.19172168528933303</v>
      </c>
      <c r="K181" s="623">
        <f t="shared" si="163"/>
        <v>3.1259176653422491</v>
      </c>
      <c r="L181" s="608">
        <f t="shared" si="138"/>
        <v>0.96248877021284696</v>
      </c>
      <c r="M181" s="727">
        <f t="shared" si="146"/>
        <v>4.088406435555096</v>
      </c>
      <c r="N181" s="729">
        <f>$E$26</f>
        <v>0.5</v>
      </c>
      <c r="O181" s="727">
        <f t="shared" si="139"/>
        <v>1.2888839921320325</v>
      </c>
      <c r="P181" s="779">
        <f t="shared" si="164"/>
        <v>3.411299299114817</v>
      </c>
      <c r="Q181" s="623">
        <f t="shared" si="140"/>
        <v>20.428288225796361</v>
      </c>
      <c r="R181" s="608">
        <f t="shared" si="141"/>
        <v>8.6413668680160747</v>
      </c>
      <c r="S181" s="1240">
        <f>R181/(Q181-(I181-K181))</f>
        <v>1.1919536911225648</v>
      </c>
      <c r="T181" s="135" t="str">
        <f t="shared" si="147"/>
        <v>Policies not met</v>
      </c>
      <c r="U181" s="1240">
        <f t="shared" si="148"/>
        <v>0.85</v>
      </c>
      <c r="V181" s="135" t="str">
        <f t="shared" si="149"/>
        <v>Yes</v>
      </c>
      <c r="W181" s="1241">
        <f t="shared" si="150"/>
        <v>18.030171247418167</v>
      </c>
      <c r="X181" s="623">
        <f t="shared" si="151"/>
        <v>14.266000300922286</v>
      </c>
      <c r="Y181" s="118">
        <f t="shared" si="152"/>
        <v>3.2702909808741762</v>
      </c>
      <c r="Z181" s="608">
        <f t="shared" si="142"/>
        <v>0.49017483766308212</v>
      </c>
      <c r="AA181" s="608">
        <f t="shared" si="143"/>
        <v>0</v>
      </c>
      <c r="AB181" s="608">
        <f t="shared" si="144"/>
        <v>3.7051279586225467E-3</v>
      </c>
      <c r="AC181" s="608">
        <f t="shared" si="153"/>
        <v>18.030171247418167</v>
      </c>
      <c r="AD181" s="767">
        <f t="shared" si="145"/>
        <v>0</v>
      </c>
      <c r="AE181" s="730">
        <f t="shared" si="154"/>
        <v>0.79122932917040978</v>
      </c>
      <c r="AF181" s="483">
        <f t="shared" si="155"/>
        <v>0.18137880866453035</v>
      </c>
      <c r="AG181" s="483">
        <f t="shared" si="156"/>
        <v>2.7186366171273763E-2</v>
      </c>
      <c r="AH181" s="483">
        <f t="shared" si="157"/>
        <v>2.054959937861435E-4</v>
      </c>
      <c r="AI181" s="483">
        <f t="shared" si="158"/>
        <v>2.054959937861435E-4</v>
      </c>
      <c r="AJ181" s="604">
        <f t="shared" si="159"/>
        <v>1.0002054959937861</v>
      </c>
      <c r="AK181" s="1400">
        <f t="shared" si="166"/>
        <v>13.178537725944508</v>
      </c>
      <c r="AL181" s="608">
        <f t="shared" si="167"/>
        <v>0.89412997615797285</v>
      </c>
      <c r="AM181" s="608">
        <f t="shared" si="168"/>
        <v>0.19333259881980491</v>
      </c>
      <c r="AN181" s="1401">
        <f t="shared" si="160"/>
        <v>14.266000300922286</v>
      </c>
      <c r="AO181" s="1402">
        <f t="shared" si="161"/>
        <v>0</v>
      </c>
    </row>
    <row r="182" spans="1:41">
      <c r="A182" s="127">
        <f>'Input data'!A123</f>
        <v>2023</v>
      </c>
      <c r="B182" s="748">
        <f>'Input data'!B123</f>
        <v>61.381</v>
      </c>
      <c r="C182" s="236">
        <f>'Input data'!C123</f>
        <v>3140.61</v>
      </c>
      <c r="D182" s="104">
        <f>'Input data'!E123</f>
        <v>50172070.130067617</v>
      </c>
      <c r="E182" s="602">
        <f>'Input data'!J123</f>
        <v>11.504772374209397</v>
      </c>
      <c r="F182" s="608">
        <f>'Input data'!L123/C142</f>
        <v>25.752095944174989</v>
      </c>
      <c r="G182" s="623">
        <f>($G$146-$G$141)/($A$146-$A$141)+G181</f>
        <v>11.079706076313469</v>
      </c>
      <c r="H182" s="623">
        <f t="shared" si="136"/>
        <v>12.450949925161842</v>
      </c>
      <c r="I182" s="1238">
        <f t="shared" si="137"/>
        <v>15.975262808838924</v>
      </c>
      <c r="J182" s="730">
        <f t="shared" si="162"/>
        <v>0.21775647462816641</v>
      </c>
      <c r="K182" s="623">
        <f t="shared" si="163"/>
        <v>3.4787169105112237</v>
      </c>
      <c r="L182" s="608">
        <f t="shared" si="138"/>
        <v>0.96248877021284696</v>
      </c>
      <c r="M182" s="727">
        <f t="shared" si="146"/>
        <v>4.441205680724071</v>
      </c>
      <c r="N182" s="730">
        <f>($N$146-$N$141)/($A$106-$A$101)+N181</f>
        <v>0.5</v>
      </c>
      <c r="O182" s="727">
        <f t="shared" si="139"/>
        <v>1.2888839921320325</v>
      </c>
      <c r="P182" s="779">
        <f t="shared" si="164"/>
        <v>3.7843596032957585</v>
      </c>
      <c r="Q182" s="623">
        <f t="shared" si="140"/>
        <v>19.746296398179553</v>
      </c>
      <c r="R182" s="608">
        <f t="shared" si="141"/>
        <v>8.6665903218660834</v>
      </c>
      <c r="S182" s="1240">
        <f t="shared" si="165"/>
        <v>1.1954329079384434</v>
      </c>
      <c r="T182" s="135" t="str">
        <f t="shared" si="147"/>
        <v>Policies not met</v>
      </c>
      <c r="U182" s="1240">
        <f t="shared" si="148"/>
        <v>0.85</v>
      </c>
      <c r="V182" s="135" t="str">
        <f t="shared" si="149"/>
        <v>Yes</v>
      </c>
      <c r="W182" s="1241">
        <f t="shared" si="150"/>
        <v>17.700978664970332</v>
      </c>
      <c r="X182" s="623">
        <f t="shared" si="151"/>
        <v>13.584008473305477</v>
      </c>
      <c r="Y182" s="118">
        <f t="shared" si="152"/>
        <v>3.6230902260431508</v>
      </c>
      <c r="Z182" s="608">
        <f t="shared" si="142"/>
        <v>0.49017483766308212</v>
      </c>
      <c r="AA182" s="608">
        <f t="shared" si="143"/>
        <v>0</v>
      </c>
      <c r="AB182" s="608">
        <f t="shared" si="144"/>
        <v>3.7051279586225467E-3</v>
      </c>
      <c r="AC182" s="608">
        <f t="shared" si="153"/>
        <v>17.700978664970332</v>
      </c>
      <c r="AD182" s="767">
        <f t="shared" si="145"/>
        <v>0</v>
      </c>
      <c r="AE182" s="730">
        <f t="shared" si="154"/>
        <v>0.76741567403771827</v>
      </c>
      <c r="AF182" s="483">
        <f t="shared" si="155"/>
        <v>0.20468304575798002</v>
      </c>
      <c r="AG182" s="483">
        <f t="shared" si="156"/>
        <v>2.7691962514655891E-2</v>
      </c>
      <c r="AH182" s="483">
        <f t="shared" si="157"/>
        <v>2.093176896458768E-4</v>
      </c>
      <c r="AI182" s="483">
        <f t="shared" si="158"/>
        <v>2.093176896458768E-4</v>
      </c>
      <c r="AJ182" s="604">
        <f t="shared" si="159"/>
        <v>1.0002093176896458</v>
      </c>
      <c r="AK182" s="1400">
        <f t="shared" si="166"/>
        <v>12.4965458983277</v>
      </c>
      <c r="AL182" s="608">
        <f t="shared" si="167"/>
        <v>0.89412997615797285</v>
      </c>
      <c r="AM182" s="608">
        <f t="shared" si="168"/>
        <v>0.19333259881980491</v>
      </c>
      <c r="AN182" s="1401">
        <f t="shared" si="160"/>
        <v>13.584008473305477</v>
      </c>
      <c r="AO182" s="1402">
        <f t="shared" si="161"/>
        <v>0</v>
      </c>
    </row>
    <row r="183" spans="1:41">
      <c r="A183" s="127">
        <f>'Input data'!A124</f>
        <v>2024</v>
      </c>
      <c r="B183" s="748">
        <f>'Input data'!B124</f>
        <v>62.088000000000001</v>
      </c>
      <c r="C183" s="236">
        <f>'Input data'!C124</f>
        <v>3201.77</v>
      </c>
      <c r="D183" s="104">
        <f>'Input data'!E124</f>
        <v>50172070.130067617</v>
      </c>
      <c r="E183" s="602">
        <f>'Input data'!J124</f>
        <v>11.504772374209397</v>
      </c>
      <c r="F183" s="608">
        <f>'Input data'!L124/C143</f>
        <v>25.013316708307045</v>
      </c>
      <c r="G183" s="623">
        <f t="shared" ref="G183:G185" si="169">($G$146-$G$141)/($A$146-$A$141)+G182</f>
        <v>10.372490794846652</v>
      </c>
      <c r="H183" s="623">
        <f t="shared" si="136"/>
        <v>12.871788597590378</v>
      </c>
      <c r="I183" s="1238">
        <f t="shared" si="137"/>
        <v>15.670104389155878</v>
      </c>
      <c r="J183" s="730">
        <f t="shared" si="162"/>
        <v>0.24379126396699979</v>
      </c>
      <c r="K183" s="623">
        <f t="shared" si="163"/>
        <v>3.8202345555271426</v>
      </c>
      <c r="L183" s="608">
        <f t="shared" si="138"/>
        <v>0.96248877021284696</v>
      </c>
      <c r="M183" s="727">
        <f t="shared" si="146"/>
        <v>4.7827233257399895</v>
      </c>
      <c r="N183" s="730">
        <f>($N$146-$N$141)/($A$106-$A$101)+N182</f>
        <v>0.5</v>
      </c>
      <c r="O183" s="727">
        <f t="shared" si="139"/>
        <v>1.2888839921320325</v>
      </c>
      <c r="P183" s="779">
        <f t="shared" si="164"/>
        <v>4.1446590589564432</v>
      </c>
      <c r="Q183" s="623">
        <f t="shared" si="140"/>
        <v>19.099620333480587</v>
      </c>
      <c r="R183" s="608">
        <f t="shared" si="141"/>
        <v>8.7271295386339354</v>
      </c>
      <c r="S183" s="1240">
        <f t="shared" si="165"/>
        <v>1.2037834321073908</v>
      </c>
      <c r="T183" s="135" t="str">
        <f t="shared" si="147"/>
        <v>Policies not met</v>
      </c>
      <c r="U183" s="1240">
        <f t="shared" si="148"/>
        <v>0.85</v>
      </c>
      <c r="V183" s="135" t="str">
        <f t="shared" si="149"/>
        <v>Yes</v>
      </c>
      <c r="W183" s="1241">
        <f t="shared" si="150"/>
        <v>17.395820245287286</v>
      </c>
      <c r="X183" s="623">
        <f t="shared" si="151"/>
        <v>12.937332408606512</v>
      </c>
      <c r="Y183" s="118">
        <f t="shared" si="152"/>
        <v>3.9646078710590698</v>
      </c>
      <c r="Z183" s="608">
        <f t="shared" si="142"/>
        <v>0.49017483766308212</v>
      </c>
      <c r="AA183" s="608">
        <f t="shared" si="143"/>
        <v>0</v>
      </c>
      <c r="AB183" s="608">
        <f t="shared" si="144"/>
        <v>3.7051279586225467E-3</v>
      </c>
      <c r="AC183" s="608">
        <f t="shared" si="153"/>
        <v>17.395820245287286</v>
      </c>
      <c r="AD183" s="767">
        <f t="shared" si="145"/>
        <v>0</v>
      </c>
      <c r="AE183" s="730">
        <f t="shared" si="154"/>
        <v>0.74370350039178945</v>
      </c>
      <c r="AF183" s="483">
        <f t="shared" si="155"/>
        <v>0.22790577363738421</v>
      </c>
      <c r="AG183" s="483">
        <f t="shared" si="156"/>
        <v>2.8177736418946712E-2</v>
      </c>
      <c r="AH183" s="483">
        <f t="shared" si="157"/>
        <v>2.1298955187964221E-4</v>
      </c>
      <c r="AI183" s="483">
        <f t="shared" si="158"/>
        <v>2.1298955187964221E-4</v>
      </c>
      <c r="AJ183" s="604">
        <f t="shared" si="159"/>
        <v>1.0002129895518796</v>
      </c>
      <c r="AK183" s="1400">
        <f t="shared" si="166"/>
        <v>11.849869833628734</v>
      </c>
      <c r="AL183" s="608">
        <f t="shared" si="167"/>
        <v>0.89412997615797285</v>
      </c>
      <c r="AM183" s="608">
        <f t="shared" si="168"/>
        <v>0.19333259881980491</v>
      </c>
      <c r="AN183" s="1401">
        <f t="shared" si="160"/>
        <v>12.937332408606512</v>
      </c>
      <c r="AO183" s="1402">
        <f t="shared" si="161"/>
        <v>0</v>
      </c>
    </row>
    <row r="184" spans="1:41">
      <c r="A184" s="127">
        <f>'Input data'!A125</f>
        <v>2025</v>
      </c>
      <c r="B184" s="748">
        <f>'Input data'!B125</f>
        <v>62.802999999999997</v>
      </c>
      <c r="C184" s="236">
        <f>'Input data'!C125</f>
        <v>3265.54</v>
      </c>
      <c r="D184" s="104">
        <f>'Input data'!E125</f>
        <v>50172070.130067617</v>
      </c>
      <c r="E184" s="602">
        <f>'Input data'!J125</f>
        <v>11.504772374209397</v>
      </c>
      <c r="F184" s="608">
        <f>'Input data'!L125/C144</f>
        <v>24.046374435403784</v>
      </c>
      <c r="G184" s="623">
        <f t="shared" si="169"/>
        <v>9.665275513379834</v>
      </c>
      <c r="H184" s="623">
        <f t="shared" si="136"/>
        <v>13.291829636726098</v>
      </c>
      <c r="I184" s="1238">
        <f t="shared" si="137"/>
        <v>15.364096023955492</v>
      </c>
      <c r="J184" s="730">
        <f t="shared" si="162"/>
        <v>0.26982605330583315</v>
      </c>
      <c r="K184" s="623">
        <f t="shared" si="163"/>
        <v>4.1456333927557534</v>
      </c>
      <c r="L184" s="608">
        <f t="shared" si="138"/>
        <v>0.96248877021284696</v>
      </c>
      <c r="M184" s="727">
        <f t="shared" si="146"/>
        <v>5.1081221629686002</v>
      </c>
      <c r="N184" s="730">
        <f>($N$146-$N$141)/($A$106-$A$101)+N183</f>
        <v>0.5</v>
      </c>
      <c r="O184" s="727">
        <f t="shared" si="139"/>
        <v>1.2888839921320325</v>
      </c>
      <c r="P184" s="779">
        <f t="shared" si="164"/>
        <v>4.488892019054342</v>
      </c>
      <c r="Q184" s="623">
        <f t="shared" si="140"/>
        <v>18.468213131051591</v>
      </c>
      <c r="R184" s="608">
        <f t="shared" si="141"/>
        <v>8.8029376176717573</v>
      </c>
      <c r="S184" s="1240">
        <f t="shared" si="165"/>
        <v>1.2142400787243153</v>
      </c>
      <c r="T184" s="135" t="str">
        <f t="shared" si="147"/>
        <v>Policies not met</v>
      </c>
      <c r="U184" s="1240">
        <f t="shared" si="148"/>
        <v>0.85</v>
      </c>
      <c r="V184" s="135" t="str">
        <f t="shared" si="149"/>
        <v>Yes</v>
      </c>
      <c r="W184" s="1241">
        <f t="shared" si="150"/>
        <v>17.089811880086902</v>
      </c>
      <c r="X184" s="623">
        <f t="shared" si="151"/>
        <v>12.305925206177516</v>
      </c>
      <c r="Y184" s="118">
        <f t="shared" si="152"/>
        <v>4.29000670828768</v>
      </c>
      <c r="Z184" s="608">
        <f t="shared" si="142"/>
        <v>0.49017483766308212</v>
      </c>
      <c r="AA184" s="608">
        <f t="shared" si="143"/>
        <v>0</v>
      </c>
      <c r="AB184" s="608">
        <f t="shared" si="144"/>
        <v>3.7051279586225467E-3</v>
      </c>
      <c r="AC184" s="608">
        <f t="shared" si="153"/>
        <v>17.089811880086902</v>
      </c>
      <c r="AD184" s="767">
        <f t="shared" si="145"/>
        <v>0</v>
      </c>
      <c r="AE184" s="730">
        <f t="shared" si="154"/>
        <v>0.72007376631900877</v>
      </c>
      <c r="AF184" s="483">
        <f t="shared" si="155"/>
        <v>0.25102714637171686</v>
      </c>
      <c r="AG184" s="483">
        <f t="shared" si="156"/>
        <v>2.8682283988990847E-2</v>
      </c>
      <c r="AH184" s="483">
        <f t="shared" si="157"/>
        <v>2.1680332028345921E-4</v>
      </c>
      <c r="AI184" s="483">
        <f t="shared" si="158"/>
        <v>2.1680332028345921E-4</v>
      </c>
      <c r="AJ184" s="604">
        <f t="shared" si="159"/>
        <v>1.0002168033202834</v>
      </c>
      <c r="AK184" s="1400">
        <f t="shared" si="166"/>
        <v>11.218462631199738</v>
      </c>
      <c r="AL184" s="608">
        <f t="shared" si="167"/>
        <v>0.89412997615797285</v>
      </c>
      <c r="AM184" s="608">
        <f t="shared" si="168"/>
        <v>0.19333259881980491</v>
      </c>
      <c r="AN184" s="1401">
        <f t="shared" si="160"/>
        <v>12.305925206177516</v>
      </c>
      <c r="AO184" s="1402">
        <f t="shared" si="161"/>
        <v>0</v>
      </c>
    </row>
    <row r="185" spans="1:41">
      <c r="A185" s="127">
        <f>'Input data'!A126</f>
        <v>2026</v>
      </c>
      <c r="B185" s="748">
        <f>'Input data'!B126</f>
        <v>63.420999999999999</v>
      </c>
      <c r="C185" s="236">
        <f>'Input data'!C126</f>
        <v>3341.28</v>
      </c>
      <c r="D185" s="104">
        <f>'Input data'!E126</f>
        <v>50172070.130067617</v>
      </c>
      <c r="E185" s="602">
        <f>'Input data'!J126</f>
        <v>11.504772374209397</v>
      </c>
      <c r="F185" s="608">
        <f>'Input data'!L126/C145</f>
        <v>23.467156250693375</v>
      </c>
      <c r="G185" s="623">
        <f t="shared" si="169"/>
        <v>8.9580602319130165</v>
      </c>
      <c r="H185" s="623">
        <f t="shared" si="136"/>
        <v>13.672207608046456</v>
      </c>
      <c r="I185" s="1238">
        <f t="shared" si="137"/>
        <v>15.01582331623438</v>
      </c>
      <c r="J185" s="730">
        <f t="shared" si="162"/>
        <v>0.2958608426446665</v>
      </c>
      <c r="K185" s="623">
        <f t="shared" si="163"/>
        <v>4.4425941393445338</v>
      </c>
      <c r="L185" s="608">
        <f t="shared" si="138"/>
        <v>0.96248877021284696</v>
      </c>
      <c r="M185" s="727">
        <f t="shared" si="146"/>
        <v>5.4050829095573807</v>
      </c>
      <c r="N185" s="730">
        <f>($N$146-$N$141)/($A$106-$A$101)+N184</f>
        <v>0.5</v>
      </c>
      <c r="O185" s="727">
        <f t="shared" si="139"/>
        <v>1.2888839921320325</v>
      </c>
      <c r="P185" s="779">
        <f t="shared" si="164"/>
        <v>4.8072881632177715</v>
      </c>
      <c r="Q185" s="623">
        <f t="shared" si="140"/>
        <v>17.822979676741703</v>
      </c>
      <c r="R185" s="608">
        <f t="shared" si="141"/>
        <v>8.8649194448286863</v>
      </c>
      <c r="S185" s="1240">
        <f t="shared" si="165"/>
        <v>1.222789590484505</v>
      </c>
      <c r="T185" s="135" t="str">
        <f t="shared" si="147"/>
        <v>Policies not met</v>
      </c>
      <c r="U185" s="1240">
        <f t="shared" si="148"/>
        <v>0.85</v>
      </c>
      <c r="V185" s="135" t="str">
        <f t="shared" si="149"/>
        <v>Yes</v>
      </c>
      <c r="W185" s="1241">
        <f t="shared" si="150"/>
        <v>16.74153917236579</v>
      </c>
      <c r="X185" s="623">
        <f t="shared" si="151"/>
        <v>11.660691751867624</v>
      </c>
      <c r="Y185" s="118">
        <f t="shared" si="152"/>
        <v>4.5869674548764605</v>
      </c>
      <c r="Z185" s="608">
        <f t="shared" si="142"/>
        <v>0.49017483766308212</v>
      </c>
      <c r="AA185" s="608">
        <f t="shared" si="143"/>
        <v>0</v>
      </c>
      <c r="AB185" s="608">
        <f t="shared" si="144"/>
        <v>3.7051279586225467E-3</v>
      </c>
      <c r="AC185" s="608">
        <f t="shared" si="153"/>
        <v>16.74153917236579</v>
      </c>
      <c r="AD185" s="767">
        <f t="shared" si="145"/>
        <v>0</v>
      </c>
      <c r="AE185" s="730">
        <f t="shared" si="154"/>
        <v>0.69651252682400899</v>
      </c>
      <c r="AF185" s="483">
        <f t="shared" si="155"/>
        <v>0.27398720079739625</v>
      </c>
      <c r="AG185" s="483">
        <f t="shared" si="156"/>
        <v>2.9278958918674755E-2</v>
      </c>
      <c r="AH185" s="483">
        <f t="shared" si="157"/>
        <v>2.2131345992000361E-4</v>
      </c>
      <c r="AI185" s="483">
        <f t="shared" si="158"/>
        <v>2.2131345992000361E-4</v>
      </c>
      <c r="AJ185" s="604">
        <f t="shared" si="159"/>
        <v>1.00022131345992</v>
      </c>
      <c r="AK185" s="1400">
        <f t="shared" si="166"/>
        <v>10.573229176889846</v>
      </c>
      <c r="AL185" s="608">
        <f t="shared" si="167"/>
        <v>0.89412997615797285</v>
      </c>
      <c r="AM185" s="608">
        <f t="shared" si="168"/>
        <v>0.19333259881980491</v>
      </c>
      <c r="AN185" s="1401">
        <f t="shared" si="160"/>
        <v>11.660691751867624</v>
      </c>
      <c r="AO185" s="1402">
        <f t="shared" si="161"/>
        <v>0</v>
      </c>
    </row>
    <row r="186" spans="1:41">
      <c r="A186" s="127">
        <f>'Input data'!A127</f>
        <v>2027</v>
      </c>
      <c r="B186" s="749">
        <f>'Input data'!B127</f>
        <v>64.046000000000006</v>
      </c>
      <c r="C186" s="605">
        <f>'Input data'!C127</f>
        <v>3416.2799999999997</v>
      </c>
      <c r="D186" s="104">
        <f>'Input data'!E127</f>
        <v>50172070.130067617</v>
      </c>
      <c r="E186" s="602">
        <f>'Input data'!J127</f>
        <v>11.504772374209397</v>
      </c>
      <c r="F186" s="608">
        <f>'Input data'!L127/C146</f>
        <v>22.916086670087964</v>
      </c>
      <c r="G186" s="1351">
        <f>G136*(1-E5)</f>
        <v>8.2508449504462007</v>
      </c>
      <c r="H186" s="623">
        <f t="shared" si="136"/>
        <v>14.07005934170742</v>
      </c>
      <c r="I186" s="1238">
        <f t="shared" si="137"/>
        <v>14.686170375398861</v>
      </c>
      <c r="J186" s="730">
        <f t="shared" si="162"/>
        <v>0.32189563198349985</v>
      </c>
      <c r="K186" s="623">
        <f t="shared" si="163"/>
        <v>4.7274140944063694</v>
      </c>
      <c r="L186" s="608">
        <f t="shared" si="138"/>
        <v>0.96248877021284696</v>
      </c>
      <c r="M186" s="727">
        <f t="shared" si="146"/>
        <v>5.6899028646192162</v>
      </c>
      <c r="N186" s="729">
        <f>$C$27</f>
        <v>0.5</v>
      </c>
      <c r="O186" s="727">
        <f t="shared" si="139"/>
        <v>1.2888839921320325</v>
      </c>
      <c r="P186" s="779">
        <f t="shared" si="164"/>
        <v>5.1123975113092799</v>
      </c>
      <c r="Q186" s="623">
        <f t="shared" si="140"/>
        <v>17.208506780844342</v>
      </c>
      <c r="R186" s="608">
        <f t="shared" si="141"/>
        <v>8.9576618303981412</v>
      </c>
      <c r="S186" s="1240">
        <f t="shared" si="165"/>
        <v>1.2355820839049831</v>
      </c>
      <c r="T186" s="135" t="str">
        <f t="shared" si="147"/>
        <v>Policies not met</v>
      </c>
      <c r="U186" s="1240">
        <f t="shared" si="148"/>
        <v>0.85</v>
      </c>
      <c r="V186" s="135" t="str">
        <f t="shared" si="149"/>
        <v>Yes</v>
      </c>
      <c r="W186" s="1241">
        <f t="shared" si="150"/>
        <v>16.411886231530271</v>
      </c>
      <c r="X186" s="623">
        <f t="shared" si="151"/>
        <v>11.04621885597027</v>
      </c>
      <c r="Y186" s="118">
        <f t="shared" si="152"/>
        <v>4.8717874099382961</v>
      </c>
      <c r="Z186" s="608">
        <f t="shared" si="142"/>
        <v>0.49017483766308212</v>
      </c>
      <c r="AA186" s="608">
        <f t="shared" si="143"/>
        <v>0</v>
      </c>
      <c r="AB186" s="608">
        <f t="shared" si="144"/>
        <v>3.7051279586225467E-3</v>
      </c>
      <c r="AC186" s="608">
        <f t="shared" si="153"/>
        <v>16.411886231530271</v>
      </c>
      <c r="AD186" s="767">
        <f t="shared" si="145"/>
        <v>0</v>
      </c>
      <c r="AE186" s="730">
        <f t="shared" si="154"/>
        <v>0.67306211486821299</v>
      </c>
      <c r="AF186" s="483">
        <f t="shared" si="155"/>
        <v>0.2968450634625221</v>
      </c>
      <c r="AG186" s="483">
        <f t="shared" si="156"/>
        <v>2.9867062856027207E-2</v>
      </c>
      <c r="AH186" s="483">
        <f t="shared" si="157"/>
        <v>2.2575881323770757E-4</v>
      </c>
      <c r="AI186" s="483">
        <f t="shared" si="158"/>
        <v>2.2575881323770757E-4</v>
      </c>
      <c r="AJ186" s="604">
        <f t="shared" si="159"/>
        <v>1.0002257588132377</v>
      </c>
      <c r="AK186" s="1400">
        <f t="shared" si="166"/>
        <v>9.9587562809924925</v>
      </c>
      <c r="AL186" s="608">
        <f t="shared" si="167"/>
        <v>0.89412997615797285</v>
      </c>
      <c r="AM186" s="608">
        <f t="shared" si="168"/>
        <v>0.19333259881980491</v>
      </c>
      <c r="AN186" s="1401">
        <f t="shared" si="160"/>
        <v>11.04621885597027</v>
      </c>
      <c r="AO186" s="1402">
        <f t="shared" si="161"/>
        <v>0</v>
      </c>
    </row>
    <row r="187" spans="1:41">
      <c r="A187" s="127">
        <f>'Input data'!A128</f>
        <v>2028</v>
      </c>
      <c r="B187" s="748">
        <f>'Input data'!B128</f>
        <v>64.676000000000002</v>
      </c>
      <c r="C187" s="236">
        <f>'Input data'!C128</f>
        <v>3494.8800000000006</v>
      </c>
      <c r="D187" s="104">
        <f>'Input data'!E128</f>
        <v>50172070.130067617</v>
      </c>
      <c r="E187" s="602">
        <f>'Input data'!J128</f>
        <v>11.504772374209397</v>
      </c>
      <c r="F187" s="608">
        <f>'Input data'!L128/C147</f>
        <v>22.377482054264124</v>
      </c>
      <c r="G187" s="623">
        <f>($G$151-$G$146)/($A$151-$A$146)+G186</f>
        <v>7.5436296689793831</v>
      </c>
      <c r="H187" s="623">
        <f t="shared" si="136"/>
        <v>14.467310788566659</v>
      </c>
      <c r="I187" s="1238">
        <f t="shared" si="137"/>
        <v>14.355877778369388</v>
      </c>
      <c r="J187" s="730">
        <f t="shared" si="162"/>
        <v>0.34793042132233321</v>
      </c>
      <c r="K187" s="623">
        <f t="shared" si="163"/>
        <v>4.9948466038799824</v>
      </c>
      <c r="L187" s="608">
        <f t="shared" si="138"/>
        <v>0.96248877021284696</v>
      </c>
      <c r="M187" s="727">
        <f t="shared" si="146"/>
        <v>5.9573353740928292</v>
      </c>
      <c r="N187" s="730">
        <f>N186</f>
        <v>0.5</v>
      </c>
      <c r="O187" s="727">
        <f t="shared" si="139"/>
        <v>1.2888839921320325</v>
      </c>
      <c r="P187" s="779">
        <f t="shared" si="164"/>
        <v>5.4001587832047813</v>
      </c>
      <c r="Q187" s="623">
        <f t="shared" si="140"/>
        <v>16.610781674341261</v>
      </c>
      <c r="R187" s="608">
        <f t="shared" si="141"/>
        <v>9.0671520053618782</v>
      </c>
      <c r="S187" s="1240">
        <f t="shared" si="165"/>
        <v>1.2506846967419305</v>
      </c>
      <c r="T187" s="135" t="str">
        <f t="shared" si="147"/>
        <v>Policies not met</v>
      </c>
      <c r="U187" s="1240">
        <f t="shared" si="148"/>
        <v>0.85</v>
      </c>
      <c r="V187" s="135" t="str">
        <f t="shared" si="149"/>
        <v>Yes</v>
      </c>
      <c r="W187" s="1241">
        <f t="shared" si="150"/>
        <v>16.081593634500798</v>
      </c>
      <c r="X187" s="623">
        <f t="shared" si="151"/>
        <v>10.448493749467183</v>
      </c>
      <c r="Y187" s="118">
        <f t="shared" si="152"/>
        <v>5.139219919411909</v>
      </c>
      <c r="Z187" s="608">
        <f t="shared" si="142"/>
        <v>0.49017483766308212</v>
      </c>
      <c r="AA187" s="608">
        <f t="shared" si="143"/>
        <v>0</v>
      </c>
      <c r="AB187" s="608">
        <f t="shared" si="144"/>
        <v>3.7051279586225467E-3</v>
      </c>
      <c r="AC187" s="608">
        <f t="shared" si="153"/>
        <v>16.081593634500795</v>
      </c>
      <c r="AD187" s="767">
        <f t="shared" si="145"/>
        <v>0</v>
      </c>
      <c r="AE187" s="730">
        <f t="shared" si="154"/>
        <v>0.64971755828050592</v>
      </c>
      <c r="AF187" s="483">
        <f t="shared" si="155"/>
        <v>0.31957155716125274</v>
      </c>
      <c r="AG187" s="483">
        <f t="shared" si="156"/>
        <v>3.0480488986581591E-2</v>
      </c>
      <c r="AH187" s="483">
        <f t="shared" si="157"/>
        <v>2.3039557165987058E-4</v>
      </c>
      <c r="AI187" s="483">
        <f t="shared" si="158"/>
        <v>2.3039557165987058E-4</v>
      </c>
      <c r="AJ187" s="604">
        <f t="shared" si="159"/>
        <v>1.00023039557166</v>
      </c>
      <c r="AK187" s="1400">
        <f t="shared" si="166"/>
        <v>9.3610311744894048</v>
      </c>
      <c r="AL187" s="608">
        <f t="shared" si="167"/>
        <v>0.89412997615797285</v>
      </c>
      <c r="AM187" s="608">
        <f t="shared" si="168"/>
        <v>0.19333259881980491</v>
      </c>
      <c r="AN187" s="1401">
        <f t="shared" si="160"/>
        <v>10.448493749467183</v>
      </c>
      <c r="AO187" s="1402">
        <f t="shared" si="161"/>
        <v>0</v>
      </c>
    </row>
    <row r="188" spans="1:41">
      <c r="A188" s="127">
        <f>'Input data'!A129</f>
        <v>2029</v>
      </c>
      <c r="B188" s="748">
        <f>'Input data'!B129</f>
        <v>65.313000000000002</v>
      </c>
      <c r="C188" s="236">
        <f>'Input data'!C129</f>
        <v>3576.08</v>
      </c>
      <c r="D188" s="104">
        <f>'Input data'!E129</f>
        <v>50172070.130067617</v>
      </c>
      <c r="E188" s="602">
        <f>'Input data'!J129</f>
        <v>11.504772374209397</v>
      </c>
      <c r="F188" s="608">
        <f>'Input data'!L129/C148</f>
        <v>21.855040380108402</v>
      </c>
      <c r="G188" s="623">
        <f t="shared" ref="G188:G190" si="170">($G$151-$G$146)/($A$151-$A$146)+G187</f>
        <v>6.8364143875125656</v>
      </c>
      <c r="H188" s="623">
        <f t="shared" si="136"/>
        <v>14.86861813609362</v>
      </c>
      <c r="I188" s="1238">
        <f t="shared" si="137"/>
        <v>14.029907085430867</v>
      </c>
      <c r="J188" s="730">
        <f t="shared" si="162"/>
        <v>0.37396521066116656</v>
      </c>
      <c r="K188" s="623">
        <f t="shared" si="163"/>
        <v>5.2466971587597477</v>
      </c>
      <c r="L188" s="608">
        <f t="shared" si="138"/>
        <v>0.96248877021284696</v>
      </c>
      <c r="M188" s="727">
        <f t="shared" si="146"/>
        <v>6.2091859289725946</v>
      </c>
      <c r="N188" s="730">
        <f t="shared" ref="N188:N209" si="171">N187</f>
        <v>0.5</v>
      </c>
      <c r="O188" s="727">
        <f t="shared" si="139"/>
        <v>1.2888839921320325</v>
      </c>
      <c r="P188" s="779">
        <f t="shared" si="164"/>
        <v>5.6720720970832117</v>
      </c>
      <c r="Q188" s="623">
        <f t="shared" si="140"/>
        <v>16.032960426522973</v>
      </c>
      <c r="R188" s="608">
        <f t="shared" si="141"/>
        <v>9.196546039010407</v>
      </c>
      <c r="S188" s="1240">
        <f t="shared" si="165"/>
        <v>1.268532763879024</v>
      </c>
      <c r="T188" s="135" t="str">
        <f t="shared" si="147"/>
        <v>Policies not met</v>
      </c>
      <c r="U188" s="1240">
        <f t="shared" si="148"/>
        <v>0.85</v>
      </c>
      <c r="V188" s="135" t="str">
        <f t="shared" si="149"/>
        <v>Yes</v>
      </c>
      <c r="W188" s="1241">
        <f t="shared" si="150"/>
        <v>15.755622941562278</v>
      </c>
      <c r="X188" s="623">
        <f t="shared" si="151"/>
        <v>9.8706725016488974</v>
      </c>
      <c r="Y188" s="118">
        <f t="shared" si="152"/>
        <v>5.3910704742916744</v>
      </c>
      <c r="Z188" s="608">
        <f t="shared" si="142"/>
        <v>0.49017483766308212</v>
      </c>
      <c r="AA188" s="608">
        <f t="shared" si="143"/>
        <v>0</v>
      </c>
      <c r="AB188" s="608">
        <f t="shared" si="144"/>
        <v>3.7051279586225467E-3</v>
      </c>
      <c r="AC188" s="608">
        <f t="shared" si="153"/>
        <v>15.755622941562276</v>
      </c>
      <c r="AD188" s="767">
        <f t="shared" si="145"/>
        <v>0</v>
      </c>
      <c r="AE188" s="730">
        <f t="shared" si="154"/>
        <v>0.62648570216863508</v>
      </c>
      <c r="AF188" s="483">
        <f t="shared" si="155"/>
        <v>0.3421680306952759</v>
      </c>
      <c r="AG188" s="483">
        <f t="shared" si="156"/>
        <v>3.1111104872282375E-2</v>
      </c>
      <c r="AH188" s="483">
        <f t="shared" si="157"/>
        <v>2.35162263806699E-4</v>
      </c>
      <c r="AI188" s="483">
        <f t="shared" si="158"/>
        <v>2.35162263806699E-4</v>
      </c>
      <c r="AJ188" s="604">
        <f t="shared" si="159"/>
        <v>1.0002351622638066</v>
      </c>
      <c r="AK188" s="1400">
        <f t="shared" si="166"/>
        <v>8.7832099266711197</v>
      </c>
      <c r="AL188" s="608">
        <f t="shared" si="167"/>
        <v>0.89412997615797285</v>
      </c>
      <c r="AM188" s="608">
        <f t="shared" si="168"/>
        <v>0.19333259881980491</v>
      </c>
      <c r="AN188" s="1401">
        <f t="shared" si="160"/>
        <v>9.8706725016488974</v>
      </c>
      <c r="AO188" s="1402">
        <f t="shared" si="161"/>
        <v>0</v>
      </c>
    </row>
    <row r="189" spans="1:41">
      <c r="A189" s="127">
        <f>'Input data'!A130</f>
        <v>2030</v>
      </c>
      <c r="B189" s="749">
        <f>'Input data'!B130</f>
        <v>65.956000000000003</v>
      </c>
      <c r="C189" s="605">
        <f>'Input data'!C130</f>
        <v>3660.12</v>
      </c>
      <c r="D189" s="104">
        <f>'Input data'!E130</f>
        <v>50172070.130067617</v>
      </c>
      <c r="E189" s="602">
        <f>'Input data'!J130</f>
        <v>11.504772374209397</v>
      </c>
      <c r="F189" s="608">
        <f>'Input data'!L130/C149</f>
        <v>21.348153797343326</v>
      </c>
      <c r="G189" s="623">
        <f t="shared" si="170"/>
        <v>6.129199106045748</v>
      </c>
      <c r="H189" s="623">
        <f t="shared" si="136"/>
        <v>15.273519807466355</v>
      </c>
      <c r="I189" s="1238">
        <f t="shared" si="137"/>
        <v>13.707766447566641</v>
      </c>
      <c r="J189" s="477">
        <f>$H$19</f>
        <v>0.4</v>
      </c>
      <c r="K189" s="623">
        <f t="shared" si="163"/>
        <v>5.4831065790266571</v>
      </c>
      <c r="L189" s="608">
        <f t="shared" si="138"/>
        <v>0.96248877021284696</v>
      </c>
      <c r="M189" s="727">
        <f t="shared" si="146"/>
        <v>6.4455953492395039</v>
      </c>
      <c r="N189" s="730">
        <f t="shared" si="171"/>
        <v>0.5</v>
      </c>
      <c r="O189" s="727">
        <f t="shared" si="139"/>
        <v>1.2888839921320325</v>
      </c>
      <c r="P189" s="779">
        <f t="shared" si="164"/>
        <v>5.9283085451202693</v>
      </c>
      <c r="Q189" s="623">
        <f t="shared" si="140"/>
        <v>15.474410368391833</v>
      </c>
      <c r="R189" s="608">
        <f t="shared" si="141"/>
        <v>9.3452112623460852</v>
      </c>
      <c r="S189" s="1240">
        <f t="shared" si="165"/>
        <v>1.2890390176237179</v>
      </c>
      <c r="T189" s="135" t="str">
        <f t="shared" si="147"/>
        <v>Policies not met</v>
      </c>
      <c r="U189" s="1240">
        <f t="shared" si="148"/>
        <v>0.85</v>
      </c>
      <c r="V189" s="135" t="str">
        <f t="shared" si="149"/>
        <v>Yes</v>
      </c>
      <c r="W189" s="1241">
        <f t="shared" si="150"/>
        <v>15.433482303698051</v>
      </c>
      <c r="X189" s="623">
        <f t="shared" si="151"/>
        <v>9.3121224435177616</v>
      </c>
      <c r="Y189" s="118">
        <f t="shared" si="152"/>
        <v>5.6274798945585838</v>
      </c>
      <c r="Z189" s="608">
        <f t="shared" si="142"/>
        <v>0.49017483766308212</v>
      </c>
      <c r="AA189" s="608">
        <f t="shared" si="143"/>
        <v>0</v>
      </c>
      <c r="AB189" s="608">
        <f t="shared" si="144"/>
        <v>3.7051279586225467E-3</v>
      </c>
      <c r="AC189" s="608">
        <f t="shared" si="153"/>
        <v>15.43348230369805</v>
      </c>
      <c r="AD189" s="767">
        <f t="shared" si="145"/>
        <v>0</v>
      </c>
      <c r="AE189" s="730">
        <f t="shared" si="154"/>
        <v>0.60337144011150767</v>
      </c>
      <c r="AF189" s="483">
        <f t="shared" si="155"/>
        <v>0.36462800707071608</v>
      </c>
      <c r="AG189" s="483">
        <f t="shared" si="156"/>
        <v>3.176048204918927E-2</v>
      </c>
      <c r="AH189" s="483">
        <f t="shared" si="157"/>
        <v>2.4007076858699304E-4</v>
      </c>
      <c r="AI189" s="483">
        <f t="shared" si="158"/>
        <v>2.4007076858699304E-4</v>
      </c>
      <c r="AJ189" s="604">
        <f t="shared" si="159"/>
        <v>1.000240070768587</v>
      </c>
      <c r="AK189" s="1400">
        <f t="shared" si="166"/>
        <v>8.2246598685399839</v>
      </c>
      <c r="AL189" s="608">
        <f t="shared" si="167"/>
        <v>0.89412997615797285</v>
      </c>
      <c r="AM189" s="608">
        <f t="shared" si="168"/>
        <v>0.19333259881980491</v>
      </c>
      <c r="AN189" s="1401">
        <f t="shared" si="160"/>
        <v>9.3121224435177616</v>
      </c>
      <c r="AO189" s="1402">
        <f t="shared" si="161"/>
        <v>0</v>
      </c>
    </row>
    <row r="190" spans="1:41">
      <c r="A190" s="127">
        <f>'Input data'!A131</f>
        <v>2031</v>
      </c>
      <c r="B190" s="748">
        <f>'Input data'!B131</f>
        <v>66.519000000000005</v>
      </c>
      <c r="C190" s="236">
        <f>'Input data'!C131</f>
        <v>3761.03</v>
      </c>
      <c r="D190" s="104">
        <f>'Input data'!E131</f>
        <v>50172070.130067617</v>
      </c>
      <c r="E190" s="602">
        <f>'Input data'!J131</f>
        <v>11.504772374209397</v>
      </c>
      <c r="F190" s="608">
        <f>'Input data'!L131/C150</f>
        <v>21.035786670661476</v>
      </c>
      <c r="G190" s="623">
        <f t="shared" si="170"/>
        <v>5.4219838245789305</v>
      </c>
      <c r="H190" s="623">
        <f t="shared" si="136"/>
        <v>15.635586350694869</v>
      </c>
      <c r="I190" s="1238">
        <f t="shared" si="137"/>
        <v>13.339981369483256</v>
      </c>
      <c r="J190" s="483">
        <f>J189</f>
        <v>0.4</v>
      </c>
      <c r="K190" s="623">
        <f t="shared" si="163"/>
        <v>5.3359925477933032</v>
      </c>
      <c r="L190" s="608">
        <f t="shared" si="138"/>
        <v>0.96248877021284696</v>
      </c>
      <c r="M190" s="727">
        <f t="shared" si="146"/>
        <v>6.2984813180061501</v>
      </c>
      <c r="N190" s="730">
        <f t="shared" si="171"/>
        <v>0.5</v>
      </c>
      <c r="O190" s="727">
        <f t="shared" si="139"/>
        <v>1.2888839921320325</v>
      </c>
      <c r="P190" s="779">
        <f t="shared" si="164"/>
        <v>5.803830853731994</v>
      </c>
      <c r="Q190" s="623">
        <f t="shared" si="140"/>
        <v>15.253739321541804</v>
      </c>
      <c r="R190" s="608">
        <f t="shared" si="141"/>
        <v>9.8317554969628738</v>
      </c>
      <c r="S190" s="1240">
        <f t="shared" si="165"/>
        <v>1.3561508768010411</v>
      </c>
      <c r="T190" s="135" t="str">
        <f t="shared" si="147"/>
        <v>Policies not met</v>
      </c>
      <c r="U190" s="1240">
        <f t="shared" si="148"/>
        <v>0.85</v>
      </c>
      <c r="V190" s="135" t="str">
        <f t="shared" si="149"/>
        <v>Yes</v>
      </c>
      <c r="W190" s="1241">
        <f t="shared" si="150"/>
        <v>15.065697225614667</v>
      </c>
      <c r="X190" s="623">
        <f t="shared" si="151"/>
        <v>9.0914513966677308</v>
      </c>
      <c r="Y190" s="118">
        <f t="shared" si="152"/>
        <v>5.4803658633252299</v>
      </c>
      <c r="Z190" s="608">
        <f t="shared" si="142"/>
        <v>0.49017483766308212</v>
      </c>
      <c r="AA190" s="608">
        <f t="shared" si="143"/>
        <v>0</v>
      </c>
      <c r="AB190" s="608">
        <f t="shared" si="144"/>
        <v>3.7051279586225467E-3</v>
      </c>
      <c r="AC190" s="608">
        <f t="shared" si="153"/>
        <v>15.065697225614667</v>
      </c>
      <c r="AD190" s="767">
        <f t="shared" si="145"/>
        <v>0</v>
      </c>
      <c r="AE190" s="730">
        <f t="shared" si="154"/>
        <v>0.60345374399337215</v>
      </c>
      <c r="AF190" s="483">
        <f t="shared" si="155"/>
        <v>0.36376450298015572</v>
      </c>
      <c r="AG190" s="483">
        <f t="shared" si="156"/>
        <v>3.2535821629926819E-2</v>
      </c>
      <c r="AH190" s="483">
        <f t="shared" si="157"/>
        <v>2.4593139654519909E-4</v>
      </c>
      <c r="AI190" s="483">
        <f t="shared" si="158"/>
        <v>2.4593139654519909E-4</v>
      </c>
      <c r="AJ190" s="604">
        <f t="shared" si="159"/>
        <v>1.0002459313965451</v>
      </c>
      <c r="AK190" s="1400">
        <f t="shared" si="166"/>
        <v>8.0039888216899531</v>
      </c>
      <c r="AL190" s="608">
        <f t="shared" si="167"/>
        <v>0.89412997615797285</v>
      </c>
      <c r="AM190" s="608">
        <f t="shared" si="168"/>
        <v>0.19333259881980491</v>
      </c>
      <c r="AN190" s="1401">
        <f t="shared" si="160"/>
        <v>9.0914513966677308</v>
      </c>
      <c r="AO190" s="1402">
        <f t="shared" si="161"/>
        <v>0</v>
      </c>
    </row>
    <row r="191" spans="1:41">
      <c r="A191" s="127">
        <f>'Input data'!A132</f>
        <v>2032</v>
      </c>
      <c r="B191" s="748">
        <f>'Input data'!B132</f>
        <v>67.087000000000003</v>
      </c>
      <c r="C191" s="236">
        <f>'Input data'!C132</f>
        <v>3857.2</v>
      </c>
      <c r="D191" s="104">
        <f>'Input data'!E132</f>
        <v>50172070.130067617</v>
      </c>
      <c r="E191" s="602">
        <f>'Input data'!J132</f>
        <v>11.504772374209397</v>
      </c>
      <c r="F191" s="608">
        <f>'Input data'!L132/C151</f>
        <v>20.751092032077636</v>
      </c>
      <c r="G191" s="858">
        <f>G136*(1-E6)</f>
        <v>4.7147685431121138</v>
      </c>
      <c r="H191" s="623">
        <f t="shared" si="136"/>
        <v>16.030672096575771</v>
      </c>
      <c r="I191" s="1238">
        <f t="shared" si="137"/>
        <v>13.007381035483672</v>
      </c>
      <c r="J191" s="483">
        <f t="shared" ref="J191:J209" si="172">J190</f>
        <v>0.4</v>
      </c>
      <c r="K191" s="623">
        <f t="shared" si="163"/>
        <v>5.2029524141934687</v>
      </c>
      <c r="L191" s="608">
        <f t="shared" si="138"/>
        <v>0.96248877021284696</v>
      </c>
      <c r="M191" s="727">
        <f t="shared" si="146"/>
        <v>6.1654411844063155</v>
      </c>
      <c r="N191" s="730">
        <f t="shared" si="171"/>
        <v>0.5</v>
      </c>
      <c r="O191" s="727">
        <f t="shared" si="139"/>
        <v>1.2888839921320325</v>
      </c>
      <c r="P191" s="779">
        <f t="shared" si="164"/>
        <v>5.6912615185458311</v>
      </c>
      <c r="Q191" s="623">
        <f t="shared" si="140"/>
        <v>15.054179121142054</v>
      </c>
      <c r="R191" s="608">
        <f t="shared" si="141"/>
        <v>10.339410578029941</v>
      </c>
      <c r="S191" s="1240">
        <f t="shared" si="165"/>
        <v>1.4261746770790564</v>
      </c>
      <c r="T191" s="135" t="str">
        <f t="shared" si="147"/>
        <v>Policies not met</v>
      </c>
      <c r="U191" s="1240">
        <f t="shared" si="148"/>
        <v>0.85</v>
      </c>
      <c r="V191" s="135" t="str">
        <f t="shared" si="149"/>
        <v>Yes</v>
      </c>
      <c r="W191" s="1241">
        <f t="shared" si="150"/>
        <v>14.733096891615082</v>
      </c>
      <c r="X191" s="623">
        <f t="shared" si="151"/>
        <v>8.8918911962679807</v>
      </c>
      <c r="Y191" s="118">
        <f t="shared" si="152"/>
        <v>5.3473257297253953</v>
      </c>
      <c r="Z191" s="608">
        <f t="shared" si="142"/>
        <v>0.49017483766308212</v>
      </c>
      <c r="AA191" s="608">
        <f t="shared" si="143"/>
        <v>0</v>
      </c>
      <c r="AB191" s="608">
        <f t="shared" si="144"/>
        <v>3.7051279586225467E-3</v>
      </c>
      <c r="AC191" s="608">
        <f t="shared" si="153"/>
        <v>14.73309689161508</v>
      </c>
      <c r="AD191" s="767">
        <f t="shared" si="145"/>
        <v>0</v>
      </c>
      <c r="AE191" s="730">
        <f t="shared" si="154"/>
        <v>0.60353171242147641</v>
      </c>
      <c r="AF191" s="483">
        <f t="shared" si="155"/>
        <v>0.36294648498298226</v>
      </c>
      <c r="AG191" s="483">
        <f t="shared" si="156"/>
        <v>3.3270319286507311E-2</v>
      </c>
      <c r="AH191" s="483">
        <f t="shared" si="157"/>
        <v>2.514833090340439E-4</v>
      </c>
      <c r="AI191" s="483">
        <f t="shared" si="158"/>
        <v>2.514833090340439E-4</v>
      </c>
      <c r="AJ191" s="604">
        <f t="shared" si="159"/>
        <v>1.0002514833090344</v>
      </c>
      <c r="AK191" s="1400">
        <f t="shared" si="166"/>
        <v>7.804428621290203</v>
      </c>
      <c r="AL191" s="608">
        <f t="shared" si="167"/>
        <v>0.89412997615797285</v>
      </c>
      <c r="AM191" s="608">
        <f t="shared" si="168"/>
        <v>0.19333259881980491</v>
      </c>
      <c r="AN191" s="1401">
        <f t="shared" si="160"/>
        <v>8.8918911962679807</v>
      </c>
      <c r="AO191" s="1402">
        <f t="shared" si="161"/>
        <v>0</v>
      </c>
    </row>
    <row r="192" spans="1:41">
      <c r="A192" s="127">
        <f>'Input data'!A133</f>
        <v>2033</v>
      </c>
      <c r="B192" s="748">
        <f>'Input data'!B133</f>
        <v>67.659000000000006</v>
      </c>
      <c r="C192" s="236">
        <f>'Input data'!C133</f>
        <v>3964.01</v>
      </c>
      <c r="D192" s="104">
        <f>'Input data'!E133</f>
        <v>50172070.130067617</v>
      </c>
      <c r="E192" s="602">
        <f>'Input data'!J133</f>
        <v>11.504772374209397</v>
      </c>
      <c r="F192" s="608">
        <f>'Input data'!L133/C152</f>
        <v>20.456156873560708</v>
      </c>
      <c r="G192" s="623">
        <f>G191</f>
        <v>4.7147685431121138</v>
      </c>
      <c r="H192" s="623">
        <f t="shared" si="136"/>
        <v>15.701760473084342</v>
      </c>
      <c r="I192" s="1238">
        <f t="shared" si="137"/>
        <v>12.656897972020154</v>
      </c>
      <c r="J192" s="483">
        <f t="shared" si="172"/>
        <v>0.4</v>
      </c>
      <c r="K192" s="623">
        <f t="shared" si="163"/>
        <v>5.0627591888080623</v>
      </c>
      <c r="L192" s="608">
        <f t="shared" si="138"/>
        <v>0.96248877021284696</v>
      </c>
      <c r="M192" s="727">
        <f t="shared" si="146"/>
        <v>6.0252479590209091</v>
      </c>
      <c r="N192" s="730">
        <f t="shared" si="171"/>
        <v>0.5</v>
      </c>
      <c r="O192" s="727">
        <f t="shared" si="139"/>
        <v>1.2888839921320325</v>
      </c>
      <c r="P192" s="779">
        <f t="shared" si="164"/>
        <v>5.5726397331325099</v>
      </c>
      <c r="Q192" s="623">
        <f t="shared" si="140"/>
        <v>14.843889283063946</v>
      </c>
      <c r="R192" s="608">
        <f t="shared" si="141"/>
        <v>10.129120739951833</v>
      </c>
      <c r="S192" s="1240">
        <f t="shared" si="165"/>
        <v>1.3971681839476844</v>
      </c>
      <c r="T192" s="135" t="str">
        <f t="shared" si="147"/>
        <v>Policies not met</v>
      </c>
      <c r="U192" s="1240">
        <f t="shared" si="148"/>
        <v>0.85</v>
      </c>
      <c r="V192" s="135" t="str">
        <f t="shared" si="149"/>
        <v>Yes</v>
      </c>
      <c r="W192" s="1241">
        <f t="shared" si="150"/>
        <v>14.382613828151564</v>
      </c>
      <c r="X192" s="623">
        <f t="shared" si="151"/>
        <v>8.6816013581898694</v>
      </c>
      <c r="Y192" s="118">
        <f t="shared" si="152"/>
        <v>5.207132504339989</v>
      </c>
      <c r="Z192" s="608">
        <f t="shared" si="142"/>
        <v>0.49017483766308212</v>
      </c>
      <c r="AA192" s="608">
        <f t="shared" si="143"/>
        <v>0</v>
      </c>
      <c r="AB192" s="608">
        <f t="shared" si="144"/>
        <v>3.7051279586225467E-3</v>
      </c>
      <c r="AC192" s="608">
        <f t="shared" si="153"/>
        <v>14.382613828151563</v>
      </c>
      <c r="AD192" s="767">
        <f t="shared" si="145"/>
        <v>0</v>
      </c>
      <c r="AE192" s="730">
        <f t="shared" si="154"/>
        <v>0.60361777503871272</v>
      </c>
      <c r="AF192" s="483">
        <f t="shared" si="155"/>
        <v>0.3620435455305</v>
      </c>
      <c r="AG192" s="483">
        <f t="shared" si="156"/>
        <v>3.4081067844820165E-2</v>
      </c>
      <c r="AH192" s="483">
        <f t="shared" si="157"/>
        <v>2.576115859671055E-4</v>
      </c>
      <c r="AI192" s="483">
        <f t="shared" si="158"/>
        <v>2.576115859671055E-4</v>
      </c>
      <c r="AJ192" s="604">
        <f t="shared" si="159"/>
        <v>1.0002576115859672</v>
      </c>
      <c r="AK192" s="1400">
        <f t="shared" si="166"/>
        <v>7.5941387832120917</v>
      </c>
      <c r="AL192" s="608">
        <f t="shared" si="167"/>
        <v>0.89412997615797285</v>
      </c>
      <c r="AM192" s="608">
        <f t="shared" si="168"/>
        <v>0.19333259881980491</v>
      </c>
      <c r="AN192" s="1401">
        <f t="shared" si="160"/>
        <v>8.6816013581898694</v>
      </c>
      <c r="AO192" s="1402">
        <f t="shared" si="161"/>
        <v>0</v>
      </c>
    </row>
    <row r="193" spans="1:41">
      <c r="A193" s="127">
        <f>'Input data'!A134</f>
        <v>2034</v>
      </c>
      <c r="B193" s="748">
        <f>'Input data'!B134</f>
        <v>68.236999999999995</v>
      </c>
      <c r="C193" s="236">
        <f>'Input data'!C134</f>
        <v>4078.22</v>
      </c>
      <c r="D193" s="104">
        <f>'Input data'!E134</f>
        <v>50172070.130067617</v>
      </c>
      <c r="E193" s="602">
        <f>'Input data'!J134</f>
        <v>11.504772374209397</v>
      </c>
      <c r="F193" s="608">
        <f>'Input data'!L134/C153</f>
        <v>20.160963348266169</v>
      </c>
      <c r="G193" s="623">
        <f t="shared" ref="G193:G209" si="173">G192</f>
        <v>4.7147685431121138</v>
      </c>
      <c r="H193" s="623">
        <f t="shared" si="136"/>
        <v>15.36912164202316</v>
      </c>
      <c r="I193" s="1238">
        <f t="shared" si="137"/>
        <v>12.302443254671797</v>
      </c>
      <c r="J193" s="483">
        <f t="shared" si="172"/>
        <v>0.4</v>
      </c>
      <c r="K193" s="623">
        <f t="shared" si="163"/>
        <v>4.9209773018687191</v>
      </c>
      <c r="L193" s="608">
        <f t="shared" si="138"/>
        <v>0.96248877021284696</v>
      </c>
      <c r="M193" s="727">
        <f t="shared" si="146"/>
        <v>5.8834660720815659</v>
      </c>
      <c r="N193" s="730">
        <f t="shared" si="171"/>
        <v>0.5</v>
      </c>
      <c r="O193" s="727">
        <f t="shared" si="139"/>
        <v>1.2888839921320325</v>
      </c>
      <c r="P193" s="779">
        <f t="shared" si="164"/>
        <v>5.4526737324803474</v>
      </c>
      <c r="Q193" s="623">
        <f t="shared" si="140"/>
        <v>14.631216452654927</v>
      </c>
      <c r="R193" s="608">
        <f t="shared" si="141"/>
        <v>9.9164479095428142</v>
      </c>
      <c r="S193" s="1240">
        <f t="shared" si="165"/>
        <v>1.3678329909071298</v>
      </c>
      <c r="T193" s="135" t="str">
        <f t="shared" si="147"/>
        <v>Policies not met</v>
      </c>
      <c r="U193" s="1240">
        <f t="shared" si="148"/>
        <v>0.85</v>
      </c>
      <c r="V193" s="135" t="str">
        <f t="shared" si="149"/>
        <v>Yes</v>
      </c>
      <c r="W193" s="1241">
        <f t="shared" si="150"/>
        <v>14.028159110803207</v>
      </c>
      <c r="X193" s="623">
        <f t="shared" si="151"/>
        <v>8.4689285277808555</v>
      </c>
      <c r="Y193" s="118">
        <f t="shared" si="152"/>
        <v>5.0653506174006457</v>
      </c>
      <c r="Z193" s="608">
        <f t="shared" si="142"/>
        <v>0.49017483766308212</v>
      </c>
      <c r="AA193" s="608">
        <f t="shared" si="143"/>
        <v>0</v>
      </c>
      <c r="AB193" s="608">
        <f t="shared" si="144"/>
        <v>3.7051279586225467E-3</v>
      </c>
      <c r="AC193" s="608">
        <f t="shared" si="153"/>
        <v>14.028159110803205</v>
      </c>
      <c r="AD193" s="767">
        <f t="shared" si="145"/>
        <v>0</v>
      </c>
      <c r="AE193" s="730">
        <f t="shared" si="154"/>
        <v>0.60370918670710405</v>
      </c>
      <c r="AF193" s="483">
        <f t="shared" si="155"/>
        <v>0.36108448566852769</v>
      </c>
      <c r="AG193" s="483">
        <f t="shared" si="156"/>
        <v>3.4942206870578925E-2</v>
      </c>
      <c r="AH193" s="483">
        <f t="shared" si="157"/>
        <v>2.6412075378936899E-4</v>
      </c>
      <c r="AI193" s="483">
        <f t="shared" si="158"/>
        <v>2.6412075378936899E-4</v>
      </c>
      <c r="AJ193" s="604">
        <f t="shared" si="159"/>
        <v>1.0002641207537895</v>
      </c>
      <c r="AK193" s="1400">
        <f t="shared" si="166"/>
        <v>7.3814659528030777</v>
      </c>
      <c r="AL193" s="608">
        <f t="shared" si="167"/>
        <v>0.89412997615797285</v>
      </c>
      <c r="AM193" s="608">
        <f t="shared" si="168"/>
        <v>0.19333259881980491</v>
      </c>
      <c r="AN193" s="1401">
        <f t="shared" si="160"/>
        <v>8.4689285277808555</v>
      </c>
      <c r="AO193" s="1402">
        <f t="shared" si="161"/>
        <v>0</v>
      </c>
    </row>
    <row r="194" spans="1:41">
      <c r="A194" s="127">
        <f>'Input data'!A135</f>
        <v>2035</v>
      </c>
      <c r="B194" s="748">
        <f>'Input data'!B135</f>
        <v>68.819000000000003</v>
      </c>
      <c r="C194" s="236">
        <f>'Input data'!C135</f>
        <v>4200.2899999999991</v>
      </c>
      <c r="D194" s="104">
        <f>'Input data'!E135</f>
        <v>50172070.130067617</v>
      </c>
      <c r="E194" s="602">
        <f>'Input data'!J135</f>
        <v>11.504772374209397</v>
      </c>
      <c r="F194" s="608">
        <f>'Input data'!L135/C154</f>
        <v>19.866177096064803</v>
      </c>
      <c r="G194" s="623">
        <f t="shared" si="173"/>
        <v>4.7147685431121138</v>
      </c>
      <c r="H194" s="623">
        <f t="shared" si="136"/>
        <v>15.033590199560145</v>
      </c>
      <c r="I194" s="1238">
        <f t="shared" si="137"/>
        <v>11.944906216015472</v>
      </c>
      <c r="J194" s="483">
        <f t="shared" si="172"/>
        <v>0.4</v>
      </c>
      <c r="K194" s="623">
        <f t="shared" si="163"/>
        <v>4.7779624864061887</v>
      </c>
      <c r="L194" s="608">
        <f t="shared" si="138"/>
        <v>0.96248877021284696</v>
      </c>
      <c r="M194" s="727">
        <f t="shared" si="146"/>
        <v>5.7404512566190355</v>
      </c>
      <c r="N194" s="730">
        <f t="shared" si="171"/>
        <v>0.5</v>
      </c>
      <c r="O194" s="727">
        <f t="shared" si="139"/>
        <v>1.2888839921320325</v>
      </c>
      <c r="P194" s="779">
        <f t="shared" si="164"/>
        <v>5.331664513211126</v>
      </c>
      <c r="Q194" s="623">
        <f t="shared" si="140"/>
        <v>14.416694229461132</v>
      </c>
      <c r="R194" s="608">
        <f t="shared" si="141"/>
        <v>9.7019256863490178</v>
      </c>
      <c r="S194" s="1240">
        <f t="shared" si="165"/>
        <v>1.3382427004277291</v>
      </c>
      <c r="T194" s="135" t="str">
        <f t="shared" si="147"/>
        <v>Policies not met</v>
      </c>
      <c r="U194" s="1240">
        <f t="shared" si="148"/>
        <v>0.85</v>
      </c>
      <c r="V194" s="135" t="str">
        <f t="shared" si="149"/>
        <v>Yes</v>
      </c>
      <c r="W194" s="1241">
        <f t="shared" si="150"/>
        <v>13.670622072146882</v>
      </c>
      <c r="X194" s="623">
        <f t="shared" si="151"/>
        <v>8.2544063045870608</v>
      </c>
      <c r="Y194" s="118">
        <f t="shared" si="152"/>
        <v>4.9223358019381154</v>
      </c>
      <c r="Z194" s="608">
        <f t="shared" si="142"/>
        <v>0.49017483766308212</v>
      </c>
      <c r="AA194" s="608">
        <f t="shared" si="143"/>
        <v>0</v>
      </c>
      <c r="AB194" s="608">
        <f t="shared" si="144"/>
        <v>3.7051279586225467E-3</v>
      </c>
      <c r="AC194" s="608">
        <f t="shared" si="153"/>
        <v>13.67062207214688</v>
      </c>
      <c r="AD194" s="767">
        <f t="shared" si="145"/>
        <v>0</v>
      </c>
      <c r="AE194" s="730">
        <f t="shared" si="154"/>
        <v>0.60380619557942039</v>
      </c>
      <c r="AF194" s="483">
        <f t="shared" si="155"/>
        <v>0.36006670186334067</v>
      </c>
      <c r="AG194" s="483">
        <f t="shared" si="156"/>
        <v>3.5856074074477245E-2</v>
      </c>
      <c r="AH194" s="483">
        <f t="shared" si="157"/>
        <v>2.7102848276169784E-4</v>
      </c>
      <c r="AI194" s="483">
        <f t="shared" si="158"/>
        <v>2.7102848276169784E-4</v>
      </c>
      <c r="AJ194" s="604">
        <f t="shared" si="159"/>
        <v>1.0002710284827616</v>
      </c>
      <c r="AK194" s="1400">
        <f t="shared" si="166"/>
        <v>7.1669437296092831</v>
      </c>
      <c r="AL194" s="608">
        <f t="shared" si="167"/>
        <v>0.89412997615797285</v>
      </c>
      <c r="AM194" s="608">
        <f t="shared" si="168"/>
        <v>0.19333259881980491</v>
      </c>
      <c r="AN194" s="1401">
        <f t="shared" si="160"/>
        <v>8.2544063045870608</v>
      </c>
      <c r="AO194" s="1402">
        <f t="shared" si="161"/>
        <v>0</v>
      </c>
    </row>
    <row r="195" spans="1:41">
      <c r="A195" s="127">
        <f>'Input data'!A136</f>
        <v>2036</v>
      </c>
      <c r="B195" s="748">
        <f>'Input data'!B136</f>
        <v>69.322999999999993</v>
      </c>
      <c r="C195" s="236">
        <f>'Input data'!C136</f>
        <v>4325.9699999999993</v>
      </c>
      <c r="D195" s="104">
        <f>'Input data'!E136</f>
        <v>50172070.130067617</v>
      </c>
      <c r="E195" s="602">
        <f>'Input data'!J136</f>
        <v>11.504772374209397</v>
      </c>
      <c r="F195" s="608">
        <f>'Input data'!L136/C155</f>
        <v>18.967929955892046</v>
      </c>
      <c r="G195" s="623">
        <f t="shared" si="173"/>
        <v>4.7147685431121138</v>
      </c>
      <c r="H195" s="623">
        <f t="shared" si="136"/>
        <v>14.70792031654512</v>
      </c>
      <c r="I195" s="1238">
        <f t="shared" si="137"/>
        <v>11.597877500321921</v>
      </c>
      <c r="J195" s="483">
        <f t="shared" si="172"/>
        <v>0.4</v>
      </c>
      <c r="K195" s="623">
        <f t="shared" si="163"/>
        <v>4.639151000128769</v>
      </c>
      <c r="L195" s="608">
        <f t="shared" si="138"/>
        <v>0.96248877021284696</v>
      </c>
      <c r="M195" s="727">
        <f t="shared" si="146"/>
        <v>5.6016397703416159</v>
      </c>
      <c r="N195" s="730">
        <f t="shared" si="171"/>
        <v>0.5</v>
      </c>
      <c r="O195" s="727">
        <f t="shared" si="139"/>
        <v>1.2888839921320325</v>
      </c>
      <c r="P195" s="779">
        <f t="shared" si="164"/>
        <v>5.2142118596122291</v>
      </c>
      <c r="Q195" s="623">
        <f t="shared" si="140"/>
        <v>14.208477000045006</v>
      </c>
      <c r="R195" s="608">
        <f t="shared" si="141"/>
        <v>9.4937084569328931</v>
      </c>
      <c r="S195" s="1240">
        <f t="shared" si="165"/>
        <v>1.3095220941916406</v>
      </c>
      <c r="T195" s="135" t="str">
        <f t="shared" si="147"/>
        <v>Policies not met</v>
      </c>
      <c r="U195" s="1240">
        <f t="shared" si="148"/>
        <v>0.85</v>
      </c>
      <c r="V195" s="135" t="str">
        <f t="shared" si="149"/>
        <v>Yes</v>
      </c>
      <c r="W195" s="1241">
        <f t="shared" si="150"/>
        <v>13.323593356453332</v>
      </c>
      <c r="X195" s="623">
        <f t="shared" si="151"/>
        <v>8.0461890751709308</v>
      </c>
      <c r="Y195" s="118">
        <f t="shared" si="152"/>
        <v>4.7835243156606957</v>
      </c>
      <c r="Z195" s="608">
        <f t="shared" si="142"/>
        <v>0.49017483766308212</v>
      </c>
      <c r="AA195" s="608">
        <f t="shared" si="143"/>
        <v>0</v>
      </c>
      <c r="AB195" s="608">
        <f t="shared" si="144"/>
        <v>3.7051279586225467E-3</v>
      </c>
      <c r="AC195" s="608">
        <f t="shared" si="153"/>
        <v>13.323593356453332</v>
      </c>
      <c r="AD195" s="767">
        <f>AC195-W195</f>
        <v>0</v>
      </c>
      <c r="AE195" s="730">
        <f t="shared" si="154"/>
        <v>0.60390533243599254</v>
      </c>
      <c r="AF195" s="483">
        <f t="shared" si="155"/>
        <v>0.35902659197743964</v>
      </c>
      <c r="AG195" s="483">
        <f t="shared" si="156"/>
        <v>3.6789987847059599E-2</v>
      </c>
      <c r="AH195" s="483">
        <f t="shared" si="157"/>
        <v>2.7808773950819762E-4</v>
      </c>
      <c r="AI195" s="483">
        <f t="shared" si="158"/>
        <v>2.7808773950819762E-4</v>
      </c>
      <c r="AJ195" s="604">
        <f t="shared" si="159"/>
        <v>1.0002780877395081</v>
      </c>
      <c r="AK195" s="1400">
        <f t="shared" si="166"/>
        <v>6.9587265001931522</v>
      </c>
      <c r="AL195" s="608">
        <f t="shared" si="167"/>
        <v>0.89412997615797285</v>
      </c>
      <c r="AM195" s="608">
        <f t="shared" si="168"/>
        <v>0.19333259881980491</v>
      </c>
      <c r="AN195" s="1401">
        <f t="shared" si="160"/>
        <v>8.0461890751709291</v>
      </c>
      <c r="AO195" s="1402">
        <f t="shared" si="161"/>
        <v>0</v>
      </c>
    </row>
    <row r="196" spans="1:41">
      <c r="A196" s="127">
        <f>'Input data'!A137</f>
        <v>2037</v>
      </c>
      <c r="B196" s="749">
        <f>'Input data'!B137</f>
        <v>69.83</v>
      </c>
      <c r="C196" s="605">
        <f>'Input data'!C137</f>
        <v>4457.0000000000018</v>
      </c>
      <c r="D196" s="104">
        <f>'Input data'!E137</f>
        <v>50172070.130067617</v>
      </c>
      <c r="E196" s="602">
        <f>'Input data'!J137</f>
        <v>11.504772374209397</v>
      </c>
      <c r="F196" s="608">
        <f>'Input data'!L137/C156</f>
        <v>18.112460722448418</v>
      </c>
      <c r="G196" s="623">
        <f t="shared" si="173"/>
        <v>4.7147685431121138</v>
      </c>
      <c r="H196" s="623">
        <f t="shared" si="136"/>
        <v>14.387943281814074</v>
      </c>
      <c r="I196" s="1238">
        <f t="shared" si="137"/>
        <v>11.256914994406012</v>
      </c>
      <c r="J196" s="477">
        <f t="shared" si="172"/>
        <v>0.4</v>
      </c>
      <c r="K196" s="623">
        <f t="shared" si="163"/>
        <v>4.5027659977624053</v>
      </c>
      <c r="L196" s="608">
        <f t="shared" si="138"/>
        <v>0.96248877021284696</v>
      </c>
      <c r="M196" s="727">
        <f t="shared" si="146"/>
        <v>5.4652547679752521</v>
      </c>
      <c r="N196" s="730">
        <f t="shared" si="171"/>
        <v>0.5</v>
      </c>
      <c r="O196" s="727">
        <f t="shared" si="139"/>
        <v>1.2888839921320325</v>
      </c>
      <c r="P196" s="779">
        <f t="shared" si="164"/>
        <v>5.0988123284307303</v>
      </c>
      <c r="Q196" s="623">
        <f t="shared" si="140"/>
        <v>14.003899496495459</v>
      </c>
      <c r="R196" s="608">
        <f t="shared" si="141"/>
        <v>9.2891309533833457</v>
      </c>
      <c r="S196" s="1240">
        <f t="shared" si="165"/>
        <v>1.2813035363869651</v>
      </c>
      <c r="T196" s="135" t="str">
        <f t="shared" si="147"/>
        <v>Policies not met</v>
      </c>
      <c r="U196" s="1240">
        <f t="shared" si="148"/>
        <v>0.85</v>
      </c>
      <c r="V196" s="135" t="str">
        <f t="shared" si="149"/>
        <v>Yes</v>
      </c>
      <c r="W196" s="1241">
        <f t="shared" si="150"/>
        <v>12.982630850537422</v>
      </c>
      <c r="X196" s="623">
        <f t="shared" si="151"/>
        <v>7.8416115716213843</v>
      </c>
      <c r="Y196" s="118">
        <f t="shared" si="152"/>
        <v>4.6471393132943319</v>
      </c>
      <c r="Z196" s="608">
        <f t="shared" si="142"/>
        <v>0.49017483766308212</v>
      </c>
      <c r="AA196" s="608">
        <f t="shared" si="143"/>
        <v>0</v>
      </c>
      <c r="AB196" s="608">
        <f t="shared" si="144"/>
        <v>3.7051279586225467E-3</v>
      </c>
      <c r="AC196" s="608">
        <f t="shared" si="153"/>
        <v>12.982630850537422</v>
      </c>
      <c r="AD196" s="767">
        <f t="shared" ref="AD196:AD209" si="174">AC196-W196</f>
        <v>0</v>
      </c>
      <c r="AE196" s="730">
        <f t="shared" si="154"/>
        <v>0.60400789808305899</v>
      </c>
      <c r="AF196" s="483">
        <f t="shared" si="155"/>
        <v>0.35795050839806952</v>
      </c>
      <c r="AG196" s="483">
        <f t="shared" si="156"/>
        <v>3.7756202368088673E-2</v>
      </c>
      <c r="AH196" s="483">
        <f t="shared" si="157"/>
        <v>2.8539115078275306E-4</v>
      </c>
      <c r="AI196" s="483">
        <f t="shared" si="158"/>
        <v>2.8539115078275306E-4</v>
      </c>
      <c r="AJ196" s="604">
        <f t="shared" si="159"/>
        <v>1.0002853911507827</v>
      </c>
      <c r="AK196" s="1400">
        <f t="shared" si="166"/>
        <v>6.7541489966436066</v>
      </c>
      <c r="AL196" s="608">
        <f t="shared" si="167"/>
        <v>0.89412997615797285</v>
      </c>
      <c r="AM196" s="608">
        <f t="shared" si="168"/>
        <v>0.19333259881980491</v>
      </c>
      <c r="AN196" s="1401">
        <f t="shared" si="160"/>
        <v>7.8416115716213843</v>
      </c>
      <c r="AO196" s="1402">
        <f t="shared" si="161"/>
        <v>0</v>
      </c>
    </row>
    <row r="197" spans="1:41">
      <c r="A197" s="127">
        <f>'Input data'!A138</f>
        <v>2038</v>
      </c>
      <c r="B197" s="748">
        <f>'Input data'!B138</f>
        <v>70.341999999999999</v>
      </c>
      <c r="C197" s="236">
        <f>'Input data'!C138</f>
        <v>4590.03</v>
      </c>
      <c r="D197" s="104">
        <f>'Input data'!E138</f>
        <v>50172070.130067617</v>
      </c>
      <c r="E197" s="602">
        <f>'Input data'!J138</f>
        <v>11.504772374209397</v>
      </c>
      <c r="F197" s="608">
        <f>'Input data'!L138/C157</f>
        <v>17.303326660907082</v>
      </c>
      <c r="G197" s="623">
        <f t="shared" si="173"/>
        <v>4.7147685431121138</v>
      </c>
      <c r="H197" s="623">
        <f t="shared" si="136"/>
        <v>14.081771163635917</v>
      </c>
      <c r="I197" s="1238">
        <f t="shared" si="137"/>
        <v>10.930662790889738</v>
      </c>
      <c r="J197" s="483">
        <f t="shared" si="172"/>
        <v>0.4</v>
      </c>
      <c r="K197" s="623">
        <f t="shared" si="163"/>
        <v>4.3722651163558952</v>
      </c>
      <c r="L197" s="608">
        <f t="shared" si="138"/>
        <v>0.96248877021284696</v>
      </c>
      <c r="M197" s="727">
        <f t="shared" si="146"/>
        <v>5.3347538865687421</v>
      </c>
      <c r="N197" s="730">
        <f t="shared" si="171"/>
        <v>0.5</v>
      </c>
      <c r="O197" s="727">
        <f t="shared" si="139"/>
        <v>1.2888839921320325</v>
      </c>
      <c r="P197" s="779">
        <f t="shared" si="164"/>
        <v>4.9883915323623373</v>
      </c>
      <c r="Q197" s="623">
        <f t="shared" si="140"/>
        <v>13.808148174385694</v>
      </c>
      <c r="R197" s="608">
        <f t="shared" si="141"/>
        <v>9.0933796312735815</v>
      </c>
      <c r="S197" s="1240">
        <f t="shared" si="165"/>
        <v>1.2543024248157786</v>
      </c>
      <c r="T197" s="135" t="str">
        <f t="shared" si="147"/>
        <v>Policies not met</v>
      </c>
      <c r="U197" s="1240">
        <f t="shared" si="148"/>
        <v>0.85</v>
      </c>
      <c r="V197" s="135" t="str">
        <f t="shared" si="149"/>
        <v>Yes</v>
      </c>
      <c r="W197" s="1241">
        <f t="shared" si="150"/>
        <v>12.656378647021148</v>
      </c>
      <c r="X197" s="623">
        <f t="shared" si="151"/>
        <v>7.6458602495116201</v>
      </c>
      <c r="Y197" s="118">
        <f t="shared" si="152"/>
        <v>4.5166384318878219</v>
      </c>
      <c r="Z197" s="608">
        <f t="shared" si="142"/>
        <v>0.49017483766308212</v>
      </c>
      <c r="AA197" s="608">
        <f t="shared" si="143"/>
        <v>0</v>
      </c>
      <c r="AB197" s="608">
        <f t="shared" si="144"/>
        <v>3.7051279586225467E-3</v>
      </c>
      <c r="AC197" s="608">
        <f t="shared" si="153"/>
        <v>12.656378647021146</v>
      </c>
      <c r="AD197" s="767">
        <f t="shared" si="174"/>
        <v>0</v>
      </c>
      <c r="AE197" s="730">
        <f t="shared" si="154"/>
        <v>0.60411121243683552</v>
      </c>
      <c r="AF197" s="483">
        <f t="shared" si="155"/>
        <v>0.35686656964477553</v>
      </c>
      <c r="AG197" s="483">
        <f t="shared" si="156"/>
        <v>3.8729470043032538E-2</v>
      </c>
      <c r="AH197" s="483">
        <f t="shared" si="157"/>
        <v>2.9274787535647881E-4</v>
      </c>
      <c r="AI197" s="483">
        <f t="shared" si="158"/>
        <v>2.9274787535647881E-4</v>
      </c>
      <c r="AJ197" s="604">
        <f t="shared" si="159"/>
        <v>1.0002927478753565</v>
      </c>
      <c r="AK197" s="1400">
        <f t="shared" si="166"/>
        <v>6.5583976745338424</v>
      </c>
      <c r="AL197" s="608">
        <f t="shared" si="167"/>
        <v>0.89412997615797285</v>
      </c>
      <c r="AM197" s="608">
        <f t="shared" si="168"/>
        <v>0.19333259881980491</v>
      </c>
      <c r="AN197" s="1401">
        <f t="shared" si="160"/>
        <v>7.6458602495116201</v>
      </c>
      <c r="AO197" s="1402">
        <f t="shared" si="161"/>
        <v>0</v>
      </c>
    </row>
    <row r="198" spans="1:41">
      <c r="A198" s="127">
        <f>'Input data'!A139</f>
        <v>2039</v>
      </c>
      <c r="B198" s="748">
        <f>'Input data'!B139</f>
        <v>70.856999999999999</v>
      </c>
      <c r="C198" s="236">
        <f>'Input data'!C139</f>
        <v>4728.5300000000007</v>
      </c>
      <c r="D198" s="104">
        <f>'Input data'!E139</f>
        <v>50172070.130067617</v>
      </c>
      <c r="E198" s="602">
        <f>'Input data'!J139</f>
        <v>11.504772374209397</v>
      </c>
      <c r="F198" s="608">
        <f>'Input data'!L139/C158</f>
        <v>16.533948311982996</v>
      </c>
      <c r="G198" s="623">
        <f t="shared" si="173"/>
        <v>4.7147685431121138</v>
      </c>
      <c r="H198" s="623">
        <f t="shared" si="136"/>
        <v>13.781314177586374</v>
      </c>
      <c r="I198" s="1238">
        <f t="shared" si="137"/>
        <v>10.61050054246618</v>
      </c>
      <c r="J198" s="483">
        <f t="shared" si="172"/>
        <v>0.4</v>
      </c>
      <c r="K198" s="623">
        <f t="shared" si="163"/>
        <v>4.2442002169864725</v>
      </c>
      <c r="L198" s="608">
        <f t="shared" si="138"/>
        <v>0.96248877021284696</v>
      </c>
      <c r="M198" s="727">
        <f t="shared" si="146"/>
        <v>5.2066889871993194</v>
      </c>
      <c r="N198" s="730">
        <f t="shared" si="171"/>
        <v>0.5</v>
      </c>
      <c r="O198" s="727">
        <f t="shared" si="139"/>
        <v>1.2888839921320325</v>
      </c>
      <c r="P198" s="779">
        <f t="shared" si="164"/>
        <v>4.8800318953669279</v>
      </c>
      <c r="Q198" s="623">
        <f t="shared" si="140"/>
        <v>13.616050825331561</v>
      </c>
      <c r="R198" s="608">
        <f t="shared" si="141"/>
        <v>8.9012822822194479</v>
      </c>
      <c r="S198" s="1240">
        <f t="shared" si="165"/>
        <v>1.2278053268731584</v>
      </c>
      <c r="T198" s="135" t="str">
        <f t="shared" si="147"/>
        <v>Policies not met</v>
      </c>
      <c r="U198" s="1240">
        <f t="shared" si="148"/>
        <v>0.85</v>
      </c>
      <c r="V198" s="135" t="str">
        <f t="shared" si="149"/>
        <v>Yes</v>
      </c>
      <c r="W198" s="1241">
        <f t="shared" si="150"/>
        <v>12.336216398597591</v>
      </c>
      <c r="X198" s="623">
        <f t="shared" si="151"/>
        <v>7.4537629004574857</v>
      </c>
      <c r="Y198" s="118">
        <f t="shared" si="152"/>
        <v>4.3885735325183992</v>
      </c>
      <c r="Z198" s="608">
        <f t="shared" si="142"/>
        <v>0.49017483766308212</v>
      </c>
      <c r="AA198" s="608">
        <f t="shared" si="143"/>
        <v>0</v>
      </c>
      <c r="AB198" s="608">
        <f t="shared" si="144"/>
        <v>3.7051279586225467E-3</v>
      </c>
      <c r="AC198" s="608">
        <f t="shared" si="153"/>
        <v>12.336216398597589</v>
      </c>
      <c r="AD198" s="767">
        <f t="shared" si="174"/>
        <v>0</v>
      </c>
      <c r="AE198" s="730">
        <f t="shared" si="154"/>
        <v>0.60421791087458931</v>
      </c>
      <c r="AF198" s="483">
        <f t="shared" si="155"/>
        <v>0.35574712624344873</v>
      </c>
      <c r="AG198" s="483">
        <f t="shared" si="156"/>
        <v>3.9734617310929012E-2</v>
      </c>
      <c r="AH198" s="483">
        <f t="shared" si="157"/>
        <v>3.0034557103292666E-4</v>
      </c>
      <c r="AI198" s="483">
        <f t="shared" si="158"/>
        <v>3.0034557103292666E-4</v>
      </c>
      <c r="AJ198" s="604">
        <f t="shared" si="159"/>
        <v>1.0003003455710329</v>
      </c>
      <c r="AK198" s="1400">
        <f t="shared" si="166"/>
        <v>6.3663003254797079</v>
      </c>
      <c r="AL198" s="608">
        <f t="shared" si="167"/>
        <v>0.89412997615797285</v>
      </c>
      <c r="AM198" s="608">
        <f t="shared" si="168"/>
        <v>0.19333259881980491</v>
      </c>
      <c r="AN198" s="1401">
        <f t="shared" si="160"/>
        <v>7.4537629004574857</v>
      </c>
      <c r="AO198" s="1402">
        <f t="shared" si="161"/>
        <v>0</v>
      </c>
    </row>
    <row r="199" spans="1:41">
      <c r="A199" s="127">
        <f>'Input data'!A140</f>
        <v>2040</v>
      </c>
      <c r="B199" s="748">
        <f>'Input data'!B140</f>
        <v>71.375</v>
      </c>
      <c r="C199" s="236">
        <f>'Input data'!C140</f>
        <v>4875.51</v>
      </c>
      <c r="D199" s="104">
        <f>'Input data'!E140</f>
        <v>50172070.130067617</v>
      </c>
      <c r="E199" s="602">
        <f>'Input data'!J140</f>
        <v>11.504772374209397</v>
      </c>
      <c r="F199" s="608">
        <f>'Input data'!L140/C159</f>
        <v>15.800872774272213</v>
      </c>
      <c r="G199" s="623">
        <f t="shared" si="173"/>
        <v>4.7147685431121138</v>
      </c>
      <c r="H199" s="623">
        <f t="shared" si="136"/>
        <v>13.481131070453692</v>
      </c>
      <c r="I199" s="1238">
        <f t="shared" si="137"/>
        <v>10.290630135117683</v>
      </c>
      <c r="J199" s="483">
        <f t="shared" si="172"/>
        <v>0.4</v>
      </c>
      <c r="K199" s="623">
        <f t="shared" si="163"/>
        <v>4.1162520540470728</v>
      </c>
      <c r="L199" s="608">
        <f t="shared" si="138"/>
        <v>0.96248877021284696</v>
      </c>
      <c r="M199" s="727">
        <f t="shared" si="146"/>
        <v>5.0787408242599197</v>
      </c>
      <c r="N199" s="730">
        <f t="shared" si="171"/>
        <v>0.5</v>
      </c>
      <c r="O199" s="727">
        <f t="shared" si="139"/>
        <v>1.2888839921320325</v>
      </c>
      <c r="P199" s="779">
        <f t="shared" si="164"/>
        <v>4.7717710326433433</v>
      </c>
      <c r="Q199" s="623">
        <f t="shared" si="140"/>
        <v>13.424128580922464</v>
      </c>
      <c r="R199" s="608">
        <f t="shared" si="141"/>
        <v>8.7093600378103488</v>
      </c>
      <c r="S199" s="1240">
        <f t="shared" si="165"/>
        <v>1.201332382126574</v>
      </c>
      <c r="T199" s="135" t="str">
        <f t="shared" si="147"/>
        <v>Policies not met</v>
      </c>
      <c r="U199" s="1240">
        <f t="shared" si="148"/>
        <v>0.85</v>
      </c>
      <c r="V199" s="135" t="str">
        <f t="shared" si="149"/>
        <v>Yes</v>
      </c>
      <c r="W199" s="1241">
        <f t="shared" si="150"/>
        <v>12.016345991249093</v>
      </c>
      <c r="X199" s="623">
        <f t="shared" si="151"/>
        <v>7.2618406560483884</v>
      </c>
      <c r="Y199" s="118">
        <f t="shared" si="152"/>
        <v>4.2606253695789995</v>
      </c>
      <c r="Z199" s="608">
        <f t="shared" si="142"/>
        <v>0.49017483766308212</v>
      </c>
      <c r="AA199" s="608">
        <f t="shared" si="143"/>
        <v>0</v>
      </c>
      <c r="AB199" s="608">
        <f t="shared" si="144"/>
        <v>3.7051279586225467E-3</v>
      </c>
      <c r="AC199" s="608">
        <f t="shared" si="153"/>
        <v>12.016345991249093</v>
      </c>
      <c r="AD199" s="767">
        <f t="shared" si="174"/>
        <v>0</v>
      </c>
      <c r="AE199" s="730">
        <f t="shared" si="154"/>
        <v>0.60433019000425137</v>
      </c>
      <c r="AF199" s="483">
        <f t="shared" si="155"/>
        <v>0.35456913213732372</v>
      </c>
      <c r="AG199" s="483">
        <f t="shared" si="156"/>
        <v>4.079233720633977E-2</v>
      </c>
      <c r="AH199" s="483">
        <f t="shared" si="157"/>
        <v>3.0834065208515193E-4</v>
      </c>
      <c r="AI199" s="483">
        <f t="shared" si="158"/>
        <v>3.0834065208515193E-4</v>
      </c>
      <c r="AJ199" s="604">
        <f t="shared" si="159"/>
        <v>1.0003083406520852</v>
      </c>
      <c r="AK199" s="1400">
        <f t="shared" si="166"/>
        <v>6.1743780810706097</v>
      </c>
      <c r="AL199" s="608">
        <f t="shared" si="167"/>
        <v>0.89412997615797285</v>
      </c>
      <c r="AM199" s="608">
        <f t="shared" si="168"/>
        <v>0.19333259881980491</v>
      </c>
      <c r="AN199" s="1401">
        <f t="shared" si="160"/>
        <v>7.2618406560483875</v>
      </c>
      <c r="AO199" s="1402">
        <f t="shared" si="161"/>
        <v>0</v>
      </c>
    </row>
    <row r="200" spans="1:41">
      <c r="A200" s="127">
        <f>'Input data'!A141</f>
        <v>2041</v>
      </c>
      <c r="B200" s="748">
        <f>'Input data'!B141</f>
        <v>71.819000000000003</v>
      </c>
      <c r="C200" s="236">
        <f>'Input data'!C141</f>
        <v>5028.54</v>
      </c>
      <c r="D200" s="104">
        <f>'Input data'!E141</f>
        <v>50172070.130067617</v>
      </c>
      <c r="E200" s="602">
        <f>'Input data'!J141</f>
        <v>11.504772374209397</v>
      </c>
      <c r="F200" s="608">
        <f>'Input data'!L141/C160</f>
        <v>15.415390470896282</v>
      </c>
      <c r="G200" s="623">
        <f t="shared" si="173"/>
        <v>4.7147685431121138</v>
      </c>
      <c r="H200" s="623">
        <f t="shared" si="136"/>
        <v>13.187238353769388</v>
      </c>
      <c r="I200" s="1238">
        <f t="shared" si="137"/>
        <v>9.9774626690983101</v>
      </c>
      <c r="J200" s="483">
        <f t="shared" si="172"/>
        <v>0.4</v>
      </c>
      <c r="K200" s="623">
        <f t="shared" si="163"/>
        <v>3.9909850676393241</v>
      </c>
      <c r="L200" s="608">
        <f t="shared" si="138"/>
        <v>0.96248877021284696</v>
      </c>
      <c r="M200" s="727">
        <f t="shared" si="146"/>
        <v>4.9534738378521714</v>
      </c>
      <c r="N200" s="730">
        <f t="shared" si="171"/>
        <v>0.5</v>
      </c>
      <c r="O200" s="727">
        <f t="shared" si="139"/>
        <v>1.2888839921320325</v>
      </c>
      <c r="P200" s="779">
        <f t="shared" si="164"/>
        <v>4.6657787955706649</v>
      </c>
      <c r="Q200" s="623">
        <f t="shared" si="140"/>
        <v>13.236228101310838</v>
      </c>
      <c r="R200" s="608">
        <f t="shared" si="141"/>
        <v>8.5214595581987247</v>
      </c>
      <c r="S200" s="1240">
        <f t="shared" si="165"/>
        <v>1.1754141826498528</v>
      </c>
      <c r="T200" s="135" t="str">
        <f t="shared" si="147"/>
        <v>Policies not met</v>
      </c>
      <c r="U200" s="1240">
        <f t="shared" si="148"/>
        <v>0.85</v>
      </c>
      <c r="V200" s="135" t="str">
        <f t="shared" si="149"/>
        <v>Yes</v>
      </c>
      <c r="W200" s="1241">
        <f t="shared" si="150"/>
        <v>11.70317852522972</v>
      </c>
      <c r="X200" s="623">
        <f t="shared" si="151"/>
        <v>7.0739401764367642</v>
      </c>
      <c r="Y200" s="118">
        <f t="shared" si="152"/>
        <v>4.1353583831712513</v>
      </c>
      <c r="Z200" s="608">
        <f t="shared" si="142"/>
        <v>0.49017483766308212</v>
      </c>
      <c r="AA200" s="608">
        <f t="shared" si="143"/>
        <v>0</v>
      </c>
      <c r="AB200" s="608">
        <f t="shared" si="144"/>
        <v>3.7051279586225467E-3</v>
      </c>
      <c r="AC200" s="608">
        <f t="shared" si="153"/>
        <v>11.70317852522972</v>
      </c>
      <c r="AD200" s="767">
        <f t="shared" si="174"/>
        <v>0</v>
      </c>
      <c r="AE200" s="730">
        <f t="shared" si="154"/>
        <v>0.60444606233996678</v>
      </c>
      <c r="AF200" s="483">
        <f t="shared" si="155"/>
        <v>0.35335343934609242</v>
      </c>
      <c r="AG200" s="483">
        <f t="shared" si="156"/>
        <v>4.1883906718705767E-2</v>
      </c>
      <c r="AH200" s="483">
        <f t="shared" si="157"/>
        <v>3.1659159523500638E-4</v>
      </c>
      <c r="AI200" s="483">
        <f t="shared" si="158"/>
        <v>3.1659159523500638E-4</v>
      </c>
      <c r="AJ200" s="604">
        <f t="shared" si="159"/>
        <v>1.000316591595235</v>
      </c>
      <c r="AK200" s="1400">
        <f t="shared" si="166"/>
        <v>5.9864776014589864</v>
      </c>
      <c r="AL200" s="608">
        <f t="shared" si="167"/>
        <v>0.89412997615797285</v>
      </c>
      <c r="AM200" s="608">
        <f t="shared" si="168"/>
        <v>0.19333259881980491</v>
      </c>
      <c r="AN200" s="1401">
        <f t="shared" si="160"/>
        <v>7.0739401764367642</v>
      </c>
      <c r="AO200" s="1402">
        <f t="shared" si="161"/>
        <v>0</v>
      </c>
    </row>
    <row r="201" spans="1:41">
      <c r="A201" s="127">
        <f>'Input data'!A142</f>
        <v>2042</v>
      </c>
      <c r="B201" s="748">
        <f>'Input data'!B142</f>
        <v>72.265000000000001</v>
      </c>
      <c r="C201" s="236">
        <f>'Input data'!C142</f>
        <v>5188.1000000000004</v>
      </c>
      <c r="D201" s="104">
        <f>'Input data'!E142</f>
        <v>50172070.130067617</v>
      </c>
      <c r="E201" s="602">
        <f>'Input data'!J142</f>
        <v>11.504772374209397</v>
      </c>
      <c r="F201" s="608">
        <f>'Input data'!L142/C161</f>
        <v>15.04821189663909</v>
      </c>
      <c r="G201" s="623">
        <f t="shared" si="173"/>
        <v>4.7147685431121138</v>
      </c>
      <c r="H201" s="623">
        <f t="shared" si="136"/>
        <v>12.899267863430829</v>
      </c>
      <c r="I201" s="1238">
        <f t="shared" si="137"/>
        <v>9.6706058345189199</v>
      </c>
      <c r="J201" s="483">
        <f t="shared" si="172"/>
        <v>0.4</v>
      </c>
      <c r="K201" s="623">
        <f t="shared" si="163"/>
        <v>3.8682423338075682</v>
      </c>
      <c r="L201" s="608">
        <f t="shared" si="138"/>
        <v>0.96248877021284696</v>
      </c>
      <c r="M201" s="727">
        <f t="shared" si="146"/>
        <v>4.8307311040204155</v>
      </c>
      <c r="N201" s="730">
        <f t="shared" si="171"/>
        <v>0.5</v>
      </c>
      <c r="O201" s="727">
        <f t="shared" si="139"/>
        <v>1.2888839921320325</v>
      </c>
      <c r="P201" s="779">
        <f t="shared" si="164"/>
        <v>4.5619224059797414</v>
      </c>
      <c r="Q201" s="623">
        <f t="shared" si="140"/>
        <v>13.052114000563202</v>
      </c>
      <c r="R201" s="608">
        <f t="shared" si="141"/>
        <v>8.3373454574510895</v>
      </c>
      <c r="S201" s="1240">
        <f t="shared" si="165"/>
        <v>1.1500182603003322</v>
      </c>
      <c r="T201" s="135" t="str">
        <f t="shared" si="147"/>
        <v>Policies not met</v>
      </c>
      <c r="U201" s="1240">
        <f t="shared" si="148"/>
        <v>0.85</v>
      </c>
      <c r="V201" s="135" t="str">
        <f t="shared" si="149"/>
        <v>Yes</v>
      </c>
      <c r="W201" s="1241">
        <f t="shared" si="150"/>
        <v>11.39632169065033</v>
      </c>
      <c r="X201" s="623">
        <f t="shared" si="151"/>
        <v>6.889826075689129</v>
      </c>
      <c r="Y201" s="118">
        <f t="shared" si="152"/>
        <v>4.0126156493394953</v>
      </c>
      <c r="Z201" s="608">
        <f t="shared" si="142"/>
        <v>0.49017483766308212</v>
      </c>
      <c r="AA201" s="608">
        <f t="shared" si="143"/>
        <v>0</v>
      </c>
      <c r="AB201" s="608">
        <f t="shared" si="144"/>
        <v>3.7051279586225467E-3</v>
      </c>
      <c r="AC201" s="608">
        <f t="shared" si="153"/>
        <v>11.396321690650328</v>
      </c>
      <c r="AD201" s="767">
        <f t="shared" si="174"/>
        <v>0</v>
      </c>
      <c r="AE201" s="730">
        <f t="shared" si="154"/>
        <v>0.60456577681039136</v>
      </c>
      <c r="AF201" s="483">
        <f t="shared" si="155"/>
        <v>0.3520974361957061</v>
      </c>
      <c r="AG201" s="483">
        <f t="shared" si="156"/>
        <v>4.3011670867910572E-2</v>
      </c>
      <c r="AH201" s="483">
        <f t="shared" si="157"/>
        <v>3.2511612599197474E-4</v>
      </c>
      <c r="AI201" s="483">
        <f t="shared" si="158"/>
        <v>3.2511612599197474E-4</v>
      </c>
      <c r="AJ201" s="604">
        <f t="shared" si="159"/>
        <v>1.0003251161259921</v>
      </c>
      <c r="AK201" s="1400">
        <f t="shared" si="166"/>
        <v>5.8023635007113512</v>
      </c>
      <c r="AL201" s="608">
        <f t="shared" si="167"/>
        <v>0.89412997615797285</v>
      </c>
      <c r="AM201" s="608">
        <f t="shared" si="168"/>
        <v>0.19333259881980491</v>
      </c>
      <c r="AN201" s="1401">
        <f t="shared" si="160"/>
        <v>6.889826075689129</v>
      </c>
      <c r="AO201" s="1402">
        <f t="shared" si="161"/>
        <v>0</v>
      </c>
    </row>
    <row r="202" spans="1:41">
      <c r="A202" s="127">
        <f>'Input data'!A143</f>
        <v>2043</v>
      </c>
      <c r="B202" s="748">
        <f>'Input data'!B143</f>
        <v>72.713999999999999</v>
      </c>
      <c r="C202" s="236">
        <f>'Input data'!C143</f>
        <v>5353.7899999999991</v>
      </c>
      <c r="D202" s="104">
        <f>'Input data'!E143</f>
        <v>50172070.130067617</v>
      </c>
      <c r="E202" s="602">
        <f>'Input data'!J143</f>
        <v>11.504772374209397</v>
      </c>
      <c r="F202" s="608">
        <f>'Input data'!L143/C162</f>
        <v>14.699282739524643</v>
      </c>
      <c r="G202" s="623">
        <f t="shared" si="173"/>
        <v>4.7147685431121138</v>
      </c>
      <c r="H202" s="623">
        <f t="shared" si="136"/>
        <v>12.618400787355139</v>
      </c>
      <c r="I202" s="1238">
        <f t="shared" si="137"/>
        <v>9.3713182866843159</v>
      </c>
      <c r="J202" s="483">
        <f t="shared" si="172"/>
        <v>0.4</v>
      </c>
      <c r="K202" s="623">
        <f t="shared" si="163"/>
        <v>3.7485273146737264</v>
      </c>
      <c r="L202" s="608">
        <f t="shared" si="138"/>
        <v>0.96248877021284696</v>
      </c>
      <c r="M202" s="727">
        <f t="shared" si="146"/>
        <v>4.7110160848865732</v>
      </c>
      <c r="N202" s="730">
        <f t="shared" si="171"/>
        <v>0.5</v>
      </c>
      <c r="O202" s="727">
        <f t="shared" si="139"/>
        <v>1.2888839921320325</v>
      </c>
      <c r="P202" s="779">
        <f t="shared" si="164"/>
        <v>4.4606278586048127</v>
      </c>
      <c r="Q202" s="623">
        <f t="shared" si="140"/>
        <v>12.872541471862441</v>
      </c>
      <c r="R202" s="608">
        <f t="shared" si="141"/>
        <v>8.157772928750326</v>
      </c>
      <c r="S202" s="1240">
        <f t="shared" si="165"/>
        <v>1.1252487832397859</v>
      </c>
      <c r="T202" s="135" t="str">
        <f t="shared" si="147"/>
        <v>Policies not met</v>
      </c>
      <c r="U202" s="1240">
        <f t="shared" si="148"/>
        <v>0.85</v>
      </c>
      <c r="V202" s="135" t="str">
        <f t="shared" si="149"/>
        <v>Yes</v>
      </c>
      <c r="W202" s="1241">
        <f t="shared" si="150"/>
        <v>11.097034142815726</v>
      </c>
      <c r="X202" s="623">
        <f t="shared" si="151"/>
        <v>6.7102535469883673</v>
      </c>
      <c r="Y202" s="118">
        <f t="shared" si="152"/>
        <v>3.8929006302056535</v>
      </c>
      <c r="Z202" s="608">
        <f t="shared" si="142"/>
        <v>0.49017483766308212</v>
      </c>
      <c r="AA202" s="608">
        <f t="shared" si="143"/>
        <v>0</v>
      </c>
      <c r="AB202" s="608">
        <f t="shared" si="144"/>
        <v>3.7051279586225467E-3</v>
      </c>
      <c r="AC202" s="608">
        <f t="shared" si="153"/>
        <v>11.097034142815726</v>
      </c>
      <c r="AD202" s="767">
        <f t="shared" si="174"/>
        <v>0</v>
      </c>
      <c r="AE202" s="730">
        <f t="shared" si="154"/>
        <v>0.60468891603191277</v>
      </c>
      <c r="AF202" s="483">
        <f t="shared" si="155"/>
        <v>0.35080550173182412</v>
      </c>
      <c r="AG202" s="483">
        <f t="shared" si="156"/>
        <v>4.4171697712620243E-2</v>
      </c>
      <c r="AH202" s="483">
        <f t="shared" si="157"/>
        <v>3.3388452364285684E-4</v>
      </c>
      <c r="AI202" s="483">
        <f t="shared" si="158"/>
        <v>3.3388452364285684E-4</v>
      </c>
      <c r="AJ202" s="604">
        <f t="shared" si="159"/>
        <v>1.0003338845236427</v>
      </c>
      <c r="AK202" s="1400">
        <f t="shared" si="166"/>
        <v>5.6227909720105895</v>
      </c>
      <c r="AL202" s="608">
        <f t="shared" si="167"/>
        <v>0.89412997615797285</v>
      </c>
      <c r="AM202" s="608">
        <f t="shared" si="168"/>
        <v>0.19333259881980491</v>
      </c>
      <c r="AN202" s="1401">
        <f t="shared" si="160"/>
        <v>6.7102535469883673</v>
      </c>
      <c r="AO202" s="1402">
        <f t="shared" si="161"/>
        <v>0</v>
      </c>
    </row>
    <row r="203" spans="1:41">
      <c r="A203" s="127">
        <f>'Input data'!A144</f>
        <v>2044</v>
      </c>
      <c r="B203" s="748">
        <f>'Input data'!B144</f>
        <v>73.165000000000006</v>
      </c>
      <c r="C203" s="236">
        <f>'Input data'!C144</f>
        <v>5526.5000000000018</v>
      </c>
      <c r="D203" s="104">
        <f>'Input data'!E144</f>
        <v>50172070.130067617</v>
      </c>
      <c r="E203" s="602">
        <f>'Input data'!J144</f>
        <v>11.504772374209397</v>
      </c>
      <c r="F203" s="608">
        <f>'Input data'!L144/C163</f>
        <v>14.367661492299458</v>
      </c>
      <c r="G203" s="623">
        <f t="shared" si="173"/>
        <v>4.7147685431121138</v>
      </c>
      <c r="H203" s="623">
        <f t="shared" si="136"/>
        <v>12.343560633197086</v>
      </c>
      <c r="I203" s="1238">
        <f t="shared" si="137"/>
        <v>9.0784529322478242</v>
      </c>
      <c r="J203" s="483">
        <f t="shared" si="172"/>
        <v>0.4</v>
      </c>
      <c r="K203" s="623">
        <f t="shared" si="163"/>
        <v>3.6313811728991299</v>
      </c>
      <c r="L203" s="608">
        <f t="shared" si="138"/>
        <v>0.96248877021284696</v>
      </c>
      <c r="M203" s="727">
        <f t="shared" si="146"/>
        <v>4.5938699431119767</v>
      </c>
      <c r="N203" s="730">
        <f t="shared" si="171"/>
        <v>0.5</v>
      </c>
      <c r="O203" s="727">
        <f t="shared" si="139"/>
        <v>1.2888839921320325</v>
      </c>
      <c r="P203" s="779">
        <f t="shared" si="164"/>
        <v>4.3615069171086533</v>
      </c>
      <c r="Q203" s="623">
        <f t="shared" si="140"/>
        <v>12.696822259200548</v>
      </c>
      <c r="R203" s="608">
        <f t="shared" si="141"/>
        <v>7.9820537160884344</v>
      </c>
      <c r="S203" s="1240">
        <f t="shared" si="165"/>
        <v>1.1010108163379615</v>
      </c>
      <c r="T203" s="135" t="str">
        <f t="shared" si="147"/>
        <v>Policies not met</v>
      </c>
      <c r="U203" s="1240">
        <f t="shared" si="148"/>
        <v>0.85</v>
      </c>
      <c r="V203" s="135" t="str">
        <f t="shared" si="149"/>
        <v>Yes</v>
      </c>
      <c r="W203" s="1241">
        <f t="shared" si="150"/>
        <v>10.804168788379235</v>
      </c>
      <c r="X203" s="623">
        <f t="shared" si="151"/>
        <v>6.534534334326473</v>
      </c>
      <c r="Y203" s="118">
        <f t="shared" si="152"/>
        <v>3.775754488431057</v>
      </c>
      <c r="Z203" s="608">
        <f t="shared" si="142"/>
        <v>0.49017483766308212</v>
      </c>
      <c r="AA203" s="608">
        <f t="shared" si="143"/>
        <v>0</v>
      </c>
      <c r="AB203" s="608">
        <f t="shared" si="144"/>
        <v>3.7051279586225467E-3</v>
      </c>
      <c r="AC203" s="608">
        <f t="shared" si="153"/>
        <v>10.804168788379235</v>
      </c>
      <c r="AD203" s="767">
        <f t="shared" si="174"/>
        <v>0</v>
      </c>
      <c r="AE203" s="730">
        <f t="shared" si="154"/>
        <v>0.60481601706879085</v>
      </c>
      <c r="AF203" s="483">
        <f t="shared" si="155"/>
        <v>0.34947200126049394</v>
      </c>
      <c r="AG203" s="483">
        <f t="shared" si="156"/>
        <v>4.5369046639692004E-2</v>
      </c>
      <c r="AH203" s="483">
        <f t="shared" si="157"/>
        <v>3.429350310231838E-4</v>
      </c>
      <c r="AI203" s="483">
        <f t="shared" si="158"/>
        <v>3.429350310231838E-4</v>
      </c>
      <c r="AJ203" s="604">
        <f t="shared" si="159"/>
        <v>1.0003429350310231</v>
      </c>
      <c r="AK203" s="1400">
        <f t="shared" si="166"/>
        <v>5.4470717593486944</v>
      </c>
      <c r="AL203" s="608">
        <f t="shared" si="167"/>
        <v>0.89412997615797285</v>
      </c>
      <c r="AM203" s="608">
        <f t="shared" si="168"/>
        <v>0.19333259881980491</v>
      </c>
      <c r="AN203" s="1401">
        <f t="shared" si="160"/>
        <v>6.5345343343264721</v>
      </c>
      <c r="AO203" s="1402">
        <f t="shared" si="161"/>
        <v>0</v>
      </c>
    </row>
    <row r="204" spans="1:41">
      <c r="A204" s="127">
        <f>'Input data'!A145</f>
        <v>2045</v>
      </c>
      <c r="B204" s="748">
        <f>'Input data'!B145</f>
        <v>73.62</v>
      </c>
      <c r="C204" s="236">
        <f>'Input data'!C145</f>
        <v>5709.93</v>
      </c>
      <c r="D204" s="104">
        <f>'Input data'!E145</f>
        <v>50172070.130067617</v>
      </c>
      <c r="E204" s="602">
        <f>'Input data'!J145</f>
        <v>11.504772374209397</v>
      </c>
      <c r="F204" s="608">
        <f>'Input data'!L145/C164</f>
        <v>14.051349262810195</v>
      </c>
      <c r="G204" s="623">
        <f t="shared" si="173"/>
        <v>4.7147685431121138</v>
      </c>
      <c r="H204" s="623">
        <f t="shared" si="136"/>
        <v>12.069867681454106</v>
      </c>
      <c r="I204" s="1238">
        <f t="shared" si="137"/>
        <v>8.7868100186985849</v>
      </c>
      <c r="J204" s="483">
        <f t="shared" si="172"/>
        <v>0.4</v>
      </c>
      <c r="K204" s="623">
        <f t="shared" si="163"/>
        <v>3.5147240074794341</v>
      </c>
      <c r="L204" s="608">
        <f t="shared" si="138"/>
        <v>0.96248877021284696</v>
      </c>
      <c r="M204" s="727">
        <f t="shared" si="146"/>
        <v>4.477212777692281</v>
      </c>
      <c r="N204" s="730">
        <f t="shared" si="171"/>
        <v>0.5</v>
      </c>
      <c r="O204" s="727">
        <f t="shared" si="139"/>
        <v>1.2888839921320325</v>
      </c>
      <c r="P204" s="779">
        <f t="shared" si="164"/>
        <v>4.2627997134952196</v>
      </c>
      <c r="Q204" s="623">
        <f t="shared" si="140"/>
        <v>12.521836511071001</v>
      </c>
      <c r="R204" s="608">
        <f t="shared" si="141"/>
        <v>7.8070679679588872</v>
      </c>
      <c r="S204" s="1240">
        <f t="shared" si="165"/>
        <v>1.0768740204395209</v>
      </c>
      <c r="T204" s="135" t="str">
        <f t="shared" si="147"/>
        <v>Policies not met</v>
      </c>
      <c r="U204" s="1240">
        <f t="shared" si="148"/>
        <v>0.85</v>
      </c>
      <c r="V204" s="135" t="str">
        <f t="shared" si="149"/>
        <v>Yes</v>
      </c>
      <c r="W204" s="1241">
        <f t="shared" si="150"/>
        <v>10.512525874829995</v>
      </c>
      <c r="X204" s="623">
        <f t="shared" si="151"/>
        <v>6.3595485861969285</v>
      </c>
      <c r="Y204" s="118">
        <f t="shared" si="152"/>
        <v>3.6590973230113613</v>
      </c>
      <c r="Z204" s="608">
        <f t="shared" si="142"/>
        <v>0.49017483766308212</v>
      </c>
      <c r="AA204" s="608">
        <f t="shared" si="143"/>
        <v>0</v>
      </c>
      <c r="AB204" s="608">
        <f t="shared" si="144"/>
        <v>3.7051279586225467E-3</v>
      </c>
      <c r="AC204" s="608">
        <f t="shared" si="153"/>
        <v>10.512525874829995</v>
      </c>
      <c r="AD204" s="767">
        <f t="shared" si="174"/>
        <v>0</v>
      </c>
      <c r="AE204" s="730">
        <f t="shared" si="154"/>
        <v>0.60494962503954575</v>
      </c>
      <c r="AF204" s="483">
        <f t="shared" si="155"/>
        <v>0.34807023227141737</v>
      </c>
      <c r="AG204" s="483">
        <f t="shared" si="156"/>
        <v>4.6627693810171865E-2</v>
      </c>
      <c r="AH204" s="483">
        <f t="shared" si="157"/>
        <v>3.5244887886494403E-4</v>
      </c>
      <c r="AI204" s="483">
        <f t="shared" si="158"/>
        <v>3.5244887886494403E-4</v>
      </c>
      <c r="AJ204" s="604">
        <f t="shared" si="159"/>
        <v>1.0003524488788649</v>
      </c>
      <c r="AK204" s="1400">
        <f t="shared" si="166"/>
        <v>5.2720860112191508</v>
      </c>
      <c r="AL204" s="608">
        <f t="shared" si="167"/>
        <v>0.89412997615797285</v>
      </c>
      <c r="AM204" s="608">
        <f t="shared" si="168"/>
        <v>0.19333259881980491</v>
      </c>
      <c r="AN204" s="1401">
        <f t="shared" si="160"/>
        <v>6.3595485861969285</v>
      </c>
      <c r="AO204" s="1402">
        <f t="shared" si="161"/>
        <v>0</v>
      </c>
    </row>
    <row r="205" spans="1:41">
      <c r="A205" s="127">
        <f>'Input data'!A146</f>
        <v>2046</v>
      </c>
      <c r="B205" s="748">
        <f>'Input data'!B146</f>
        <v>73.995000000000005</v>
      </c>
      <c r="C205" s="236">
        <f>'Input data'!C146</f>
        <v>5902.43</v>
      </c>
      <c r="D205" s="104">
        <f>'Input data'!E146</f>
        <v>50172070.130067617</v>
      </c>
      <c r="E205" s="602">
        <f>'Input data'!J146</f>
        <v>11.504772374209397</v>
      </c>
      <c r="F205" s="608">
        <f>'Input data'!L146/C165</f>
        <v>13.751269975355362</v>
      </c>
      <c r="G205" s="623">
        <f t="shared" si="173"/>
        <v>4.7147685431121138</v>
      </c>
      <c r="H205" s="623">
        <f t="shared" si="136"/>
        <v>11.800935168315942</v>
      </c>
      <c r="I205" s="1238">
        <f t="shared" si="137"/>
        <v>8.5002397538077723</v>
      </c>
      <c r="J205" s="483">
        <f t="shared" si="172"/>
        <v>0.4</v>
      </c>
      <c r="K205" s="623">
        <f t="shared" si="163"/>
        <v>3.4000959015231089</v>
      </c>
      <c r="L205" s="608">
        <f t="shared" si="138"/>
        <v>0.96248877021284696</v>
      </c>
      <c r="M205" s="727">
        <f t="shared" si="146"/>
        <v>4.3625846717359558</v>
      </c>
      <c r="N205" s="730">
        <f t="shared" si="171"/>
        <v>0.5</v>
      </c>
      <c r="O205" s="727">
        <f t="shared" si="139"/>
        <v>1.2888839921320325</v>
      </c>
      <c r="P205" s="779">
        <f t="shared" si="164"/>
        <v>4.1658093592915408</v>
      </c>
      <c r="Q205" s="623">
        <f t="shared" si="140"/>
        <v>12.349894352136516</v>
      </c>
      <c r="R205" s="608">
        <f t="shared" si="141"/>
        <v>7.6351258090244025</v>
      </c>
      <c r="S205" s="1240">
        <f t="shared" si="165"/>
        <v>1.0531570443948968</v>
      </c>
      <c r="T205" s="135" t="str">
        <f t="shared" si="147"/>
        <v>Policies not met</v>
      </c>
      <c r="U205" s="1240">
        <f t="shared" si="148"/>
        <v>0.85</v>
      </c>
      <c r="V205" s="135" t="str">
        <f t="shared" si="149"/>
        <v>Yes</v>
      </c>
      <c r="W205" s="1241">
        <f t="shared" si="150"/>
        <v>10.225955609939183</v>
      </c>
      <c r="X205" s="623">
        <f t="shared" si="151"/>
        <v>6.1876064272624411</v>
      </c>
      <c r="Y205" s="118">
        <f t="shared" si="152"/>
        <v>3.544469217055036</v>
      </c>
      <c r="Z205" s="608">
        <f t="shared" si="142"/>
        <v>0.49017483766308212</v>
      </c>
      <c r="AA205" s="608">
        <f t="shared" si="143"/>
        <v>0</v>
      </c>
      <c r="AB205" s="608">
        <f t="shared" si="144"/>
        <v>3.7051279586225467E-3</v>
      </c>
      <c r="AC205" s="608">
        <f t="shared" si="153"/>
        <v>10.225955609939183</v>
      </c>
      <c r="AD205" s="767">
        <f t="shared" si="174"/>
        <v>0</v>
      </c>
      <c r="AE205" s="730">
        <f t="shared" si="154"/>
        <v>0.60508833240468574</v>
      </c>
      <c r="AF205" s="483">
        <f t="shared" si="155"/>
        <v>0.34661496218602461</v>
      </c>
      <c r="AG205" s="483">
        <f t="shared" si="156"/>
        <v>4.7934379569050112E-2</v>
      </c>
      <c r="AH205" s="483">
        <f t="shared" si="157"/>
        <v>3.6232584023945146E-4</v>
      </c>
      <c r="AI205" s="483">
        <f t="shared" si="158"/>
        <v>3.6232584023945146E-4</v>
      </c>
      <c r="AJ205" s="604">
        <f t="shared" si="159"/>
        <v>1.0003623258402394</v>
      </c>
      <c r="AK205" s="1400">
        <f t="shared" si="166"/>
        <v>5.1001438522846634</v>
      </c>
      <c r="AL205" s="608">
        <f t="shared" si="167"/>
        <v>0.89412997615797285</v>
      </c>
      <c r="AM205" s="608">
        <f t="shared" si="168"/>
        <v>0.19333259881980491</v>
      </c>
      <c r="AN205" s="1401">
        <f t="shared" si="160"/>
        <v>6.1876064272624411</v>
      </c>
      <c r="AO205" s="1402">
        <f t="shared" si="161"/>
        <v>0</v>
      </c>
    </row>
    <row r="206" spans="1:41">
      <c r="A206" s="127">
        <f>'Input data'!A147</f>
        <v>2047</v>
      </c>
      <c r="B206" s="749">
        <f>'Input data'!B147</f>
        <v>74.373000000000005</v>
      </c>
      <c r="C206" s="605">
        <f>'Input data'!C147</f>
        <v>6104.119999999999</v>
      </c>
      <c r="D206" s="104">
        <f>'Input data'!E147</f>
        <v>50172070.130067617</v>
      </c>
      <c r="E206" s="602">
        <f>'Input data'!J147</f>
        <v>11.504772374209397</v>
      </c>
      <c r="F206" s="608">
        <f>'Input data'!L147/C166</f>
        <v>13.467186923454101</v>
      </c>
      <c r="G206" s="623">
        <f t="shared" si="173"/>
        <v>4.7147685431121138</v>
      </c>
      <c r="H206" s="623">
        <f t="shared" si="136"/>
        <v>11.537359896062171</v>
      </c>
      <c r="I206" s="1238">
        <f t="shared" si="137"/>
        <v>8.2193780807172239</v>
      </c>
      <c r="J206" s="477">
        <f t="shared" si="172"/>
        <v>0.4</v>
      </c>
      <c r="K206" s="623">
        <f t="shared" si="163"/>
        <v>3.2877512322868898</v>
      </c>
      <c r="L206" s="608">
        <f t="shared" si="138"/>
        <v>0.96248877021284696</v>
      </c>
      <c r="M206" s="727">
        <f t="shared" si="146"/>
        <v>4.2502400024997371</v>
      </c>
      <c r="N206" s="730">
        <f t="shared" si="171"/>
        <v>0.5</v>
      </c>
      <c r="O206" s="727">
        <f t="shared" si="139"/>
        <v>1.2888839921320325</v>
      </c>
      <c r="P206" s="779">
        <f t="shared" si="164"/>
        <v>4.0707510908921005</v>
      </c>
      <c r="Q206" s="623">
        <f t="shared" si="140"/>
        <v>12.181377348282185</v>
      </c>
      <c r="R206" s="608">
        <f t="shared" si="141"/>
        <v>7.466608805170071</v>
      </c>
      <c r="S206" s="1240">
        <f t="shared" si="165"/>
        <v>1.0299125197925985</v>
      </c>
      <c r="T206" s="135" t="str">
        <f t="shared" si="147"/>
        <v>Policies not met</v>
      </c>
      <c r="U206" s="1240">
        <f t="shared" si="148"/>
        <v>0.85</v>
      </c>
      <c r="V206" s="135" t="str">
        <f t="shared" si="149"/>
        <v>Yes</v>
      </c>
      <c r="W206" s="1241">
        <f t="shared" si="150"/>
        <v>9.9450939368486342</v>
      </c>
      <c r="X206" s="623">
        <f t="shared" si="151"/>
        <v>6.0190894234081114</v>
      </c>
      <c r="Y206" s="118">
        <f t="shared" si="152"/>
        <v>3.4321245478188169</v>
      </c>
      <c r="Z206" s="608">
        <f t="shared" si="142"/>
        <v>0.49017483766308212</v>
      </c>
      <c r="AA206" s="608">
        <f t="shared" si="143"/>
        <v>0</v>
      </c>
      <c r="AB206" s="608">
        <f t="shared" si="144"/>
        <v>3.7051279586225467E-3</v>
      </c>
      <c r="AC206" s="608">
        <f t="shared" si="153"/>
        <v>9.9450939368486324</v>
      </c>
      <c r="AD206" s="767">
        <f t="shared" si="174"/>
        <v>0</v>
      </c>
      <c r="AE206" s="730">
        <f t="shared" si="154"/>
        <v>0.60523203316422569</v>
      </c>
      <c r="AF206" s="483">
        <f t="shared" si="155"/>
        <v>0.34510730311979104</v>
      </c>
      <c r="AG206" s="483">
        <f t="shared" si="156"/>
        <v>4.9288105348797448E-2</v>
      </c>
      <c r="AH206" s="483">
        <f t="shared" si="157"/>
        <v>3.725583671858825E-4</v>
      </c>
      <c r="AI206" s="483">
        <f t="shared" si="158"/>
        <v>3.725583671858825E-4</v>
      </c>
      <c r="AJ206" s="604">
        <f t="shared" si="159"/>
        <v>1.0003725583671859</v>
      </c>
      <c r="AK206" s="1400">
        <f t="shared" si="166"/>
        <v>4.9316268484303336</v>
      </c>
      <c r="AL206" s="608">
        <f t="shared" si="167"/>
        <v>0.89412997615797285</v>
      </c>
      <c r="AM206" s="608">
        <f t="shared" si="168"/>
        <v>0.19333259881980491</v>
      </c>
      <c r="AN206" s="1401">
        <f t="shared" si="160"/>
        <v>6.0190894234081114</v>
      </c>
      <c r="AO206" s="1402">
        <f t="shared" si="161"/>
        <v>0</v>
      </c>
    </row>
    <row r="207" spans="1:41">
      <c r="A207" s="127">
        <f>'Input data'!A148</f>
        <v>2048</v>
      </c>
      <c r="B207" s="748">
        <f>'Input data'!B148</f>
        <v>74.753</v>
      </c>
      <c r="C207" s="236">
        <f>'Input data'!C148</f>
        <v>6308.13</v>
      </c>
      <c r="D207" s="104">
        <f>'Input data'!E148</f>
        <v>50172070.130067617</v>
      </c>
      <c r="E207" s="602">
        <f>'Input data'!J148</f>
        <v>11.504772374209397</v>
      </c>
      <c r="F207" s="608">
        <f>'Input data'!L148/C167</f>
        <v>13.200652605076423</v>
      </c>
      <c r="G207" s="623">
        <f t="shared" si="173"/>
        <v>4.7147685431121138</v>
      </c>
      <c r="H207" s="623">
        <f t="shared" si="136"/>
        <v>11.287899295192133</v>
      </c>
      <c r="I207" s="1238">
        <f t="shared" si="137"/>
        <v>7.9535567799122111</v>
      </c>
      <c r="J207" s="483">
        <f t="shared" si="172"/>
        <v>0.4</v>
      </c>
      <c r="K207" s="623">
        <f t="shared" si="163"/>
        <v>3.1814227119648848</v>
      </c>
      <c r="L207" s="608">
        <f t="shared" si="138"/>
        <v>0.96248877021284696</v>
      </c>
      <c r="M207" s="727">
        <f t="shared" si="146"/>
        <v>4.1439114821777316</v>
      </c>
      <c r="N207" s="730">
        <f t="shared" si="171"/>
        <v>0.5</v>
      </c>
      <c r="O207" s="727">
        <f t="shared" si="139"/>
        <v>1.2888839921320325</v>
      </c>
      <c r="P207" s="779">
        <f t="shared" si="164"/>
        <v>3.9807832705050687</v>
      </c>
      <c r="Q207" s="623">
        <f t="shared" si="140"/>
        <v>12.02188456779918</v>
      </c>
      <c r="R207" s="608">
        <f t="shared" si="141"/>
        <v>7.3071160246870663</v>
      </c>
      <c r="S207" s="1240">
        <f t="shared" si="165"/>
        <v>1.0079127584923626</v>
      </c>
      <c r="T207" s="135" t="str">
        <f t="shared" si="147"/>
        <v>Policies not met</v>
      </c>
      <c r="U207" s="1240">
        <f t="shared" si="148"/>
        <v>0.85</v>
      </c>
      <c r="V207" s="135" t="str">
        <f t="shared" si="149"/>
        <v>Yes</v>
      </c>
      <c r="W207" s="1241">
        <f t="shared" si="150"/>
        <v>9.6792726360436205</v>
      </c>
      <c r="X207" s="623">
        <f t="shared" si="151"/>
        <v>5.859596642925105</v>
      </c>
      <c r="Y207" s="118">
        <f t="shared" si="152"/>
        <v>3.3257960274968119</v>
      </c>
      <c r="Z207" s="608">
        <f t="shared" si="142"/>
        <v>0.49017483766308212</v>
      </c>
      <c r="AA207" s="608">
        <f t="shared" si="143"/>
        <v>0</v>
      </c>
      <c r="AB207" s="608">
        <f t="shared" si="144"/>
        <v>3.7051279586225467E-3</v>
      </c>
      <c r="AC207" s="608">
        <f t="shared" si="153"/>
        <v>9.6792726360436223</v>
      </c>
      <c r="AD207" s="767">
        <f t="shared" si="174"/>
        <v>0</v>
      </c>
      <c r="AE207" s="730">
        <f t="shared" si="154"/>
        <v>0.60537572018636721</v>
      </c>
      <c r="AF207" s="483">
        <f t="shared" si="155"/>
        <v>0.34359978818162751</v>
      </c>
      <c r="AG207" s="483">
        <f t="shared" si="156"/>
        <v>5.0641701716074385E-2</v>
      </c>
      <c r="AH207" s="483">
        <f t="shared" si="157"/>
        <v>3.8278991593081196E-4</v>
      </c>
      <c r="AI207" s="483">
        <f t="shared" si="158"/>
        <v>3.8278991593081196E-4</v>
      </c>
      <c r="AJ207" s="604">
        <f t="shared" si="159"/>
        <v>1.0003827899159308</v>
      </c>
      <c r="AK207" s="1400">
        <f t="shared" si="166"/>
        <v>4.7721340679473263</v>
      </c>
      <c r="AL207" s="608">
        <f t="shared" si="167"/>
        <v>0.89412997615797285</v>
      </c>
      <c r="AM207" s="608">
        <f t="shared" si="168"/>
        <v>0.19333259881980491</v>
      </c>
      <c r="AN207" s="1401">
        <f t="shared" si="160"/>
        <v>5.8595966429251041</v>
      </c>
      <c r="AO207" s="1402">
        <f t="shared" si="161"/>
        <v>0</v>
      </c>
    </row>
    <row r="208" spans="1:41">
      <c r="A208" s="127">
        <f>'Input data'!A149</f>
        <v>2049</v>
      </c>
      <c r="B208" s="748">
        <f>'Input data'!B149</f>
        <v>75.134</v>
      </c>
      <c r="C208" s="236">
        <f>'Input data'!C149</f>
        <v>6522.2000000000007</v>
      </c>
      <c r="D208" s="104">
        <f>'Input data'!E149</f>
        <v>50172070.130067617</v>
      </c>
      <c r="E208" s="602">
        <f>'Input data'!J149</f>
        <v>11.504772374209397</v>
      </c>
      <c r="F208" s="608">
        <f>'Input data'!L149/C168</f>
        <v>12.948587654811467</v>
      </c>
      <c r="G208" s="623">
        <f t="shared" si="173"/>
        <v>4.7147685431121138</v>
      </c>
      <c r="H208" s="623">
        <f t="shared" si="136"/>
        <v>11.042916679135157</v>
      </c>
      <c r="I208" s="1238">
        <f t="shared" si="137"/>
        <v>7.6925071494384731</v>
      </c>
      <c r="J208" s="483">
        <f t="shared" si="172"/>
        <v>0.4</v>
      </c>
      <c r="K208" s="623">
        <f t="shared" si="163"/>
        <v>3.0770028597753893</v>
      </c>
      <c r="L208" s="608">
        <f t="shared" si="138"/>
        <v>0.96248877021284696</v>
      </c>
      <c r="M208" s="727">
        <f t="shared" si="146"/>
        <v>4.0394916299882366</v>
      </c>
      <c r="N208" s="730">
        <f t="shared" si="171"/>
        <v>0.5</v>
      </c>
      <c r="O208" s="727">
        <f t="shared" si="139"/>
        <v>1.2888839921320325</v>
      </c>
      <c r="P208" s="779">
        <f t="shared" si="164"/>
        <v>3.8924304327323362</v>
      </c>
      <c r="Q208" s="623">
        <f t="shared" si="140"/>
        <v>11.865254789514935</v>
      </c>
      <c r="R208" s="608">
        <f t="shared" si="141"/>
        <v>7.1504862464028216</v>
      </c>
      <c r="S208" s="1240">
        <f t="shared" si="165"/>
        <v>0.98630790763750309</v>
      </c>
      <c r="T208" s="135" t="str">
        <f t="shared" si="147"/>
        <v>Policies not met</v>
      </c>
      <c r="U208" s="1240">
        <f t="shared" si="148"/>
        <v>0.85</v>
      </c>
      <c r="V208" s="135" t="str">
        <f t="shared" si="149"/>
        <v>Yes</v>
      </c>
      <c r="W208" s="1241">
        <f t="shared" si="150"/>
        <v>9.4182230055698835</v>
      </c>
      <c r="X208" s="623">
        <f t="shared" si="151"/>
        <v>5.702966864640862</v>
      </c>
      <c r="Y208" s="118">
        <f t="shared" si="152"/>
        <v>3.2213761753073165</v>
      </c>
      <c r="Z208" s="608">
        <f t="shared" si="142"/>
        <v>0.49017483766308212</v>
      </c>
      <c r="AA208" s="608">
        <f t="shared" si="143"/>
        <v>0</v>
      </c>
      <c r="AB208" s="608">
        <f t="shared" si="144"/>
        <v>3.7051279586225467E-3</v>
      </c>
      <c r="AC208" s="608">
        <f t="shared" si="153"/>
        <v>9.4182230055698835</v>
      </c>
      <c r="AD208" s="767">
        <f t="shared" si="174"/>
        <v>0</v>
      </c>
      <c r="AE208" s="730">
        <f t="shared" si="154"/>
        <v>0.60552472173022021</v>
      </c>
      <c r="AF208" s="483">
        <f t="shared" si="155"/>
        <v>0.34203651510504823</v>
      </c>
      <c r="AG208" s="483">
        <f t="shared" si="156"/>
        <v>5.20453632679111E-2</v>
      </c>
      <c r="AH208" s="483">
        <f t="shared" si="157"/>
        <v>3.9339989682038266E-4</v>
      </c>
      <c r="AI208" s="483">
        <f t="shared" si="158"/>
        <v>3.9339989682038266E-4</v>
      </c>
      <c r="AJ208" s="604">
        <f t="shared" si="159"/>
        <v>1.0003933998968202</v>
      </c>
      <c r="AK208" s="1400">
        <f t="shared" si="166"/>
        <v>4.6155042896630842</v>
      </c>
      <c r="AL208" s="608">
        <f t="shared" si="167"/>
        <v>0.89412997615797285</v>
      </c>
      <c r="AM208" s="608">
        <f t="shared" si="168"/>
        <v>0.19333259881980491</v>
      </c>
      <c r="AN208" s="1401">
        <f t="shared" si="160"/>
        <v>5.702966864640862</v>
      </c>
      <c r="AO208" s="1402">
        <f t="shared" si="161"/>
        <v>0</v>
      </c>
    </row>
    <row r="209" spans="1:41" ht="15" thickBot="1">
      <c r="A209" s="172">
        <f>'Input data'!A150</f>
        <v>2050</v>
      </c>
      <c r="B209" s="751">
        <f>'Input data'!B150</f>
        <v>75.518000000000001</v>
      </c>
      <c r="C209" s="239">
        <f>'Input data'!C150</f>
        <v>6747.1300000000019</v>
      </c>
      <c r="D209" s="163">
        <f>'Input data'!E150</f>
        <v>50172070.130067617</v>
      </c>
      <c r="E209" s="735">
        <f>'Input data'!J150</f>
        <v>11.504772374209397</v>
      </c>
      <c r="F209" s="739">
        <f>'Input data'!L150/C169</f>
        <v>12.710599308853674</v>
      </c>
      <c r="G209" s="769">
        <f t="shared" si="173"/>
        <v>4.7147685431121138</v>
      </c>
      <c r="H209" s="769">
        <f t="shared" si="136"/>
        <v>10.802254192899063</v>
      </c>
      <c r="I209" s="1239">
        <f t="shared" si="137"/>
        <v>7.4360609814939984</v>
      </c>
      <c r="J209" s="732">
        <f t="shared" si="172"/>
        <v>0.4</v>
      </c>
      <c r="K209" s="769">
        <f t="shared" si="163"/>
        <v>2.9744243925975997</v>
      </c>
      <c r="L209" s="739">
        <f t="shared" si="138"/>
        <v>0.96248877021284696</v>
      </c>
      <c r="M209" s="736">
        <f t="shared" si="146"/>
        <v>3.9369131628104466</v>
      </c>
      <c r="N209" s="731">
        <f t="shared" si="171"/>
        <v>0.5</v>
      </c>
      <c r="O209" s="736">
        <f t="shared" si="139"/>
        <v>1.2888839921320325</v>
      </c>
      <c r="P209" s="780">
        <f t="shared" si="164"/>
        <v>3.8056356472629247</v>
      </c>
      <c r="Q209" s="769">
        <f t="shared" si="140"/>
        <v>11.711387088748252</v>
      </c>
      <c r="R209" s="739">
        <f t="shared" si="141"/>
        <v>6.9966185456361378</v>
      </c>
      <c r="S209" s="1249">
        <f t="shared" si="165"/>
        <v>0.96508404610325726</v>
      </c>
      <c r="T209" s="1267" t="str">
        <f t="shared" si="147"/>
        <v>Policies not met</v>
      </c>
      <c r="U209" s="1249">
        <f t="shared" si="148"/>
        <v>0.85</v>
      </c>
      <c r="V209" s="1267" t="str">
        <f t="shared" si="149"/>
        <v>Yes</v>
      </c>
      <c r="W209" s="1242">
        <f t="shared" si="150"/>
        <v>9.1617768376254087</v>
      </c>
      <c r="X209" s="769">
        <f t="shared" si="151"/>
        <v>5.5490991638741765</v>
      </c>
      <c r="Y209" s="121">
        <f t="shared" si="152"/>
        <v>3.1187977081295268</v>
      </c>
      <c r="Z209" s="739">
        <f t="shared" si="142"/>
        <v>0.49017483766308212</v>
      </c>
      <c r="AA209" s="739">
        <f t="shared" si="143"/>
        <v>0</v>
      </c>
      <c r="AB209" s="739">
        <f t="shared" si="144"/>
        <v>3.7051279586225467E-3</v>
      </c>
      <c r="AC209" s="739">
        <f t="shared" si="153"/>
        <v>9.1617768376254087</v>
      </c>
      <c r="AD209" s="778">
        <f t="shared" si="174"/>
        <v>0</v>
      </c>
      <c r="AE209" s="731">
        <f t="shared" si="154"/>
        <v>0.60567936353625673</v>
      </c>
      <c r="AF209" s="732">
        <f t="shared" si="155"/>
        <v>0.34041406633277821</v>
      </c>
      <c r="AG209" s="732">
        <f t="shared" si="156"/>
        <v>5.3502158626047465E-2</v>
      </c>
      <c r="AH209" s="732">
        <f t="shared" si="157"/>
        <v>4.044115049175176E-4</v>
      </c>
      <c r="AI209" s="732">
        <f>AB209/AC209</f>
        <v>4.044115049175176E-4</v>
      </c>
      <c r="AJ209" s="733">
        <f t="shared" si="159"/>
        <v>1.0004044115049173</v>
      </c>
      <c r="AK209" s="1403">
        <f t="shared" si="166"/>
        <v>4.4616365888963987</v>
      </c>
      <c r="AL209" s="739">
        <f t="shared" si="167"/>
        <v>0.89412997615797285</v>
      </c>
      <c r="AM209" s="739">
        <f t="shared" si="168"/>
        <v>0.19333259881980491</v>
      </c>
      <c r="AN209" s="1404">
        <f t="shared" si="160"/>
        <v>5.5490991638741765</v>
      </c>
      <c r="AO209" s="1405">
        <f t="shared" si="161"/>
        <v>0</v>
      </c>
    </row>
  </sheetData>
  <mergeCells count="75">
    <mergeCell ref="CD93:CE93"/>
    <mergeCell ref="BV93:BX93"/>
    <mergeCell ref="BY93:CA93"/>
    <mergeCell ref="AE93:AE95"/>
    <mergeCell ref="AF93:AF94"/>
    <mergeCell ref="AG93:AQ93"/>
    <mergeCell ref="AR93:BB93"/>
    <mergeCell ref="BM93:BT93"/>
    <mergeCell ref="BE93:BL93"/>
    <mergeCell ref="BD93:BD95"/>
    <mergeCell ref="BC93:BC94"/>
    <mergeCell ref="CB93:CC93"/>
    <mergeCell ref="A134:A135"/>
    <mergeCell ref="P133:P134"/>
    <mergeCell ref="Q133:Q134"/>
    <mergeCell ref="A94:A95"/>
    <mergeCell ref="A133:D133"/>
    <mergeCell ref="E133:I133"/>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A93:AA94"/>
    <mergeCell ref="AB93:AB95"/>
    <mergeCell ref="AD93:AD94"/>
    <mergeCell ref="AC93:AC95"/>
    <mergeCell ref="A36:A37"/>
    <mergeCell ref="C42:I42"/>
    <mergeCell ref="Q42:W42"/>
    <mergeCell ref="A93:D93"/>
    <mergeCell ref="E93:G93"/>
    <mergeCell ref="H93:K93"/>
    <mergeCell ref="L93:P93"/>
    <mergeCell ref="Q93:U93"/>
    <mergeCell ref="V93:V94"/>
    <mergeCell ref="W93:X93"/>
    <mergeCell ref="J42:P42"/>
    <mergeCell ref="A174:A175"/>
    <mergeCell ref="A173:D173"/>
    <mergeCell ref="E173:I173"/>
    <mergeCell ref="J173:L173"/>
    <mergeCell ref="M173:M174"/>
    <mergeCell ref="M133:M134"/>
    <mergeCell ref="N133:O133"/>
    <mergeCell ref="U133:U134"/>
    <mergeCell ref="V133:V135"/>
    <mergeCell ref="R133:R134"/>
    <mergeCell ref="T133:T135"/>
    <mergeCell ref="S133:S134"/>
    <mergeCell ref="AK133:AO133"/>
    <mergeCell ref="AK173:AO173"/>
    <mergeCell ref="CG93:CM93"/>
    <mergeCell ref="CM94:CM95"/>
    <mergeCell ref="N173:O173"/>
    <mergeCell ref="P173:P174"/>
    <mergeCell ref="Q173:Q174"/>
    <mergeCell ref="R173:R174"/>
    <mergeCell ref="S173:S174"/>
    <mergeCell ref="W133:W134"/>
    <mergeCell ref="U173:U174"/>
    <mergeCell ref="V173:V175"/>
    <mergeCell ref="W173:W174"/>
    <mergeCell ref="T173:T175"/>
    <mergeCell ref="Y93:Y94"/>
    <mergeCell ref="Z93:Z94"/>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26" zoomScale="98" workbookViewId="0">
      <selection activeCell="L28" sqref="L28"/>
    </sheetView>
  </sheetViews>
  <sheetFormatPr defaultColWidth="12.33203125" defaultRowHeight="14.4"/>
  <cols>
    <col min="1" max="1" width="39.6640625" customWidth="1"/>
    <col min="2" max="2" width="32.88671875" customWidth="1"/>
    <col min="3" max="3" width="35.554687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450</v>
      </c>
      <c r="I2">
        <v>56521948</v>
      </c>
      <c r="J2" s="332">
        <f>I2*G2/1000*0.8</f>
        <v>26180966.313600004</v>
      </c>
      <c r="M2" s="332">
        <f>N42+L42</f>
        <v>1756686.4765390735</v>
      </c>
    </row>
    <row r="3" spans="1:42" ht="15.6">
      <c r="A3" s="403" t="s">
        <v>394</v>
      </c>
      <c r="B3" s="403"/>
      <c r="C3" s="403" t="s">
        <v>395</v>
      </c>
      <c r="D3" s="404" t="s">
        <v>451</v>
      </c>
      <c r="E3" s="405"/>
      <c r="F3" s="405"/>
      <c r="G3" s="405"/>
      <c r="H3" s="405"/>
      <c r="I3" s="405"/>
      <c r="J3" s="406" t="s">
        <v>396</v>
      </c>
      <c r="K3" s="407"/>
      <c r="L3" s="407"/>
      <c r="M3" s="407"/>
      <c r="N3" s="407"/>
      <c r="O3" s="407"/>
      <c r="P3" s="408"/>
      <c r="Q3" s="408"/>
      <c r="R3" s="408"/>
      <c r="S3" s="408"/>
      <c r="T3" s="408"/>
      <c r="U3" s="408"/>
      <c r="V3" s="408"/>
      <c r="W3" s="408"/>
      <c r="X3" s="408"/>
    </row>
    <row r="4" spans="1:42" ht="31.2">
      <c r="A4" s="409" t="s">
        <v>397</v>
      </c>
      <c r="B4" s="409"/>
      <c r="C4" s="409" t="s">
        <v>398</v>
      </c>
      <c r="D4" s="410" t="s">
        <v>452</v>
      </c>
      <c r="E4" s="411" t="s">
        <v>453</v>
      </c>
      <c r="F4" s="412" t="s">
        <v>454</v>
      </c>
      <c r="G4" s="412"/>
      <c r="H4" s="412"/>
      <c r="I4" s="411" t="s">
        <v>455</v>
      </c>
      <c r="J4" s="1868" t="s">
        <v>623</v>
      </c>
      <c r="K4" s="1867" t="s">
        <v>624</v>
      </c>
      <c r="L4" s="1867" t="s">
        <v>625</v>
      </c>
      <c r="M4" s="1867" t="s">
        <v>626</v>
      </c>
      <c r="N4" s="1867" t="s">
        <v>574</v>
      </c>
      <c r="O4" s="1867" t="s">
        <v>622</v>
      </c>
      <c r="P4" s="413" t="s">
        <v>400</v>
      </c>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row>
    <row r="5" spans="1:42">
      <c r="A5" s="415"/>
      <c r="B5" s="415"/>
      <c r="C5" s="415"/>
      <c r="D5" s="412"/>
      <c r="E5" s="411"/>
      <c r="F5" s="412" t="s">
        <v>456</v>
      </c>
      <c r="G5" s="412" t="s">
        <v>457</v>
      </c>
      <c r="H5" s="412" t="s">
        <v>458</v>
      </c>
      <c r="I5" s="411"/>
      <c r="J5" s="1868" t="s">
        <v>401</v>
      </c>
      <c r="K5" s="1867"/>
      <c r="L5" s="1867"/>
      <c r="M5" s="1867"/>
      <c r="N5" s="1867"/>
      <c r="O5" s="1867"/>
      <c r="P5" s="414"/>
      <c r="Q5" s="416"/>
      <c r="R5" s="414"/>
      <c r="S5" s="414"/>
      <c r="T5" s="414"/>
      <c r="U5" s="414"/>
      <c r="Y5" s="414"/>
      <c r="Z5" s="414"/>
      <c r="AA5" s="414"/>
      <c r="AB5" s="414"/>
      <c r="AC5" s="414"/>
      <c r="AD5" s="414"/>
      <c r="AE5" s="414"/>
      <c r="AF5" s="414"/>
      <c r="AG5" s="414"/>
      <c r="AH5" s="414"/>
      <c r="AI5" s="414"/>
      <c r="AJ5" s="414"/>
      <c r="AK5" s="414"/>
      <c r="AL5" s="414"/>
      <c r="AM5" s="414"/>
      <c r="AN5" s="414"/>
      <c r="AO5" s="414"/>
      <c r="AP5" s="414"/>
    </row>
    <row r="6" spans="1:42" ht="15.6">
      <c r="A6" s="1869" t="s">
        <v>402</v>
      </c>
      <c r="B6" s="5" t="s">
        <v>403</v>
      </c>
      <c r="C6" s="417" t="s">
        <v>267</v>
      </c>
      <c r="J6" s="332">
        <f>J39+J40+J41+J42+J43</f>
        <v>23980178.792267412</v>
      </c>
      <c r="K6" s="332">
        <f t="shared" ref="K6:O6" si="0">K39+K40+K41+K42+K43</f>
        <v>0</v>
      </c>
      <c r="L6" s="332">
        <f t="shared" si="0"/>
        <v>10165104.888539074</v>
      </c>
      <c r="M6" s="332">
        <f t="shared" si="0"/>
        <v>3767862.0897283391</v>
      </c>
      <c r="N6" s="332">
        <f t="shared" si="0"/>
        <v>123895.58799999999</v>
      </c>
      <c r="O6" s="332">
        <f t="shared" si="0"/>
        <v>9923316.2259999998</v>
      </c>
      <c r="P6" s="418">
        <f>J6/$I$2*1000</f>
        <v>424.26313389388866</v>
      </c>
      <c r="Q6" s="419" t="s">
        <v>227</v>
      </c>
      <c r="R6" s="414"/>
      <c r="S6" s="414"/>
      <c r="T6" s="414"/>
      <c r="U6" s="414"/>
      <c r="Y6" s="414"/>
      <c r="Z6" s="414"/>
      <c r="AA6" s="414"/>
      <c r="AB6" s="414"/>
      <c r="AC6" s="414"/>
      <c r="AD6" s="414"/>
      <c r="AE6" s="414"/>
      <c r="AF6" s="414"/>
      <c r="AG6" s="414"/>
      <c r="AH6" s="414"/>
      <c r="AI6" s="414"/>
      <c r="AJ6" s="414"/>
      <c r="AK6" s="414"/>
      <c r="AL6" s="414"/>
      <c r="AM6" s="414"/>
      <c r="AN6" s="414"/>
      <c r="AO6" s="414"/>
      <c r="AP6" s="414"/>
    </row>
    <row r="7" spans="1:42" ht="15.6">
      <c r="A7" s="1869"/>
      <c r="B7" t="s">
        <v>404</v>
      </c>
      <c r="C7" t="s">
        <v>405</v>
      </c>
      <c r="J7" s="332">
        <f>J44</f>
        <v>4482992.0000000009</v>
      </c>
      <c r="K7" s="332">
        <f t="shared" ref="K7:O7" si="1">K44</f>
        <v>0</v>
      </c>
      <c r="L7" s="332">
        <f t="shared" si="1"/>
        <v>2151836.16</v>
      </c>
      <c r="M7" s="332">
        <f t="shared" si="1"/>
        <v>0</v>
      </c>
      <c r="N7" s="332">
        <f t="shared" si="1"/>
        <v>0</v>
      </c>
      <c r="O7" s="332">
        <f t="shared" si="1"/>
        <v>2331155.8400000008</v>
      </c>
      <c r="P7" s="418">
        <f t="shared" ref="P7:P8" si="2">J7/$I$2*1000</f>
        <v>79.314180749750534</v>
      </c>
      <c r="Q7" s="419" t="s">
        <v>227</v>
      </c>
      <c r="R7" s="414"/>
      <c r="S7" s="414"/>
      <c r="T7" s="414"/>
      <c r="U7" s="414"/>
      <c r="Y7" s="414"/>
      <c r="Z7" s="414"/>
      <c r="AA7" s="414"/>
      <c r="AB7" s="414"/>
      <c r="AC7" s="414"/>
      <c r="AD7" s="414"/>
      <c r="AE7" s="414"/>
      <c r="AF7" s="414"/>
      <c r="AG7" s="414"/>
      <c r="AH7" s="414"/>
      <c r="AI7" s="414"/>
      <c r="AJ7" s="414"/>
      <c r="AK7" s="414"/>
      <c r="AL7" s="414"/>
      <c r="AM7" s="414"/>
      <c r="AN7" s="414"/>
      <c r="AO7" s="414"/>
      <c r="AP7" s="414"/>
    </row>
    <row r="8" spans="1:42" ht="15.6">
      <c r="A8" s="1869"/>
      <c r="C8" s="420" t="s">
        <v>225</v>
      </c>
      <c r="D8" s="421"/>
      <c r="E8" s="421"/>
      <c r="F8" s="421"/>
      <c r="G8" s="421"/>
      <c r="H8" s="421"/>
      <c r="I8" s="421"/>
      <c r="J8" s="422">
        <f>SUM(J6:J7)</f>
        <v>28463170.792267412</v>
      </c>
      <c r="K8" s="422">
        <f t="shared" ref="K8:O8" si="3">SUM(K6:K7)</f>
        <v>0</v>
      </c>
      <c r="L8" s="422">
        <f t="shared" si="3"/>
        <v>12316941.048539074</v>
      </c>
      <c r="M8" s="422">
        <f t="shared" si="3"/>
        <v>3767862.0897283391</v>
      </c>
      <c r="N8" s="422">
        <f t="shared" si="3"/>
        <v>123895.58799999999</v>
      </c>
      <c r="O8" s="422">
        <f t="shared" si="3"/>
        <v>12254472.066</v>
      </c>
      <c r="P8" s="423">
        <f t="shared" si="2"/>
        <v>503.57731464363917</v>
      </c>
      <c r="Q8" s="423" t="s">
        <v>227</v>
      </c>
      <c r="R8" s="414"/>
      <c r="S8" s="414"/>
      <c r="T8" s="414"/>
      <c r="U8" s="414"/>
      <c r="Y8" s="414"/>
      <c r="Z8" s="414"/>
      <c r="AA8" s="414"/>
      <c r="AB8" s="414"/>
      <c r="AC8" s="414"/>
      <c r="AD8" s="414"/>
      <c r="AE8" s="414"/>
      <c r="AF8" s="414"/>
      <c r="AG8" s="414"/>
      <c r="AH8" s="414"/>
      <c r="AI8" s="414"/>
      <c r="AJ8" s="414"/>
      <c r="AK8" s="414"/>
      <c r="AL8" s="414"/>
      <c r="AM8" s="414"/>
      <c r="AN8" s="414"/>
      <c r="AO8" s="414"/>
      <c r="AP8" s="414"/>
    </row>
    <row r="9" spans="1:42">
      <c r="A9" s="1870" t="s">
        <v>406</v>
      </c>
      <c r="B9" t="s">
        <v>386</v>
      </c>
      <c r="C9" t="s">
        <v>407</v>
      </c>
      <c r="J9" s="332">
        <f>J50</f>
        <v>12802632</v>
      </c>
      <c r="K9" s="332">
        <f t="shared" ref="K9:O9" si="4">K50</f>
        <v>0</v>
      </c>
      <c r="L9" s="332">
        <f t="shared" si="4"/>
        <v>6376212.7999999998</v>
      </c>
      <c r="M9" s="332">
        <f t="shared" si="4"/>
        <v>0</v>
      </c>
      <c r="N9" s="332">
        <f t="shared" si="4"/>
        <v>251032</v>
      </c>
      <c r="O9" s="332">
        <f t="shared" si="4"/>
        <v>6175387.2000000002</v>
      </c>
      <c r="P9" s="414"/>
      <c r="Q9" s="416"/>
      <c r="R9" s="414"/>
      <c r="S9" s="414"/>
      <c r="T9" s="414"/>
      <c r="U9" s="414"/>
      <c r="Y9" s="414"/>
      <c r="Z9" s="414"/>
      <c r="AA9" s="414"/>
      <c r="AB9" s="414"/>
      <c r="AC9" s="414"/>
      <c r="AD9" s="414"/>
      <c r="AE9" s="414"/>
      <c r="AF9" s="414"/>
      <c r="AG9" s="414"/>
      <c r="AH9" s="414"/>
      <c r="AI9" s="414"/>
      <c r="AJ9" s="414"/>
      <c r="AK9" s="414"/>
      <c r="AL9" s="414"/>
      <c r="AM9" s="414"/>
      <c r="AN9" s="414"/>
      <c r="AO9" s="414"/>
      <c r="AP9" s="414"/>
    </row>
    <row r="10" spans="1:42">
      <c r="A10" s="1870"/>
      <c r="B10" t="str">
        <f>B48</f>
        <v>GW14&amp;15</v>
      </c>
      <c r="C10" t="s">
        <v>409</v>
      </c>
      <c r="J10" s="332">
        <f>J48</f>
        <v>10835160.000000002</v>
      </c>
      <c r="K10" s="332">
        <f t="shared" ref="K10:O10" si="5">K48</f>
        <v>0</v>
      </c>
      <c r="L10" s="332">
        <f t="shared" si="5"/>
        <v>10499270.040000001</v>
      </c>
      <c r="M10" s="332">
        <f t="shared" si="5"/>
        <v>0</v>
      </c>
      <c r="N10" s="332">
        <f t="shared" si="5"/>
        <v>0</v>
      </c>
      <c r="O10" s="332">
        <f t="shared" si="5"/>
        <v>335889.96</v>
      </c>
      <c r="P10" s="414"/>
      <c r="Q10" s="416"/>
      <c r="R10" s="414"/>
      <c r="S10" s="414"/>
      <c r="T10" s="414"/>
      <c r="U10" s="414"/>
      <c r="Y10" s="414"/>
      <c r="Z10" s="414"/>
      <c r="AA10" s="414"/>
      <c r="AB10" s="414"/>
      <c r="AC10" s="414"/>
      <c r="AD10" s="414"/>
      <c r="AE10" s="414"/>
      <c r="AF10" s="414"/>
      <c r="AG10" s="414"/>
      <c r="AH10" s="414"/>
      <c r="AI10" s="414"/>
      <c r="AJ10" s="414"/>
      <c r="AK10" s="414"/>
      <c r="AL10" s="414"/>
      <c r="AM10" s="414"/>
      <c r="AN10" s="414"/>
      <c r="AO10" s="414"/>
      <c r="AP10" s="414"/>
    </row>
    <row r="11" spans="1:42">
      <c r="A11" s="1870"/>
      <c r="B11" t="s">
        <v>410</v>
      </c>
      <c r="C11" t="s">
        <v>411</v>
      </c>
      <c r="J11" s="332">
        <f>J49+J51</f>
        <v>5588640.384615385</v>
      </c>
      <c r="K11" s="332">
        <f t="shared" ref="K11:O11" si="6">K49+K51</f>
        <v>0</v>
      </c>
      <c r="L11" s="332">
        <f t="shared" si="6"/>
        <v>5522975</v>
      </c>
      <c r="M11" s="332">
        <f t="shared" si="6"/>
        <v>0</v>
      </c>
      <c r="N11" s="332">
        <f t="shared" si="6"/>
        <v>65665.38461538461</v>
      </c>
      <c r="O11" s="332">
        <f t="shared" si="6"/>
        <v>0</v>
      </c>
      <c r="P11" s="414"/>
      <c r="Q11" s="416"/>
      <c r="R11" s="414"/>
      <c r="S11" s="414"/>
      <c r="T11" s="414"/>
      <c r="U11" s="414"/>
      <c r="Y11" s="414"/>
      <c r="Z11" s="414"/>
      <c r="AA11" s="414"/>
      <c r="AB11" s="414"/>
      <c r="AC11" s="414"/>
      <c r="AD11" s="414"/>
      <c r="AE11" s="414"/>
      <c r="AF11" s="414"/>
      <c r="AG11" s="414"/>
      <c r="AH11" s="414"/>
      <c r="AI11" s="414"/>
      <c r="AJ11" s="414"/>
      <c r="AK11" s="414"/>
      <c r="AL11" s="414"/>
      <c r="AM11" s="414"/>
      <c r="AN11" s="414"/>
      <c r="AO11" s="414"/>
      <c r="AP11" s="414"/>
    </row>
    <row r="12" spans="1:42" ht="15.6">
      <c r="A12" s="1870"/>
      <c r="C12" s="420" t="s">
        <v>225</v>
      </c>
      <c r="D12" s="421"/>
      <c r="E12" s="421"/>
      <c r="F12" s="421"/>
      <c r="G12" s="421"/>
      <c r="H12" s="421"/>
      <c r="I12" s="421"/>
      <c r="J12" s="422">
        <f>SUM(J9:J11)</f>
        <v>29226432.384615384</v>
      </c>
      <c r="K12" s="422">
        <f t="shared" ref="K12:O12" si="7">SUM(K9:K11)</f>
        <v>0</v>
      </c>
      <c r="L12" s="422">
        <f t="shared" si="7"/>
        <v>22398457.84</v>
      </c>
      <c r="M12" s="422">
        <f t="shared" si="7"/>
        <v>0</v>
      </c>
      <c r="N12" s="422">
        <f t="shared" si="7"/>
        <v>316697.38461538462</v>
      </c>
      <c r="O12" s="422">
        <f t="shared" si="7"/>
        <v>6511277.1600000001</v>
      </c>
      <c r="P12" s="414"/>
      <c r="Q12" s="416"/>
      <c r="R12" s="414"/>
      <c r="S12" s="414"/>
      <c r="T12" s="414"/>
      <c r="U12" s="414"/>
      <c r="Y12" s="414"/>
      <c r="Z12" s="414"/>
      <c r="AA12" s="414"/>
      <c r="AB12" s="414"/>
      <c r="AC12" s="414"/>
      <c r="AD12" s="414"/>
      <c r="AE12" s="414"/>
      <c r="AF12" s="414"/>
      <c r="AG12" s="414"/>
      <c r="AH12" s="414"/>
      <c r="AI12" s="414"/>
      <c r="AJ12" s="414"/>
      <c r="AK12" s="414"/>
      <c r="AL12" s="414"/>
      <c r="AM12" s="414"/>
      <c r="AN12" s="414"/>
      <c r="AO12" s="414"/>
      <c r="AP12" s="414"/>
    </row>
    <row r="13" spans="1:42">
      <c r="A13" s="1870" t="s">
        <v>412</v>
      </c>
      <c r="B13" t="s">
        <v>413</v>
      </c>
      <c r="C13" t="s">
        <v>414</v>
      </c>
      <c r="J13" s="332">
        <f>J65</f>
        <v>39159891</v>
      </c>
      <c r="K13" s="332">
        <f t="shared" ref="K13:O13" si="8">K65</f>
        <v>0</v>
      </c>
      <c r="L13" s="332">
        <f t="shared" si="8"/>
        <v>36418698.630000003</v>
      </c>
      <c r="M13" s="332">
        <f t="shared" si="8"/>
        <v>0</v>
      </c>
      <c r="N13" s="332">
        <f t="shared" si="8"/>
        <v>0</v>
      </c>
      <c r="O13" s="332">
        <f t="shared" si="8"/>
        <v>2741192.37</v>
      </c>
      <c r="P13" s="414"/>
      <c r="Q13" s="416"/>
      <c r="R13" s="414"/>
      <c r="S13" s="414"/>
      <c r="T13" s="414"/>
      <c r="U13" s="414"/>
      <c r="Y13" s="414"/>
      <c r="Z13" s="414"/>
      <c r="AA13" s="414"/>
      <c r="AB13" s="414"/>
      <c r="AC13" s="414"/>
      <c r="AD13" s="414"/>
      <c r="AE13" s="414"/>
      <c r="AF13" s="414"/>
      <c r="AG13" s="414"/>
      <c r="AH13" s="414"/>
      <c r="AI13" s="414"/>
      <c r="AJ13" s="414"/>
      <c r="AK13" s="414"/>
      <c r="AL13" s="414"/>
      <c r="AM13" s="414"/>
      <c r="AN13" s="414"/>
      <c r="AO13" s="414"/>
      <c r="AP13" s="414"/>
    </row>
    <row r="14" spans="1:42">
      <c r="A14" s="1870"/>
      <c r="B14" s="424" t="s">
        <v>415</v>
      </c>
      <c r="C14" t="s">
        <v>416</v>
      </c>
      <c r="J14" s="332">
        <f>J60+J61+J62+J59+J58</f>
        <v>1067066</v>
      </c>
      <c r="K14" s="332">
        <f t="shared" ref="K14:O14" si="9">K60+K61+K62+K59+K58</f>
        <v>77080</v>
      </c>
      <c r="L14" s="332">
        <f t="shared" si="9"/>
        <v>686488.17700000003</v>
      </c>
      <c r="M14" s="332">
        <f t="shared" si="9"/>
        <v>0</v>
      </c>
      <c r="N14" s="332">
        <f t="shared" si="9"/>
        <v>679.74399999999991</v>
      </c>
      <c r="O14" s="332">
        <f t="shared" si="9"/>
        <v>302818.07900000003</v>
      </c>
      <c r="P14" s="414"/>
      <c r="Q14" s="416"/>
      <c r="R14" s="414"/>
      <c r="S14" s="414"/>
      <c r="T14" s="414"/>
      <c r="U14" s="414"/>
      <c r="Y14" s="414"/>
      <c r="Z14" s="414"/>
      <c r="AA14" s="414"/>
      <c r="AB14" s="414"/>
      <c r="AC14" s="414"/>
      <c r="AD14" s="414"/>
      <c r="AE14" s="414"/>
      <c r="AF14" s="414"/>
      <c r="AG14" s="414"/>
      <c r="AH14" s="414"/>
      <c r="AI14" s="414"/>
      <c r="AJ14" s="414"/>
      <c r="AK14" s="414"/>
      <c r="AL14" s="414"/>
      <c r="AM14" s="414"/>
      <c r="AN14" s="414"/>
      <c r="AO14" s="414"/>
      <c r="AP14" s="414"/>
    </row>
    <row r="15" spans="1:42" ht="28.8">
      <c r="A15" s="1870"/>
      <c r="B15" s="424" t="s">
        <v>662</v>
      </c>
      <c r="C15" t="s">
        <v>417</v>
      </c>
      <c r="J15" s="332">
        <f>J52+J53+J54+J55+J56+J57+J63+J64+J66+J67+J68+J69+J70+J71</f>
        <v>11959772</v>
      </c>
      <c r="K15" s="332">
        <f t="shared" ref="K15:O15" si="10">K52+K53+K54+K55+K56+K57+K63+K64+K66+K67+K68+K69+K70+K71</f>
        <v>0</v>
      </c>
      <c r="L15" s="332">
        <f t="shared" si="10"/>
        <v>11533568.976000002</v>
      </c>
      <c r="M15" s="332">
        <f t="shared" si="10"/>
        <v>0</v>
      </c>
      <c r="N15" s="332">
        <f t="shared" si="10"/>
        <v>56692.235999999997</v>
      </c>
      <c r="O15" s="332">
        <f t="shared" si="10"/>
        <v>369510.788</v>
      </c>
      <c r="P15" s="414"/>
      <c r="Q15" s="416"/>
      <c r="R15" s="414"/>
      <c r="S15" s="414"/>
      <c r="T15" s="414"/>
      <c r="U15" s="414"/>
      <c r="Y15" s="414"/>
      <c r="Z15" s="414"/>
      <c r="AA15" s="414"/>
      <c r="AB15" s="414"/>
      <c r="AC15" s="414"/>
      <c r="AD15" s="414"/>
      <c r="AE15" s="414"/>
      <c r="AF15" s="414"/>
      <c r="AG15" s="414"/>
      <c r="AH15" s="414"/>
      <c r="AI15" s="414"/>
      <c r="AJ15" s="414"/>
      <c r="AK15" s="414"/>
      <c r="AL15" s="414"/>
      <c r="AM15" s="414"/>
      <c r="AN15" s="414"/>
      <c r="AO15" s="414"/>
      <c r="AP15" s="414"/>
    </row>
    <row r="16" spans="1:42" ht="15.6">
      <c r="A16" s="1870"/>
      <c r="C16" s="420" t="s">
        <v>225</v>
      </c>
      <c r="J16" s="422">
        <f>SUM(J13:J15)</f>
        <v>52186729</v>
      </c>
      <c r="K16" s="422">
        <f t="shared" ref="K16:O16" si="11">SUM(K13:K15)</f>
        <v>77080</v>
      </c>
      <c r="L16" s="422">
        <f t="shared" si="11"/>
        <v>48638755.783000007</v>
      </c>
      <c r="M16" s="422">
        <f t="shared" si="11"/>
        <v>0</v>
      </c>
      <c r="N16" s="422">
        <f t="shared" si="11"/>
        <v>57371.979999999996</v>
      </c>
      <c r="O16" s="422">
        <f t="shared" si="11"/>
        <v>3413521.2370000002</v>
      </c>
      <c r="P16" s="414"/>
      <c r="Q16" s="416"/>
      <c r="R16" s="414"/>
      <c r="S16" s="414"/>
      <c r="T16" s="414"/>
      <c r="U16" s="414"/>
      <c r="Y16" s="414"/>
      <c r="Z16" s="414"/>
      <c r="AA16" s="414"/>
      <c r="AB16" s="414"/>
      <c r="AC16" s="414"/>
      <c r="AD16" s="414"/>
      <c r="AE16" s="414"/>
      <c r="AF16" s="414"/>
      <c r="AG16" s="414"/>
      <c r="AH16" s="414"/>
      <c r="AI16" s="414"/>
      <c r="AJ16" s="414"/>
      <c r="AK16" s="414"/>
      <c r="AL16" s="414"/>
      <c r="AM16" s="414"/>
      <c r="AN16" s="414"/>
      <c r="AO16" s="414"/>
      <c r="AP16" s="414"/>
    </row>
    <row r="17" spans="1:42" ht="15.6">
      <c r="A17" s="425" t="s">
        <v>418</v>
      </c>
      <c r="C17" s="426" t="s">
        <v>419</v>
      </c>
      <c r="J17" s="427">
        <f>J16+J12+J8</f>
        <v>109876332.1768828</v>
      </c>
      <c r="K17" s="427">
        <f>K16+K12+K8</f>
        <v>77080</v>
      </c>
      <c r="L17" s="427">
        <f>L16+L12+L8</f>
        <v>83354154.671539083</v>
      </c>
      <c r="M17" s="427">
        <f t="shared" ref="M17:O17" si="12">M16+M12+M8</f>
        <v>3767862.0897283391</v>
      </c>
      <c r="N17" s="427">
        <f t="shared" si="12"/>
        <v>497964.95261538459</v>
      </c>
      <c r="O17" s="427">
        <f t="shared" si="12"/>
        <v>22179270.463</v>
      </c>
      <c r="P17" s="414"/>
      <c r="Q17" s="416"/>
      <c r="R17" s="414"/>
      <c r="S17" s="414"/>
      <c r="T17" s="414"/>
      <c r="U17" s="414"/>
      <c r="Y17" s="414"/>
      <c r="Z17" s="414"/>
      <c r="AA17" s="414"/>
      <c r="AB17" s="414"/>
      <c r="AC17" s="414"/>
      <c r="AD17" s="414"/>
      <c r="AE17" s="414"/>
      <c r="AF17" s="414"/>
      <c r="AG17" s="414"/>
      <c r="AH17" s="414"/>
      <c r="AI17" s="414"/>
      <c r="AJ17" s="414"/>
      <c r="AK17" s="414"/>
      <c r="AL17" s="414"/>
      <c r="AM17" s="414"/>
      <c r="AN17" s="414"/>
      <c r="AO17" s="414"/>
      <c r="AP17" s="414"/>
    </row>
    <row r="18" spans="1:42" ht="15.6">
      <c r="A18" s="425"/>
      <c r="C18" s="426" t="s">
        <v>420</v>
      </c>
      <c r="J18" s="428">
        <f>SUM(K18:O18)</f>
        <v>1</v>
      </c>
      <c r="K18" s="428">
        <f>K17/$J$17</f>
        <v>7.0151595409932222E-4</v>
      </c>
      <c r="L18" s="428">
        <f t="shared" ref="L18:O18" si="13">L17/$J$17</f>
        <v>0.7586179208944891</v>
      </c>
      <c r="M18" s="428">
        <f t="shared" si="13"/>
        <v>3.4291844431635209E-2</v>
      </c>
      <c r="N18" s="428">
        <f t="shared" si="13"/>
        <v>4.5320492844058815E-3</v>
      </c>
      <c r="O18" s="428">
        <f t="shared" si="13"/>
        <v>0.20185666943537053</v>
      </c>
      <c r="P18" s="414"/>
      <c r="Q18" s="416"/>
      <c r="R18" s="414"/>
      <c r="S18" s="414"/>
      <c r="T18" s="414"/>
      <c r="U18" s="414"/>
      <c r="Y18" s="414"/>
      <c r="Z18" s="414"/>
      <c r="AA18" s="414"/>
      <c r="AB18" s="414"/>
      <c r="AC18" s="414"/>
      <c r="AD18" s="414"/>
      <c r="AE18" s="414"/>
      <c r="AF18" s="414"/>
      <c r="AG18" s="414"/>
      <c r="AH18" s="414"/>
      <c r="AI18" s="414"/>
      <c r="AJ18" s="414"/>
      <c r="AK18" s="414"/>
      <c r="AL18" s="414"/>
      <c r="AM18" s="414"/>
      <c r="AN18" s="414"/>
      <c r="AO18" s="414"/>
      <c r="AP18" s="414"/>
    </row>
    <row r="19" spans="1:42" ht="15.6">
      <c r="A19" s="425"/>
      <c r="C19" s="426" t="s">
        <v>459</v>
      </c>
      <c r="J19" s="427">
        <f>J12+J7+J16</f>
        <v>85896153.384615391</v>
      </c>
      <c r="K19" s="427">
        <f t="shared" ref="K19:O19" si="14">K12+K7+K16</f>
        <v>77080</v>
      </c>
      <c r="L19" s="427">
        <f t="shared" si="14"/>
        <v>73189049.783000007</v>
      </c>
      <c r="M19" s="427">
        <f t="shared" si="14"/>
        <v>0</v>
      </c>
      <c r="N19" s="427">
        <f t="shared" si="14"/>
        <v>374069.36461538461</v>
      </c>
      <c r="O19" s="427">
        <f t="shared" si="14"/>
        <v>12255954.237</v>
      </c>
      <c r="P19" s="414"/>
      <c r="Q19" s="416"/>
      <c r="R19" s="414"/>
      <c r="S19" s="414"/>
      <c r="T19" s="414"/>
      <c r="U19" s="414"/>
      <c r="Y19" s="414"/>
      <c r="Z19" s="414"/>
      <c r="AA19" s="414"/>
      <c r="AB19" s="414"/>
      <c r="AC19" s="414"/>
      <c r="AD19" s="414"/>
      <c r="AE19" s="414"/>
      <c r="AF19" s="414"/>
      <c r="AG19" s="414"/>
      <c r="AH19" s="414"/>
      <c r="AI19" s="414"/>
      <c r="AJ19" s="414"/>
      <c r="AK19" s="414"/>
      <c r="AL19" s="414"/>
      <c r="AM19" s="414"/>
      <c r="AN19" s="414"/>
      <c r="AO19" s="414"/>
      <c r="AP19" s="414"/>
    </row>
    <row r="20" spans="1:42" ht="15.6">
      <c r="A20" s="425"/>
      <c r="C20" s="426" t="s">
        <v>420</v>
      </c>
      <c r="J20" s="473">
        <f>SUM(K20:O20)</f>
        <v>1</v>
      </c>
      <c r="K20" s="428">
        <f>K19/$J$19</f>
        <v>8.973626520254116E-4</v>
      </c>
      <c r="L20" s="428">
        <f>L19/$J$19</f>
        <v>0.85206434629596206</v>
      </c>
      <c r="M20" s="428">
        <f>M19/$J$19</f>
        <v>0</v>
      </c>
      <c r="N20" s="428">
        <f>N19/$J$19</f>
        <v>4.3549024010472517E-3</v>
      </c>
      <c r="O20" s="428">
        <f>O19/$J$19</f>
        <v>0.14268338865096522</v>
      </c>
      <c r="P20" s="414"/>
      <c r="Q20" s="416"/>
      <c r="R20" s="414"/>
      <c r="S20" s="414"/>
      <c r="T20" s="414"/>
      <c r="U20" s="414"/>
      <c r="Y20" s="414"/>
      <c r="Z20" s="414"/>
      <c r="AA20" s="414"/>
      <c r="AB20" s="414"/>
      <c r="AC20" s="414"/>
      <c r="AD20" s="414"/>
      <c r="AE20" s="414"/>
      <c r="AF20" s="414"/>
      <c r="AG20" s="414"/>
      <c r="AH20" s="414"/>
      <c r="AI20" s="414"/>
      <c r="AJ20" s="414"/>
      <c r="AK20" s="414"/>
      <c r="AL20" s="414"/>
      <c r="AM20" s="414"/>
      <c r="AN20" s="414"/>
      <c r="AO20" s="414"/>
      <c r="AP20" s="414"/>
    </row>
    <row r="21" spans="1:42" ht="15.6">
      <c r="A21" s="425"/>
      <c r="C21" s="426" t="s">
        <v>543</v>
      </c>
      <c r="J21" s="427">
        <f>J6</f>
        <v>23980178.792267412</v>
      </c>
      <c r="K21" s="427">
        <f t="shared" ref="K21:O21" si="15">K6</f>
        <v>0</v>
      </c>
      <c r="L21" s="427">
        <f t="shared" si="15"/>
        <v>10165104.888539074</v>
      </c>
      <c r="M21" s="427">
        <f t="shared" si="15"/>
        <v>3767862.0897283391</v>
      </c>
      <c r="N21" s="427">
        <f t="shared" si="15"/>
        <v>123895.58799999999</v>
      </c>
      <c r="O21" s="427">
        <f t="shared" si="15"/>
        <v>9923316.2259999998</v>
      </c>
      <c r="P21" s="414"/>
      <c r="Q21" s="416"/>
      <c r="R21" s="414"/>
      <c r="S21" s="414"/>
      <c r="T21" s="414"/>
      <c r="U21" s="414"/>
      <c r="Y21" s="414"/>
      <c r="Z21" s="414"/>
      <c r="AA21" s="414"/>
      <c r="AB21" s="414"/>
      <c r="AC21" s="414"/>
      <c r="AD21" s="414"/>
      <c r="AE21" s="414"/>
      <c r="AF21" s="414"/>
      <c r="AG21" s="414"/>
      <c r="AH21" s="414"/>
      <c r="AI21" s="414"/>
      <c r="AJ21" s="414"/>
      <c r="AK21" s="414"/>
      <c r="AL21" s="414"/>
      <c r="AM21" s="414"/>
      <c r="AN21" s="414"/>
      <c r="AO21" s="414"/>
      <c r="AP21" s="414"/>
    </row>
    <row r="22" spans="1:42" ht="15.6">
      <c r="A22" s="425"/>
      <c r="C22" s="426" t="s">
        <v>420</v>
      </c>
      <c r="J22" s="428">
        <f>SUM(K22:O22)</f>
        <v>1</v>
      </c>
      <c r="K22" s="428">
        <f>K21/$J$21</f>
        <v>0</v>
      </c>
      <c r="L22" s="428">
        <f>L21/$J$21</f>
        <v>0.42389612590448611</v>
      </c>
      <c r="M22" s="428">
        <f>M21/$J$21</f>
        <v>0.15712401989860536</v>
      </c>
      <c r="N22" s="428">
        <f>N21/$J$21</f>
        <v>5.1665831632561072E-3</v>
      </c>
      <c r="O22" s="428">
        <f>O21/$J$21</f>
        <v>0.41381327103365251</v>
      </c>
      <c r="P22" s="414"/>
      <c r="Q22" s="416"/>
      <c r="R22" s="414"/>
      <c r="S22" s="414"/>
      <c r="T22" s="414"/>
      <c r="U22" s="414"/>
      <c r="Y22" s="414"/>
      <c r="Z22" s="414"/>
      <c r="AA22" s="414"/>
      <c r="AB22" s="414"/>
      <c r="AC22" s="414"/>
      <c r="AD22" s="414"/>
      <c r="AE22" s="414"/>
      <c r="AF22" s="414"/>
      <c r="AG22" s="414"/>
      <c r="AH22" s="414"/>
      <c r="AI22" s="414"/>
      <c r="AJ22" s="414"/>
      <c r="AK22" s="414"/>
      <c r="AL22" s="414"/>
      <c r="AM22" s="414"/>
      <c r="AN22" s="414"/>
      <c r="AO22" s="414"/>
      <c r="AP22" s="414"/>
    </row>
    <row r="23" spans="1:42" ht="15.6">
      <c r="A23" s="425"/>
      <c r="C23" s="426" t="s">
        <v>655</v>
      </c>
      <c r="J23" s="427">
        <f>J19-J10-J13</f>
        <v>35901102.384615391</v>
      </c>
      <c r="K23" s="427">
        <f t="shared" ref="K23:N23" si="16">K19-K10-K13</f>
        <v>77080</v>
      </c>
      <c r="L23" s="427">
        <f t="shared" si="16"/>
        <v>26271081.113000005</v>
      </c>
      <c r="M23" s="427">
        <f t="shared" si="16"/>
        <v>0</v>
      </c>
      <c r="N23" s="427">
        <f t="shared" si="16"/>
        <v>374069.36461538461</v>
      </c>
      <c r="O23" s="427">
        <f>O19-O10-O13</f>
        <v>9178871.9069999978</v>
      </c>
      <c r="P23" s="414"/>
      <c r="Q23" s="416"/>
      <c r="R23" s="414"/>
      <c r="S23" s="414"/>
      <c r="T23" s="414"/>
      <c r="U23" s="414"/>
      <c r="Y23" s="414"/>
      <c r="Z23" s="414"/>
      <c r="AA23" s="414"/>
      <c r="AB23" s="414"/>
      <c r="AC23" s="414"/>
      <c r="AD23" s="414"/>
      <c r="AE23" s="414"/>
      <c r="AF23" s="414"/>
      <c r="AG23" s="414"/>
      <c r="AH23" s="414"/>
      <c r="AI23" s="414"/>
      <c r="AJ23" s="414"/>
      <c r="AK23" s="414"/>
      <c r="AL23" s="414"/>
      <c r="AM23" s="414"/>
      <c r="AN23" s="414"/>
      <c r="AO23" s="414"/>
      <c r="AP23" s="414"/>
    </row>
    <row r="24" spans="1:42" ht="15.6">
      <c r="A24" s="425"/>
      <c r="C24" s="426"/>
      <c r="J24" s="428">
        <f>SUM(K24:O24)</f>
        <v>0.99999999999999989</v>
      </c>
      <c r="K24" s="428">
        <f>K23/$J$23</f>
        <v>2.1470092805013948E-3</v>
      </c>
      <c r="L24" s="428">
        <f t="shared" ref="L24:O24" si="17">L23/$J$23</f>
        <v>0.73176251892080857</v>
      </c>
      <c r="M24" s="428">
        <f t="shared" si="17"/>
        <v>0</v>
      </c>
      <c r="N24" s="428">
        <f t="shared" si="17"/>
        <v>1.0419439509347312E-2</v>
      </c>
      <c r="O24" s="428">
        <f t="shared" si="17"/>
        <v>0.25567103228934263</v>
      </c>
      <c r="P24" s="414"/>
      <c r="Q24" s="416"/>
      <c r="R24" s="414"/>
      <c r="S24" s="414"/>
      <c r="T24" s="414"/>
      <c r="U24" s="414"/>
      <c r="Y24" s="414"/>
      <c r="Z24" s="414"/>
      <c r="AA24" s="414"/>
      <c r="AB24" s="414"/>
      <c r="AC24" s="414"/>
      <c r="AD24" s="414"/>
      <c r="AE24" s="414"/>
      <c r="AF24" s="414"/>
      <c r="AG24" s="414"/>
      <c r="AH24" s="414"/>
      <c r="AI24" s="414"/>
      <c r="AJ24" s="414"/>
      <c r="AK24" s="414"/>
      <c r="AL24" s="414"/>
      <c r="AM24" s="414"/>
      <c r="AN24" s="414"/>
      <c r="AO24" s="414"/>
      <c r="AP24" s="414"/>
    </row>
    <row r="25" spans="1:42" ht="15.6">
      <c r="C25" s="426" t="s">
        <v>847</v>
      </c>
      <c r="J25" s="428">
        <f>(J9+J11+J14-J49)/$J$19</f>
        <v>0.16996469352060908</v>
      </c>
      <c r="K25" s="428">
        <f>(K9+K11+K14-K49)/$J$19</f>
        <v>8.973626520254116E-4</v>
      </c>
      <c r="L25" s="428">
        <f>(L9+L11+L14-L49+N9+N11+N14)/(L19+N19)</f>
        <v>0.1093486545815688</v>
      </c>
      <c r="M25" s="428"/>
      <c r="N25" s="428">
        <f>(N9+N11+N14-N49)/N19</f>
        <v>0.8484445897934183</v>
      </c>
      <c r="O25" s="428">
        <f>(O9+O11+O14-O49)/$J$19</f>
        <v>7.5419038265807745E-2</v>
      </c>
      <c r="P25" s="414"/>
      <c r="Q25" s="416"/>
      <c r="R25" s="414"/>
      <c r="S25" s="414"/>
      <c r="T25" s="414"/>
      <c r="U25" s="414"/>
      <c r="Y25" s="414"/>
      <c r="Z25" s="414"/>
      <c r="AA25" s="414"/>
      <c r="AB25" s="414"/>
      <c r="AC25" s="414"/>
      <c r="AD25" s="414"/>
      <c r="AE25" s="414"/>
      <c r="AF25" s="414"/>
      <c r="AG25" s="414"/>
      <c r="AH25" s="414"/>
      <c r="AI25" s="414"/>
      <c r="AJ25" s="414"/>
      <c r="AK25" s="414"/>
      <c r="AL25" s="414"/>
      <c r="AM25" s="414"/>
      <c r="AN25" s="414"/>
      <c r="AO25" s="414"/>
      <c r="AP25" s="414"/>
    </row>
    <row r="26" spans="1:42" ht="15.6">
      <c r="C26" s="426" t="s">
        <v>846</v>
      </c>
      <c r="J26" s="428">
        <f t="shared" ref="J26:K26" si="18">(J9+J11+J14-J49)/J23</f>
        <v>0.4066536238416899</v>
      </c>
      <c r="K26" s="428">
        <f t="shared" si="18"/>
        <v>1</v>
      </c>
      <c r="L26" s="428">
        <f>(L9+L11+L14-L49+N9+N11+N14)/(L23+N23)</f>
        <v>0.30189463979095105</v>
      </c>
      <c r="M26" s="428"/>
      <c r="N26" s="428">
        <f t="shared" ref="N26:O26" si="19">(N9+N11+N14-N49)/N23</f>
        <v>0.8484445897934183</v>
      </c>
      <c r="O26" s="428">
        <f t="shared" si="19"/>
        <v>0.70577357921942308</v>
      </c>
      <c r="P26" s="414"/>
      <c r="Q26" s="416"/>
      <c r="R26" s="414"/>
      <c r="S26" s="414"/>
      <c r="T26" s="414"/>
      <c r="U26" s="414"/>
      <c r="Y26" s="414"/>
      <c r="Z26" s="414"/>
      <c r="AA26" s="414"/>
      <c r="AB26" s="414"/>
      <c r="AC26" s="414"/>
      <c r="AD26" s="414"/>
      <c r="AE26" s="414"/>
      <c r="AF26" s="414"/>
      <c r="AG26" s="414"/>
      <c r="AH26" s="414"/>
      <c r="AI26" s="414"/>
      <c r="AJ26" s="414"/>
      <c r="AK26" s="414"/>
      <c r="AL26" s="414"/>
      <c r="AM26" s="414"/>
      <c r="AN26" s="414"/>
      <c r="AO26" s="414"/>
      <c r="AP26" s="414"/>
    </row>
    <row r="27" spans="1:42" ht="15.6">
      <c r="A27" s="429" t="s">
        <v>460</v>
      </c>
      <c r="C27" s="426" t="s">
        <v>854</v>
      </c>
      <c r="J27" s="428"/>
      <c r="K27" s="428"/>
      <c r="L27" s="428">
        <f>(L11-L51+L15+N11+N15+L7-N51)/(L23+N23)</f>
        <v>0.69810536020904879</v>
      </c>
      <c r="M27" s="428"/>
      <c r="N27" s="428"/>
      <c r="O27" s="428"/>
      <c r="P27" s="414"/>
      <c r="Q27" s="416"/>
      <c r="R27" s="414"/>
      <c r="S27" s="414"/>
      <c r="T27" s="414"/>
      <c r="U27" s="414"/>
      <c r="Y27" s="414"/>
      <c r="Z27" s="414"/>
      <c r="AA27" s="414"/>
      <c r="AB27" s="414"/>
      <c r="AC27" s="414"/>
      <c r="AD27" s="414"/>
      <c r="AE27" s="414"/>
      <c r="AF27" s="414"/>
      <c r="AG27" s="414"/>
      <c r="AH27" s="414"/>
      <c r="AI27" s="414"/>
      <c r="AJ27" s="414"/>
      <c r="AK27" s="414"/>
      <c r="AL27" s="414"/>
      <c r="AM27" s="414"/>
      <c r="AN27" s="414"/>
      <c r="AO27" s="414"/>
      <c r="AP27" s="414"/>
    </row>
    <row r="28" spans="1:42" ht="15.6">
      <c r="A28" s="430" t="s">
        <v>461</v>
      </c>
      <c r="B28" t="s">
        <v>462</v>
      </c>
      <c r="C28" s="426"/>
      <c r="J28" s="428"/>
      <c r="K28" s="428"/>
      <c r="L28" s="428"/>
      <c r="M28" s="428"/>
      <c r="N28" s="428"/>
      <c r="O28" s="428"/>
      <c r="P28" s="414"/>
      <c r="Q28" s="416"/>
      <c r="R28" s="414"/>
      <c r="S28" s="414"/>
      <c r="T28" s="414"/>
      <c r="U28" s="414"/>
      <c r="Y28" s="414"/>
      <c r="Z28" s="414"/>
      <c r="AA28" s="414"/>
      <c r="AB28" s="414"/>
      <c r="AC28" s="414"/>
      <c r="AD28" s="414"/>
      <c r="AE28" s="414"/>
      <c r="AF28" s="414"/>
      <c r="AG28" s="414"/>
      <c r="AH28" s="414"/>
      <c r="AI28" s="414"/>
      <c r="AJ28" s="414"/>
      <c r="AK28" s="414"/>
      <c r="AL28" s="414"/>
      <c r="AM28" s="414"/>
      <c r="AN28" s="414"/>
      <c r="AO28" s="414"/>
      <c r="AP28" s="414"/>
    </row>
    <row r="29" spans="1:42" ht="15.6">
      <c r="A29" s="332">
        <v>2017</v>
      </c>
      <c r="B29" s="431">
        <v>1331.29</v>
      </c>
      <c r="C29" s="432" t="s">
        <v>463</v>
      </c>
      <c r="J29" s="428"/>
      <c r="K29" s="428"/>
      <c r="L29" s="428"/>
      <c r="M29" s="428"/>
      <c r="N29" s="428"/>
      <c r="O29" s="428"/>
      <c r="P29" s="414"/>
      <c r="Q29" s="416"/>
      <c r="R29" s="414"/>
      <c r="S29" s="414"/>
      <c r="T29" s="414"/>
      <c r="U29" s="414"/>
      <c r="Y29" s="414"/>
      <c r="Z29" s="414"/>
      <c r="AA29" s="414"/>
      <c r="AB29" s="414"/>
      <c r="AC29" s="414"/>
      <c r="AD29" s="414"/>
      <c r="AE29" s="414"/>
      <c r="AF29" s="414"/>
      <c r="AG29" s="414"/>
      <c r="AH29" s="414"/>
      <c r="AI29" s="414"/>
      <c r="AJ29" s="414"/>
      <c r="AK29" s="414"/>
      <c r="AL29" s="414"/>
      <c r="AM29" s="414"/>
      <c r="AN29" s="414"/>
      <c r="AO29" s="414"/>
      <c r="AP29" s="414"/>
    </row>
    <row r="30" spans="1:42" ht="15.6">
      <c r="A30" s="430" t="s">
        <v>464</v>
      </c>
      <c r="B30" s="433" t="s">
        <v>465</v>
      </c>
      <c r="C30" s="433"/>
      <c r="J30" s="428"/>
      <c r="S30" s="414"/>
      <c r="T30" s="414"/>
      <c r="U30" s="414"/>
      <c r="Y30" s="414"/>
      <c r="Z30" s="414"/>
      <c r="AA30" s="414"/>
      <c r="AB30" s="414"/>
      <c r="AC30" s="414"/>
      <c r="AD30" s="414"/>
      <c r="AE30" s="414"/>
      <c r="AF30" s="414"/>
      <c r="AG30" s="414"/>
      <c r="AH30" s="414"/>
      <c r="AI30" s="414"/>
      <c r="AJ30" s="414"/>
      <c r="AK30" s="414"/>
      <c r="AL30" s="414"/>
      <c r="AM30" s="414"/>
      <c r="AN30" s="414"/>
      <c r="AO30" s="414"/>
      <c r="AP30" s="414"/>
    </row>
    <row r="31" spans="1:42" ht="15.6">
      <c r="A31" s="434">
        <v>2017</v>
      </c>
      <c r="B31" s="761">
        <f>'Input data'!C117</f>
        <v>3120.54</v>
      </c>
      <c r="C31" s="332"/>
      <c r="J31" s="428"/>
      <c r="K31" s="428"/>
      <c r="L31" s="428"/>
      <c r="M31" s="428"/>
      <c r="N31" s="428"/>
      <c r="O31" s="428"/>
      <c r="P31" s="414"/>
      <c r="Q31" s="416"/>
      <c r="R31" s="414"/>
      <c r="S31" s="414"/>
      <c r="T31" s="414"/>
      <c r="U31" s="414"/>
      <c r="Y31" s="414"/>
      <c r="Z31" s="414"/>
      <c r="AA31" s="414"/>
      <c r="AB31" s="414"/>
      <c r="AC31" s="414"/>
      <c r="AD31" s="414"/>
      <c r="AE31" s="414"/>
      <c r="AF31" s="414"/>
      <c r="AG31" s="414"/>
      <c r="AH31" s="414"/>
      <c r="AI31" s="414"/>
      <c r="AJ31" s="414"/>
      <c r="AK31" s="414"/>
      <c r="AL31" s="414"/>
      <c r="AM31" s="414"/>
      <c r="AN31" s="414"/>
      <c r="AO31" s="414"/>
      <c r="AP31" s="414"/>
    </row>
    <row r="32" spans="1:42" ht="15.6">
      <c r="A32" s="434">
        <v>2017</v>
      </c>
      <c r="B32" s="332">
        <f>B31*1000/($B$29/100)</f>
        <v>234399.7175671717</v>
      </c>
      <c r="C32" s="332"/>
      <c r="J32" s="428"/>
      <c r="K32" s="428"/>
      <c r="L32" s="428"/>
      <c r="M32" s="428"/>
      <c r="N32" s="428"/>
      <c r="O32" s="428"/>
      <c r="P32" s="414"/>
      <c r="Q32" s="416"/>
      <c r="R32" s="414"/>
      <c r="S32" s="414"/>
      <c r="T32" s="414"/>
      <c r="U32" s="414"/>
      <c r="Y32" s="414"/>
      <c r="Z32" s="414"/>
      <c r="AA32" s="414"/>
      <c r="AB32" s="414"/>
      <c r="AC32" s="414"/>
      <c r="AD32" s="414"/>
      <c r="AE32" s="414"/>
      <c r="AF32" s="414"/>
      <c r="AG32" s="414"/>
      <c r="AH32" s="414"/>
      <c r="AI32" s="414"/>
      <c r="AJ32" s="414"/>
      <c r="AK32" s="414"/>
      <c r="AL32" s="414"/>
      <c r="AM32" s="414"/>
      <c r="AN32" s="414"/>
      <c r="AO32" s="414"/>
      <c r="AP32" s="414"/>
    </row>
    <row r="33" spans="1:48" ht="15.6">
      <c r="A33" s="1871" t="s">
        <v>466</v>
      </c>
      <c r="B33" s="1871"/>
      <c r="C33" s="426"/>
      <c r="J33" s="428"/>
      <c r="K33" s="428"/>
      <c r="L33" s="428"/>
      <c r="M33" s="428"/>
      <c r="N33" s="428"/>
      <c r="O33" s="428"/>
      <c r="P33" s="414"/>
      <c r="Q33" s="416"/>
      <c r="R33" s="414"/>
      <c r="S33" s="414"/>
      <c r="T33" s="414"/>
      <c r="U33" s="414"/>
      <c r="Y33" s="414"/>
      <c r="Z33" s="414"/>
      <c r="AA33" s="414"/>
      <c r="AB33" s="414"/>
      <c r="AC33" s="414"/>
      <c r="AD33" s="414"/>
      <c r="AE33" s="414"/>
      <c r="AF33" s="414"/>
      <c r="AG33" s="414"/>
      <c r="AH33" s="414"/>
      <c r="AI33" s="414"/>
      <c r="AJ33" s="414"/>
      <c r="AK33" s="414"/>
      <c r="AL33" s="414"/>
      <c r="AM33" s="414"/>
      <c r="AN33" s="414"/>
      <c r="AO33" s="414"/>
      <c r="AP33" s="414"/>
    </row>
    <row r="34" spans="1:48" ht="15.6">
      <c r="A34" s="435">
        <v>2017</v>
      </c>
      <c r="B34" s="436">
        <f>($J$19/1000)/(B31)</f>
        <v>27.526054267727826</v>
      </c>
      <c r="C34" s="425" t="s">
        <v>467</v>
      </c>
      <c r="J34" s="425" t="s">
        <v>468</v>
      </c>
      <c r="K34" s="428"/>
      <c r="L34" s="428"/>
      <c r="M34" s="428"/>
      <c r="N34" s="428"/>
      <c r="O34" s="428"/>
      <c r="P34" s="414"/>
      <c r="Q34" s="416"/>
      <c r="R34" s="414"/>
      <c r="S34" s="414"/>
      <c r="T34" s="414"/>
      <c r="U34" s="414"/>
      <c r="Y34" s="414"/>
      <c r="Z34" s="414"/>
      <c r="AA34" s="414"/>
      <c r="AB34" s="414"/>
      <c r="AC34" s="414"/>
      <c r="AD34" s="414"/>
      <c r="AE34" s="414"/>
      <c r="AF34" s="414"/>
      <c r="AG34" s="414"/>
      <c r="AH34" s="414"/>
      <c r="AI34" s="414"/>
      <c r="AJ34" s="414"/>
      <c r="AK34" s="414"/>
      <c r="AL34" s="414"/>
      <c r="AM34" s="414"/>
      <c r="AN34" s="414"/>
      <c r="AO34" s="414"/>
      <c r="AP34" s="414"/>
    </row>
    <row r="35" spans="1:48" ht="15.6">
      <c r="A35" s="437"/>
      <c r="B35" s="1379">
        <f>$J$19/B32</f>
        <v>366.45160786083375</v>
      </c>
      <c r="C35" s="425" t="s">
        <v>469</v>
      </c>
      <c r="J35" s="428"/>
      <c r="K35" s="428"/>
      <c r="L35" s="428"/>
      <c r="M35" s="428"/>
      <c r="N35" s="428"/>
      <c r="O35" s="428"/>
      <c r="P35" s="414"/>
      <c r="Q35" s="416"/>
      <c r="R35" s="414"/>
      <c r="S35" s="414"/>
      <c r="T35" s="414"/>
      <c r="U35" s="414"/>
      <c r="Y35" s="414"/>
      <c r="Z35" s="414"/>
      <c r="AA35" s="414"/>
      <c r="AB35" s="414"/>
      <c r="AC35" s="414"/>
      <c r="AD35" s="414"/>
      <c r="AE35" s="414"/>
      <c r="AF35" s="414"/>
      <c r="AG35" s="414"/>
      <c r="AH35" s="414"/>
      <c r="AI35" s="414"/>
      <c r="AJ35" s="414"/>
      <c r="AK35" s="414"/>
      <c r="AL35" s="414"/>
      <c r="AM35" s="414"/>
      <c r="AN35" s="414"/>
      <c r="AO35" s="414"/>
      <c r="AP35" s="414"/>
    </row>
    <row r="36" spans="1:48" ht="15.6">
      <c r="A36" s="435">
        <v>2017</v>
      </c>
      <c r="B36" s="436">
        <f>J23/1000/B31</f>
        <v>11.504772374209397</v>
      </c>
      <c r="C36" s="425" t="s">
        <v>467</v>
      </c>
      <c r="J36" s="428" t="s">
        <v>649</v>
      </c>
      <c r="K36" s="703"/>
      <c r="L36" s="703"/>
      <c r="M36" s="428"/>
      <c r="N36" s="428"/>
      <c r="O36" s="428"/>
      <c r="P36" s="414"/>
      <c r="Q36" s="416"/>
      <c r="R36" s="414"/>
      <c r="S36" s="414"/>
      <c r="T36" s="414"/>
      <c r="U36" s="414"/>
      <c r="Y36" s="414"/>
      <c r="Z36" s="414"/>
      <c r="AA36" s="414"/>
      <c r="AB36" s="414"/>
      <c r="AC36" s="414"/>
      <c r="AD36" s="414"/>
      <c r="AE36" s="414"/>
      <c r="AF36" s="414"/>
      <c r="AG36" s="414"/>
      <c r="AH36" s="414"/>
      <c r="AI36" s="414"/>
      <c r="AJ36" s="414"/>
      <c r="AK36" s="414"/>
      <c r="AL36" s="414"/>
      <c r="AM36" s="414"/>
      <c r="AN36" s="414"/>
      <c r="AO36" s="414"/>
      <c r="AP36" s="414"/>
    </row>
    <row r="37" spans="1:48" ht="15.6">
      <c r="B37" s="438"/>
      <c r="C37" s="425"/>
      <c r="J37" s="428"/>
      <c r="K37" s="428"/>
      <c r="L37" s="428"/>
      <c r="M37" s="428"/>
      <c r="N37" s="428"/>
      <c r="O37" s="428"/>
      <c r="P37" s="414"/>
      <c r="Q37" s="416"/>
      <c r="R37" s="414"/>
      <c r="S37" s="414"/>
      <c r="T37" s="414"/>
      <c r="U37" s="414"/>
      <c r="Y37" s="414"/>
      <c r="Z37" s="414"/>
      <c r="AA37" s="414"/>
      <c r="AB37" s="414"/>
      <c r="AC37" s="414"/>
      <c r="AD37" s="414"/>
      <c r="AE37" s="414"/>
      <c r="AF37" s="414"/>
      <c r="AG37" s="414"/>
      <c r="AH37" s="414"/>
      <c r="AI37" s="414"/>
      <c r="AJ37" s="414"/>
      <c r="AK37" s="414"/>
      <c r="AL37" s="414"/>
      <c r="AM37" s="414"/>
      <c r="AN37" s="414"/>
      <c r="AO37" s="414"/>
      <c r="AP37" s="414"/>
    </row>
    <row r="38" spans="1:48" ht="15.6">
      <c r="A38" s="425" t="s">
        <v>470</v>
      </c>
      <c r="C38" s="426"/>
      <c r="J38" s="427"/>
      <c r="K38" s="427"/>
      <c r="L38" s="427"/>
      <c r="M38" s="427"/>
      <c r="N38" s="427"/>
      <c r="O38" s="427"/>
      <c r="P38" s="414"/>
      <c r="Q38" s="416"/>
      <c r="R38" s="414"/>
      <c r="S38" s="414"/>
      <c r="T38" s="414"/>
      <c r="U38" s="414"/>
      <c r="Y38" s="414"/>
      <c r="Z38" s="414"/>
      <c r="AA38" s="414"/>
      <c r="AB38" s="414"/>
      <c r="AC38" s="414"/>
      <c r="AD38" s="414"/>
      <c r="AE38" s="414"/>
      <c r="AF38" s="414"/>
      <c r="AG38" s="414"/>
      <c r="AH38" s="414"/>
      <c r="AI38" s="414"/>
      <c r="AJ38" s="414"/>
      <c r="AK38" s="414"/>
      <c r="AL38" s="414"/>
      <c r="AM38" s="414"/>
      <c r="AN38" s="414"/>
      <c r="AO38" s="414"/>
      <c r="AP38" s="414"/>
    </row>
    <row r="39" spans="1:48" s="440" customFormat="1">
      <c r="A39" s="1872" t="s">
        <v>267</v>
      </c>
      <c r="B39" s="415"/>
      <c r="C39" s="415" t="s">
        <v>390</v>
      </c>
      <c r="D39" s="415" t="s">
        <v>471</v>
      </c>
      <c r="E39" s="415">
        <v>2017</v>
      </c>
      <c r="F39" s="415"/>
      <c r="G39" s="415" t="s">
        <v>472</v>
      </c>
      <c r="H39" s="415"/>
      <c r="I39" s="415" t="s">
        <v>473</v>
      </c>
      <c r="J39" s="439">
        <v>3767862.0897283391</v>
      </c>
      <c r="K39" s="439">
        <v>0</v>
      </c>
      <c r="L39" s="439">
        <v>0</v>
      </c>
      <c r="M39" s="439">
        <v>3767862.0897283391</v>
      </c>
      <c r="N39" s="439">
        <v>0</v>
      </c>
      <c r="O39" s="439">
        <v>0</v>
      </c>
      <c r="P39" s="323"/>
      <c r="Q39" s="323"/>
      <c r="R39" s="323"/>
      <c r="S39" s="323"/>
      <c r="T39" s="323"/>
      <c r="U39" s="323"/>
      <c r="V39"/>
      <c r="W39"/>
      <c r="X39"/>
      <c r="Y39" s="364"/>
      <c r="Z39" s="364"/>
      <c r="AA39" s="364"/>
      <c r="AB39" s="364"/>
      <c r="AC39" s="364"/>
      <c r="AD39" s="364"/>
      <c r="AE39" s="364"/>
      <c r="AF39" s="364"/>
      <c r="AG39" s="364"/>
      <c r="AH39" s="364"/>
      <c r="AI39" s="364"/>
      <c r="AJ39" s="364"/>
      <c r="AK39" s="364"/>
      <c r="AL39" s="364"/>
      <c r="AM39" s="364"/>
      <c r="AN39" s="364"/>
      <c r="AO39" s="364"/>
      <c r="AP39" s="364"/>
      <c r="AQ39"/>
      <c r="AR39"/>
      <c r="AS39"/>
      <c r="AT39"/>
      <c r="AU39"/>
    </row>
    <row r="40" spans="1:48" s="440" customFormat="1">
      <c r="A40" s="1872"/>
      <c r="B40" s="415" t="s">
        <v>379</v>
      </c>
      <c r="C40" s="415" t="s">
        <v>391</v>
      </c>
      <c r="D40" s="415" t="s">
        <v>474</v>
      </c>
      <c r="E40" s="415">
        <v>2017</v>
      </c>
      <c r="F40" s="415"/>
      <c r="G40" s="415" t="s">
        <v>472</v>
      </c>
      <c r="H40" s="415"/>
      <c r="I40" s="415" t="s">
        <v>475</v>
      </c>
      <c r="J40" s="439">
        <v>4821430</v>
      </c>
      <c r="K40" s="439">
        <v>0</v>
      </c>
      <c r="L40" s="439">
        <v>4821430</v>
      </c>
      <c r="M40" s="439">
        <v>0</v>
      </c>
      <c r="N40" s="439">
        <v>0</v>
      </c>
      <c r="O40" s="439">
        <v>0</v>
      </c>
      <c r="P40" s="323"/>
      <c r="Q40" s="323"/>
      <c r="R40" s="323"/>
      <c r="S40" s="323"/>
      <c r="T40"/>
      <c r="U40" s="323"/>
      <c r="V40"/>
      <c r="W40"/>
      <c r="X40"/>
      <c r="Y40" s="364"/>
      <c r="Z40" s="364"/>
      <c r="AA40" s="364"/>
      <c r="AB40" s="364"/>
      <c r="AC40" s="364"/>
      <c r="AD40" s="364"/>
      <c r="AE40" s="364"/>
      <c r="AF40" s="364"/>
      <c r="AG40" s="364"/>
      <c r="AH40" s="364"/>
      <c r="AI40" s="364"/>
      <c r="AJ40" s="364"/>
      <c r="AK40" s="364"/>
      <c r="AL40" s="364"/>
      <c r="AM40" s="364"/>
      <c r="AN40" s="364"/>
      <c r="AO40" s="364"/>
      <c r="AP40" s="364"/>
      <c r="AQ40"/>
      <c r="AR40"/>
      <c r="AS40"/>
      <c r="AT40"/>
      <c r="AU40"/>
    </row>
    <row r="41" spans="1:48" s="440" customFormat="1">
      <c r="A41" s="1872"/>
      <c r="B41" s="415" t="s">
        <v>381</v>
      </c>
      <c r="C41" s="415" t="s">
        <v>392</v>
      </c>
      <c r="D41" s="415" t="s">
        <v>476</v>
      </c>
      <c r="E41" s="415">
        <v>2017</v>
      </c>
      <c r="F41" s="415"/>
      <c r="G41" s="415"/>
      <c r="H41" s="415"/>
      <c r="I41" s="415" t="s">
        <v>477</v>
      </c>
      <c r="J41" s="439">
        <v>360884</v>
      </c>
      <c r="K41" s="439">
        <v>0</v>
      </c>
      <c r="L41" s="439">
        <v>360884</v>
      </c>
      <c r="M41" s="439">
        <v>0</v>
      </c>
      <c r="N41" s="439">
        <v>0</v>
      </c>
      <c r="O41" s="439">
        <v>0</v>
      </c>
      <c r="P41" s="323"/>
      <c r="Q41" s="323"/>
      <c r="R41" s="323"/>
      <c r="S41" s="323"/>
      <c r="T41"/>
      <c r="U41" s="323"/>
      <c r="V41"/>
      <c r="W41"/>
      <c r="X41"/>
      <c r="Y41" s="364"/>
      <c r="Z41" s="364"/>
      <c r="AA41" s="364"/>
      <c r="AB41" s="364"/>
      <c r="AC41" s="364"/>
      <c r="AD41" s="364"/>
      <c r="AE41" s="364"/>
      <c r="AF41" s="364"/>
      <c r="AG41" s="364"/>
      <c r="AH41" s="364"/>
      <c r="AI41" s="364"/>
      <c r="AJ41" s="364"/>
      <c r="AK41" s="364"/>
      <c r="AL41" s="364"/>
      <c r="AM41" s="364"/>
      <c r="AN41" s="364"/>
      <c r="AO41" s="364"/>
      <c r="AP41" s="364"/>
      <c r="AQ41"/>
      <c r="AR41"/>
      <c r="AS41"/>
      <c r="AT41"/>
      <c r="AU41"/>
    </row>
    <row r="42" spans="1:48" s="440" customFormat="1">
      <c r="A42" s="1872"/>
      <c r="B42" s="415" t="s">
        <v>383</v>
      </c>
      <c r="C42" s="415" t="s">
        <v>478</v>
      </c>
      <c r="D42" s="415" t="s">
        <v>476</v>
      </c>
      <c r="E42" s="415">
        <v>2017</v>
      </c>
      <c r="F42" s="415" t="s">
        <v>472</v>
      </c>
      <c r="G42" s="415"/>
      <c r="H42" s="415"/>
      <c r="I42" s="415" t="s">
        <v>479</v>
      </c>
      <c r="J42" s="439">
        <v>8330002.7025390733</v>
      </c>
      <c r="K42" s="439">
        <v>0</v>
      </c>
      <c r="L42" s="439">
        <v>1632790.8885390735</v>
      </c>
      <c r="M42" s="439">
        <v>0</v>
      </c>
      <c r="N42" s="439">
        <v>123895.58799999999</v>
      </c>
      <c r="O42" s="439">
        <v>6573316.2259999998</v>
      </c>
      <c r="P42" s="335"/>
      <c r="Q42" s="335"/>
      <c r="R42" s="335"/>
      <c r="S42" s="335"/>
      <c r="T42"/>
      <c r="U42" s="3"/>
      <c r="V42"/>
      <c r="W42"/>
      <c r="X42"/>
      <c r="Y42" s="364"/>
      <c r="Z42" s="364"/>
      <c r="AA42" s="364"/>
      <c r="AB42" s="364"/>
      <c r="AC42" s="364"/>
      <c r="AD42" s="364"/>
      <c r="AE42" s="364"/>
      <c r="AF42" s="364"/>
      <c r="AG42" s="364"/>
      <c r="AH42" s="364"/>
      <c r="AI42" s="364"/>
      <c r="AJ42" s="364"/>
      <c r="AK42" s="364"/>
      <c r="AL42" s="364"/>
      <c r="AM42" s="364"/>
      <c r="AN42" s="364"/>
      <c r="AO42" s="364"/>
      <c r="AP42" s="364"/>
      <c r="AQ42"/>
      <c r="AR42"/>
      <c r="AS42"/>
      <c r="AT42"/>
      <c r="AU42"/>
    </row>
    <row r="43" spans="1:48" s="440" customFormat="1">
      <c r="A43" s="1872"/>
      <c r="B43" s="415" t="s">
        <v>386</v>
      </c>
      <c r="C43" s="415" t="s">
        <v>387</v>
      </c>
      <c r="D43" s="415" t="s">
        <v>476</v>
      </c>
      <c r="E43" s="415">
        <v>2017</v>
      </c>
      <c r="F43" s="415"/>
      <c r="G43" s="415"/>
      <c r="H43" s="415" t="s">
        <v>472</v>
      </c>
      <c r="I43" s="415" t="s">
        <v>480</v>
      </c>
      <c r="J43" s="439">
        <v>6700000</v>
      </c>
      <c r="K43" s="439">
        <v>0</v>
      </c>
      <c r="L43" s="439">
        <v>3350000</v>
      </c>
      <c r="M43" s="439">
        <v>0</v>
      </c>
      <c r="N43" s="439">
        <v>0</v>
      </c>
      <c r="O43" s="439">
        <v>3350000</v>
      </c>
      <c r="P43"/>
      <c r="Q43"/>
      <c r="R43"/>
      <c r="S43"/>
      <c r="T43"/>
      <c r="U43" s="323"/>
      <c r="V43" s="3"/>
      <c r="W43" s="3"/>
      <c r="X43" s="3"/>
      <c r="Y43" s="364"/>
      <c r="Z43" s="364"/>
      <c r="AA43" s="364"/>
      <c r="AB43" s="364"/>
      <c r="AC43" s="364"/>
      <c r="AD43" s="364"/>
      <c r="AE43" s="364"/>
      <c r="AF43" s="364"/>
      <c r="AG43" s="364"/>
      <c r="AH43" s="364"/>
      <c r="AI43" s="364"/>
      <c r="AJ43" s="364"/>
      <c r="AK43" s="364"/>
      <c r="AL43" s="364"/>
      <c r="AM43" s="364"/>
      <c r="AN43" s="364"/>
      <c r="AO43" s="364"/>
      <c r="AP43" s="364"/>
      <c r="AQ43"/>
      <c r="AR43"/>
      <c r="AS43"/>
      <c r="AT43"/>
      <c r="AU43"/>
      <c r="AV43" s="440" t="s">
        <v>481</v>
      </c>
    </row>
    <row r="44" spans="1:48" s="440" customFormat="1" ht="15.6">
      <c r="A44" s="441" t="s">
        <v>482</v>
      </c>
      <c r="B44" s="415" t="s">
        <v>404</v>
      </c>
      <c r="C44" s="415" t="s">
        <v>405</v>
      </c>
      <c r="D44" s="415" t="s">
        <v>476</v>
      </c>
      <c r="E44" s="415">
        <v>2017</v>
      </c>
      <c r="F44" s="415"/>
      <c r="G44" s="415"/>
      <c r="H44" s="415" t="s">
        <v>472</v>
      </c>
      <c r="I44" s="415" t="s">
        <v>483</v>
      </c>
      <c r="J44" s="439">
        <v>4482992.0000000009</v>
      </c>
      <c r="K44" s="439">
        <v>0</v>
      </c>
      <c r="L44" s="439">
        <v>2151836.16</v>
      </c>
      <c r="M44" s="439">
        <v>0</v>
      </c>
      <c r="N44" s="439">
        <v>0</v>
      </c>
      <c r="O44" s="439">
        <v>2331155.8400000008</v>
      </c>
      <c r="P44" s="442"/>
      <c r="Q44" s="442"/>
      <c r="R44" s="442"/>
      <c r="S44" s="442"/>
      <c r="T44" s="442"/>
      <c r="U44" s="443"/>
      <c r="V44" s="3"/>
      <c r="W44" s="3"/>
      <c r="X44" s="3"/>
      <c r="Y44" s="444"/>
      <c r="Z44" s="444"/>
      <c r="AA44" s="444"/>
      <c r="AB44" s="444"/>
      <c r="AC44" s="444"/>
      <c r="AD44" s="444"/>
      <c r="AE44" s="444"/>
      <c r="AF44" s="444"/>
      <c r="AG44" s="444"/>
      <c r="AH44" s="444"/>
      <c r="AI44" s="444"/>
      <c r="AJ44" s="444"/>
      <c r="AK44" s="444"/>
      <c r="AL44" s="444"/>
      <c r="AM44" s="444"/>
      <c r="AN44" s="444"/>
      <c r="AO44" s="444"/>
      <c r="AP44" s="444"/>
      <c r="AQ44" s="333"/>
      <c r="AR44"/>
      <c r="AS44"/>
      <c r="AT44"/>
      <c r="AU44"/>
    </row>
    <row r="45" spans="1:48" ht="15.6">
      <c r="A45" s="445" t="s">
        <v>484</v>
      </c>
      <c r="B45" s="446"/>
      <c r="C45" s="415"/>
      <c r="D45" s="415"/>
      <c r="E45" s="415"/>
      <c r="F45" s="415"/>
      <c r="G45" s="415"/>
      <c r="H45" s="415"/>
      <c r="I45" s="446" t="s">
        <v>485</v>
      </c>
      <c r="J45" s="447">
        <f>SUM(J39:J44)</f>
        <v>28463170.792267412</v>
      </c>
      <c r="K45" s="447">
        <f t="shared" ref="K45:O45" si="20">SUM(K39:K44)</f>
        <v>0</v>
      </c>
      <c r="L45" s="447">
        <f t="shared" si="20"/>
        <v>12316941.048539074</v>
      </c>
      <c r="M45" s="447">
        <f t="shared" si="20"/>
        <v>3767862.0897283391</v>
      </c>
      <c r="N45" s="447">
        <f t="shared" si="20"/>
        <v>123895.58799999999</v>
      </c>
      <c r="O45" s="447">
        <f t="shared" si="20"/>
        <v>12254472.066</v>
      </c>
      <c r="P45" s="448"/>
      <c r="Q45" s="448"/>
      <c r="R45" s="448"/>
      <c r="S45" s="448"/>
      <c r="T45" s="448"/>
      <c r="U45" s="449"/>
      <c r="V45" s="3"/>
      <c r="W45" s="3"/>
      <c r="X45" s="3"/>
      <c r="Y45" s="448"/>
      <c r="Z45" s="448"/>
      <c r="AA45" s="448"/>
      <c r="AB45" s="448"/>
      <c r="AC45" s="448"/>
      <c r="AD45" s="3"/>
      <c r="AE45" s="448"/>
      <c r="AF45" s="448"/>
      <c r="AG45" s="448"/>
      <c r="AH45" s="448"/>
      <c r="AI45" s="448"/>
      <c r="AJ45" s="3"/>
      <c r="AK45" s="448"/>
      <c r="AL45" s="448"/>
      <c r="AM45" s="448"/>
      <c r="AN45" s="448"/>
      <c r="AO45" s="448"/>
      <c r="AP45" s="3"/>
      <c r="AQ45" s="333"/>
    </row>
    <row r="46" spans="1:48" ht="15.6">
      <c r="A46" s="450"/>
      <c r="B46" s="450"/>
      <c r="C46" s="451"/>
      <c r="D46" s="452"/>
      <c r="E46" s="451"/>
      <c r="I46" s="452"/>
      <c r="J46" s="453">
        <f>J45/I2*1000</f>
        <v>503.57731464363917</v>
      </c>
      <c r="K46" t="s">
        <v>450</v>
      </c>
      <c r="L46" s="453"/>
      <c r="M46" s="442"/>
      <c r="O46" s="454"/>
      <c r="U46" s="323"/>
      <c r="Y46" s="364"/>
      <c r="Z46" s="364"/>
      <c r="AA46" s="364"/>
      <c r="AB46" s="364"/>
      <c r="AC46" s="364"/>
      <c r="AD46" s="364"/>
      <c r="AE46" s="364"/>
      <c r="AF46" s="364"/>
      <c r="AG46" s="364"/>
      <c r="AH46" s="364"/>
      <c r="AI46" s="364"/>
      <c r="AJ46" s="364"/>
      <c r="AK46" s="364"/>
      <c r="AL46" s="364"/>
      <c r="AM46" s="364"/>
      <c r="AN46" s="364"/>
      <c r="AO46" s="364"/>
      <c r="AP46" s="364"/>
    </row>
    <row r="47" spans="1:48">
      <c r="J47" s="332"/>
      <c r="U47" s="323"/>
      <c r="V47" s="3"/>
      <c r="W47" s="3"/>
      <c r="X47" s="3"/>
      <c r="Y47" s="3"/>
      <c r="Z47" s="3"/>
      <c r="AA47" s="3"/>
      <c r="AB47" s="3"/>
      <c r="AC47" s="3"/>
      <c r="AD47" s="3"/>
      <c r="AE47" s="3"/>
      <c r="AF47" s="3"/>
      <c r="AG47" s="3"/>
      <c r="AH47" s="3"/>
      <c r="AI47" s="3"/>
      <c r="AJ47" s="3"/>
      <c r="AK47" s="3"/>
      <c r="AL47" s="3"/>
      <c r="AM47" s="3"/>
      <c r="AN47" s="3"/>
      <c r="AO47" s="3"/>
      <c r="AP47" s="3"/>
    </row>
    <row r="48" spans="1:48" s="440" customFormat="1" ht="15.6">
      <c r="A48" s="455" t="s">
        <v>486</v>
      </c>
      <c r="B48" s="415" t="s">
        <v>408</v>
      </c>
      <c r="C48" s="415" t="s">
        <v>487</v>
      </c>
      <c r="D48" s="415" t="s">
        <v>476</v>
      </c>
      <c r="E48" s="415">
        <v>2017</v>
      </c>
      <c r="F48" s="415" t="s">
        <v>472</v>
      </c>
      <c r="G48" s="415"/>
      <c r="H48" s="415"/>
      <c r="I48" s="415" t="s">
        <v>488</v>
      </c>
      <c r="J48" s="439">
        <f>SUM(K48:O48)</f>
        <v>10835160.000000002</v>
      </c>
      <c r="K48" s="439">
        <v>0</v>
      </c>
      <c r="L48" s="439">
        <v>10499270.040000001</v>
      </c>
      <c r="M48" s="415">
        <v>0</v>
      </c>
      <c r="N48" s="415">
        <v>0</v>
      </c>
      <c r="O48" s="439">
        <v>335889.96</v>
      </c>
      <c r="P48"/>
      <c r="Q48"/>
      <c r="R48"/>
      <c r="S48"/>
      <c r="T48"/>
      <c r="U48" s="323"/>
      <c r="V48" s="3"/>
      <c r="W48" s="3"/>
      <c r="X48" s="456"/>
      <c r="Y48" s="425"/>
      <c r="Z48" s="457"/>
      <c r="AA48" s="457"/>
      <c r="AB48" s="457"/>
      <c r="AC48" s="457"/>
      <c r="AD48" s="457"/>
      <c r="AE48" s="457"/>
      <c r="AF48" s="457"/>
      <c r="AG48" s="457"/>
      <c r="AH48" s="457"/>
      <c r="AI48" s="457"/>
      <c r="AJ48" s="457"/>
      <c r="AK48" s="457"/>
      <c r="AL48" s="3"/>
      <c r="AM48" s="3"/>
      <c r="AN48" s="3"/>
      <c r="AO48" s="3"/>
      <c r="AP48" s="3"/>
      <c r="AQ48"/>
      <c r="AR48"/>
      <c r="AS48"/>
      <c r="AT48"/>
      <c r="AU48"/>
    </row>
    <row r="49" spans="1:47" s="334" customFormat="1" ht="15.6">
      <c r="A49" s="415"/>
      <c r="B49" s="415" t="s">
        <v>489</v>
      </c>
      <c r="C49" s="415" t="s">
        <v>490</v>
      </c>
      <c r="D49" s="415" t="s">
        <v>476</v>
      </c>
      <c r="E49" s="415">
        <v>2013</v>
      </c>
      <c r="F49" s="415"/>
      <c r="G49" s="415" t="s">
        <v>472</v>
      </c>
      <c r="H49" s="415"/>
      <c r="I49" s="415" t="s">
        <v>491</v>
      </c>
      <c r="J49" s="439">
        <f>SUM(K49:O49)</f>
        <v>4859025</v>
      </c>
      <c r="K49" s="439">
        <v>0</v>
      </c>
      <c r="L49" s="439">
        <v>4859025</v>
      </c>
      <c r="M49" s="415">
        <v>0</v>
      </c>
      <c r="N49" s="415">
        <v>0</v>
      </c>
      <c r="O49" s="439">
        <v>0</v>
      </c>
      <c r="P49"/>
      <c r="Q49"/>
      <c r="R49"/>
      <c r="S49"/>
      <c r="T49"/>
      <c r="U49" s="323"/>
      <c r="V49" s="3"/>
      <c r="W49" s="3"/>
      <c r="X49" s="456"/>
      <c r="Y49" s="425"/>
      <c r="Z49" s="457"/>
      <c r="AA49" s="457"/>
      <c r="AB49" s="457"/>
      <c r="AC49" s="457"/>
      <c r="AD49" s="457"/>
      <c r="AE49" s="457"/>
      <c r="AF49" s="457"/>
      <c r="AG49" s="457"/>
      <c r="AH49" s="457"/>
      <c r="AI49" s="457"/>
      <c r="AJ49" s="457"/>
      <c r="AK49" s="457"/>
      <c r="AL49" s="3"/>
      <c r="AM49" s="3"/>
      <c r="AN49" s="3"/>
      <c r="AO49" s="3"/>
      <c r="AP49" s="3"/>
      <c r="AQ49"/>
      <c r="AR49"/>
      <c r="AS49"/>
      <c r="AT49"/>
      <c r="AU49"/>
    </row>
    <row r="50" spans="1:47" s="440" customFormat="1" ht="15.6">
      <c r="A50" s="415"/>
      <c r="B50" s="415" t="s">
        <v>386</v>
      </c>
      <c r="C50" s="415" t="s">
        <v>492</v>
      </c>
      <c r="D50" s="415" t="s">
        <v>476</v>
      </c>
      <c r="E50" s="415"/>
      <c r="F50" s="415"/>
      <c r="G50" s="415"/>
      <c r="H50" s="415"/>
      <c r="I50" s="415"/>
      <c r="J50" s="439">
        <f>SUM(K50:O50)</f>
        <v>12802632</v>
      </c>
      <c r="K50" s="439"/>
      <c r="L50" s="439">
        <v>6376212.7999999998</v>
      </c>
      <c r="M50" s="415"/>
      <c r="N50" s="439">
        <v>251032</v>
      </c>
      <c r="O50" s="439">
        <v>6175387.2000000002</v>
      </c>
      <c r="P50"/>
      <c r="Q50"/>
      <c r="R50"/>
      <c r="S50"/>
      <c r="T50"/>
      <c r="U50" s="323"/>
      <c r="V50" s="3"/>
      <c r="W50" s="3"/>
      <c r="X50" s="456"/>
      <c r="Y50" s="425"/>
      <c r="Z50" s="457"/>
      <c r="AA50" s="457"/>
      <c r="AB50" s="457"/>
      <c r="AC50" s="457"/>
      <c r="AD50" s="457"/>
      <c r="AE50" s="457"/>
      <c r="AF50" s="457"/>
      <c r="AG50" s="457"/>
      <c r="AH50" s="457"/>
      <c r="AI50" s="457"/>
      <c r="AJ50" s="457"/>
      <c r="AK50" s="457"/>
      <c r="AL50" s="3"/>
      <c r="AM50" s="3"/>
      <c r="AN50" s="3"/>
      <c r="AO50" s="3"/>
      <c r="AP50" s="3"/>
      <c r="AQ50"/>
      <c r="AR50"/>
      <c r="AS50"/>
      <c r="AT50"/>
      <c r="AU50"/>
    </row>
    <row r="51" spans="1:47" s="440" customFormat="1" ht="15.6">
      <c r="A51" s="415"/>
      <c r="B51" s="415" t="s">
        <v>493</v>
      </c>
      <c r="C51" s="415" t="s">
        <v>9</v>
      </c>
      <c r="D51" s="415" t="s">
        <v>476</v>
      </c>
      <c r="E51" s="415"/>
      <c r="F51" s="415"/>
      <c r="G51" s="415"/>
      <c r="H51" s="415"/>
      <c r="I51" s="415"/>
      <c r="J51" s="439">
        <f t="shared" ref="J51:J58" si="21">SUM(K51:O51)</f>
        <v>729615.38461538462</v>
      </c>
      <c r="K51" s="439"/>
      <c r="L51" s="439">
        <v>663950</v>
      </c>
      <c r="M51" s="415"/>
      <c r="N51" s="439">
        <v>65665.38461538461</v>
      </c>
      <c r="O51" s="439"/>
      <c r="P51"/>
      <c r="Q51"/>
      <c r="R51"/>
      <c r="S51"/>
      <c r="T51"/>
      <c r="U51" s="323"/>
      <c r="V51" s="3"/>
      <c r="W51" s="3"/>
      <c r="X51" s="456"/>
      <c r="Y51" s="425"/>
      <c r="Z51" s="457"/>
      <c r="AA51" s="457"/>
      <c r="AB51" s="457"/>
      <c r="AC51" s="457"/>
      <c r="AD51" s="457"/>
      <c r="AE51" s="457"/>
      <c r="AF51" s="457"/>
      <c r="AG51" s="457"/>
      <c r="AH51" s="457"/>
      <c r="AI51" s="457"/>
      <c r="AJ51" s="457"/>
      <c r="AK51" s="457"/>
      <c r="AL51" s="3"/>
      <c r="AM51" s="3"/>
      <c r="AN51" s="3"/>
      <c r="AO51" s="3"/>
      <c r="AP51" s="3"/>
      <c r="AQ51"/>
      <c r="AR51"/>
      <c r="AS51"/>
      <c r="AT51"/>
      <c r="AU51"/>
    </row>
    <row r="52" spans="1:47" s="440" customFormat="1" ht="15.6">
      <c r="A52" s="415"/>
      <c r="B52" s="415" t="s">
        <v>494</v>
      </c>
      <c r="C52" s="415" t="s">
        <v>495</v>
      </c>
      <c r="D52" s="415"/>
      <c r="E52" s="415"/>
      <c r="F52" s="415"/>
      <c r="G52" s="415"/>
      <c r="H52" s="415"/>
      <c r="I52" s="415"/>
      <c r="J52" s="439">
        <f t="shared" si="21"/>
        <v>6</v>
      </c>
      <c r="K52" s="439"/>
      <c r="L52" s="439">
        <v>6</v>
      </c>
      <c r="M52" s="415"/>
      <c r="N52" s="439"/>
      <c r="O52" s="439"/>
      <c r="P52"/>
      <c r="Q52"/>
      <c r="R52"/>
      <c r="S52"/>
      <c r="T52"/>
      <c r="U52" s="323"/>
      <c r="V52" s="3"/>
      <c r="W52" s="3"/>
      <c r="X52" s="456"/>
      <c r="Y52" s="425"/>
      <c r="Z52" s="457"/>
      <c r="AA52" s="457"/>
      <c r="AB52" s="457"/>
      <c r="AC52" s="457"/>
      <c r="AD52" s="457"/>
      <c r="AE52" s="457"/>
      <c r="AF52" s="457"/>
      <c r="AG52" s="457"/>
      <c r="AH52" s="457"/>
      <c r="AI52" s="457"/>
      <c r="AJ52" s="457"/>
      <c r="AK52" s="457"/>
      <c r="AL52" s="3"/>
      <c r="AM52" s="3"/>
      <c r="AN52" s="3"/>
      <c r="AO52" s="3"/>
      <c r="AP52" s="3"/>
      <c r="AQ52"/>
      <c r="AR52"/>
      <c r="AS52"/>
      <c r="AT52"/>
      <c r="AU52"/>
    </row>
    <row r="53" spans="1:47" s="440" customFormat="1" ht="15.6">
      <c r="A53" s="415"/>
      <c r="B53" s="415" t="s">
        <v>496</v>
      </c>
      <c r="C53" s="415" t="s">
        <v>497</v>
      </c>
      <c r="D53" s="415"/>
      <c r="E53" s="415"/>
      <c r="F53" s="415"/>
      <c r="G53" s="415"/>
      <c r="H53" s="415"/>
      <c r="I53" s="415"/>
      <c r="J53" s="439">
        <f t="shared" si="21"/>
        <v>1392</v>
      </c>
      <c r="K53" s="439"/>
      <c r="L53" s="439">
        <v>1336.32</v>
      </c>
      <c r="M53" s="415"/>
      <c r="N53" s="439"/>
      <c r="O53" s="439">
        <v>55.68</v>
      </c>
      <c r="P53"/>
      <c r="Q53"/>
      <c r="R53"/>
      <c r="S53"/>
      <c r="T53"/>
      <c r="U53" s="323"/>
      <c r="V53" s="3"/>
      <c r="W53" s="3"/>
      <c r="X53" s="456"/>
      <c r="Y53" s="425"/>
      <c r="Z53" s="457"/>
      <c r="AA53" s="457"/>
      <c r="AB53" s="457"/>
      <c r="AC53" s="457"/>
      <c r="AD53" s="457"/>
      <c r="AE53" s="457"/>
      <c r="AF53" s="457"/>
      <c r="AG53" s="457"/>
      <c r="AH53" s="457"/>
      <c r="AI53" s="457"/>
      <c r="AJ53" s="457"/>
      <c r="AK53" s="457"/>
      <c r="AL53" s="3"/>
      <c r="AM53" s="3"/>
      <c r="AN53" s="3"/>
      <c r="AO53" s="3"/>
      <c r="AP53" s="3"/>
      <c r="AQ53"/>
      <c r="AR53"/>
      <c r="AS53"/>
      <c r="AT53"/>
      <c r="AU53"/>
    </row>
    <row r="54" spans="1:47" s="440" customFormat="1" ht="15.6">
      <c r="A54" s="415"/>
      <c r="B54" s="415" t="s">
        <v>498</v>
      </c>
      <c r="C54" s="415" t="s">
        <v>499</v>
      </c>
      <c r="D54" s="415"/>
      <c r="E54" s="415"/>
      <c r="F54" s="415"/>
      <c r="G54" s="415"/>
      <c r="H54" s="415"/>
      <c r="I54" s="415"/>
      <c r="J54" s="439">
        <f t="shared" si="21"/>
        <v>34393</v>
      </c>
      <c r="K54" s="439"/>
      <c r="L54" s="439"/>
      <c r="M54" s="415"/>
      <c r="N54" s="439">
        <v>3439.3</v>
      </c>
      <c r="O54" s="439">
        <v>30953.7</v>
      </c>
      <c r="P54"/>
      <c r="Q54"/>
      <c r="R54"/>
      <c r="S54"/>
      <c r="T54"/>
      <c r="U54" s="323"/>
      <c r="V54" s="3"/>
      <c r="W54" s="3"/>
      <c r="X54" s="456"/>
      <c r="Y54" s="425"/>
      <c r="Z54" s="457"/>
      <c r="AA54" s="457"/>
      <c r="AB54" s="457"/>
      <c r="AC54" s="457"/>
      <c r="AD54" s="457"/>
      <c r="AE54" s="457"/>
      <c r="AF54" s="457"/>
      <c r="AG54" s="457"/>
      <c r="AH54" s="457"/>
      <c r="AI54" s="457"/>
      <c r="AJ54" s="457"/>
      <c r="AK54" s="457"/>
      <c r="AL54" s="3"/>
      <c r="AM54" s="3"/>
      <c r="AN54" s="3"/>
      <c r="AO54" s="3"/>
      <c r="AP54" s="3"/>
      <c r="AQ54"/>
      <c r="AR54"/>
      <c r="AS54"/>
      <c r="AT54"/>
      <c r="AU54"/>
    </row>
    <row r="55" spans="1:47" s="440" customFormat="1" ht="15.6">
      <c r="A55" s="415"/>
      <c r="B55" s="415" t="s">
        <v>500</v>
      </c>
      <c r="C55" s="415" t="s">
        <v>501</v>
      </c>
      <c r="D55" s="415"/>
      <c r="E55" s="415"/>
      <c r="F55" s="415"/>
      <c r="G55" s="415"/>
      <c r="H55" s="415"/>
      <c r="I55" s="415"/>
      <c r="J55" s="439">
        <f t="shared" si="21"/>
        <v>570</v>
      </c>
      <c r="K55" s="439"/>
      <c r="L55" s="439">
        <v>570</v>
      </c>
      <c r="M55" s="415"/>
      <c r="N55" s="439"/>
      <c r="O55" s="439"/>
      <c r="P55"/>
      <c r="Q55"/>
      <c r="R55"/>
      <c r="S55"/>
      <c r="T55"/>
      <c r="U55" s="323"/>
      <c r="V55" s="3"/>
      <c r="W55" s="3"/>
      <c r="X55" s="456"/>
      <c r="Y55" s="425"/>
      <c r="Z55" s="457"/>
      <c r="AA55" s="457"/>
      <c r="AB55" s="457"/>
      <c r="AC55" s="457"/>
      <c r="AD55" s="457"/>
      <c r="AE55" s="457"/>
      <c r="AF55" s="457"/>
      <c r="AG55" s="457"/>
      <c r="AH55" s="457"/>
      <c r="AI55" s="457"/>
      <c r="AJ55" s="457"/>
      <c r="AK55" s="457"/>
      <c r="AL55" s="3"/>
      <c r="AM55" s="3"/>
      <c r="AN55" s="3"/>
      <c r="AO55" s="3"/>
      <c r="AP55" s="3"/>
      <c r="AQ55"/>
      <c r="AR55"/>
      <c r="AS55"/>
      <c r="AT55"/>
      <c r="AU55"/>
    </row>
    <row r="56" spans="1:47" ht="15.6">
      <c r="A56" s="415"/>
      <c r="B56" s="415" t="s">
        <v>502</v>
      </c>
      <c r="C56" s="415" t="s">
        <v>503</v>
      </c>
      <c r="D56" s="415" t="s">
        <v>476</v>
      </c>
      <c r="E56" s="415"/>
      <c r="F56" s="415"/>
      <c r="G56" s="415" t="s">
        <v>472</v>
      </c>
      <c r="H56" s="415"/>
      <c r="I56" s="415" t="s">
        <v>502</v>
      </c>
      <c r="J56" s="439">
        <f t="shared" si="21"/>
        <v>772750</v>
      </c>
      <c r="K56" s="439">
        <v>0</v>
      </c>
      <c r="L56" s="439">
        <v>772750</v>
      </c>
      <c r="M56" s="415">
        <v>0</v>
      </c>
      <c r="N56" s="415">
        <v>0</v>
      </c>
      <c r="O56" s="439">
        <v>0</v>
      </c>
      <c r="U56" s="323"/>
      <c r="V56" s="3"/>
      <c r="W56" s="3"/>
      <c r="X56" s="456"/>
      <c r="Y56" s="425"/>
      <c r="Z56" s="457"/>
      <c r="AA56" s="457"/>
      <c r="AB56" s="457"/>
      <c r="AC56" s="457"/>
      <c r="AD56" s="457"/>
      <c r="AE56" s="457"/>
      <c r="AF56" s="457"/>
      <c r="AG56" s="457"/>
      <c r="AH56" s="457"/>
      <c r="AI56" s="457"/>
      <c r="AJ56" s="457"/>
      <c r="AK56" s="457"/>
      <c r="AL56" s="3"/>
      <c r="AM56" s="3"/>
      <c r="AN56" s="3"/>
      <c r="AO56" s="3"/>
      <c r="AP56" s="3"/>
    </row>
    <row r="57" spans="1:47" ht="15.6">
      <c r="A57" s="415"/>
      <c r="B57" s="415" t="s">
        <v>504</v>
      </c>
      <c r="C57" s="415" t="s">
        <v>505</v>
      </c>
      <c r="D57" s="415"/>
      <c r="E57" s="415"/>
      <c r="F57" s="415"/>
      <c r="G57" s="415"/>
      <c r="H57" s="415"/>
      <c r="I57" s="415" t="s">
        <v>506</v>
      </c>
      <c r="J57" s="439">
        <f t="shared" si="21"/>
        <v>12001</v>
      </c>
      <c r="K57" s="439"/>
      <c r="L57" s="439">
        <v>11928.994000000001</v>
      </c>
      <c r="M57" s="415"/>
      <c r="N57" s="439">
        <v>72.006</v>
      </c>
      <c r="O57" s="415"/>
      <c r="U57" s="323"/>
      <c r="V57" s="3"/>
      <c r="W57" s="3"/>
      <c r="X57" s="456"/>
      <c r="Y57" s="425"/>
      <c r="Z57" s="457"/>
      <c r="AA57" s="457"/>
      <c r="AB57" s="457"/>
      <c r="AC57" s="457"/>
      <c r="AD57" s="457"/>
      <c r="AE57" s="457"/>
      <c r="AF57" s="457"/>
      <c r="AG57" s="457"/>
      <c r="AH57" s="457"/>
      <c r="AI57" s="457"/>
      <c r="AJ57" s="457"/>
      <c r="AK57" s="457"/>
      <c r="AL57" s="3"/>
      <c r="AM57" s="3"/>
      <c r="AN57" s="3"/>
      <c r="AO57" s="3"/>
      <c r="AP57" s="3"/>
    </row>
    <row r="58" spans="1:47" ht="15.6">
      <c r="A58" s="415"/>
      <c r="B58" s="415" t="s">
        <v>507</v>
      </c>
      <c r="C58" s="415" t="s">
        <v>508</v>
      </c>
      <c r="D58" s="415" t="s">
        <v>476</v>
      </c>
      <c r="E58" s="415"/>
      <c r="F58" s="415" t="s">
        <v>472</v>
      </c>
      <c r="G58" s="415"/>
      <c r="H58" s="415"/>
      <c r="I58" s="415" t="s">
        <v>509</v>
      </c>
      <c r="J58" s="439">
        <f t="shared" si="21"/>
        <v>192700</v>
      </c>
      <c r="K58" s="439">
        <v>77080</v>
      </c>
      <c r="L58" s="439">
        <v>38540</v>
      </c>
      <c r="M58" s="415">
        <v>0</v>
      </c>
      <c r="N58" s="415">
        <v>0</v>
      </c>
      <c r="O58" s="439">
        <v>77080</v>
      </c>
      <c r="U58" s="323"/>
      <c r="V58" s="3"/>
      <c r="W58" s="3"/>
      <c r="Y58" s="458"/>
      <c r="Z58" s="459"/>
      <c r="AA58" s="459"/>
      <c r="AB58" s="459"/>
      <c r="AC58" s="459"/>
      <c r="AD58" s="459"/>
      <c r="AE58" s="459"/>
      <c r="AF58" s="459"/>
      <c r="AG58" s="459"/>
      <c r="AH58" s="459"/>
      <c r="AI58" s="459"/>
      <c r="AJ58" s="459"/>
      <c r="AK58" s="459"/>
      <c r="AL58" s="3"/>
      <c r="AM58" s="3"/>
      <c r="AN58" s="3"/>
      <c r="AO58" s="3"/>
      <c r="AP58" s="3"/>
    </row>
    <row r="59" spans="1:47" ht="28.8">
      <c r="A59" s="415"/>
      <c r="B59" s="415" t="s">
        <v>510</v>
      </c>
      <c r="C59" s="409" t="s">
        <v>511</v>
      </c>
      <c r="D59" s="415"/>
      <c r="E59" s="415"/>
      <c r="F59" s="415"/>
      <c r="G59" s="415"/>
      <c r="H59" s="415"/>
      <c r="I59" s="415"/>
      <c r="J59" s="439">
        <f t="shared" ref="J59:J60" si="22">SUM(K59:O59)</f>
        <v>663</v>
      </c>
      <c r="K59" s="439"/>
      <c r="L59" s="439">
        <v>489.95699999999999</v>
      </c>
      <c r="M59" s="415"/>
      <c r="N59" s="415">
        <v>41.106000000000002</v>
      </c>
      <c r="O59" s="439">
        <v>131.93700000000001</v>
      </c>
      <c r="U59" s="323"/>
      <c r="V59" s="3"/>
      <c r="W59" s="3"/>
      <c r="Y59" s="458"/>
      <c r="Z59" s="459"/>
      <c r="AA59" s="459"/>
      <c r="AB59" s="459"/>
      <c r="AC59" s="459"/>
      <c r="AD59" s="459"/>
      <c r="AE59" s="459"/>
      <c r="AF59" s="459"/>
      <c r="AG59" s="459"/>
      <c r="AH59" s="459"/>
      <c r="AI59" s="459"/>
      <c r="AJ59" s="459"/>
      <c r="AK59" s="459"/>
      <c r="AL59" s="3"/>
      <c r="AM59" s="3"/>
      <c r="AN59" s="3"/>
      <c r="AO59" s="3"/>
      <c r="AP59" s="3"/>
    </row>
    <row r="60" spans="1:47" ht="28.8">
      <c r="A60" s="415"/>
      <c r="B60" s="415" t="s">
        <v>512</v>
      </c>
      <c r="C60" s="460" t="s">
        <v>513</v>
      </c>
      <c r="D60" s="415"/>
      <c r="E60" s="415"/>
      <c r="F60" s="415"/>
      <c r="G60" s="415"/>
      <c r="H60" s="415"/>
      <c r="I60" s="415"/>
      <c r="J60" s="439">
        <f t="shared" si="22"/>
        <v>8811.9999999999982</v>
      </c>
      <c r="K60" s="439"/>
      <c r="L60" s="439">
        <v>8424.271999999999</v>
      </c>
      <c r="M60" s="415"/>
      <c r="N60" s="415">
        <v>387.72799999999995</v>
      </c>
      <c r="O60" s="439"/>
      <c r="U60" s="323"/>
      <c r="V60" s="3"/>
      <c r="W60" s="3"/>
      <c r="Y60" s="458"/>
      <c r="Z60" s="459"/>
      <c r="AA60" s="459"/>
      <c r="AB60" s="459"/>
      <c r="AC60" s="459"/>
      <c r="AD60" s="459"/>
      <c r="AE60" s="459"/>
      <c r="AF60" s="459"/>
      <c r="AG60" s="459"/>
      <c r="AH60" s="459"/>
      <c r="AI60" s="459"/>
      <c r="AJ60" s="459"/>
      <c r="AK60" s="459"/>
      <c r="AL60" s="3"/>
      <c r="AM60" s="3"/>
      <c r="AN60" s="3"/>
      <c r="AO60" s="3"/>
      <c r="AP60" s="3"/>
    </row>
    <row r="61" spans="1:47" ht="28.8">
      <c r="A61" s="415"/>
      <c r="B61" s="461" t="s">
        <v>514</v>
      </c>
      <c r="C61" s="460" t="s">
        <v>515</v>
      </c>
      <c r="D61" s="415" t="s">
        <v>476</v>
      </c>
      <c r="E61" s="415"/>
      <c r="F61" s="415"/>
      <c r="G61" s="415"/>
      <c r="H61" s="415"/>
      <c r="I61" s="415"/>
      <c r="J61" s="439">
        <f>SUM(K61:O61)</f>
        <v>4562</v>
      </c>
      <c r="K61" s="462"/>
      <c r="L61" s="462">
        <v>2390.4880000000003</v>
      </c>
      <c r="M61" s="461"/>
      <c r="N61" s="461">
        <v>250.91</v>
      </c>
      <c r="O61" s="462">
        <v>1920.6019999999996</v>
      </c>
      <c r="U61" s="323"/>
      <c r="V61" s="3"/>
      <c r="W61" s="3"/>
      <c r="Y61" s="458"/>
      <c r="Z61" s="459"/>
      <c r="AA61" s="459"/>
      <c r="AB61" s="459"/>
      <c r="AC61" s="459"/>
      <c r="AD61" s="459"/>
      <c r="AE61" s="459"/>
      <c r="AF61" s="459"/>
      <c r="AG61" s="459"/>
      <c r="AH61" s="459"/>
      <c r="AI61" s="459"/>
      <c r="AJ61" s="459"/>
      <c r="AK61" s="459"/>
      <c r="AL61" s="3"/>
      <c r="AM61" s="3"/>
      <c r="AN61" s="3"/>
      <c r="AO61" s="3"/>
      <c r="AP61" s="3"/>
    </row>
    <row r="62" spans="1:47" ht="15.6">
      <c r="A62" s="415"/>
      <c r="B62" s="415" t="s">
        <v>516</v>
      </c>
      <c r="C62" s="415" t="s">
        <v>517</v>
      </c>
      <c r="D62" s="415" t="s">
        <v>476</v>
      </c>
      <c r="E62" s="415"/>
      <c r="F62" s="415"/>
      <c r="G62" s="415"/>
      <c r="H62" s="415" t="s">
        <v>472</v>
      </c>
      <c r="I62" s="415" t="s">
        <v>516</v>
      </c>
      <c r="J62" s="439">
        <f t="shared" ref="J62:J67" si="23">SUM(K62:O62)</f>
        <v>860329</v>
      </c>
      <c r="K62" s="439">
        <v>0</v>
      </c>
      <c r="L62" s="439">
        <v>636643.46</v>
      </c>
      <c r="M62" s="415">
        <v>0</v>
      </c>
      <c r="N62" s="415">
        <v>0</v>
      </c>
      <c r="O62" s="439">
        <v>223685.54</v>
      </c>
      <c r="U62" s="323"/>
      <c r="V62" s="3"/>
      <c r="W62" s="3"/>
      <c r="Y62" s="463"/>
      <c r="Z62" s="101"/>
      <c r="AA62" s="101"/>
      <c r="AB62" s="101"/>
      <c r="AC62" s="101"/>
      <c r="AD62" s="101"/>
      <c r="AE62" s="101"/>
      <c r="AF62" s="101"/>
      <c r="AH62" s="3"/>
      <c r="AI62" s="3"/>
      <c r="AJ62" s="3"/>
      <c r="AK62" s="364"/>
      <c r="AL62" s="3"/>
      <c r="AM62" s="3"/>
      <c r="AN62" s="3"/>
      <c r="AO62" s="3"/>
      <c r="AP62" s="3"/>
    </row>
    <row r="63" spans="1:47" ht="15.6">
      <c r="A63" s="415"/>
      <c r="B63" s="415" t="s">
        <v>518</v>
      </c>
      <c r="C63" s="415" t="s">
        <v>519</v>
      </c>
      <c r="D63" s="415" t="s">
        <v>476</v>
      </c>
      <c r="E63" s="415"/>
      <c r="F63" s="415"/>
      <c r="G63" s="415"/>
      <c r="H63" s="415" t="s">
        <v>472</v>
      </c>
      <c r="I63" s="415" t="s">
        <v>518</v>
      </c>
      <c r="J63" s="439">
        <f t="shared" si="23"/>
        <v>249080</v>
      </c>
      <c r="K63" s="439">
        <v>0</v>
      </c>
      <c r="L63" s="439">
        <v>249080</v>
      </c>
      <c r="M63" s="415">
        <v>0</v>
      </c>
      <c r="N63" s="415">
        <v>0</v>
      </c>
      <c r="O63" s="439">
        <v>0</v>
      </c>
      <c r="U63" s="323"/>
      <c r="V63" s="3"/>
      <c r="W63" s="3"/>
      <c r="Y63" s="425"/>
      <c r="Z63" s="114"/>
      <c r="AA63" s="114"/>
      <c r="AB63" s="114"/>
      <c r="AC63" s="114"/>
      <c r="AD63" s="114"/>
      <c r="AE63" s="114"/>
      <c r="AF63" s="114"/>
      <c r="AG63" s="114"/>
      <c r="AH63" s="114"/>
      <c r="AI63" s="114"/>
      <c r="AJ63" s="114"/>
      <c r="AK63" s="114"/>
      <c r="AL63" s="3"/>
      <c r="AM63" s="3"/>
      <c r="AN63" s="3"/>
      <c r="AO63" s="3"/>
      <c r="AP63" s="3"/>
    </row>
    <row r="64" spans="1:47" s="334" customFormat="1" ht="15.6">
      <c r="A64" s="415"/>
      <c r="B64" s="415" t="s">
        <v>520</v>
      </c>
      <c r="C64" s="415" t="s">
        <v>521</v>
      </c>
      <c r="D64" s="415" t="s">
        <v>476</v>
      </c>
      <c r="E64" s="415"/>
      <c r="F64" s="415"/>
      <c r="G64" s="415" t="s">
        <v>472</v>
      </c>
      <c r="H64" s="415"/>
      <c r="I64" s="464" t="s">
        <v>522</v>
      </c>
      <c r="J64" s="439">
        <f t="shared" si="23"/>
        <v>5793645</v>
      </c>
      <c r="K64" s="439">
        <v>0</v>
      </c>
      <c r="L64" s="439">
        <v>5793645</v>
      </c>
      <c r="M64" s="415">
        <v>0</v>
      </c>
      <c r="N64" s="415">
        <v>0</v>
      </c>
      <c r="O64" s="439">
        <v>0</v>
      </c>
      <c r="P64"/>
      <c r="Q64"/>
      <c r="R64"/>
      <c r="S64"/>
      <c r="T64"/>
      <c r="U64" s="323"/>
      <c r="V64" s="3"/>
      <c r="W64" s="3"/>
      <c r="X64" s="456"/>
      <c r="Y64" s="425"/>
      <c r="Z64" s="114"/>
      <c r="AA64" s="114"/>
      <c r="AB64" s="114"/>
      <c r="AC64" s="114"/>
      <c r="AD64" s="114"/>
      <c r="AE64" s="114"/>
      <c r="AF64" s="114"/>
      <c r="AG64" s="114"/>
      <c r="AH64" s="114"/>
      <c r="AI64" s="114"/>
      <c r="AJ64" s="114"/>
      <c r="AK64" s="114"/>
      <c r="AL64" s="3"/>
      <c r="AM64" s="3"/>
      <c r="AN64" s="3"/>
      <c r="AO64" s="3"/>
      <c r="AP64" s="3"/>
      <c r="AQ64"/>
      <c r="AR64"/>
      <c r="AS64"/>
      <c r="AT64"/>
      <c r="AU64"/>
    </row>
    <row r="65" spans="1:47" ht="15.6">
      <c r="A65" s="415"/>
      <c r="B65" s="415" t="s">
        <v>413</v>
      </c>
      <c r="C65" s="415" t="s">
        <v>487</v>
      </c>
      <c r="D65" s="415" t="s">
        <v>476</v>
      </c>
      <c r="E65" s="415">
        <v>2017</v>
      </c>
      <c r="F65" s="415" t="s">
        <v>472</v>
      </c>
      <c r="G65" s="415"/>
      <c r="H65" s="415"/>
      <c r="I65" s="415" t="s">
        <v>523</v>
      </c>
      <c r="J65" s="439">
        <f>SUM(K65:O65)</f>
        <v>39159891</v>
      </c>
      <c r="K65" s="439">
        <v>0</v>
      </c>
      <c r="L65" s="439">
        <v>36418698.630000003</v>
      </c>
      <c r="M65" s="415">
        <v>0</v>
      </c>
      <c r="N65" s="415">
        <v>0</v>
      </c>
      <c r="O65" s="439">
        <v>2741192.37</v>
      </c>
      <c r="U65" s="323"/>
      <c r="V65" s="3"/>
      <c r="W65" s="3"/>
      <c r="X65" s="456"/>
      <c r="Y65" s="425"/>
      <c r="Z65" s="114"/>
      <c r="AA65" s="114"/>
      <c r="AB65" s="114"/>
      <c r="AC65" s="114"/>
      <c r="AD65" s="114"/>
      <c r="AE65" s="114"/>
      <c r="AF65" s="114"/>
      <c r="AG65" s="114"/>
      <c r="AH65" s="114"/>
      <c r="AI65" s="114"/>
      <c r="AJ65" s="114"/>
      <c r="AK65" s="114"/>
      <c r="AL65" s="3"/>
      <c r="AM65" s="3"/>
      <c r="AN65" s="3"/>
      <c r="AO65" s="3"/>
      <c r="AP65" s="3"/>
    </row>
    <row r="66" spans="1:47" ht="15.6">
      <c r="A66" s="415"/>
      <c r="B66" s="415" t="s">
        <v>524</v>
      </c>
      <c r="C66" s="415" t="s">
        <v>525</v>
      </c>
      <c r="D66" s="415" t="s">
        <v>476</v>
      </c>
      <c r="E66" s="415">
        <v>2014</v>
      </c>
      <c r="F66" s="415"/>
      <c r="G66" s="415" t="s">
        <v>472</v>
      </c>
      <c r="H66" s="415"/>
      <c r="I66" s="415" t="s">
        <v>524</v>
      </c>
      <c r="J66" s="439">
        <f>SUM(K66:O66)</f>
        <v>2925390</v>
      </c>
      <c r="K66" s="439">
        <v>0</v>
      </c>
      <c r="L66" s="439">
        <v>2720612.7</v>
      </c>
      <c r="M66" s="415">
        <v>0</v>
      </c>
      <c r="N66" s="415">
        <v>0</v>
      </c>
      <c r="O66" s="439">
        <v>204777.30000000002</v>
      </c>
      <c r="U66" s="323"/>
      <c r="V66" s="3"/>
      <c r="W66" s="3"/>
      <c r="X66" s="456"/>
      <c r="Y66" s="425"/>
      <c r="Z66" s="114"/>
      <c r="AA66" s="114"/>
      <c r="AB66" s="114"/>
      <c r="AC66" s="114"/>
      <c r="AD66" s="114"/>
      <c r="AE66" s="114"/>
      <c r="AF66" s="114"/>
      <c r="AG66" s="114"/>
      <c r="AH66" s="114"/>
      <c r="AI66" s="114"/>
      <c r="AJ66" s="114"/>
      <c r="AK66" s="114"/>
      <c r="AL66" s="3"/>
      <c r="AM66" s="3"/>
      <c r="AN66" s="3"/>
      <c r="AO66" s="3"/>
      <c r="AP66" s="3"/>
    </row>
    <row r="67" spans="1:47" s="440" customFormat="1" ht="15.6">
      <c r="A67" s="415"/>
      <c r="B67" s="415" t="s">
        <v>526</v>
      </c>
      <c r="C67" s="415" t="s">
        <v>527</v>
      </c>
      <c r="D67" s="415" t="s">
        <v>476</v>
      </c>
      <c r="E67" s="415"/>
      <c r="F67" s="415"/>
      <c r="G67" s="415" t="s">
        <v>472</v>
      </c>
      <c r="H67" s="415"/>
      <c r="I67" s="415" t="s">
        <v>528</v>
      </c>
      <c r="J67" s="439">
        <f t="shared" si="23"/>
        <v>832059</v>
      </c>
      <c r="K67" s="439">
        <v>0</v>
      </c>
      <c r="L67" s="439">
        <v>832059</v>
      </c>
      <c r="M67" s="415">
        <v>0</v>
      </c>
      <c r="N67" s="415">
        <v>0</v>
      </c>
      <c r="O67" s="439">
        <v>0</v>
      </c>
      <c r="P67"/>
      <c r="Q67"/>
      <c r="R67"/>
      <c r="S67"/>
      <c r="T67"/>
      <c r="U67" s="323"/>
      <c r="V67" s="3"/>
      <c r="W67" s="3"/>
      <c r="X67" s="456"/>
      <c r="Y67" s="425"/>
      <c r="Z67" s="114"/>
      <c r="AA67" s="114"/>
      <c r="AB67" s="114"/>
      <c r="AC67" s="114"/>
      <c r="AD67" s="114"/>
      <c r="AE67" s="114"/>
      <c r="AF67" s="114"/>
      <c r="AG67" s="114"/>
      <c r="AH67" s="114"/>
      <c r="AI67" s="114"/>
      <c r="AJ67" s="114"/>
      <c r="AK67" s="114"/>
      <c r="AL67" s="3"/>
      <c r="AM67" s="3"/>
      <c r="AN67" s="3"/>
      <c r="AO67" s="3"/>
      <c r="AP67" s="3"/>
      <c r="AQ67"/>
      <c r="AR67"/>
      <c r="AS67"/>
      <c r="AT67"/>
      <c r="AU67"/>
    </row>
    <row r="68" spans="1:47" ht="15.6">
      <c r="A68" s="415"/>
      <c r="B68" s="415" t="s">
        <v>529</v>
      </c>
      <c r="C68" s="415" t="s">
        <v>530</v>
      </c>
      <c r="D68" s="415" t="s">
        <v>476</v>
      </c>
      <c r="E68" s="415"/>
      <c r="F68" s="415"/>
      <c r="G68" s="415" t="s">
        <v>472</v>
      </c>
      <c r="H68" s="415"/>
      <c r="I68" s="415" t="s">
        <v>531</v>
      </c>
      <c r="J68" s="439">
        <f>SUM(K68:O68)</f>
        <v>361526</v>
      </c>
      <c r="K68" s="439">
        <v>0</v>
      </c>
      <c r="L68" s="439">
        <v>325373.40000000002</v>
      </c>
      <c r="M68" s="415">
        <v>0</v>
      </c>
      <c r="N68" s="415">
        <v>0</v>
      </c>
      <c r="O68" s="439">
        <v>36152.6</v>
      </c>
      <c r="U68" s="323"/>
      <c r="V68" s="3"/>
      <c r="W68" s="3"/>
      <c r="X68" s="456"/>
      <c r="Y68" s="425"/>
      <c r="Z68" s="114"/>
      <c r="AA68" s="114"/>
      <c r="AB68" s="114"/>
      <c r="AC68" s="114"/>
      <c r="AD68" s="114"/>
      <c r="AE68" s="114"/>
      <c r="AF68" s="114"/>
      <c r="AG68" s="114"/>
      <c r="AH68" s="114"/>
      <c r="AI68" s="114"/>
      <c r="AJ68" s="114"/>
      <c r="AK68" s="114"/>
      <c r="AL68" s="3"/>
      <c r="AM68" s="3"/>
      <c r="AN68" s="3"/>
      <c r="AO68" s="3"/>
      <c r="AP68" s="3"/>
    </row>
    <row r="69" spans="1:47" ht="15.6">
      <c r="A69" s="415"/>
      <c r="B69" s="762" t="s">
        <v>663</v>
      </c>
      <c r="C69" s="762" t="s">
        <v>664</v>
      </c>
      <c r="D69" s="762"/>
      <c r="E69" s="762"/>
      <c r="F69" s="762"/>
      <c r="G69" s="762"/>
      <c r="H69" s="762"/>
      <c r="I69" s="762"/>
      <c r="J69" s="763">
        <f t="shared" ref="J69:J71" si="24">SUM(K69:O69)</f>
        <v>48749</v>
      </c>
      <c r="K69" s="763">
        <v>0</v>
      </c>
      <c r="L69" s="763">
        <v>0</v>
      </c>
      <c r="M69" s="763">
        <v>0</v>
      </c>
      <c r="N69" s="763">
        <v>48749</v>
      </c>
      <c r="O69" s="763"/>
      <c r="U69" s="323"/>
      <c r="V69" s="3"/>
      <c r="W69" s="3"/>
      <c r="X69" s="456"/>
      <c r="Y69" s="425"/>
      <c r="Z69" s="114"/>
      <c r="AA69" s="114"/>
      <c r="AB69" s="114"/>
      <c r="AC69" s="114"/>
      <c r="AD69" s="114"/>
      <c r="AE69" s="114"/>
      <c r="AF69" s="114"/>
      <c r="AG69" s="114"/>
      <c r="AH69" s="114"/>
      <c r="AI69" s="114"/>
      <c r="AJ69" s="114"/>
      <c r="AK69" s="114"/>
      <c r="AL69" s="3"/>
      <c r="AM69" s="3"/>
      <c r="AN69" s="3"/>
      <c r="AO69" s="3"/>
      <c r="AP69" s="3"/>
    </row>
    <row r="70" spans="1:47" ht="15.6">
      <c r="A70" s="415"/>
      <c r="B70" t="s">
        <v>665</v>
      </c>
      <c r="C70" t="s">
        <v>666</v>
      </c>
      <c r="J70" s="439">
        <f t="shared" si="24"/>
        <v>632749</v>
      </c>
      <c r="K70" s="332">
        <v>0</v>
      </c>
      <c r="L70" s="332">
        <v>537836.65</v>
      </c>
      <c r="M70" s="332">
        <v>0</v>
      </c>
      <c r="N70" s="332">
        <v>0</v>
      </c>
      <c r="O70" s="332">
        <v>94912.349999999991</v>
      </c>
      <c r="U70" s="323"/>
      <c r="V70" s="3"/>
      <c r="W70" s="3"/>
      <c r="X70" s="456"/>
      <c r="Y70" s="425"/>
      <c r="Z70" s="114"/>
      <c r="AA70" s="114"/>
      <c r="AB70" s="114"/>
      <c r="AC70" s="114"/>
      <c r="AD70" s="114"/>
      <c r="AE70" s="114"/>
      <c r="AF70" s="114"/>
      <c r="AG70" s="114"/>
      <c r="AH70" s="114"/>
      <c r="AI70" s="114"/>
      <c r="AJ70" s="114"/>
      <c r="AK70" s="114"/>
      <c r="AL70" s="3"/>
      <c r="AM70" s="3"/>
      <c r="AN70" s="3"/>
      <c r="AO70" s="3"/>
      <c r="AP70" s="3"/>
    </row>
    <row r="71" spans="1:47" ht="15.6">
      <c r="A71" s="415"/>
      <c r="B71" s="762" t="s">
        <v>667</v>
      </c>
      <c r="C71" s="762" t="s">
        <v>668</v>
      </c>
      <c r="D71" s="762"/>
      <c r="E71" s="762"/>
      <c r="F71" s="762"/>
      <c r="G71" s="762"/>
      <c r="H71" s="762"/>
      <c r="I71" s="762"/>
      <c r="J71" s="763">
        <f t="shared" si="24"/>
        <v>295462</v>
      </c>
      <c r="K71" s="763"/>
      <c r="L71" s="763">
        <v>288370.91200000001</v>
      </c>
      <c r="M71" s="763"/>
      <c r="N71" s="763">
        <v>4431.9299999999994</v>
      </c>
      <c r="O71" s="763">
        <v>2659.1579999999994</v>
      </c>
      <c r="U71" s="323"/>
      <c r="V71" s="3"/>
      <c r="W71" s="3"/>
      <c r="X71" s="456"/>
      <c r="Y71" s="425"/>
      <c r="Z71" s="114"/>
      <c r="AA71" s="114"/>
      <c r="AB71" s="114"/>
      <c r="AC71" s="114"/>
      <c r="AD71" s="114"/>
      <c r="AE71" s="114"/>
      <c r="AF71" s="114"/>
      <c r="AG71" s="114"/>
      <c r="AH71" s="114"/>
      <c r="AI71" s="114"/>
      <c r="AJ71" s="114"/>
      <c r="AK71" s="114"/>
      <c r="AL71" s="3"/>
      <c r="AM71" s="3"/>
      <c r="AN71" s="3"/>
      <c r="AO71" s="3"/>
      <c r="AP71" s="3"/>
    </row>
    <row r="72" spans="1:47">
      <c r="A72" s="455" t="s">
        <v>532</v>
      </c>
      <c r="B72" s="415"/>
      <c r="C72" s="415"/>
      <c r="D72" s="415"/>
      <c r="E72" s="415"/>
      <c r="F72" s="415"/>
      <c r="G72" s="415"/>
      <c r="H72" s="415"/>
      <c r="I72" s="415"/>
      <c r="J72" s="465">
        <f>J45+SUM(J48:J71)</f>
        <v>109876332.1768828</v>
      </c>
      <c r="K72" s="465">
        <f>K45+SUM(K48:K68)</f>
        <v>77080</v>
      </c>
      <c r="L72" s="465">
        <f>L45+SUM(L48:L68)</f>
        <v>82527947.109539077</v>
      </c>
      <c r="M72" s="465">
        <f>M45+SUM(M48:M68)</f>
        <v>3767862.0897283391</v>
      </c>
      <c r="N72" s="465">
        <f>N45+SUM(N48:N68)</f>
        <v>444784.0226153846</v>
      </c>
      <c r="O72" s="465">
        <f>O45+SUM(O48:O68)</f>
        <v>22081698.954999998</v>
      </c>
    </row>
    <row r="74" spans="1:47">
      <c r="A74" s="455" t="s">
        <v>533</v>
      </c>
      <c r="B74" s="415"/>
      <c r="C74" s="415"/>
      <c r="D74" s="415"/>
      <c r="E74" s="415"/>
      <c r="F74" s="415"/>
      <c r="G74" s="415"/>
      <c r="H74" s="415"/>
      <c r="I74" s="415"/>
      <c r="J74" s="415"/>
      <c r="K74" s="415"/>
      <c r="L74" s="415"/>
      <c r="M74" s="415"/>
      <c r="N74" s="415"/>
      <c r="O74" s="415"/>
      <c r="U74" s="323"/>
    </row>
    <row r="75" spans="1:47" ht="15.6">
      <c r="A75" s="415"/>
      <c r="B75" s="415"/>
      <c r="C75" s="415" t="s">
        <v>424</v>
      </c>
      <c r="D75" s="415" t="s">
        <v>534</v>
      </c>
      <c r="E75" s="415"/>
      <c r="F75" s="415"/>
      <c r="G75" s="415"/>
      <c r="H75" s="415"/>
      <c r="I75" s="415"/>
      <c r="J75" s="466">
        <v>2139706</v>
      </c>
      <c r="K75" s="415">
        <v>0</v>
      </c>
      <c r="L75" s="439">
        <v>898676.52</v>
      </c>
      <c r="M75" s="439">
        <v>0</v>
      </c>
      <c r="N75" s="439">
        <v>0</v>
      </c>
      <c r="O75" s="439">
        <v>1241029.48</v>
      </c>
      <c r="P75" s="755">
        <f>O75/J75</f>
        <v>0.57999999999999996</v>
      </c>
      <c r="U75" s="323"/>
    </row>
    <row r="76" spans="1:47" ht="15.6">
      <c r="A76" s="415"/>
      <c r="B76" s="415"/>
      <c r="C76" s="415" t="s">
        <v>374</v>
      </c>
      <c r="D76" s="415" t="s">
        <v>535</v>
      </c>
      <c r="E76" s="415"/>
      <c r="F76" s="415"/>
      <c r="G76" s="415"/>
      <c r="H76" s="415"/>
      <c r="I76" s="415" t="s">
        <v>536</v>
      </c>
      <c r="J76" s="466">
        <v>1099254</v>
      </c>
      <c r="K76" s="464">
        <v>0</v>
      </c>
      <c r="L76" s="466">
        <v>237880.00199999998</v>
      </c>
      <c r="M76" s="466">
        <v>381000</v>
      </c>
      <c r="N76" s="466">
        <v>0</v>
      </c>
      <c r="O76" s="466">
        <v>480373.99800000002</v>
      </c>
      <c r="P76" s="755">
        <f t="shared" ref="P76:P79" si="25">O76/J76</f>
        <v>0.437</v>
      </c>
      <c r="Q76" t="s">
        <v>537</v>
      </c>
      <c r="U76" s="323"/>
    </row>
    <row r="77" spans="1:47">
      <c r="A77" s="415"/>
      <c r="B77" s="415"/>
      <c r="C77" s="415" t="s">
        <v>375</v>
      </c>
      <c r="D77" s="415" t="s">
        <v>534</v>
      </c>
      <c r="E77" s="415"/>
      <c r="F77" s="415"/>
      <c r="G77" s="415"/>
      <c r="H77" s="415"/>
      <c r="I77" s="415"/>
      <c r="J77" s="439">
        <v>2791003</v>
      </c>
      <c r="K77" s="415">
        <v>0</v>
      </c>
      <c r="L77" s="439">
        <v>803808.86399999983</v>
      </c>
      <c r="M77" s="439">
        <v>0</v>
      </c>
      <c r="N77" s="439">
        <v>0</v>
      </c>
      <c r="O77" s="439">
        <v>1987194.1360000002</v>
      </c>
      <c r="P77" s="755">
        <f t="shared" si="25"/>
        <v>0.71200000000000008</v>
      </c>
      <c r="U77" s="323"/>
    </row>
    <row r="78" spans="1:47" ht="15.6">
      <c r="A78" s="415"/>
      <c r="B78" s="415"/>
      <c r="C78" s="415" t="s">
        <v>376</v>
      </c>
      <c r="D78" s="415" t="s">
        <v>534</v>
      </c>
      <c r="E78" s="415"/>
      <c r="F78" s="415"/>
      <c r="G78" s="415"/>
      <c r="H78" s="415"/>
      <c r="I78" s="415"/>
      <c r="J78" s="466">
        <v>3533059</v>
      </c>
      <c r="K78" s="415">
        <v>0</v>
      </c>
      <c r="L78" s="439">
        <v>706611.79999999981</v>
      </c>
      <c r="M78" s="439">
        <v>0</v>
      </c>
      <c r="N78" s="439">
        <v>0</v>
      </c>
      <c r="O78" s="439">
        <v>2826447.2</v>
      </c>
      <c r="P78" s="755">
        <f t="shared" si="25"/>
        <v>0.8</v>
      </c>
      <c r="Q78" s="323"/>
      <c r="S78" s="323"/>
      <c r="U78" s="323"/>
    </row>
    <row r="79" spans="1:47" ht="15.6">
      <c r="A79" s="415"/>
      <c r="B79" s="415"/>
      <c r="C79" s="415" t="s">
        <v>377</v>
      </c>
      <c r="D79" s="415" t="s">
        <v>534</v>
      </c>
      <c r="E79" s="415"/>
      <c r="F79" s="415"/>
      <c r="G79" s="415"/>
      <c r="H79" s="415"/>
      <c r="I79" s="415" t="s">
        <v>538</v>
      </c>
      <c r="J79" s="466">
        <v>162167</v>
      </c>
      <c r="K79" s="415">
        <v>0</v>
      </c>
      <c r="L79" s="439">
        <v>0</v>
      </c>
      <c r="M79" s="439">
        <v>0</v>
      </c>
      <c r="N79" s="466">
        <v>123895.58799999999</v>
      </c>
      <c r="O79" s="439">
        <v>38271.412000000004</v>
      </c>
      <c r="P79" s="755">
        <f t="shared" si="25"/>
        <v>0.23600000000000002</v>
      </c>
      <c r="Q79" s="442"/>
      <c r="R79" s="442"/>
      <c r="S79" s="442"/>
      <c r="T79" s="442"/>
      <c r="U79" s="442"/>
    </row>
    <row r="80" spans="1:47" ht="15.6">
      <c r="A80" s="445" t="s">
        <v>539</v>
      </c>
      <c r="B80" s="446"/>
      <c r="C80" s="415"/>
      <c r="D80" s="415"/>
      <c r="E80" s="415"/>
      <c r="F80" s="415"/>
      <c r="G80" s="415"/>
      <c r="H80" s="415"/>
      <c r="I80" s="415"/>
      <c r="J80" s="447">
        <v>9725189</v>
      </c>
      <c r="K80" s="415"/>
      <c r="L80" s="447">
        <v>2646977.1859999998</v>
      </c>
      <c r="M80" s="447">
        <v>381000</v>
      </c>
      <c r="N80" s="447">
        <v>123895.58799999999</v>
      </c>
      <c r="O80" s="447">
        <v>6573316.2259999998</v>
      </c>
      <c r="P80" s="323"/>
      <c r="Q80" s="323"/>
      <c r="R80" s="323"/>
      <c r="S80" s="323"/>
      <c r="T80" s="323"/>
    </row>
    <row r="81" spans="2:13">
      <c r="L81" s="332"/>
    </row>
    <row r="82" spans="2:13">
      <c r="C82">
        <v>2010</v>
      </c>
      <c r="J82">
        <v>2020</v>
      </c>
      <c r="K82">
        <v>2030</v>
      </c>
      <c r="L82">
        <v>2040</v>
      </c>
      <c r="M82">
        <v>2050</v>
      </c>
    </row>
    <row r="83" spans="2:13">
      <c r="B83" t="s">
        <v>540</v>
      </c>
      <c r="C83">
        <v>16836</v>
      </c>
      <c r="J83">
        <v>24999</v>
      </c>
      <c r="K83">
        <v>34186</v>
      </c>
      <c r="L83">
        <v>43251</v>
      </c>
      <c r="M83">
        <v>51502</v>
      </c>
    </row>
    <row r="84" spans="2:13">
      <c r="B84" t="s">
        <v>541</v>
      </c>
      <c r="C84">
        <v>16421</v>
      </c>
      <c r="J84">
        <v>24584</v>
      </c>
      <c r="K84">
        <v>33771</v>
      </c>
      <c r="L84">
        <v>42836</v>
      </c>
      <c r="M84">
        <v>51087</v>
      </c>
    </row>
    <row r="85" spans="2:13">
      <c r="B85" t="s">
        <v>542</v>
      </c>
      <c r="C85">
        <f>C83-C84</f>
        <v>415</v>
      </c>
      <c r="D85">
        <f t="shared" ref="D85:M85" si="26">D83-D84</f>
        <v>0</v>
      </c>
      <c r="E85">
        <f t="shared" si="26"/>
        <v>0</v>
      </c>
      <c r="F85">
        <f t="shared" si="26"/>
        <v>0</v>
      </c>
      <c r="G85">
        <f t="shared" si="26"/>
        <v>0</v>
      </c>
      <c r="H85">
        <f t="shared" si="26"/>
        <v>0</v>
      </c>
      <c r="I85">
        <f t="shared" si="26"/>
        <v>0</v>
      </c>
      <c r="J85">
        <f t="shared" si="26"/>
        <v>415</v>
      </c>
      <c r="K85">
        <f t="shared" si="26"/>
        <v>415</v>
      </c>
      <c r="L85">
        <f t="shared" si="26"/>
        <v>415</v>
      </c>
      <c r="M85">
        <f t="shared" si="26"/>
        <v>415</v>
      </c>
    </row>
    <row r="86" spans="2:13">
      <c r="C86">
        <f t="shared" ref="C86:K86" si="27">C85/C83*100</f>
        <v>2.4649560465668805</v>
      </c>
      <c r="D86" t="e">
        <f t="shared" si="27"/>
        <v>#DIV/0!</v>
      </c>
      <c r="E86" t="e">
        <f t="shared" si="27"/>
        <v>#DIV/0!</v>
      </c>
      <c r="F86" t="e">
        <f t="shared" si="27"/>
        <v>#DIV/0!</v>
      </c>
      <c r="G86" t="e">
        <f t="shared" si="27"/>
        <v>#DIV/0!</v>
      </c>
      <c r="H86" t="e">
        <f t="shared" si="27"/>
        <v>#DIV/0!</v>
      </c>
      <c r="I86" t="e">
        <f t="shared" si="27"/>
        <v>#DIV/0!</v>
      </c>
      <c r="J86">
        <f t="shared" si="27"/>
        <v>1.6600664026561063</v>
      </c>
      <c r="K86">
        <f t="shared" si="27"/>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4.4"/>
  <cols>
    <col min="1" max="1" width="36" bestFit="1" customWidth="1"/>
    <col min="2" max="2" width="29.88671875" customWidth="1"/>
    <col min="3" max="3" width="40" customWidth="1"/>
    <col min="4" max="4" width="52" customWidth="1"/>
    <col min="5" max="5" width="25.6640625" customWidth="1"/>
    <col min="6" max="6" width="17" customWidth="1"/>
    <col min="7" max="7" width="16.33203125" customWidth="1"/>
    <col min="8" max="8" width="19.6640625" customWidth="1"/>
    <col min="9" max="9" width="17.88671875" customWidth="1"/>
    <col min="10" max="10" width="19" customWidth="1"/>
    <col min="11" max="11" width="17.6640625" customWidth="1"/>
  </cols>
  <sheetData>
    <row r="1" spans="1:5" ht="15" thickBot="1">
      <c r="A1" s="2" t="s">
        <v>315</v>
      </c>
    </row>
    <row r="2" spans="1:5" ht="29.4" thickBot="1">
      <c r="A2" s="286"/>
      <c r="B2" s="287" t="s">
        <v>316</v>
      </c>
      <c r="C2" s="287" t="s">
        <v>317</v>
      </c>
      <c r="D2" s="287" t="s">
        <v>318</v>
      </c>
      <c r="E2" s="287" t="s">
        <v>319</v>
      </c>
    </row>
    <row r="3" spans="1:5">
      <c r="A3" s="1878" t="s">
        <v>320</v>
      </c>
      <c r="B3" s="1881" t="s">
        <v>321</v>
      </c>
      <c r="C3" s="288" t="s">
        <v>327</v>
      </c>
      <c r="D3" s="288" t="s">
        <v>327</v>
      </c>
      <c r="E3" s="470" t="s">
        <v>155</v>
      </c>
    </row>
    <row r="4" spans="1:5">
      <c r="A4" s="1879"/>
      <c r="B4" s="1882"/>
      <c r="C4" s="289" t="s">
        <v>328</v>
      </c>
      <c r="D4" s="289" t="s">
        <v>329</v>
      </c>
      <c r="E4" s="471"/>
    </row>
    <row r="5" spans="1:5">
      <c r="A5" s="1879"/>
      <c r="B5" s="1882"/>
      <c r="C5" s="289" t="s">
        <v>330</v>
      </c>
      <c r="D5" s="289" t="s">
        <v>331</v>
      </c>
      <c r="E5" s="471"/>
    </row>
    <row r="6" spans="1:5" ht="15" thickBot="1">
      <c r="A6" s="1880"/>
      <c r="B6" s="1883"/>
      <c r="C6" s="290" t="s">
        <v>332</v>
      </c>
      <c r="D6" s="290" t="s">
        <v>333</v>
      </c>
      <c r="E6" s="472"/>
    </row>
    <row r="7" spans="1:5" ht="28.8">
      <c r="A7" s="1878" t="s">
        <v>322</v>
      </c>
      <c r="B7" s="1881" t="s">
        <v>323</v>
      </c>
      <c r="C7" s="291" t="s">
        <v>334</v>
      </c>
      <c r="D7" s="292" t="s">
        <v>324</v>
      </c>
      <c r="E7" s="470" t="s">
        <v>155</v>
      </c>
    </row>
    <row r="8" spans="1:5">
      <c r="A8" s="1879"/>
      <c r="B8" s="1882"/>
      <c r="C8" s="293" t="s">
        <v>335</v>
      </c>
      <c r="D8" s="293" t="s">
        <v>336</v>
      </c>
      <c r="E8" s="471"/>
    </row>
    <row r="9" spans="1:5">
      <c r="A9" s="1879"/>
      <c r="B9" s="1882"/>
      <c r="C9" s="293" t="s">
        <v>337</v>
      </c>
      <c r="D9" s="293" t="s">
        <v>338</v>
      </c>
      <c r="E9" s="471"/>
    </row>
    <row r="10" spans="1:5">
      <c r="A10" s="1879"/>
      <c r="B10" s="1882"/>
      <c r="C10" s="293" t="s">
        <v>339</v>
      </c>
      <c r="D10" s="293" t="s">
        <v>340</v>
      </c>
      <c r="E10" s="471"/>
    </row>
    <row r="11" spans="1:5">
      <c r="A11" s="1879"/>
      <c r="B11" s="1882"/>
      <c r="C11" s="293" t="s">
        <v>341</v>
      </c>
      <c r="D11" s="293" t="s">
        <v>342</v>
      </c>
      <c r="E11" s="471"/>
    </row>
    <row r="12" spans="1:5" ht="15" thickBot="1">
      <c r="A12" s="1880"/>
      <c r="B12" s="1883"/>
      <c r="C12" s="294"/>
      <c r="D12" s="295" t="s">
        <v>343</v>
      </c>
      <c r="E12" s="472"/>
    </row>
    <row r="13" spans="1:5" ht="58.2" thickBot="1">
      <c r="A13" s="296" t="s">
        <v>325</v>
      </c>
      <c r="B13" s="297" t="s">
        <v>326</v>
      </c>
      <c r="C13" s="298" t="s">
        <v>344</v>
      </c>
      <c r="D13" s="298" t="s">
        <v>345</v>
      </c>
      <c r="E13" s="299" t="s">
        <v>346</v>
      </c>
    </row>
    <row r="14" spans="1:5" ht="57.6">
      <c r="A14" s="1878" t="s">
        <v>350</v>
      </c>
      <c r="B14" s="300" t="s">
        <v>347</v>
      </c>
      <c r="C14" s="1876" t="s">
        <v>352</v>
      </c>
      <c r="D14" s="1876" t="s">
        <v>353</v>
      </c>
      <c r="E14" s="468" t="s">
        <v>155</v>
      </c>
    </row>
    <row r="15" spans="1:5" ht="29.4" thickBot="1">
      <c r="A15" s="1880"/>
      <c r="B15" s="301" t="s">
        <v>348</v>
      </c>
      <c r="C15" s="1877"/>
      <c r="D15" s="1877"/>
      <c r="E15" s="469"/>
    </row>
    <row r="16" spans="1:5" ht="72.599999999999994" thickBot="1">
      <c r="A16" s="296" t="s">
        <v>351</v>
      </c>
      <c r="B16" s="297" t="s">
        <v>349</v>
      </c>
      <c r="C16" s="302" t="s">
        <v>354</v>
      </c>
      <c r="D16" s="302" t="s">
        <v>355</v>
      </c>
      <c r="E16" s="299" t="s">
        <v>155</v>
      </c>
    </row>
    <row r="23" spans="1:12">
      <c r="A23" s="361" t="s">
        <v>421</v>
      </c>
      <c r="B23" s="1873" t="s">
        <v>344</v>
      </c>
      <c r="C23" s="1874"/>
      <c r="D23" s="1875"/>
      <c r="E23" s="1873" t="s">
        <v>345</v>
      </c>
      <c r="F23" s="1874"/>
      <c r="G23" s="1874"/>
    </row>
    <row r="24" spans="1:12">
      <c r="A24" s="362" t="s">
        <v>422</v>
      </c>
      <c r="B24" s="363">
        <f>50/5</f>
        <v>10</v>
      </c>
      <c r="C24" s="363">
        <f>25/5</f>
        <v>5</v>
      </c>
    </row>
    <row r="25" spans="1:12">
      <c r="A25" s="99"/>
      <c r="B25" s="99"/>
      <c r="C25" s="99"/>
      <c r="D25" s="99"/>
      <c r="E25" s="99"/>
      <c r="F25" s="4"/>
      <c r="G25" s="4"/>
      <c r="H25" s="4"/>
      <c r="I25" s="4" t="s">
        <v>440</v>
      </c>
      <c r="J25" s="4"/>
      <c r="K25" s="4"/>
      <c r="L25" s="4"/>
    </row>
    <row r="26" spans="1:12">
      <c r="A26" s="401" t="s">
        <v>446</v>
      </c>
      <c r="B26" s="337"/>
      <c r="C26" s="40" t="s">
        <v>424</v>
      </c>
      <c r="D26" s="40" t="s">
        <v>374</v>
      </c>
      <c r="E26" s="40" t="s">
        <v>375</v>
      </c>
      <c r="F26" s="40" t="s">
        <v>376</v>
      </c>
      <c r="G26" s="40" t="s">
        <v>377</v>
      </c>
      <c r="H26" s="40" t="s">
        <v>442</v>
      </c>
      <c r="I26" s="372" t="s">
        <v>447</v>
      </c>
      <c r="J26" s="40" t="s">
        <v>428</v>
      </c>
      <c r="K26" s="40" t="s">
        <v>443</v>
      </c>
    </row>
    <row r="27" spans="1:12">
      <c r="B27" s="354" t="s">
        <v>378</v>
      </c>
      <c r="C27" s="371">
        <f>'Recycling - Case 1'!E59</f>
        <v>378326.54427023319</v>
      </c>
      <c r="D27" s="371">
        <f>'Recycling - Case 1'!J59</f>
        <v>381000</v>
      </c>
      <c r="E27" s="371">
        <f>'Recycling - Case 1'!K59</f>
        <v>338388.97868490184</v>
      </c>
      <c r="F27" s="371">
        <f>'Recycling - Case 1'!L59</f>
        <v>297470.77450579114</v>
      </c>
      <c r="G27" s="371">
        <f>'Recycling - Case 1'!M59</f>
        <v>0</v>
      </c>
      <c r="H27" s="366">
        <f>SUM(C27:G27)</f>
        <v>1395186.2974609262</v>
      </c>
      <c r="I27" s="376">
        <v>0</v>
      </c>
      <c r="J27" s="364">
        <f>'Recycling - Case 1'!C59+'Recycling - Case 1'!D59</f>
        <v>2372675.7922674129</v>
      </c>
      <c r="K27" s="337"/>
    </row>
    <row r="28" spans="1:12">
      <c r="A28" s="365" t="s">
        <v>383</v>
      </c>
      <c r="B28" s="354" t="s">
        <v>384</v>
      </c>
      <c r="C28" s="357">
        <f>'Recycling - Case 1'!E62</f>
        <v>520349.97572976683</v>
      </c>
      <c r="D28" s="370">
        <f>'Recycling - Case 1'!J62</f>
        <v>237880.00199999998</v>
      </c>
      <c r="E28" s="370">
        <f>'Recycling - Case 1'!K62</f>
        <v>465419.88531509798</v>
      </c>
      <c r="F28" s="370">
        <f>'Recycling - Case 1'!L62</f>
        <v>409141.02549420868</v>
      </c>
      <c r="G28" s="370">
        <f>'Recycling - Case 1'!M62</f>
        <v>123895.58799999999</v>
      </c>
      <c r="H28" s="366">
        <f>SUM(C28:G28)</f>
        <v>1756686.4765390735</v>
      </c>
      <c r="I28" s="374">
        <f>'Recycling - Case 1'!E79</f>
        <v>46917968.670000002</v>
      </c>
      <c r="J28" s="383">
        <f>('Recycling - Case 1'!C64+'Recycling - Case 1'!D64)*0.5+SUM('Recycling - Case 1'!C60:D60)+SUM('Recycling - Case 1'!C61:D61)</f>
        <v>5422925.5999999996</v>
      </c>
      <c r="K28" s="367"/>
      <c r="L28" s="4"/>
    </row>
    <row r="29" spans="1:12">
      <c r="A29" s="365" t="s">
        <v>383</v>
      </c>
      <c r="B29" s="354" t="s">
        <v>385</v>
      </c>
      <c r="C29" s="357">
        <f>'Recycling - Case 1'!E63</f>
        <v>1241029.48</v>
      </c>
      <c r="D29" s="370">
        <f>'Recycling - Case 1'!J63</f>
        <v>480373.99800000002</v>
      </c>
      <c r="E29" s="370">
        <f>'Recycling - Case 1'!K63</f>
        <v>1987194.1360000002</v>
      </c>
      <c r="F29" s="370">
        <f>'Recycling - Case 1'!L63</f>
        <v>2826447.2</v>
      </c>
      <c r="G29" s="370">
        <f>'Recycling - Case 1'!M63</f>
        <v>38271.412000000004</v>
      </c>
      <c r="H29" s="366">
        <f>SUM(C29:G29)</f>
        <v>6573316.2259999998</v>
      </c>
      <c r="I29" s="374">
        <f>'Recycling - Case 1'!H79</f>
        <v>3077082.33</v>
      </c>
      <c r="J29" s="383">
        <f>('Recycling - Case 1'!D64+'Recycling - Case 1'!C64)*0.5</f>
        <v>3350000</v>
      </c>
      <c r="K29" s="387">
        <f>H29+I29+J29</f>
        <v>13000398.556</v>
      </c>
      <c r="L29" s="4"/>
    </row>
    <row r="30" spans="1:12">
      <c r="A30" s="365"/>
      <c r="B30" s="354" t="s">
        <v>303</v>
      </c>
      <c r="C30" s="373">
        <f t="shared" ref="C30:J30" si="0">SUM(C27:C29)</f>
        <v>2139706</v>
      </c>
      <c r="D30" s="373">
        <f t="shared" si="0"/>
        <v>1099254</v>
      </c>
      <c r="E30" s="373">
        <f t="shared" si="0"/>
        <v>2791003</v>
      </c>
      <c r="F30" s="373">
        <f t="shared" si="0"/>
        <v>3533059</v>
      </c>
      <c r="G30" s="373">
        <f t="shared" si="0"/>
        <v>162167</v>
      </c>
      <c r="H30" s="373">
        <f t="shared" si="0"/>
        <v>9725189</v>
      </c>
      <c r="I30" s="373">
        <f t="shared" si="0"/>
        <v>49995051</v>
      </c>
      <c r="J30" s="384">
        <f t="shared" si="0"/>
        <v>11145601.392267413</v>
      </c>
      <c r="K30" s="367"/>
      <c r="L30" s="4"/>
    </row>
    <row r="31" spans="1:12">
      <c r="A31" s="365" t="s">
        <v>386</v>
      </c>
      <c r="B31" s="354" t="s">
        <v>423</v>
      </c>
      <c r="C31" s="368">
        <f>C29/(SUM(C27:C29))</f>
        <v>0.57999999999999996</v>
      </c>
      <c r="D31" s="368">
        <f>D29/(SUM(D27:D29))</f>
        <v>0.437</v>
      </c>
      <c r="E31" s="368">
        <f>E29/(SUM(E27:E29))</f>
        <v>0.71200000000000008</v>
      </c>
      <c r="F31" s="368">
        <f>F29/(SUM(F27:F29))</f>
        <v>0.8</v>
      </c>
      <c r="G31" s="368">
        <f>G29/(SUM(G27:G29))</f>
        <v>0.23600000000000002</v>
      </c>
      <c r="H31" s="368">
        <f>H29/H30</f>
        <v>0.67590627040770102</v>
      </c>
      <c r="I31" s="368">
        <f>I29/I30</f>
        <v>6.154773859516615E-2</v>
      </c>
      <c r="J31" s="385">
        <f>J29/J30</f>
        <v>0.30056700236239925</v>
      </c>
      <c r="K31" s="367"/>
      <c r="L31" s="4"/>
    </row>
    <row r="32" spans="1:12">
      <c r="A32" s="402" t="s">
        <v>449</v>
      </c>
      <c r="B32" s="354" t="s">
        <v>378</v>
      </c>
      <c r="C32" s="374">
        <f>C27</f>
        <v>378326.54427023319</v>
      </c>
      <c r="D32" s="374">
        <f>D27</f>
        <v>381000</v>
      </c>
      <c r="E32" s="374">
        <f>E27</f>
        <v>338388.97868490184</v>
      </c>
      <c r="F32" s="374">
        <f>F27</f>
        <v>297470.77450579114</v>
      </c>
      <c r="G32" s="374">
        <f>G27</f>
        <v>0</v>
      </c>
      <c r="H32" s="366">
        <f>SUM(C32:G32)</f>
        <v>1395186.2974609262</v>
      </c>
      <c r="I32" s="374">
        <f>I27</f>
        <v>0</v>
      </c>
      <c r="J32" s="383">
        <f>J27</f>
        <v>2372675.7922674129</v>
      </c>
      <c r="K32" s="367"/>
      <c r="L32" s="4"/>
    </row>
    <row r="33" spans="1:12">
      <c r="A33" s="99"/>
      <c r="B33" s="354" t="s">
        <v>384</v>
      </c>
      <c r="C33" s="374">
        <f>C30-C32-C34</f>
        <v>263585.2557297668</v>
      </c>
      <c r="D33" s="374">
        <f>D30-D32-D34</f>
        <v>58701.599999999977</v>
      </c>
      <c r="E33" s="374">
        <f>E30-E32-E34</f>
        <v>-59288.678684901912</v>
      </c>
      <c r="F33" s="374">
        <f>F30-F32-F34</f>
        <v>55835.125494208653</v>
      </c>
      <c r="G33" s="374">
        <f>G30-G32-G34</f>
        <v>123895.58799999999</v>
      </c>
      <c r="H33" s="366">
        <f>SUM(C33:G33)</f>
        <v>442728.8905390735</v>
      </c>
      <c r="I33" s="374">
        <f>I30-I32-I34</f>
        <v>29997030.599999998</v>
      </c>
      <c r="J33" s="383">
        <f>J28*0.5</f>
        <v>2711462.8</v>
      </c>
      <c r="K33" s="367"/>
      <c r="L33" s="4"/>
    </row>
    <row r="34" spans="1:12">
      <c r="A34" s="99"/>
      <c r="B34" s="354" t="s">
        <v>385</v>
      </c>
      <c r="C34" s="357">
        <f>C30*C35</f>
        <v>1497794.2</v>
      </c>
      <c r="D34" s="357">
        <f>D30*D35</f>
        <v>659552.4</v>
      </c>
      <c r="E34" s="357">
        <f>E30*E35</f>
        <v>2511902.7000000002</v>
      </c>
      <c r="F34" s="357">
        <f>F30*F35</f>
        <v>3179753.1</v>
      </c>
      <c r="G34" s="357">
        <f>G30*G35</f>
        <v>38271.412000000004</v>
      </c>
      <c r="H34" s="366">
        <f>SUM(C34:G34)</f>
        <v>7887273.8119999999</v>
      </c>
      <c r="I34" s="357">
        <f>I30*I35</f>
        <v>19998020.400000002</v>
      </c>
      <c r="J34" s="383">
        <f>J30-J33-J32</f>
        <v>6061462.7999999998</v>
      </c>
      <c r="K34" s="387">
        <f>H34+I34+J34</f>
        <v>33946757.012000002</v>
      </c>
      <c r="L34" s="4"/>
    </row>
    <row r="35" spans="1:12">
      <c r="A35" s="99"/>
      <c r="B35" s="354" t="s">
        <v>425</v>
      </c>
      <c r="C35" s="375">
        <v>0.7</v>
      </c>
      <c r="D35" s="375">
        <v>0.6</v>
      </c>
      <c r="E35" s="375">
        <v>0.9</v>
      </c>
      <c r="F35" s="375">
        <v>0.9</v>
      </c>
      <c r="G35" s="375">
        <f>G31</f>
        <v>0.23600000000000002</v>
      </c>
      <c r="H35" s="375">
        <f>H34/H30</f>
        <v>0.81101496454207722</v>
      </c>
      <c r="I35" s="375">
        <v>0.4</v>
      </c>
      <c r="J35" s="386">
        <f>J34/J30</f>
        <v>0.54384349364990903</v>
      </c>
      <c r="K35" s="367"/>
      <c r="L35" s="4"/>
    </row>
    <row r="36" spans="1:12">
      <c r="A36" s="99"/>
      <c r="B36" s="99"/>
      <c r="C36" s="99"/>
      <c r="D36" s="99"/>
      <c r="E36" s="99"/>
      <c r="F36" s="4"/>
      <c r="G36" s="4"/>
      <c r="H36" s="4"/>
      <c r="I36" s="4"/>
      <c r="J36" s="4"/>
      <c r="K36" s="4"/>
      <c r="L36" s="4"/>
    </row>
    <row r="37" spans="1:12">
      <c r="A37" s="360" t="s">
        <v>448</v>
      </c>
      <c r="B37" s="377" t="s">
        <v>217</v>
      </c>
      <c r="C37" s="381" t="s">
        <v>426</v>
      </c>
      <c r="D37" s="377" t="s">
        <v>427</v>
      </c>
      <c r="E37" s="354" t="s">
        <v>429</v>
      </c>
      <c r="F37" s="377" t="s">
        <v>225</v>
      </c>
      <c r="G37" s="367"/>
      <c r="H37" s="4"/>
      <c r="I37" s="4"/>
      <c r="J37" s="4"/>
      <c r="K37" s="4"/>
      <c r="L37" s="4"/>
    </row>
    <row r="38" spans="1:12">
      <c r="A38" s="4"/>
      <c r="B38" s="377">
        <v>2017</v>
      </c>
      <c r="C38" s="378">
        <f>'Recycling - Case 1'!N66</f>
        <v>11144031.473749338</v>
      </c>
      <c r="D38" s="374">
        <f>K29</f>
        <v>13000398.556</v>
      </c>
      <c r="E38" s="343">
        <f>'Recycling - Case 1'!F56</f>
        <v>0</v>
      </c>
      <c r="F38" s="378">
        <f>SUM(C38:E38)</f>
        <v>24144430.029749338</v>
      </c>
      <c r="G38" s="367" t="s">
        <v>437</v>
      </c>
      <c r="H38" s="4"/>
      <c r="I38" s="4"/>
      <c r="J38" s="4"/>
      <c r="K38" s="4"/>
      <c r="L38" s="4"/>
    </row>
    <row r="39" spans="1:12">
      <c r="A39" s="4"/>
      <c r="B39" s="377" t="s">
        <v>430</v>
      </c>
      <c r="C39" s="374">
        <f>F39-D39-E39</f>
        <v>-9802326.9822506644</v>
      </c>
      <c r="D39" s="374">
        <f>K34</f>
        <v>33946757.012000002</v>
      </c>
      <c r="E39" s="374">
        <f>E38</f>
        <v>0</v>
      </c>
      <c r="F39" s="378">
        <f>F38</f>
        <v>24144430.029749338</v>
      </c>
      <c r="G39" s="367" t="s">
        <v>437</v>
      </c>
      <c r="H39" s="4"/>
      <c r="I39" s="4"/>
      <c r="J39" s="4"/>
      <c r="K39" s="4"/>
      <c r="L39" s="4"/>
    </row>
    <row r="40" spans="1:12">
      <c r="A40" s="4"/>
      <c r="B40" s="377" t="s">
        <v>431</v>
      </c>
      <c r="C40" s="368">
        <f>C39/C38</f>
        <v>-0.87960331100471434</v>
      </c>
      <c r="D40" s="367"/>
      <c r="E40" s="367"/>
      <c r="F40" s="367"/>
      <c r="G40" s="367"/>
      <c r="H40" s="4"/>
      <c r="I40" s="4"/>
      <c r="J40" s="4"/>
      <c r="K40" s="4"/>
      <c r="L40" s="4"/>
    </row>
    <row r="41" spans="1:12">
      <c r="A41" s="4"/>
      <c r="B41" s="377" t="s">
        <v>432</v>
      </c>
      <c r="C41" s="379">
        <f>C38*0.5</f>
        <v>5572015.7368746689</v>
      </c>
      <c r="D41" s="367"/>
      <c r="E41" s="367"/>
      <c r="F41" s="367"/>
      <c r="G41" s="367"/>
      <c r="H41" s="4"/>
      <c r="I41" s="4"/>
      <c r="J41" s="4"/>
      <c r="K41" s="4"/>
      <c r="L41" s="4"/>
    </row>
    <row r="42" spans="1:12">
      <c r="A42" s="4"/>
      <c r="B42" s="377" t="s">
        <v>433</v>
      </c>
      <c r="C42" s="379">
        <f>C39-C41</f>
        <v>-15374342.719125334</v>
      </c>
      <c r="D42" s="367" t="s">
        <v>434</v>
      </c>
      <c r="E42" s="367"/>
      <c r="F42" s="367"/>
      <c r="G42" s="367"/>
      <c r="H42" s="4"/>
      <c r="I42" s="4"/>
      <c r="J42" s="4"/>
      <c r="K42" s="4"/>
      <c r="L42" s="4"/>
    </row>
    <row r="43" spans="1:12">
      <c r="A43" s="4"/>
      <c r="B43" s="377" t="s">
        <v>435</v>
      </c>
      <c r="C43" s="375">
        <f>(C42/F39)</f>
        <v>-0.63676561012962318</v>
      </c>
      <c r="D43" s="367"/>
      <c r="E43" s="367"/>
      <c r="F43" s="367"/>
      <c r="G43" s="367"/>
      <c r="H43" s="4"/>
      <c r="I43" s="4"/>
      <c r="J43" s="4"/>
      <c r="K43" s="4"/>
      <c r="L43" s="4"/>
    </row>
    <row r="44" spans="1:12">
      <c r="A44" s="4"/>
      <c r="B44" s="377" t="s">
        <v>436</v>
      </c>
      <c r="C44" s="380">
        <f>F44-D44-E44</f>
        <v>5572015.7368746698</v>
      </c>
      <c r="D44" s="374">
        <f>D39</f>
        <v>33946757.012000002</v>
      </c>
      <c r="E44" s="374">
        <f>E39</f>
        <v>0</v>
      </c>
      <c r="F44" s="379">
        <f>(1-C43)*F39</f>
        <v>39518772.748874672</v>
      </c>
      <c r="G44" s="367"/>
      <c r="H44" s="4"/>
      <c r="I44" s="4"/>
      <c r="J44" s="4"/>
      <c r="K44" s="4"/>
      <c r="L44" s="4"/>
    </row>
    <row r="45" spans="1:12">
      <c r="A45" s="4"/>
      <c r="B45" s="4"/>
      <c r="C45" s="4"/>
      <c r="D45" s="4"/>
      <c r="E45" s="4"/>
      <c r="F45" s="4"/>
      <c r="G45" s="4"/>
      <c r="H45" s="4"/>
      <c r="I45" s="4"/>
      <c r="J45" s="4"/>
      <c r="K45" s="4"/>
      <c r="L45" s="4"/>
    </row>
    <row r="46" spans="1:12">
      <c r="A46" s="388" t="s">
        <v>438</v>
      </c>
      <c r="B46" s="389" t="s">
        <v>217</v>
      </c>
      <c r="C46" s="390" t="s">
        <v>368</v>
      </c>
      <c r="D46" s="390" t="s">
        <v>369</v>
      </c>
      <c r="E46" s="390" t="s">
        <v>370</v>
      </c>
      <c r="F46" s="390" t="s">
        <v>399</v>
      </c>
      <c r="G46" s="390" t="s">
        <v>371</v>
      </c>
      <c r="H46" s="390" t="s">
        <v>303</v>
      </c>
      <c r="I46" s="382"/>
      <c r="J46" s="4"/>
      <c r="K46" s="4"/>
      <c r="L46" s="4"/>
    </row>
    <row r="47" spans="1:12">
      <c r="A47" s="391"/>
      <c r="B47" s="389">
        <v>2017</v>
      </c>
      <c r="C47" s="392">
        <f>'Waste Summary 2017 SASOW'!K19</f>
        <v>77080</v>
      </c>
      <c r="D47" s="392">
        <f>'Waste Summary 2017 SASOW'!L19</f>
        <v>73189049.783000007</v>
      </c>
      <c r="E47" s="392">
        <f>'Waste Summary 2017 SASOW'!M19</f>
        <v>0</v>
      </c>
      <c r="F47" s="392">
        <f>'Waste Summary 2017 SASOW'!N19</f>
        <v>374069.36461538461</v>
      </c>
      <c r="G47" s="392">
        <f>'Waste Summary 2017 SASOW'!O19</f>
        <v>12255954.237</v>
      </c>
      <c r="H47" s="392">
        <f>SUM(C47:G47)</f>
        <v>85896153.384615391</v>
      </c>
      <c r="I47" s="4"/>
      <c r="J47" s="4"/>
      <c r="K47" s="4"/>
      <c r="L47" s="4"/>
    </row>
    <row r="48" spans="1:12">
      <c r="A48" s="391"/>
      <c r="B48" s="389" t="s">
        <v>444</v>
      </c>
      <c r="C48" s="392">
        <f>C47</f>
        <v>77080</v>
      </c>
      <c r="D48" s="392">
        <f>H47-G48-F48-E48-C48</f>
        <v>52242691.327</v>
      </c>
      <c r="E48" s="392">
        <f>E47</f>
        <v>0</v>
      </c>
      <c r="F48" s="392">
        <f>F47</f>
        <v>374069.36461538461</v>
      </c>
      <c r="G48" s="392">
        <f>G47+(D39-D38)</f>
        <v>33202312.693</v>
      </c>
      <c r="H48" s="392">
        <f>SUM(C48:G48)</f>
        <v>85896153.384615391</v>
      </c>
      <c r="I48" s="4"/>
      <c r="J48" s="4"/>
      <c r="K48" s="4"/>
      <c r="L48" s="4"/>
    </row>
    <row r="49" spans="1:12">
      <c r="A49" s="391"/>
      <c r="B49" s="389" t="s">
        <v>431</v>
      </c>
      <c r="C49" s="393"/>
      <c r="D49" s="393">
        <f>D48/D47</f>
        <v>0.71380474923360293</v>
      </c>
      <c r="E49" s="394"/>
      <c r="F49" s="394"/>
      <c r="G49" s="394"/>
      <c r="H49" s="394"/>
      <c r="I49" s="4"/>
      <c r="J49" s="4"/>
      <c r="K49" s="4"/>
      <c r="L49" s="4"/>
    </row>
    <row r="50" spans="1:12">
      <c r="A50" s="391"/>
      <c r="B50" s="395" t="s">
        <v>432</v>
      </c>
      <c r="C50" s="396"/>
      <c r="D50" s="397">
        <f>D47*0.5</f>
        <v>36594524.891500004</v>
      </c>
      <c r="E50" s="398"/>
      <c r="F50" s="394"/>
      <c r="G50" s="394"/>
      <c r="H50" s="394"/>
      <c r="I50" s="4"/>
      <c r="J50" s="4"/>
      <c r="K50" s="4"/>
      <c r="L50" s="4"/>
    </row>
    <row r="51" spans="1:12">
      <c r="A51" s="391"/>
      <c r="B51" s="395" t="s">
        <v>433</v>
      </c>
      <c r="C51" s="396"/>
      <c r="D51" s="396">
        <f>D48-D50</f>
        <v>15648166.435499996</v>
      </c>
      <c r="E51" s="398" t="s">
        <v>439</v>
      </c>
      <c r="F51" s="394"/>
      <c r="G51" s="394"/>
      <c r="H51" s="394"/>
      <c r="I51" s="4"/>
      <c r="J51" s="4"/>
      <c r="K51" s="4"/>
      <c r="L51" s="4"/>
    </row>
    <row r="52" spans="1:12">
      <c r="A52" s="391"/>
      <c r="B52" s="389" t="s">
        <v>435</v>
      </c>
      <c r="C52" s="399"/>
      <c r="D52" s="399">
        <f>(D51/H48)</f>
        <v>0.18217540389070197</v>
      </c>
      <c r="E52" s="394"/>
      <c r="F52" s="394"/>
      <c r="G52" s="394"/>
      <c r="H52" s="394"/>
      <c r="I52" s="4"/>
      <c r="J52" s="4"/>
      <c r="K52" s="4"/>
      <c r="L52" s="4"/>
    </row>
    <row r="53" spans="1:12">
      <c r="A53" s="391"/>
      <c r="B53" s="389" t="s">
        <v>445</v>
      </c>
      <c r="C53" s="400">
        <f>C48</f>
        <v>77080</v>
      </c>
      <c r="D53" s="400">
        <f>H53-E53-F53-C53-G53</f>
        <v>36594524.891500011</v>
      </c>
      <c r="E53" s="392">
        <f>E48</f>
        <v>0</v>
      </c>
      <c r="F53" s="400">
        <f>(1-C52)*F48</f>
        <v>374069.36461538461</v>
      </c>
      <c r="G53" s="392">
        <f>G48</f>
        <v>33202312.693</v>
      </c>
      <c r="H53" s="400">
        <f>(1-D52)*H48</f>
        <v>70247986.949115396</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28.8">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28.8">
      <c r="B65" s="134" t="s">
        <v>186</v>
      </c>
      <c r="C65" s="8"/>
      <c r="D65" s="528" t="s">
        <v>221</v>
      </c>
      <c r="E65" s="528" t="s">
        <v>85</v>
      </c>
      <c r="F65" s="528" t="s">
        <v>87</v>
      </c>
      <c r="G65" s="528" t="s">
        <v>222</v>
      </c>
      <c r="H65" s="528" t="s">
        <v>115</v>
      </c>
      <c r="I65" s="528" t="s">
        <v>223</v>
      </c>
      <c r="J65" s="529" t="s">
        <v>224</v>
      </c>
    </row>
    <row r="66" spans="2:16">
      <c r="B66" s="526"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7">
        <f>'MSW characteristics'!H44*'MSW characteristics'!H47*'MSW characteristics'!H48</f>
        <v>2.7E-2</v>
      </c>
      <c r="K66" s="136"/>
      <c r="L66" s="136"/>
      <c r="M66" s="136"/>
      <c r="N66" s="136"/>
      <c r="O66" s="136"/>
      <c r="P66" s="136"/>
    </row>
    <row r="67" spans="2:16" ht="1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884" t="s">
        <v>184</v>
      </c>
      <c r="H71" s="104"/>
      <c r="I71" s="104"/>
      <c r="J71" s="130"/>
    </row>
    <row r="72" spans="2:16">
      <c r="B72" s="127" t="s">
        <v>180</v>
      </c>
      <c r="C72" s="104" t="s">
        <v>179</v>
      </c>
      <c r="D72" s="104">
        <v>2</v>
      </c>
      <c r="E72" s="104">
        <v>0.8</v>
      </c>
      <c r="F72" s="104"/>
      <c r="G72" s="1884"/>
      <c r="H72" s="104"/>
      <c r="I72" s="104"/>
      <c r="J72" s="130"/>
    </row>
    <row r="73" spans="2:16">
      <c r="B73" s="157" t="s">
        <v>181</v>
      </c>
      <c r="C73" s="104"/>
      <c r="D73" s="104"/>
      <c r="E73" s="104"/>
      <c r="F73" s="104"/>
      <c r="G73" s="1884"/>
      <c r="H73" s="104"/>
      <c r="I73" s="104"/>
      <c r="J73" s="130"/>
    </row>
    <row r="74" spans="2:16">
      <c r="B74" s="127" t="s">
        <v>176</v>
      </c>
      <c r="C74" s="104" t="s">
        <v>183</v>
      </c>
      <c r="D74" s="104">
        <v>0.6</v>
      </c>
      <c r="E74" s="104">
        <v>0.24</v>
      </c>
      <c r="F74" s="104"/>
      <c r="G74" s="1884"/>
      <c r="H74" s="104"/>
      <c r="I74" s="104"/>
      <c r="J74" s="130"/>
    </row>
    <row r="75" spans="2:16">
      <c r="B75" s="127" t="s">
        <v>180</v>
      </c>
      <c r="C75" s="104" t="s">
        <v>183</v>
      </c>
      <c r="D75" s="169" t="s">
        <v>182</v>
      </c>
      <c r="E75" s="169" t="s">
        <v>182</v>
      </c>
      <c r="F75" s="104"/>
      <c r="G75" s="1884"/>
      <c r="H75" s="104"/>
      <c r="I75" s="104"/>
      <c r="J75" s="130"/>
    </row>
    <row r="76" spans="2:16" ht="1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6">
      <c r="B81" s="646" t="s">
        <v>206</v>
      </c>
      <c r="C81" s="648" t="s">
        <v>613</v>
      </c>
      <c r="D81" s="647"/>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00000000000006"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 thickBot="1">
      <c r="B103" s="201"/>
      <c r="C103" s="155"/>
      <c r="D103" s="155"/>
      <c r="E103" s="155"/>
      <c r="F103" s="153"/>
      <c r="G103" s="154"/>
      <c r="H103" s="162"/>
      <c r="I103" s="162"/>
      <c r="J103" s="140"/>
    </row>
    <row r="104" spans="2:20">
      <c r="B104" s="649" t="s">
        <v>599</v>
      </c>
      <c r="C104" s="107"/>
      <c r="D104" s="107"/>
      <c r="E104" s="107"/>
      <c r="F104" s="108"/>
      <c r="G104" s="111"/>
      <c r="H104" s="99"/>
      <c r="I104" s="99"/>
    </row>
    <row r="105" spans="2:20" ht="15.6">
      <c r="C105" s="112" t="s">
        <v>261</v>
      </c>
      <c r="Q105" s="1885" t="s">
        <v>262</v>
      </c>
      <c r="R105" s="1885"/>
      <c r="S105" s="1885"/>
      <c r="T105" s="1885"/>
    </row>
    <row r="107" spans="2:20">
      <c r="C107" t="s">
        <v>263</v>
      </c>
    </row>
    <row r="108" spans="2:20">
      <c r="C108" t="s">
        <v>264</v>
      </c>
    </row>
    <row r="109" spans="2:20">
      <c r="C109" t="s">
        <v>265</v>
      </c>
    </row>
    <row r="110" spans="2:20">
      <c r="C110" t="s">
        <v>266</v>
      </c>
    </row>
    <row r="111" spans="2:20" ht="15" thickBot="1"/>
    <row r="112" spans="2:20" ht="15" thickBot="1">
      <c r="B112" s="4"/>
      <c r="C112" s="1886" t="s">
        <v>267</v>
      </c>
      <c r="D112" s="1887"/>
      <c r="E112" s="1887"/>
      <c r="F112" s="1887"/>
      <c r="G112" s="1887"/>
      <c r="H112" s="1888"/>
      <c r="I112" s="1886" t="s">
        <v>268</v>
      </c>
      <c r="J112" s="1887"/>
      <c r="K112" s="1887"/>
      <c r="L112" s="1887"/>
      <c r="M112" s="1887"/>
      <c r="N112" s="1888"/>
      <c r="O112" s="4"/>
      <c r="R112" s="305" t="s">
        <v>267</v>
      </c>
      <c r="S112" s="306" t="s">
        <v>268</v>
      </c>
    </row>
    <row r="113" spans="2:20" ht="39.6">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889" t="s">
        <v>276</v>
      </c>
      <c r="S113" s="1889" t="s">
        <v>277</v>
      </c>
      <c r="T113" s="113"/>
    </row>
    <row r="114" spans="2:20" ht="1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890"/>
      <c r="S114" s="1890"/>
      <c r="T114" s="5"/>
    </row>
    <row r="115" spans="2:20" ht="1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890"/>
      <c r="S115" s="1890"/>
      <c r="T115" s="5"/>
    </row>
    <row r="116" spans="2:20" ht="1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890"/>
      <c r="S116" s="1890"/>
      <c r="T116" s="5"/>
    </row>
    <row r="117" spans="2:20" ht="15" thickBot="1">
      <c r="B117" s="267"/>
      <c r="C117" s="267"/>
      <c r="D117" s="268"/>
      <c r="E117" s="268"/>
      <c r="F117" s="268"/>
      <c r="G117" s="268"/>
      <c r="H117" s="269"/>
      <c r="I117" s="267"/>
      <c r="J117" s="268"/>
      <c r="K117" s="268"/>
      <c r="L117" s="268"/>
      <c r="M117" s="268"/>
      <c r="N117" s="269"/>
      <c r="O117" s="270"/>
      <c r="P117" s="5"/>
      <c r="Q117" s="5"/>
      <c r="R117" s="1890"/>
      <c r="S117" s="1890"/>
      <c r="T117" s="5"/>
    </row>
    <row r="118" spans="2:20" ht="15" thickBot="1">
      <c r="B118" s="283"/>
      <c r="C118" s="1892" t="s">
        <v>280</v>
      </c>
      <c r="D118" s="1893"/>
      <c r="E118" s="1893"/>
      <c r="F118" s="1893"/>
      <c r="G118" s="1893"/>
      <c r="H118" s="1894"/>
      <c r="I118" s="1892" t="s">
        <v>280</v>
      </c>
      <c r="J118" s="1893"/>
      <c r="K118" s="1893"/>
      <c r="L118" s="1893"/>
      <c r="M118" s="1893"/>
      <c r="N118" s="1894"/>
      <c r="O118" s="284"/>
      <c r="P118" s="5"/>
      <c r="Q118" s="5"/>
      <c r="R118" s="1890"/>
      <c r="S118" s="1890"/>
      <c r="T118" s="5"/>
    </row>
    <row r="119" spans="2:20" ht="15" thickBot="1">
      <c r="B119" s="282" t="s">
        <v>281</v>
      </c>
      <c r="C119" s="271">
        <v>0</v>
      </c>
      <c r="D119" s="272">
        <v>0</v>
      </c>
      <c r="E119" s="272">
        <v>1</v>
      </c>
      <c r="F119" s="272">
        <v>0</v>
      </c>
      <c r="G119" s="272">
        <v>0</v>
      </c>
      <c r="H119" s="1895" t="s">
        <v>282</v>
      </c>
      <c r="I119" s="271">
        <v>0.2</v>
      </c>
      <c r="J119" s="272">
        <v>0.3</v>
      </c>
      <c r="K119" s="272">
        <v>0.25</v>
      </c>
      <c r="L119" s="272">
        <v>0.05</v>
      </c>
      <c r="M119" s="272">
        <v>0.2</v>
      </c>
      <c r="N119" s="1895" t="s">
        <v>282</v>
      </c>
      <c r="O119" s="285"/>
      <c r="P119" s="5"/>
      <c r="Q119" s="5"/>
      <c r="R119" s="1891"/>
      <c r="S119" s="1891"/>
      <c r="T119" s="5"/>
    </row>
    <row r="120" spans="2:20" ht="15" thickBot="1">
      <c r="B120" s="278" t="s">
        <v>217</v>
      </c>
      <c r="C120" s="932" t="s">
        <v>229</v>
      </c>
      <c r="D120" s="933" t="s">
        <v>229</v>
      </c>
      <c r="E120" s="933" t="s">
        <v>229</v>
      </c>
      <c r="F120" s="933" t="s">
        <v>229</v>
      </c>
      <c r="G120" s="933" t="s">
        <v>229</v>
      </c>
      <c r="H120" s="1896"/>
      <c r="I120" s="932" t="s">
        <v>229</v>
      </c>
      <c r="J120" s="933" t="s">
        <v>229</v>
      </c>
      <c r="K120" s="933" t="s">
        <v>229</v>
      </c>
      <c r="L120" s="933" t="s">
        <v>229</v>
      </c>
      <c r="M120" s="933" t="s">
        <v>229</v>
      </c>
      <c r="N120" s="1896"/>
      <c r="O120" s="281"/>
      <c r="P120" s="5"/>
      <c r="Q120" s="5"/>
      <c r="R120" s="939" t="s">
        <v>283</v>
      </c>
      <c r="S120" s="940" t="s">
        <v>283</v>
      </c>
      <c r="T120" s="5"/>
    </row>
    <row r="121" spans="2:20">
      <c r="B121" s="934">
        <f>year</f>
        <v>1950</v>
      </c>
      <c r="C121" s="850">
        <v>0</v>
      </c>
      <c r="D121" s="850">
        <v>0</v>
      </c>
      <c r="E121" s="850">
        <v>0.4</v>
      </c>
      <c r="F121" s="850">
        <v>0.3</v>
      </c>
      <c r="G121" s="850">
        <v>0.3</v>
      </c>
      <c r="H121" s="936">
        <f t="shared" ref="H121:H152" si="1">SUM(C121:G121)</f>
        <v>1</v>
      </c>
      <c r="I121" s="937">
        <v>0.2</v>
      </c>
      <c r="J121" s="938">
        <v>0.3</v>
      </c>
      <c r="K121" s="938">
        <v>0.25</v>
      </c>
      <c r="L121" s="938">
        <v>0.05</v>
      </c>
      <c r="M121" s="938">
        <v>0.2</v>
      </c>
      <c r="N121" s="935">
        <f t="shared" ref="N121:N152" si="2">SUM(I121:M121)</f>
        <v>1</v>
      </c>
      <c r="O121" s="902"/>
      <c r="P121" s="4"/>
      <c r="R121" s="928">
        <f t="shared" ref="R121:R152" si="3">C121*C$116+D121*D$116+E121*E$116+F121*F$116+G121*G$116</f>
        <v>0.73</v>
      </c>
      <c r="S121" s="929">
        <f t="shared" ref="S121:S152" si="4">I121*$I$116+J121*$J$116+K121*$K$116+L121*L$116+M121*$M$116</f>
        <v>0.71500000000000008</v>
      </c>
    </row>
    <row r="122" spans="2:20">
      <c r="B122" s="930">
        <f t="shared" ref="B122:B153" si="5">B121+1</f>
        <v>1951</v>
      </c>
      <c r="C122" s="685">
        <f t="shared" ref="C122:C153" si="6">C121</f>
        <v>0</v>
      </c>
      <c r="D122" s="685">
        <f t="shared" ref="D122:D153" si="7">D121</f>
        <v>0</v>
      </c>
      <c r="E122" s="685">
        <f t="shared" ref="E122:E153" si="8">E121</f>
        <v>0.4</v>
      </c>
      <c r="F122" s="685">
        <f t="shared" ref="F122:F153" si="9">F121</f>
        <v>0.3</v>
      </c>
      <c r="G122" s="685">
        <f t="shared" ref="G122:G153" si="10">G121</f>
        <v>0.3</v>
      </c>
      <c r="H122" s="640">
        <f t="shared" si="1"/>
        <v>1</v>
      </c>
      <c r="I122" s="924">
        <v>0.2</v>
      </c>
      <c r="J122" s="901">
        <v>0.3</v>
      </c>
      <c r="K122" s="901">
        <v>0.25</v>
      </c>
      <c r="L122" s="901">
        <v>0.05</v>
      </c>
      <c r="M122" s="901">
        <v>0.2</v>
      </c>
      <c r="N122" s="908">
        <f t="shared" si="2"/>
        <v>1</v>
      </c>
      <c r="O122" s="902"/>
      <c r="P122" s="4"/>
      <c r="R122" s="117">
        <f t="shared" si="3"/>
        <v>0.73</v>
      </c>
      <c r="S122" s="205">
        <f t="shared" si="4"/>
        <v>0.71500000000000008</v>
      </c>
    </row>
    <row r="123" spans="2:20">
      <c r="B123" s="930">
        <f t="shared" si="5"/>
        <v>1952</v>
      </c>
      <c r="C123" s="685">
        <f t="shared" si="6"/>
        <v>0</v>
      </c>
      <c r="D123" s="685">
        <f t="shared" si="7"/>
        <v>0</v>
      </c>
      <c r="E123" s="685">
        <f t="shared" si="8"/>
        <v>0.4</v>
      </c>
      <c r="F123" s="685">
        <f t="shared" si="9"/>
        <v>0.3</v>
      </c>
      <c r="G123" s="685">
        <f t="shared" si="10"/>
        <v>0.3</v>
      </c>
      <c r="H123" s="640">
        <f t="shared" si="1"/>
        <v>1</v>
      </c>
      <c r="I123" s="924">
        <v>0.2</v>
      </c>
      <c r="J123" s="901">
        <v>0.3</v>
      </c>
      <c r="K123" s="901">
        <v>0.25</v>
      </c>
      <c r="L123" s="901">
        <v>0.05</v>
      </c>
      <c r="M123" s="901">
        <v>0.2</v>
      </c>
      <c r="N123" s="908">
        <f t="shared" si="2"/>
        <v>1</v>
      </c>
      <c r="O123" s="902"/>
      <c r="P123" s="4"/>
      <c r="R123" s="117">
        <f t="shared" si="3"/>
        <v>0.73</v>
      </c>
      <c r="S123" s="205">
        <f t="shared" si="4"/>
        <v>0.71500000000000008</v>
      </c>
    </row>
    <row r="124" spans="2:20">
      <c r="B124" s="930">
        <f t="shared" si="5"/>
        <v>1953</v>
      </c>
      <c r="C124" s="685">
        <f t="shared" si="6"/>
        <v>0</v>
      </c>
      <c r="D124" s="685">
        <f t="shared" si="7"/>
        <v>0</v>
      </c>
      <c r="E124" s="685">
        <f t="shared" si="8"/>
        <v>0.4</v>
      </c>
      <c r="F124" s="685">
        <f t="shared" si="9"/>
        <v>0.3</v>
      </c>
      <c r="G124" s="685">
        <f t="shared" si="10"/>
        <v>0.3</v>
      </c>
      <c r="H124" s="640">
        <f t="shared" si="1"/>
        <v>1</v>
      </c>
      <c r="I124" s="924">
        <v>0.2</v>
      </c>
      <c r="J124" s="901">
        <v>0.3</v>
      </c>
      <c r="K124" s="901">
        <v>0.25</v>
      </c>
      <c r="L124" s="901">
        <v>0.05</v>
      </c>
      <c r="M124" s="901">
        <v>0.2</v>
      </c>
      <c r="N124" s="908">
        <f t="shared" si="2"/>
        <v>1</v>
      </c>
      <c r="O124" s="902"/>
      <c r="P124" s="4"/>
      <c r="R124" s="117">
        <f t="shared" si="3"/>
        <v>0.73</v>
      </c>
      <c r="S124" s="205">
        <f t="shared" si="4"/>
        <v>0.71500000000000008</v>
      </c>
    </row>
    <row r="125" spans="2:20">
      <c r="B125" s="930">
        <f t="shared" si="5"/>
        <v>1954</v>
      </c>
      <c r="C125" s="685">
        <f t="shared" si="6"/>
        <v>0</v>
      </c>
      <c r="D125" s="685">
        <f t="shared" si="7"/>
        <v>0</v>
      </c>
      <c r="E125" s="685">
        <f t="shared" si="8"/>
        <v>0.4</v>
      </c>
      <c r="F125" s="685">
        <f t="shared" si="9"/>
        <v>0.3</v>
      </c>
      <c r="G125" s="685">
        <f t="shared" si="10"/>
        <v>0.3</v>
      </c>
      <c r="H125" s="640">
        <f t="shared" si="1"/>
        <v>1</v>
      </c>
      <c r="I125" s="924">
        <v>0.2</v>
      </c>
      <c r="J125" s="901">
        <v>0.3</v>
      </c>
      <c r="K125" s="901">
        <v>0.25</v>
      </c>
      <c r="L125" s="901">
        <v>0.05</v>
      </c>
      <c r="M125" s="901">
        <v>0.2</v>
      </c>
      <c r="N125" s="908">
        <f t="shared" si="2"/>
        <v>1</v>
      </c>
      <c r="O125" s="902"/>
      <c r="P125" s="4"/>
      <c r="R125" s="117">
        <f t="shared" si="3"/>
        <v>0.73</v>
      </c>
      <c r="S125" s="205">
        <f t="shared" si="4"/>
        <v>0.71500000000000008</v>
      </c>
    </row>
    <row r="126" spans="2:20">
      <c r="B126" s="930">
        <f t="shared" si="5"/>
        <v>1955</v>
      </c>
      <c r="C126" s="685">
        <f t="shared" si="6"/>
        <v>0</v>
      </c>
      <c r="D126" s="685">
        <f t="shared" si="7"/>
        <v>0</v>
      </c>
      <c r="E126" s="685">
        <f t="shared" si="8"/>
        <v>0.4</v>
      </c>
      <c r="F126" s="685">
        <f t="shared" si="9"/>
        <v>0.3</v>
      </c>
      <c r="G126" s="685">
        <f t="shared" si="10"/>
        <v>0.3</v>
      </c>
      <c r="H126" s="640">
        <f t="shared" si="1"/>
        <v>1</v>
      </c>
      <c r="I126" s="924">
        <v>0.2</v>
      </c>
      <c r="J126" s="901">
        <v>0.3</v>
      </c>
      <c r="K126" s="901">
        <v>0.25</v>
      </c>
      <c r="L126" s="901">
        <v>0.05</v>
      </c>
      <c r="M126" s="901">
        <v>0.2</v>
      </c>
      <c r="N126" s="908">
        <f t="shared" si="2"/>
        <v>1</v>
      </c>
      <c r="O126" s="902"/>
      <c r="P126" s="4"/>
      <c r="R126" s="117">
        <f t="shared" si="3"/>
        <v>0.73</v>
      </c>
      <c r="S126" s="205">
        <f t="shared" si="4"/>
        <v>0.71500000000000008</v>
      </c>
    </row>
    <row r="127" spans="2:20">
      <c r="B127" s="930">
        <f t="shared" si="5"/>
        <v>1956</v>
      </c>
      <c r="C127" s="685">
        <f t="shared" si="6"/>
        <v>0</v>
      </c>
      <c r="D127" s="685">
        <f t="shared" si="7"/>
        <v>0</v>
      </c>
      <c r="E127" s="685">
        <f t="shared" si="8"/>
        <v>0.4</v>
      </c>
      <c r="F127" s="685">
        <f t="shared" si="9"/>
        <v>0.3</v>
      </c>
      <c r="G127" s="685">
        <f t="shared" si="10"/>
        <v>0.3</v>
      </c>
      <c r="H127" s="640">
        <f t="shared" si="1"/>
        <v>1</v>
      </c>
      <c r="I127" s="924">
        <v>0.2</v>
      </c>
      <c r="J127" s="901">
        <v>0.3</v>
      </c>
      <c r="K127" s="901">
        <v>0.25</v>
      </c>
      <c r="L127" s="901">
        <v>0.05</v>
      </c>
      <c r="M127" s="901">
        <v>0.2</v>
      </c>
      <c r="N127" s="908">
        <f t="shared" si="2"/>
        <v>1</v>
      </c>
      <c r="O127" s="902"/>
      <c r="P127" s="4"/>
      <c r="R127" s="117">
        <f t="shared" si="3"/>
        <v>0.73</v>
      </c>
      <c r="S127" s="205">
        <f t="shared" si="4"/>
        <v>0.71500000000000008</v>
      </c>
    </row>
    <row r="128" spans="2:20">
      <c r="B128" s="930">
        <f t="shared" si="5"/>
        <v>1957</v>
      </c>
      <c r="C128" s="685">
        <f t="shared" si="6"/>
        <v>0</v>
      </c>
      <c r="D128" s="685">
        <f t="shared" si="7"/>
        <v>0</v>
      </c>
      <c r="E128" s="685">
        <f t="shared" si="8"/>
        <v>0.4</v>
      </c>
      <c r="F128" s="685">
        <f t="shared" si="9"/>
        <v>0.3</v>
      </c>
      <c r="G128" s="685">
        <f t="shared" si="10"/>
        <v>0.3</v>
      </c>
      <c r="H128" s="640">
        <f t="shared" si="1"/>
        <v>1</v>
      </c>
      <c r="I128" s="924">
        <v>0.2</v>
      </c>
      <c r="J128" s="901">
        <v>0.3</v>
      </c>
      <c r="K128" s="901">
        <v>0.25</v>
      </c>
      <c r="L128" s="901">
        <v>0.05</v>
      </c>
      <c r="M128" s="901">
        <v>0.2</v>
      </c>
      <c r="N128" s="908">
        <f t="shared" si="2"/>
        <v>1</v>
      </c>
      <c r="O128" s="902"/>
      <c r="P128" s="4"/>
      <c r="R128" s="117">
        <f t="shared" si="3"/>
        <v>0.73</v>
      </c>
      <c r="S128" s="205">
        <f t="shared" si="4"/>
        <v>0.71500000000000008</v>
      </c>
    </row>
    <row r="129" spans="2:19">
      <c r="B129" s="930">
        <f t="shared" si="5"/>
        <v>1958</v>
      </c>
      <c r="C129" s="685">
        <f t="shared" si="6"/>
        <v>0</v>
      </c>
      <c r="D129" s="685">
        <f t="shared" si="7"/>
        <v>0</v>
      </c>
      <c r="E129" s="685">
        <f t="shared" si="8"/>
        <v>0.4</v>
      </c>
      <c r="F129" s="685">
        <f t="shared" si="9"/>
        <v>0.3</v>
      </c>
      <c r="G129" s="685">
        <f t="shared" si="10"/>
        <v>0.3</v>
      </c>
      <c r="H129" s="640">
        <f t="shared" si="1"/>
        <v>1</v>
      </c>
      <c r="I129" s="924">
        <v>0.2</v>
      </c>
      <c r="J129" s="901">
        <v>0.3</v>
      </c>
      <c r="K129" s="901">
        <v>0.25</v>
      </c>
      <c r="L129" s="901">
        <v>0.05</v>
      </c>
      <c r="M129" s="901">
        <v>0.2</v>
      </c>
      <c r="N129" s="908">
        <f t="shared" si="2"/>
        <v>1</v>
      </c>
      <c r="O129" s="902"/>
      <c r="P129" s="4"/>
      <c r="R129" s="117">
        <f t="shared" si="3"/>
        <v>0.73</v>
      </c>
      <c r="S129" s="205">
        <f t="shared" si="4"/>
        <v>0.71500000000000008</v>
      </c>
    </row>
    <row r="130" spans="2:19">
      <c r="B130" s="930">
        <f t="shared" si="5"/>
        <v>1959</v>
      </c>
      <c r="C130" s="685">
        <f t="shared" si="6"/>
        <v>0</v>
      </c>
      <c r="D130" s="685">
        <f t="shared" si="7"/>
        <v>0</v>
      </c>
      <c r="E130" s="685">
        <f t="shared" si="8"/>
        <v>0.4</v>
      </c>
      <c r="F130" s="685">
        <f t="shared" si="9"/>
        <v>0.3</v>
      </c>
      <c r="G130" s="685">
        <f t="shared" si="10"/>
        <v>0.3</v>
      </c>
      <c r="H130" s="640">
        <f t="shared" si="1"/>
        <v>1</v>
      </c>
      <c r="I130" s="924">
        <v>0.2</v>
      </c>
      <c r="J130" s="901">
        <v>0.3</v>
      </c>
      <c r="K130" s="901">
        <v>0.25</v>
      </c>
      <c r="L130" s="901">
        <v>0.05</v>
      </c>
      <c r="M130" s="901">
        <v>0.2</v>
      </c>
      <c r="N130" s="908">
        <f t="shared" si="2"/>
        <v>1</v>
      </c>
      <c r="O130" s="902"/>
      <c r="P130" s="4"/>
      <c r="R130" s="117">
        <f t="shared" si="3"/>
        <v>0.73</v>
      </c>
      <c r="S130" s="205">
        <f t="shared" si="4"/>
        <v>0.71500000000000008</v>
      </c>
    </row>
    <row r="131" spans="2:19">
      <c r="B131" s="930">
        <f t="shared" si="5"/>
        <v>1960</v>
      </c>
      <c r="C131" s="685">
        <f t="shared" si="6"/>
        <v>0</v>
      </c>
      <c r="D131" s="685">
        <f t="shared" si="7"/>
        <v>0</v>
      </c>
      <c r="E131" s="685">
        <f t="shared" si="8"/>
        <v>0.4</v>
      </c>
      <c r="F131" s="685">
        <f t="shared" si="9"/>
        <v>0.3</v>
      </c>
      <c r="G131" s="685">
        <f t="shared" si="10"/>
        <v>0.3</v>
      </c>
      <c r="H131" s="640">
        <f t="shared" si="1"/>
        <v>1</v>
      </c>
      <c r="I131" s="924">
        <v>0.2</v>
      </c>
      <c r="J131" s="901">
        <v>0.3</v>
      </c>
      <c r="K131" s="901">
        <v>0.25</v>
      </c>
      <c r="L131" s="901">
        <v>0.05</v>
      </c>
      <c r="M131" s="901">
        <v>0.2</v>
      </c>
      <c r="N131" s="908">
        <f t="shared" si="2"/>
        <v>1</v>
      </c>
      <c r="O131" s="902"/>
      <c r="P131" s="4"/>
      <c r="R131" s="117">
        <f t="shared" si="3"/>
        <v>0.73</v>
      </c>
      <c r="S131" s="205">
        <f t="shared" si="4"/>
        <v>0.71500000000000008</v>
      </c>
    </row>
    <row r="132" spans="2:19">
      <c r="B132" s="930">
        <f t="shared" si="5"/>
        <v>1961</v>
      </c>
      <c r="C132" s="685">
        <f t="shared" si="6"/>
        <v>0</v>
      </c>
      <c r="D132" s="685">
        <f t="shared" si="7"/>
        <v>0</v>
      </c>
      <c r="E132" s="685">
        <f t="shared" si="8"/>
        <v>0.4</v>
      </c>
      <c r="F132" s="685">
        <f t="shared" si="9"/>
        <v>0.3</v>
      </c>
      <c r="G132" s="685">
        <f t="shared" si="10"/>
        <v>0.3</v>
      </c>
      <c r="H132" s="640">
        <f t="shared" si="1"/>
        <v>1</v>
      </c>
      <c r="I132" s="924">
        <v>0.2</v>
      </c>
      <c r="J132" s="901">
        <v>0.3</v>
      </c>
      <c r="K132" s="901">
        <v>0.25</v>
      </c>
      <c r="L132" s="901">
        <v>0.05</v>
      </c>
      <c r="M132" s="901">
        <v>0.2</v>
      </c>
      <c r="N132" s="908">
        <f t="shared" si="2"/>
        <v>1</v>
      </c>
      <c r="O132" s="902"/>
      <c r="P132" s="4"/>
      <c r="R132" s="117">
        <f t="shared" si="3"/>
        <v>0.73</v>
      </c>
      <c r="S132" s="205">
        <f t="shared" si="4"/>
        <v>0.71500000000000008</v>
      </c>
    </row>
    <row r="133" spans="2:19">
      <c r="B133" s="930">
        <f t="shared" si="5"/>
        <v>1962</v>
      </c>
      <c r="C133" s="685">
        <f t="shared" si="6"/>
        <v>0</v>
      </c>
      <c r="D133" s="685">
        <f t="shared" si="7"/>
        <v>0</v>
      </c>
      <c r="E133" s="685">
        <f t="shared" si="8"/>
        <v>0.4</v>
      </c>
      <c r="F133" s="685">
        <f t="shared" si="9"/>
        <v>0.3</v>
      </c>
      <c r="G133" s="685">
        <f t="shared" si="10"/>
        <v>0.3</v>
      </c>
      <c r="H133" s="640">
        <f t="shared" si="1"/>
        <v>1</v>
      </c>
      <c r="I133" s="924">
        <v>0.2</v>
      </c>
      <c r="J133" s="901">
        <v>0.3</v>
      </c>
      <c r="K133" s="901">
        <v>0.25</v>
      </c>
      <c r="L133" s="901">
        <v>0.05</v>
      </c>
      <c r="M133" s="901">
        <v>0.2</v>
      </c>
      <c r="N133" s="908">
        <f t="shared" si="2"/>
        <v>1</v>
      </c>
      <c r="O133" s="902"/>
      <c r="P133" s="4"/>
      <c r="R133" s="117">
        <f t="shared" si="3"/>
        <v>0.73</v>
      </c>
      <c r="S133" s="205">
        <f t="shared" si="4"/>
        <v>0.71500000000000008</v>
      </c>
    </row>
    <row r="134" spans="2:19">
      <c r="B134" s="930">
        <f t="shared" si="5"/>
        <v>1963</v>
      </c>
      <c r="C134" s="685">
        <f t="shared" si="6"/>
        <v>0</v>
      </c>
      <c r="D134" s="685">
        <f t="shared" si="7"/>
        <v>0</v>
      </c>
      <c r="E134" s="685">
        <f t="shared" si="8"/>
        <v>0.4</v>
      </c>
      <c r="F134" s="685">
        <f t="shared" si="9"/>
        <v>0.3</v>
      </c>
      <c r="G134" s="685">
        <f t="shared" si="10"/>
        <v>0.3</v>
      </c>
      <c r="H134" s="640">
        <f t="shared" si="1"/>
        <v>1</v>
      </c>
      <c r="I134" s="924">
        <v>0.2</v>
      </c>
      <c r="J134" s="901">
        <v>0.3</v>
      </c>
      <c r="K134" s="901">
        <v>0.25</v>
      </c>
      <c r="L134" s="901">
        <v>0.05</v>
      </c>
      <c r="M134" s="901">
        <v>0.2</v>
      </c>
      <c r="N134" s="908">
        <f t="shared" si="2"/>
        <v>1</v>
      </c>
      <c r="O134" s="902"/>
      <c r="P134" s="4"/>
      <c r="R134" s="117">
        <f t="shared" si="3"/>
        <v>0.73</v>
      </c>
      <c r="S134" s="205">
        <f t="shared" si="4"/>
        <v>0.71500000000000008</v>
      </c>
    </row>
    <row r="135" spans="2:19">
      <c r="B135" s="930">
        <f t="shared" si="5"/>
        <v>1964</v>
      </c>
      <c r="C135" s="685">
        <f t="shared" si="6"/>
        <v>0</v>
      </c>
      <c r="D135" s="685">
        <f t="shared" si="7"/>
        <v>0</v>
      </c>
      <c r="E135" s="685">
        <f t="shared" si="8"/>
        <v>0.4</v>
      </c>
      <c r="F135" s="685">
        <f t="shared" si="9"/>
        <v>0.3</v>
      </c>
      <c r="G135" s="685">
        <f t="shared" si="10"/>
        <v>0.3</v>
      </c>
      <c r="H135" s="640">
        <f t="shared" si="1"/>
        <v>1</v>
      </c>
      <c r="I135" s="924">
        <v>0.2</v>
      </c>
      <c r="J135" s="901">
        <v>0.3</v>
      </c>
      <c r="K135" s="901">
        <v>0.25</v>
      </c>
      <c r="L135" s="901">
        <v>0.05</v>
      </c>
      <c r="M135" s="901">
        <v>0.2</v>
      </c>
      <c r="N135" s="908">
        <f t="shared" si="2"/>
        <v>1</v>
      </c>
      <c r="O135" s="902"/>
      <c r="P135" s="4"/>
      <c r="R135" s="117">
        <f t="shared" si="3"/>
        <v>0.73</v>
      </c>
      <c r="S135" s="205">
        <f t="shared" si="4"/>
        <v>0.71500000000000008</v>
      </c>
    </row>
    <row r="136" spans="2:19">
      <c r="B136" s="930">
        <f t="shared" si="5"/>
        <v>1965</v>
      </c>
      <c r="C136" s="685">
        <f t="shared" si="6"/>
        <v>0</v>
      </c>
      <c r="D136" s="685">
        <f t="shared" si="7"/>
        <v>0</v>
      </c>
      <c r="E136" s="685">
        <f t="shared" si="8"/>
        <v>0.4</v>
      </c>
      <c r="F136" s="685">
        <f t="shared" si="9"/>
        <v>0.3</v>
      </c>
      <c r="G136" s="685">
        <f t="shared" si="10"/>
        <v>0.3</v>
      </c>
      <c r="H136" s="640">
        <f t="shared" si="1"/>
        <v>1</v>
      </c>
      <c r="I136" s="924">
        <v>0.2</v>
      </c>
      <c r="J136" s="901">
        <v>0.3</v>
      </c>
      <c r="K136" s="901">
        <v>0.25</v>
      </c>
      <c r="L136" s="901">
        <v>0.05</v>
      </c>
      <c r="M136" s="901">
        <v>0.2</v>
      </c>
      <c r="N136" s="908">
        <f t="shared" si="2"/>
        <v>1</v>
      </c>
      <c r="O136" s="902"/>
      <c r="P136" s="4"/>
      <c r="R136" s="117">
        <f t="shared" si="3"/>
        <v>0.73</v>
      </c>
      <c r="S136" s="205">
        <f t="shared" si="4"/>
        <v>0.71500000000000008</v>
      </c>
    </row>
    <row r="137" spans="2:19">
      <c r="B137" s="930">
        <f t="shared" si="5"/>
        <v>1966</v>
      </c>
      <c r="C137" s="685">
        <f t="shared" si="6"/>
        <v>0</v>
      </c>
      <c r="D137" s="685">
        <f t="shared" si="7"/>
        <v>0</v>
      </c>
      <c r="E137" s="685">
        <f t="shared" si="8"/>
        <v>0.4</v>
      </c>
      <c r="F137" s="685">
        <f t="shared" si="9"/>
        <v>0.3</v>
      </c>
      <c r="G137" s="685">
        <f t="shared" si="10"/>
        <v>0.3</v>
      </c>
      <c r="H137" s="640">
        <f t="shared" si="1"/>
        <v>1</v>
      </c>
      <c r="I137" s="924">
        <v>0.2</v>
      </c>
      <c r="J137" s="901">
        <v>0.3</v>
      </c>
      <c r="K137" s="901">
        <v>0.25</v>
      </c>
      <c r="L137" s="901">
        <v>0.05</v>
      </c>
      <c r="M137" s="901">
        <v>0.2</v>
      </c>
      <c r="N137" s="908">
        <f t="shared" si="2"/>
        <v>1</v>
      </c>
      <c r="O137" s="902"/>
      <c r="P137" s="4"/>
      <c r="R137" s="117">
        <f t="shared" si="3"/>
        <v>0.73</v>
      </c>
      <c r="S137" s="205">
        <f t="shared" si="4"/>
        <v>0.71500000000000008</v>
      </c>
    </row>
    <row r="138" spans="2:19">
      <c r="B138" s="930">
        <f t="shared" si="5"/>
        <v>1967</v>
      </c>
      <c r="C138" s="685">
        <f t="shared" si="6"/>
        <v>0</v>
      </c>
      <c r="D138" s="685">
        <f t="shared" si="7"/>
        <v>0</v>
      </c>
      <c r="E138" s="685">
        <f t="shared" si="8"/>
        <v>0.4</v>
      </c>
      <c r="F138" s="685">
        <f t="shared" si="9"/>
        <v>0.3</v>
      </c>
      <c r="G138" s="685">
        <f t="shared" si="10"/>
        <v>0.3</v>
      </c>
      <c r="H138" s="640">
        <f t="shared" si="1"/>
        <v>1</v>
      </c>
      <c r="I138" s="924">
        <v>0.2</v>
      </c>
      <c r="J138" s="901">
        <v>0.3</v>
      </c>
      <c r="K138" s="901">
        <v>0.25</v>
      </c>
      <c r="L138" s="901">
        <v>0.05</v>
      </c>
      <c r="M138" s="901">
        <v>0.2</v>
      </c>
      <c r="N138" s="908">
        <f t="shared" si="2"/>
        <v>1</v>
      </c>
      <c r="O138" s="902"/>
      <c r="P138" s="4"/>
      <c r="R138" s="117">
        <f t="shared" si="3"/>
        <v>0.73</v>
      </c>
      <c r="S138" s="205">
        <f t="shared" si="4"/>
        <v>0.71500000000000008</v>
      </c>
    </row>
    <row r="139" spans="2:19">
      <c r="B139" s="930">
        <f t="shared" si="5"/>
        <v>1968</v>
      </c>
      <c r="C139" s="685">
        <f t="shared" si="6"/>
        <v>0</v>
      </c>
      <c r="D139" s="685">
        <f t="shared" si="7"/>
        <v>0</v>
      </c>
      <c r="E139" s="685">
        <f t="shared" si="8"/>
        <v>0.4</v>
      </c>
      <c r="F139" s="685">
        <f t="shared" si="9"/>
        <v>0.3</v>
      </c>
      <c r="G139" s="685">
        <f t="shared" si="10"/>
        <v>0.3</v>
      </c>
      <c r="H139" s="640">
        <f t="shared" si="1"/>
        <v>1</v>
      </c>
      <c r="I139" s="924">
        <v>0.2</v>
      </c>
      <c r="J139" s="901">
        <v>0.3</v>
      </c>
      <c r="K139" s="901">
        <v>0.25</v>
      </c>
      <c r="L139" s="901">
        <v>0.05</v>
      </c>
      <c r="M139" s="901">
        <v>0.2</v>
      </c>
      <c r="N139" s="908">
        <f t="shared" si="2"/>
        <v>1</v>
      </c>
      <c r="O139" s="902"/>
      <c r="P139" s="4"/>
      <c r="R139" s="117">
        <f t="shared" si="3"/>
        <v>0.73</v>
      </c>
      <c r="S139" s="205">
        <f t="shared" si="4"/>
        <v>0.71500000000000008</v>
      </c>
    </row>
    <row r="140" spans="2:19">
      <c r="B140" s="930">
        <f t="shared" si="5"/>
        <v>1969</v>
      </c>
      <c r="C140" s="685">
        <f t="shared" si="6"/>
        <v>0</v>
      </c>
      <c r="D140" s="685">
        <f t="shared" si="7"/>
        <v>0</v>
      </c>
      <c r="E140" s="685">
        <f t="shared" si="8"/>
        <v>0.4</v>
      </c>
      <c r="F140" s="685">
        <f t="shared" si="9"/>
        <v>0.3</v>
      </c>
      <c r="G140" s="685">
        <f t="shared" si="10"/>
        <v>0.3</v>
      </c>
      <c r="H140" s="640">
        <f t="shared" si="1"/>
        <v>1</v>
      </c>
      <c r="I140" s="924">
        <v>0.2</v>
      </c>
      <c r="J140" s="901">
        <v>0.3</v>
      </c>
      <c r="K140" s="901">
        <v>0.25</v>
      </c>
      <c r="L140" s="901">
        <v>0.05</v>
      </c>
      <c r="M140" s="901">
        <v>0.2</v>
      </c>
      <c r="N140" s="908">
        <f t="shared" si="2"/>
        <v>1</v>
      </c>
      <c r="O140" s="902"/>
      <c r="P140" s="4"/>
      <c r="R140" s="117">
        <f t="shared" si="3"/>
        <v>0.73</v>
      </c>
      <c r="S140" s="205">
        <f t="shared" si="4"/>
        <v>0.71500000000000008</v>
      </c>
    </row>
    <row r="141" spans="2:19">
      <c r="B141" s="930">
        <f t="shared" si="5"/>
        <v>1970</v>
      </c>
      <c r="C141" s="685">
        <f t="shared" si="6"/>
        <v>0</v>
      </c>
      <c r="D141" s="685">
        <f t="shared" si="7"/>
        <v>0</v>
      </c>
      <c r="E141" s="685">
        <f t="shared" si="8"/>
        <v>0.4</v>
      </c>
      <c r="F141" s="685">
        <f t="shared" si="9"/>
        <v>0.3</v>
      </c>
      <c r="G141" s="685">
        <f t="shared" si="10"/>
        <v>0.3</v>
      </c>
      <c r="H141" s="640">
        <f t="shared" si="1"/>
        <v>1</v>
      </c>
      <c r="I141" s="924">
        <v>0.2</v>
      </c>
      <c r="J141" s="901">
        <v>0.3</v>
      </c>
      <c r="K141" s="901">
        <v>0.25</v>
      </c>
      <c r="L141" s="901">
        <v>0.05</v>
      </c>
      <c r="M141" s="901">
        <v>0.2</v>
      </c>
      <c r="N141" s="908">
        <f t="shared" si="2"/>
        <v>1</v>
      </c>
      <c r="O141" s="902"/>
      <c r="P141" s="4"/>
      <c r="R141" s="117">
        <f t="shared" si="3"/>
        <v>0.73</v>
      </c>
      <c r="S141" s="205">
        <f t="shared" si="4"/>
        <v>0.71500000000000008</v>
      </c>
    </row>
    <row r="142" spans="2:19">
      <c r="B142" s="930">
        <f t="shared" si="5"/>
        <v>1971</v>
      </c>
      <c r="C142" s="685">
        <f t="shared" si="6"/>
        <v>0</v>
      </c>
      <c r="D142" s="685">
        <f t="shared" si="7"/>
        <v>0</v>
      </c>
      <c r="E142" s="685">
        <f t="shared" si="8"/>
        <v>0.4</v>
      </c>
      <c r="F142" s="685">
        <f t="shared" si="9"/>
        <v>0.3</v>
      </c>
      <c r="G142" s="685">
        <f t="shared" si="10"/>
        <v>0.3</v>
      </c>
      <c r="H142" s="640">
        <f t="shared" si="1"/>
        <v>1</v>
      </c>
      <c r="I142" s="924">
        <v>0.2</v>
      </c>
      <c r="J142" s="901">
        <v>0.3</v>
      </c>
      <c r="K142" s="901">
        <v>0.25</v>
      </c>
      <c r="L142" s="901">
        <v>0.05</v>
      </c>
      <c r="M142" s="901">
        <v>0.2</v>
      </c>
      <c r="N142" s="908">
        <f t="shared" si="2"/>
        <v>1</v>
      </c>
      <c r="O142" s="902"/>
      <c r="P142" s="4"/>
      <c r="R142" s="117">
        <f t="shared" si="3"/>
        <v>0.73</v>
      </c>
      <c r="S142" s="205">
        <f t="shared" si="4"/>
        <v>0.71500000000000008</v>
      </c>
    </row>
    <row r="143" spans="2:19">
      <c r="B143" s="930">
        <f t="shared" si="5"/>
        <v>1972</v>
      </c>
      <c r="C143" s="685">
        <f t="shared" si="6"/>
        <v>0</v>
      </c>
      <c r="D143" s="685">
        <f t="shared" si="7"/>
        <v>0</v>
      </c>
      <c r="E143" s="685">
        <f t="shared" si="8"/>
        <v>0.4</v>
      </c>
      <c r="F143" s="685">
        <f t="shared" si="9"/>
        <v>0.3</v>
      </c>
      <c r="G143" s="685">
        <f t="shared" si="10"/>
        <v>0.3</v>
      </c>
      <c r="H143" s="640">
        <f t="shared" si="1"/>
        <v>1</v>
      </c>
      <c r="I143" s="924">
        <v>0.2</v>
      </c>
      <c r="J143" s="901">
        <v>0.3</v>
      </c>
      <c r="K143" s="901">
        <v>0.25</v>
      </c>
      <c r="L143" s="901">
        <v>0.05</v>
      </c>
      <c r="M143" s="901">
        <v>0.2</v>
      </c>
      <c r="N143" s="908">
        <f t="shared" si="2"/>
        <v>1</v>
      </c>
      <c r="O143" s="902"/>
      <c r="P143" s="4"/>
      <c r="R143" s="117">
        <f t="shared" si="3"/>
        <v>0.73</v>
      </c>
      <c r="S143" s="205">
        <f t="shared" si="4"/>
        <v>0.71500000000000008</v>
      </c>
    </row>
    <row r="144" spans="2:19">
      <c r="B144" s="930">
        <f t="shared" si="5"/>
        <v>1973</v>
      </c>
      <c r="C144" s="685">
        <f t="shared" si="6"/>
        <v>0</v>
      </c>
      <c r="D144" s="685">
        <f t="shared" si="7"/>
        <v>0</v>
      </c>
      <c r="E144" s="685">
        <f t="shared" si="8"/>
        <v>0.4</v>
      </c>
      <c r="F144" s="685">
        <f t="shared" si="9"/>
        <v>0.3</v>
      </c>
      <c r="G144" s="685">
        <f t="shared" si="10"/>
        <v>0.3</v>
      </c>
      <c r="H144" s="640">
        <f t="shared" si="1"/>
        <v>1</v>
      </c>
      <c r="I144" s="924">
        <v>0.2</v>
      </c>
      <c r="J144" s="901">
        <v>0.3</v>
      </c>
      <c r="K144" s="901">
        <v>0.25</v>
      </c>
      <c r="L144" s="901">
        <v>0.05</v>
      </c>
      <c r="M144" s="901">
        <v>0.2</v>
      </c>
      <c r="N144" s="908">
        <f t="shared" si="2"/>
        <v>1</v>
      </c>
      <c r="O144" s="902"/>
      <c r="P144" s="4"/>
      <c r="R144" s="117">
        <f t="shared" si="3"/>
        <v>0.73</v>
      </c>
      <c r="S144" s="205">
        <f t="shared" si="4"/>
        <v>0.71500000000000008</v>
      </c>
    </row>
    <row r="145" spans="2:19">
      <c r="B145" s="930">
        <f t="shared" si="5"/>
        <v>1974</v>
      </c>
      <c r="C145" s="685">
        <f t="shared" si="6"/>
        <v>0</v>
      </c>
      <c r="D145" s="685">
        <f t="shared" si="7"/>
        <v>0</v>
      </c>
      <c r="E145" s="685">
        <f t="shared" si="8"/>
        <v>0.4</v>
      </c>
      <c r="F145" s="685">
        <f t="shared" si="9"/>
        <v>0.3</v>
      </c>
      <c r="G145" s="685">
        <f t="shared" si="10"/>
        <v>0.3</v>
      </c>
      <c r="H145" s="640">
        <f t="shared" si="1"/>
        <v>1</v>
      </c>
      <c r="I145" s="924">
        <v>0.2</v>
      </c>
      <c r="J145" s="901">
        <v>0.3</v>
      </c>
      <c r="K145" s="901">
        <v>0.25</v>
      </c>
      <c r="L145" s="901">
        <v>0.05</v>
      </c>
      <c r="M145" s="901">
        <v>0.2</v>
      </c>
      <c r="N145" s="908">
        <f t="shared" si="2"/>
        <v>1</v>
      </c>
      <c r="O145" s="902"/>
      <c r="P145" s="4"/>
      <c r="R145" s="117">
        <f t="shared" si="3"/>
        <v>0.73</v>
      </c>
      <c r="S145" s="205">
        <f t="shared" si="4"/>
        <v>0.71500000000000008</v>
      </c>
    </row>
    <row r="146" spans="2:19">
      <c r="B146" s="930">
        <f t="shared" si="5"/>
        <v>1975</v>
      </c>
      <c r="C146" s="685">
        <f t="shared" si="6"/>
        <v>0</v>
      </c>
      <c r="D146" s="685">
        <f t="shared" si="7"/>
        <v>0</v>
      </c>
      <c r="E146" s="685">
        <f t="shared" si="8"/>
        <v>0.4</v>
      </c>
      <c r="F146" s="685">
        <f t="shared" si="9"/>
        <v>0.3</v>
      </c>
      <c r="G146" s="685">
        <f t="shared" si="10"/>
        <v>0.3</v>
      </c>
      <c r="H146" s="640">
        <f t="shared" si="1"/>
        <v>1</v>
      </c>
      <c r="I146" s="924">
        <v>0.2</v>
      </c>
      <c r="J146" s="901">
        <v>0.3</v>
      </c>
      <c r="K146" s="901">
        <v>0.25</v>
      </c>
      <c r="L146" s="901">
        <v>0.05</v>
      </c>
      <c r="M146" s="901">
        <v>0.2</v>
      </c>
      <c r="N146" s="908">
        <f t="shared" si="2"/>
        <v>1</v>
      </c>
      <c r="O146" s="902"/>
      <c r="P146" s="4"/>
      <c r="R146" s="117">
        <f t="shared" si="3"/>
        <v>0.73</v>
      </c>
      <c r="S146" s="205">
        <f t="shared" si="4"/>
        <v>0.71500000000000008</v>
      </c>
    </row>
    <row r="147" spans="2:19">
      <c r="B147" s="930">
        <f t="shared" si="5"/>
        <v>1976</v>
      </c>
      <c r="C147" s="685">
        <f t="shared" si="6"/>
        <v>0</v>
      </c>
      <c r="D147" s="685">
        <f t="shared" si="7"/>
        <v>0</v>
      </c>
      <c r="E147" s="685">
        <f t="shared" si="8"/>
        <v>0.4</v>
      </c>
      <c r="F147" s="685">
        <f t="shared" si="9"/>
        <v>0.3</v>
      </c>
      <c r="G147" s="685">
        <f t="shared" si="10"/>
        <v>0.3</v>
      </c>
      <c r="H147" s="640">
        <f t="shared" si="1"/>
        <v>1</v>
      </c>
      <c r="I147" s="924">
        <v>0.2</v>
      </c>
      <c r="J147" s="901">
        <v>0.3</v>
      </c>
      <c r="K147" s="901">
        <v>0.25</v>
      </c>
      <c r="L147" s="901">
        <v>0.05</v>
      </c>
      <c r="M147" s="901">
        <v>0.2</v>
      </c>
      <c r="N147" s="908">
        <f t="shared" si="2"/>
        <v>1</v>
      </c>
      <c r="O147" s="902"/>
      <c r="P147" s="4"/>
      <c r="R147" s="117">
        <f t="shared" si="3"/>
        <v>0.73</v>
      </c>
      <c r="S147" s="205">
        <f t="shared" si="4"/>
        <v>0.71500000000000008</v>
      </c>
    </row>
    <row r="148" spans="2:19">
      <c r="B148" s="930">
        <f t="shared" si="5"/>
        <v>1977</v>
      </c>
      <c r="C148" s="685">
        <f t="shared" si="6"/>
        <v>0</v>
      </c>
      <c r="D148" s="685">
        <f t="shared" si="7"/>
        <v>0</v>
      </c>
      <c r="E148" s="685">
        <f t="shared" si="8"/>
        <v>0.4</v>
      </c>
      <c r="F148" s="685">
        <f t="shared" si="9"/>
        <v>0.3</v>
      </c>
      <c r="G148" s="685">
        <f t="shared" si="10"/>
        <v>0.3</v>
      </c>
      <c r="H148" s="640">
        <f t="shared" si="1"/>
        <v>1</v>
      </c>
      <c r="I148" s="924">
        <v>0.2</v>
      </c>
      <c r="J148" s="901">
        <v>0.3</v>
      </c>
      <c r="K148" s="901">
        <v>0.25</v>
      </c>
      <c r="L148" s="901">
        <v>0.05</v>
      </c>
      <c r="M148" s="901">
        <v>0.2</v>
      </c>
      <c r="N148" s="908">
        <f t="shared" si="2"/>
        <v>1</v>
      </c>
      <c r="O148" s="902"/>
      <c r="P148" s="4"/>
      <c r="R148" s="117">
        <f t="shared" si="3"/>
        <v>0.73</v>
      </c>
      <c r="S148" s="205">
        <f t="shared" si="4"/>
        <v>0.71500000000000008</v>
      </c>
    </row>
    <row r="149" spans="2:19">
      <c r="B149" s="930">
        <f t="shared" si="5"/>
        <v>1978</v>
      </c>
      <c r="C149" s="685">
        <f t="shared" si="6"/>
        <v>0</v>
      </c>
      <c r="D149" s="685">
        <f t="shared" si="7"/>
        <v>0</v>
      </c>
      <c r="E149" s="685">
        <f t="shared" si="8"/>
        <v>0.4</v>
      </c>
      <c r="F149" s="685">
        <f t="shared" si="9"/>
        <v>0.3</v>
      </c>
      <c r="G149" s="685">
        <f t="shared" si="10"/>
        <v>0.3</v>
      </c>
      <c r="H149" s="640">
        <f t="shared" si="1"/>
        <v>1</v>
      </c>
      <c r="I149" s="924">
        <v>0.2</v>
      </c>
      <c r="J149" s="901">
        <v>0.3</v>
      </c>
      <c r="K149" s="901">
        <v>0.25</v>
      </c>
      <c r="L149" s="901">
        <v>0.05</v>
      </c>
      <c r="M149" s="901">
        <v>0.2</v>
      </c>
      <c r="N149" s="908">
        <f t="shared" si="2"/>
        <v>1</v>
      </c>
      <c r="O149" s="902"/>
      <c r="P149" s="4"/>
      <c r="R149" s="117">
        <f t="shared" si="3"/>
        <v>0.73</v>
      </c>
      <c r="S149" s="205">
        <f t="shared" si="4"/>
        <v>0.71500000000000008</v>
      </c>
    </row>
    <row r="150" spans="2:19">
      <c r="B150" s="930">
        <f t="shared" si="5"/>
        <v>1979</v>
      </c>
      <c r="C150" s="685">
        <f t="shared" si="6"/>
        <v>0</v>
      </c>
      <c r="D150" s="685">
        <f t="shared" si="7"/>
        <v>0</v>
      </c>
      <c r="E150" s="685">
        <f t="shared" si="8"/>
        <v>0.4</v>
      </c>
      <c r="F150" s="685">
        <f t="shared" si="9"/>
        <v>0.3</v>
      </c>
      <c r="G150" s="685">
        <f t="shared" si="10"/>
        <v>0.3</v>
      </c>
      <c r="H150" s="640">
        <f t="shared" si="1"/>
        <v>1</v>
      </c>
      <c r="I150" s="924">
        <v>0.2</v>
      </c>
      <c r="J150" s="901">
        <v>0.3</v>
      </c>
      <c r="K150" s="901">
        <v>0.25</v>
      </c>
      <c r="L150" s="901">
        <v>0.05</v>
      </c>
      <c r="M150" s="901">
        <v>0.2</v>
      </c>
      <c r="N150" s="908">
        <f t="shared" si="2"/>
        <v>1</v>
      </c>
      <c r="O150" s="902"/>
      <c r="P150" s="4"/>
      <c r="R150" s="117">
        <f t="shared" si="3"/>
        <v>0.73</v>
      </c>
      <c r="S150" s="205">
        <f t="shared" si="4"/>
        <v>0.71500000000000008</v>
      </c>
    </row>
    <row r="151" spans="2:19">
      <c r="B151" s="930">
        <f t="shared" si="5"/>
        <v>1980</v>
      </c>
      <c r="C151" s="685">
        <f t="shared" si="6"/>
        <v>0</v>
      </c>
      <c r="D151" s="685">
        <f t="shared" si="7"/>
        <v>0</v>
      </c>
      <c r="E151" s="685">
        <f t="shared" si="8"/>
        <v>0.4</v>
      </c>
      <c r="F151" s="685">
        <f t="shared" si="9"/>
        <v>0.3</v>
      </c>
      <c r="G151" s="685">
        <f t="shared" si="10"/>
        <v>0.3</v>
      </c>
      <c r="H151" s="640">
        <f t="shared" si="1"/>
        <v>1</v>
      </c>
      <c r="I151" s="924">
        <v>0.2</v>
      </c>
      <c r="J151" s="901">
        <v>0.3</v>
      </c>
      <c r="K151" s="901">
        <v>0.25</v>
      </c>
      <c r="L151" s="901">
        <v>0.05</v>
      </c>
      <c r="M151" s="901">
        <v>0.2</v>
      </c>
      <c r="N151" s="908">
        <f t="shared" si="2"/>
        <v>1</v>
      </c>
      <c r="O151" s="902"/>
      <c r="P151" s="4"/>
      <c r="R151" s="117">
        <f t="shared" si="3"/>
        <v>0.73</v>
      </c>
      <c r="S151" s="205">
        <f t="shared" si="4"/>
        <v>0.71500000000000008</v>
      </c>
    </row>
    <row r="152" spans="2:19">
      <c r="B152" s="930">
        <f t="shared" si="5"/>
        <v>1981</v>
      </c>
      <c r="C152" s="685">
        <f t="shared" si="6"/>
        <v>0</v>
      </c>
      <c r="D152" s="685">
        <f t="shared" si="7"/>
        <v>0</v>
      </c>
      <c r="E152" s="685">
        <f t="shared" si="8"/>
        <v>0.4</v>
      </c>
      <c r="F152" s="685">
        <f t="shared" si="9"/>
        <v>0.3</v>
      </c>
      <c r="G152" s="685">
        <f t="shared" si="10"/>
        <v>0.3</v>
      </c>
      <c r="H152" s="640">
        <f t="shared" si="1"/>
        <v>1</v>
      </c>
      <c r="I152" s="924">
        <v>0.2</v>
      </c>
      <c r="J152" s="901">
        <v>0.3</v>
      </c>
      <c r="K152" s="901">
        <v>0.25</v>
      </c>
      <c r="L152" s="901">
        <v>0.05</v>
      </c>
      <c r="M152" s="901">
        <v>0.2</v>
      </c>
      <c r="N152" s="908">
        <f t="shared" si="2"/>
        <v>1</v>
      </c>
      <c r="O152" s="902"/>
      <c r="P152" s="4"/>
      <c r="R152" s="117">
        <f t="shared" si="3"/>
        <v>0.73</v>
      </c>
      <c r="S152" s="205">
        <f t="shared" si="4"/>
        <v>0.71500000000000008</v>
      </c>
    </row>
    <row r="153" spans="2:19">
      <c r="B153" s="930">
        <f t="shared" si="5"/>
        <v>1982</v>
      </c>
      <c r="C153" s="685">
        <f t="shared" si="6"/>
        <v>0</v>
      </c>
      <c r="D153" s="685">
        <f t="shared" si="7"/>
        <v>0</v>
      </c>
      <c r="E153" s="685">
        <f t="shared" si="8"/>
        <v>0.4</v>
      </c>
      <c r="F153" s="685">
        <f t="shared" si="9"/>
        <v>0.3</v>
      </c>
      <c r="G153" s="685">
        <f t="shared" si="10"/>
        <v>0.3</v>
      </c>
      <c r="H153" s="640">
        <f t="shared" ref="H153:H184" si="11">SUM(C153:G153)</f>
        <v>1</v>
      </c>
      <c r="I153" s="924">
        <v>0.2</v>
      </c>
      <c r="J153" s="901">
        <v>0.3</v>
      </c>
      <c r="K153" s="901">
        <v>0.25</v>
      </c>
      <c r="L153" s="901">
        <v>0.05</v>
      </c>
      <c r="M153" s="901">
        <v>0.2</v>
      </c>
      <c r="N153" s="908">
        <f t="shared" ref="N153:N184" si="12">SUM(I153:M153)</f>
        <v>1</v>
      </c>
      <c r="O153" s="902"/>
      <c r="P153" s="4"/>
      <c r="R153" s="117">
        <f t="shared" ref="R153:R184" si="13">C153*C$116+D153*D$116+E153*E$116+F153*F$116+G153*G$116</f>
        <v>0.73</v>
      </c>
      <c r="S153" s="205">
        <f t="shared" ref="S153:S184" si="14">I153*$I$116+J153*$J$116+K153*$K$116+L153*L$116+M153*$M$116</f>
        <v>0.71500000000000008</v>
      </c>
    </row>
    <row r="154" spans="2:19">
      <c r="B154" s="930">
        <f t="shared" ref="B154:B185" si="15">B153+1</f>
        <v>1983</v>
      </c>
      <c r="C154" s="685">
        <f t="shared" ref="C154:C188" si="16">C153</f>
        <v>0</v>
      </c>
      <c r="D154" s="685">
        <f t="shared" ref="D154:D188" si="17">D153</f>
        <v>0</v>
      </c>
      <c r="E154" s="685">
        <f t="shared" ref="E154:E188" si="18">E153</f>
        <v>0.4</v>
      </c>
      <c r="F154" s="685">
        <f t="shared" ref="F154:F188" si="19">F153</f>
        <v>0.3</v>
      </c>
      <c r="G154" s="685">
        <f t="shared" ref="G154:G188" si="20">G153</f>
        <v>0.3</v>
      </c>
      <c r="H154" s="640">
        <f t="shared" si="11"/>
        <v>1</v>
      </c>
      <c r="I154" s="924">
        <v>0.2</v>
      </c>
      <c r="J154" s="901">
        <v>0.3</v>
      </c>
      <c r="K154" s="901">
        <v>0.25</v>
      </c>
      <c r="L154" s="901">
        <v>0.05</v>
      </c>
      <c r="M154" s="901">
        <v>0.2</v>
      </c>
      <c r="N154" s="908">
        <f t="shared" si="12"/>
        <v>1</v>
      </c>
      <c r="O154" s="902"/>
      <c r="P154" s="4"/>
      <c r="R154" s="117">
        <f t="shared" si="13"/>
        <v>0.73</v>
      </c>
      <c r="S154" s="205">
        <f t="shared" si="14"/>
        <v>0.71500000000000008</v>
      </c>
    </row>
    <row r="155" spans="2:19">
      <c r="B155" s="930">
        <f t="shared" si="15"/>
        <v>1984</v>
      </c>
      <c r="C155" s="685">
        <f t="shared" si="16"/>
        <v>0</v>
      </c>
      <c r="D155" s="685">
        <f t="shared" si="17"/>
        <v>0</v>
      </c>
      <c r="E155" s="685">
        <f t="shared" si="18"/>
        <v>0.4</v>
      </c>
      <c r="F155" s="685">
        <f t="shared" si="19"/>
        <v>0.3</v>
      </c>
      <c r="G155" s="685">
        <f t="shared" si="20"/>
        <v>0.3</v>
      </c>
      <c r="H155" s="640">
        <f t="shared" si="11"/>
        <v>1</v>
      </c>
      <c r="I155" s="924">
        <v>0.2</v>
      </c>
      <c r="J155" s="901">
        <v>0.3</v>
      </c>
      <c r="K155" s="901">
        <v>0.25</v>
      </c>
      <c r="L155" s="901">
        <v>0.05</v>
      </c>
      <c r="M155" s="901">
        <v>0.2</v>
      </c>
      <c r="N155" s="908">
        <f t="shared" si="12"/>
        <v>1</v>
      </c>
      <c r="O155" s="902"/>
      <c r="P155" s="4"/>
      <c r="R155" s="117">
        <f t="shared" si="13"/>
        <v>0.73</v>
      </c>
      <c r="S155" s="205">
        <f t="shared" si="14"/>
        <v>0.71500000000000008</v>
      </c>
    </row>
    <row r="156" spans="2:19">
      <c r="B156" s="930">
        <f t="shared" si="15"/>
        <v>1985</v>
      </c>
      <c r="C156" s="685">
        <f t="shared" si="16"/>
        <v>0</v>
      </c>
      <c r="D156" s="685">
        <f t="shared" si="17"/>
        <v>0</v>
      </c>
      <c r="E156" s="685">
        <f t="shared" si="18"/>
        <v>0.4</v>
      </c>
      <c r="F156" s="685">
        <f t="shared" si="19"/>
        <v>0.3</v>
      </c>
      <c r="G156" s="685">
        <f t="shared" si="20"/>
        <v>0.3</v>
      </c>
      <c r="H156" s="640">
        <f t="shared" si="11"/>
        <v>1</v>
      </c>
      <c r="I156" s="924">
        <v>0.2</v>
      </c>
      <c r="J156" s="901">
        <v>0.3</v>
      </c>
      <c r="K156" s="901">
        <v>0.25</v>
      </c>
      <c r="L156" s="901">
        <v>0.05</v>
      </c>
      <c r="M156" s="901">
        <v>0.2</v>
      </c>
      <c r="N156" s="908">
        <f t="shared" si="12"/>
        <v>1</v>
      </c>
      <c r="O156" s="902"/>
      <c r="P156" s="4"/>
      <c r="R156" s="117">
        <f t="shared" si="13"/>
        <v>0.73</v>
      </c>
      <c r="S156" s="205">
        <f t="shared" si="14"/>
        <v>0.71500000000000008</v>
      </c>
    </row>
    <row r="157" spans="2:19">
      <c r="B157" s="930">
        <f t="shared" si="15"/>
        <v>1986</v>
      </c>
      <c r="C157" s="685">
        <f t="shared" si="16"/>
        <v>0</v>
      </c>
      <c r="D157" s="685">
        <f t="shared" si="17"/>
        <v>0</v>
      </c>
      <c r="E157" s="685">
        <f t="shared" si="18"/>
        <v>0.4</v>
      </c>
      <c r="F157" s="685">
        <f t="shared" si="19"/>
        <v>0.3</v>
      </c>
      <c r="G157" s="685">
        <f t="shared" si="20"/>
        <v>0.3</v>
      </c>
      <c r="H157" s="640">
        <f t="shared" si="11"/>
        <v>1</v>
      </c>
      <c r="I157" s="924">
        <v>0.2</v>
      </c>
      <c r="J157" s="901">
        <v>0.3</v>
      </c>
      <c r="K157" s="901">
        <v>0.25</v>
      </c>
      <c r="L157" s="901">
        <v>0.05</v>
      </c>
      <c r="M157" s="901">
        <v>0.2</v>
      </c>
      <c r="N157" s="908">
        <f t="shared" si="12"/>
        <v>1</v>
      </c>
      <c r="O157" s="902"/>
      <c r="P157" s="4"/>
      <c r="R157" s="117">
        <f t="shared" si="13"/>
        <v>0.73</v>
      </c>
      <c r="S157" s="205">
        <f t="shared" si="14"/>
        <v>0.71500000000000008</v>
      </c>
    </row>
    <row r="158" spans="2:19">
      <c r="B158" s="930">
        <f t="shared" si="15"/>
        <v>1987</v>
      </c>
      <c r="C158" s="685">
        <f t="shared" si="16"/>
        <v>0</v>
      </c>
      <c r="D158" s="685">
        <f t="shared" si="17"/>
        <v>0</v>
      </c>
      <c r="E158" s="685">
        <f t="shared" si="18"/>
        <v>0.4</v>
      </c>
      <c r="F158" s="685">
        <f t="shared" si="19"/>
        <v>0.3</v>
      </c>
      <c r="G158" s="685">
        <f t="shared" si="20"/>
        <v>0.3</v>
      </c>
      <c r="H158" s="640">
        <f t="shared" si="11"/>
        <v>1</v>
      </c>
      <c r="I158" s="924">
        <v>0.2</v>
      </c>
      <c r="J158" s="901">
        <v>0.3</v>
      </c>
      <c r="K158" s="901">
        <v>0.25</v>
      </c>
      <c r="L158" s="901">
        <v>0.05</v>
      </c>
      <c r="M158" s="901">
        <v>0.2</v>
      </c>
      <c r="N158" s="908">
        <f t="shared" si="12"/>
        <v>1</v>
      </c>
      <c r="O158" s="902"/>
      <c r="P158" s="4"/>
      <c r="R158" s="117">
        <f t="shared" si="13"/>
        <v>0.73</v>
      </c>
      <c r="S158" s="205">
        <f t="shared" si="14"/>
        <v>0.71500000000000008</v>
      </c>
    </row>
    <row r="159" spans="2:19">
      <c r="B159" s="930">
        <f t="shared" si="15"/>
        <v>1988</v>
      </c>
      <c r="C159" s="685">
        <f t="shared" si="16"/>
        <v>0</v>
      </c>
      <c r="D159" s="685">
        <f t="shared" si="17"/>
        <v>0</v>
      </c>
      <c r="E159" s="685">
        <f t="shared" si="18"/>
        <v>0.4</v>
      </c>
      <c r="F159" s="685">
        <f t="shared" si="19"/>
        <v>0.3</v>
      </c>
      <c r="G159" s="685">
        <f t="shared" si="20"/>
        <v>0.3</v>
      </c>
      <c r="H159" s="640">
        <f t="shared" si="11"/>
        <v>1</v>
      </c>
      <c r="I159" s="924">
        <v>0.2</v>
      </c>
      <c r="J159" s="901">
        <v>0.3</v>
      </c>
      <c r="K159" s="901">
        <v>0.25</v>
      </c>
      <c r="L159" s="901">
        <v>0.05</v>
      </c>
      <c r="M159" s="901">
        <v>0.2</v>
      </c>
      <c r="N159" s="908">
        <f t="shared" si="12"/>
        <v>1</v>
      </c>
      <c r="O159" s="902"/>
      <c r="P159" s="4"/>
      <c r="R159" s="117">
        <f t="shared" si="13"/>
        <v>0.73</v>
      </c>
      <c r="S159" s="205">
        <f t="shared" si="14"/>
        <v>0.71500000000000008</v>
      </c>
    </row>
    <row r="160" spans="2:19">
      <c r="B160" s="930">
        <f t="shared" si="15"/>
        <v>1989</v>
      </c>
      <c r="C160" s="685">
        <f t="shared" si="16"/>
        <v>0</v>
      </c>
      <c r="D160" s="685">
        <f t="shared" si="17"/>
        <v>0</v>
      </c>
      <c r="E160" s="685">
        <f t="shared" si="18"/>
        <v>0.4</v>
      </c>
      <c r="F160" s="685">
        <f t="shared" si="19"/>
        <v>0.3</v>
      </c>
      <c r="G160" s="685">
        <f t="shared" si="20"/>
        <v>0.3</v>
      </c>
      <c r="H160" s="640">
        <f t="shared" si="11"/>
        <v>1</v>
      </c>
      <c r="I160" s="924">
        <v>0.2</v>
      </c>
      <c r="J160" s="901">
        <v>0.3</v>
      </c>
      <c r="K160" s="901">
        <v>0.25</v>
      </c>
      <c r="L160" s="901">
        <v>0.05</v>
      </c>
      <c r="M160" s="901">
        <v>0.2</v>
      </c>
      <c r="N160" s="908">
        <f t="shared" si="12"/>
        <v>1</v>
      </c>
      <c r="O160" s="902"/>
      <c r="P160" s="4"/>
      <c r="R160" s="117">
        <f t="shared" si="13"/>
        <v>0.73</v>
      </c>
      <c r="S160" s="205">
        <f t="shared" si="14"/>
        <v>0.71500000000000008</v>
      </c>
    </row>
    <row r="161" spans="2:19">
      <c r="B161" s="930">
        <f t="shared" si="15"/>
        <v>1990</v>
      </c>
      <c r="C161" s="685">
        <f t="shared" si="16"/>
        <v>0</v>
      </c>
      <c r="D161" s="685">
        <f t="shared" si="17"/>
        <v>0</v>
      </c>
      <c r="E161" s="685">
        <f t="shared" si="18"/>
        <v>0.4</v>
      </c>
      <c r="F161" s="685">
        <f t="shared" si="19"/>
        <v>0.3</v>
      </c>
      <c r="G161" s="685">
        <f t="shared" si="20"/>
        <v>0.3</v>
      </c>
      <c r="H161" s="640">
        <f t="shared" si="11"/>
        <v>1</v>
      </c>
      <c r="I161" s="924">
        <v>0.2</v>
      </c>
      <c r="J161" s="901">
        <v>0.3</v>
      </c>
      <c r="K161" s="901">
        <v>0.25</v>
      </c>
      <c r="L161" s="901">
        <v>0.05</v>
      </c>
      <c r="M161" s="901">
        <v>0.2</v>
      </c>
      <c r="N161" s="908">
        <f t="shared" si="12"/>
        <v>1</v>
      </c>
      <c r="O161" s="902"/>
      <c r="P161" s="4"/>
      <c r="R161" s="117">
        <f t="shared" si="13"/>
        <v>0.73</v>
      </c>
      <c r="S161" s="205">
        <f t="shared" si="14"/>
        <v>0.71500000000000008</v>
      </c>
    </row>
    <row r="162" spans="2:19">
      <c r="B162" s="930">
        <f t="shared" si="15"/>
        <v>1991</v>
      </c>
      <c r="C162" s="685">
        <f t="shared" si="16"/>
        <v>0</v>
      </c>
      <c r="D162" s="685">
        <f t="shared" si="17"/>
        <v>0</v>
      </c>
      <c r="E162" s="685">
        <f t="shared" si="18"/>
        <v>0.4</v>
      </c>
      <c r="F162" s="685">
        <f t="shared" si="19"/>
        <v>0.3</v>
      </c>
      <c r="G162" s="685">
        <f t="shared" si="20"/>
        <v>0.3</v>
      </c>
      <c r="H162" s="640">
        <f t="shared" si="11"/>
        <v>1</v>
      </c>
      <c r="I162" s="924">
        <v>0.2</v>
      </c>
      <c r="J162" s="901">
        <v>0.3</v>
      </c>
      <c r="K162" s="901">
        <v>0.25</v>
      </c>
      <c r="L162" s="901">
        <v>0.05</v>
      </c>
      <c r="M162" s="901">
        <v>0.2</v>
      </c>
      <c r="N162" s="908">
        <f t="shared" si="12"/>
        <v>1</v>
      </c>
      <c r="O162" s="902"/>
      <c r="P162" s="4"/>
      <c r="R162" s="117">
        <f t="shared" si="13"/>
        <v>0.73</v>
      </c>
      <c r="S162" s="205">
        <f t="shared" si="14"/>
        <v>0.71500000000000008</v>
      </c>
    </row>
    <row r="163" spans="2:19">
      <c r="B163" s="930">
        <f t="shared" si="15"/>
        <v>1992</v>
      </c>
      <c r="C163" s="685">
        <f t="shared" si="16"/>
        <v>0</v>
      </c>
      <c r="D163" s="685">
        <f t="shared" si="17"/>
        <v>0</v>
      </c>
      <c r="E163" s="685">
        <f t="shared" si="18"/>
        <v>0.4</v>
      </c>
      <c r="F163" s="685">
        <f t="shared" si="19"/>
        <v>0.3</v>
      </c>
      <c r="G163" s="685">
        <f t="shared" si="20"/>
        <v>0.3</v>
      </c>
      <c r="H163" s="640">
        <f t="shared" si="11"/>
        <v>1</v>
      </c>
      <c r="I163" s="924">
        <v>0.2</v>
      </c>
      <c r="J163" s="901">
        <v>0.3</v>
      </c>
      <c r="K163" s="901">
        <v>0.25</v>
      </c>
      <c r="L163" s="901">
        <v>0.05</v>
      </c>
      <c r="M163" s="901">
        <v>0.2</v>
      </c>
      <c r="N163" s="908">
        <f t="shared" si="12"/>
        <v>1</v>
      </c>
      <c r="O163" s="902"/>
      <c r="P163" s="4"/>
      <c r="R163" s="117">
        <f t="shared" si="13"/>
        <v>0.73</v>
      </c>
      <c r="S163" s="205">
        <f t="shared" si="14"/>
        <v>0.71500000000000008</v>
      </c>
    </row>
    <row r="164" spans="2:19">
      <c r="B164" s="930">
        <f t="shared" si="15"/>
        <v>1993</v>
      </c>
      <c r="C164" s="685">
        <f t="shared" si="16"/>
        <v>0</v>
      </c>
      <c r="D164" s="685">
        <f t="shared" si="17"/>
        <v>0</v>
      </c>
      <c r="E164" s="685">
        <f t="shared" si="18"/>
        <v>0.4</v>
      </c>
      <c r="F164" s="685">
        <f t="shared" si="19"/>
        <v>0.3</v>
      </c>
      <c r="G164" s="685">
        <f t="shared" si="20"/>
        <v>0.3</v>
      </c>
      <c r="H164" s="640">
        <f t="shared" si="11"/>
        <v>1</v>
      </c>
      <c r="I164" s="924">
        <v>0.2</v>
      </c>
      <c r="J164" s="901">
        <v>0.3</v>
      </c>
      <c r="K164" s="901">
        <v>0.25</v>
      </c>
      <c r="L164" s="901">
        <v>0.05</v>
      </c>
      <c r="M164" s="901">
        <v>0.2</v>
      </c>
      <c r="N164" s="908">
        <f t="shared" si="12"/>
        <v>1</v>
      </c>
      <c r="O164" s="902"/>
      <c r="P164" s="4"/>
      <c r="R164" s="117">
        <f t="shared" si="13"/>
        <v>0.73</v>
      </c>
      <c r="S164" s="205">
        <f t="shared" si="14"/>
        <v>0.71500000000000008</v>
      </c>
    </row>
    <row r="165" spans="2:19">
      <c r="B165" s="930">
        <f t="shared" si="15"/>
        <v>1994</v>
      </c>
      <c r="C165" s="685">
        <f t="shared" si="16"/>
        <v>0</v>
      </c>
      <c r="D165" s="685">
        <f t="shared" si="17"/>
        <v>0</v>
      </c>
      <c r="E165" s="685">
        <f t="shared" si="18"/>
        <v>0.4</v>
      </c>
      <c r="F165" s="685">
        <f t="shared" si="19"/>
        <v>0.3</v>
      </c>
      <c r="G165" s="685">
        <f t="shared" si="20"/>
        <v>0.3</v>
      </c>
      <c r="H165" s="640">
        <f t="shared" si="11"/>
        <v>1</v>
      </c>
      <c r="I165" s="924">
        <v>0.2</v>
      </c>
      <c r="J165" s="901">
        <v>0.3</v>
      </c>
      <c r="K165" s="901">
        <v>0.25</v>
      </c>
      <c r="L165" s="901">
        <v>0.05</v>
      </c>
      <c r="M165" s="901">
        <v>0.2</v>
      </c>
      <c r="N165" s="908">
        <f t="shared" si="12"/>
        <v>1</v>
      </c>
      <c r="O165" s="902"/>
      <c r="P165" s="4"/>
      <c r="R165" s="117">
        <f t="shared" si="13"/>
        <v>0.73</v>
      </c>
      <c r="S165" s="205">
        <f t="shared" si="14"/>
        <v>0.71500000000000008</v>
      </c>
    </row>
    <row r="166" spans="2:19">
      <c r="B166" s="930">
        <f t="shared" si="15"/>
        <v>1995</v>
      </c>
      <c r="C166" s="685">
        <f t="shared" si="16"/>
        <v>0</v>
      </c>
      <c r="D166" s="685">
        <f t="shared" si="17"/>
        <v>0</v>
      </c>
      <c r="E166" s="685">
        <f t="shared" si="18"/>
        <v>0.4</v>
      </c>
      <c r="F166" s="685">
        <f t="shared" si="19"/>
        <v>0.3</v>
      </c>
      <c r="G166" s="685">
        <f t="shared" si="20"/>
        <v>0.3</v>
      </c>
      <c r="H166" s="640">
        <f t="shared" si="11"/>
        <v>1</v>
      </c>
      <c r="I166" s="924">
        <v>0.2</v>
      </c>
      <c r="J166" s="901">
        <v>0.3</v>
      </c>
      <c r="K166" s="901">
        <v>0.25</v>
      </c>
      <c r="L166" s="901">
        <v>0.05</v>
      </c>
      <c r="M166" s="901">
        <v>0.2</v>
      </c>
      <c r="N166" s="908">
        <f t="shared" si="12"/>
        <v>1</v>
      </c>
      <c r="O166" s="902"/>
      <c r="P166" s="4"/>
      <c r="R166" s="117">
        <f t="shared" si="13"/>
        <v>0.73</v>
      </c>
      <c r="S166" s="205">
        <f t="shared" si="14"/>
        <v>0.71500000000000008</v>
      </c>
    </row>
    <row r="167" spans="2:19">
      <c r="B167" s="930">
        <f t="shared" si="15"/>
        <v>1996</v>
      </c>
      <c r="C167" s="685">
        <f t="shared" si="16"/>
        <v>0</v>
      </c>
      <c r="D167" s="685">
        <f t="shared" si="17"/>
        <v>0</v>
      </c>
      <c r="E167" s="685">
        <f t="shared" si="18"/>
        <v>0.4</v>
      </c>
      <c r="F167" s="685">
        <f t="shared" si="19"/>
        <v>0.3</v>
      </c>
      <c r="G167" s="685">
        <f t="shared" si="20"/>
        <v>0.3</v>
      </c>
      <c r="H167" s="640">
        <f t="shared" si="11"/>
        <v>1</v>
      </c>
      <c r="I167" s="924">
        <v>0.2</v>
      </c>
      <c r="J167" s="901">
        <v>0.3</v>
      </c>
      <c r="K167" s="901">
        <v>0.25</v>
      </c>
      <c r="L167" s="901">
        <v>0.05</v>
      </c>
      <c r="M167" s="901">
        <v>0.2</v>
      </c>
      <c r="N167" s="908">
        <f t="shared" si="12"/>
        <v>1</v>
      </c>
      <c r="O167" s="902"/>
      <c r="P167" s="4"/>
      <c r="R167" s="117">
        <f t="shared" si="13"/>
        <v>0.73</v>
      </c>
      <c r="S167" s="205">
        <f t="shared" si="14"/>
        <v>0.71500000000000008</v>
      </c>
    </row>
    <row r="168" spans="2:19">
      <c r="B168" s="930">
        <f t="shared" si="15"/>
        <v>1997</v>
      </c>
      <c r="C168" s="685">
        <f t="shared" si="16"/>
        <v>0</v>
      </c>
      <c r="D168" s="685">
        <f t="shared" si="17"/>
        <v>0</v>
      </c>
      <c r="E168" s="685">
        <f t="shared" si="18"/>
        <v>0.4</v>
      </c>
      <c r="F168" s="685">
        <f t="shared" si="19"/>
        <v>0.3</v>
      </c>
      <c r="G168" s="685">
        <f t="shared" si="20"/>
        <v>0.3</v>
      </c>
      <c r="H168" s="640">
        <f t="shared" si="11"/>
        <v>1</v>
      </c>
      <c r="I168" s="924">
        <v>0.2</v>
      </c>
      <c r="J168" s="901">
        <v>0.3</v>
      </c>
      <c r="K168" s="901">
        <v>0.25</v>
      </c>
      <c r="L168" s="901">
        <v>0.05</v>
      </c>
      <c r="M168" s="901">
        <v>0.2</v>
      </c>
      <c r="N168" s="908">
        <f t="shared" si="12"/>
        <v>1</v>
      </c>
      <c r="O168" s="902"/>
      <c r="P168" s="4"/>
      <c r="R168" s="117">
        <f t="shared" si="13"/>
        <v>0.73</v>
      </c>
      <c r="S168" s="205">
        <f t="shared" si="14"/>
        <v>0.71500000000000008</v>
      </c>
    </row>
    <row r="169" spans="2:19">
      <c r="B169" s="930">
        <f t="shared" si="15"/>
        <v>1998</v>
      </c>
      <c r="C169" s="685">
        <f t="shared" si="16"/>
        <v>0</v>
      </c>
      <c r="D169" s="685">
        <f t="shared" si="17"/>
        <v>0</v>
      </c>
      <c r="E169" s="685">
        <f t="shared" si="18"/>
        <v>0.4</v>
      </c>
      <c r="F169" s="685">
        <f t="shared" si="19"/>
        <v>0.3</v>
      </c>
      <c r="G169" s="685">
        <f t="shared" si="20"/>
        <v>0.3</v>
      </c>
      <c r="H169" s="640">
        <f t="shared" si="11"/>
        <v>1</v>
      </c>
      <c r="I169" s="924">
        <v>0.2</v>
      </c>
      <c r="J169" s="901">
        <v>0.3</v>
      </c>
      <c r="K169" s="901">
        <v>0.25</v>
      </c>
      <c r="L169" s="901">
        <v>0.05</v>
      </c>
      <c r="M169" s="901">
        <v>0.2</v>
      </c>
      <c r="N169" s="908">
        <f t="shared" si="12"/>
        <v>1</v>
      </c>
      <c r="O169" s="902"/>
      <c r="P169" s="4"/>
      <c r="R169" s="117">
        <f t="shared" si="13"/>
        <v>0.73</v>
      </c>
      <c r="S169" s="205">
        <f t="shared" si="14"/>
        <v>0.71500000000000008</v>
      </c>
    </row>
    <row r="170" spans="2:19">
      <c r="B170" s="930">
        <f t="shared" si="15"/>
        <v>1999</v>
      </c>
      <c r="C170" s="685">
        <f t="shared" si="16"/>
        <v>0</v>
      </c>
      <c r="D170" s="685">
        <f t="shared" si="17"/>
        <v>0</v>
      </c>
      <c r="E170" s="685">
        <f t="shared" si="18"/>
        <v>0.4</v>
      </c>
      <c r="F170" s="685">
        <f t="shared" si="19"/>
        <v>0.3</v>
      </c>
      <c r="G170" s="685">
        <f t="shared" si="20"/>
        <v>0.3</v>
      </c>
      <c r="H170" s="640">
        <f t="shared" si="11"/>
        <v>1</v>
      </c>
      <c r="I170" s="924">
        <v>0.2</v>
      </c>
      <c r="J170" s="901">
        <v>0.3</v>
      </c>
      <c r="K170" s="901">
        <v>0.25</v>
      </c>
      <c r="L170" s="901">
        <v>0.05</v>
      </c>
      <c r="M170" s="901">
        <v>0.2</v>
      </c>
      <c r="N170" s="908">
        <f t="shared" si="12"/>
        <v>1</v>
      </c>
      <c r="O170" s="902"/>
      <c r="P170" s="4"/>
      <c r="R170" s="117">
        <f t="shared" si="13"/>
        <v>0.73</v>
      </c>
      <c r="S170" s="205">
        <f t="shared" si="14"/>
        <v>0.71500000000000008</v>
      </c>
    </row>
    <row r="171" spans="2:19">
      <c r="B171" s="930">
        <f t="shared" si="15"/>
        <v>2000</v>
      </c>
      <c r="C171" s="685">
        <f t="shared" si="16"/>
        <v>0</v>
      </c>
      <c r="D171" s="685">
        <f t="shared" si="17"/>
        <v>0</v>
      </c>
      <c r="E171" s="685">
        <f t="shared" si="18"/>
        <v>0.4</v>
      </c>
      <c r="F171" s="685">
        <f t="shared" si="19"/>
        <v>0.3</v>
      </c>
      <c r="G171" s="685">
        <f t="shared" si="20"/>
        <v>0.3</v>
      </c>
      <c r="H171" s="640">
        <f t="shared" si="11"/>
        <v>1</v>
      </c>
      <c r="I171" s="924">
        <v>0.2</v>
      </c>
      <c r="J171" s="901">
        <v>0.3</v>
      </c>
      <c r="K171" s="901">
        <v>0.25</v>
      </c>
      <c r="L171" s="901">
        <v>0.05</v>
      </c>
      <c r="M171" s="901">
        <v>0.2</v>
      </c>
      <c r="N171" s="908">
        <f t="shared" si="12"/>
        <v>1</v>
      </c>
      <c r="O171" s="902"/>
      <c r="P171" s="4"/>
      <c r="R171" s="117">
        <f t="shared" si="13"/>
        <v>0.73</v>
      </c>
      <c r="S171" s="205">
        <f t="shared" si="14"/>
        <v>0.71500000000000008</v>
      </c>
    </row>
    <row r="172" spans="2:19">
      <c r="B172" s="930">
        <f t="shared" si="15"/>
        <v>2001</v>
      </c>
      <c r="C172" s="685">
        <f t="shared" si="16"/>
        <v>0</v>
      </c>
      <c r="D172" s="685">
        <f t="shared" si="17"/>
        <v>0</v>
      </c>
      <c r="E172" s="685">
        <f t="shared" si="18"/>
        <v>0.4</v>
      </c>
      <c r="F172" s="685">
        <f t="shared" si="19"/>
        <v>0.3</v>
      </c>
      <c r="G172" s="685">
        <f t="shared" si="20"/>
        <v>0.3</v>
      </c>
      <c r="H172" s="640">
        <f t="shared" si="11"/>
        <v>1</v>
      </c>
      <c r="I172" s="924">
        <v>0.2</v>
      </c>
      <c r="J172" s="901">
        <v>0.3</v>
      </c>
      <c r="K172" s="901">
        <v>0.25</v>
      </c>
      <c r="L172" s="901">
        <v>0.05</v>
      </c>
      <c r="M172" s="901">
        <v>0.2</v>
      </c>
      <c r="N172" s="908">
        <f t="shared" si="12"/>
        <v>1</v>
      </c>
      <c r="O172" s="902"/>
      <c r="P172" s="4"/>
      <c r="R172" s="117">
        <f t="shared" si="13"/>
        <v>0.73</v>
      </c>
      <c r="S172" s="205">
        <f t="shared" si="14"/>
        <v>0.71500000000000008</v>
      </c>
    </row>
    <row r="173" spans="2:19">
      <c r="B173" s="930">
        <f t="shared" si="15"/>
        <v>2002</v>
      </c>
      <c r="C173" s="685">
        <f t="shared" si="16"/>
        <v>0</v>
      </c>
      <c r="D173" s="685">
        <f t="shared" si="17"/>
        <v>0</v>
      </c>
      <c r="E173" s="685">
        <f t="shared" si="18"/>
        <v>0.4</v>
      </c>
      <c r="F173" s="685">
        <f t="shared" si="19"/>
        <v>0.3</v>
      </c>
      <c r="G173" s="685">
        <f t="shared" si="20"/>
        <v>0.3</v>
      </c>
      <c r="H173" s="640">
        <f t="shared" si="11"/>
        <v>1</v>
      </c>
      <c r="I173" s="924">
        <v>0.2</v>
      </c>
      <c r="J173" s="901">
        <v>0.3</v>
      </c>
      <c r="K173" s="901">
        <v>0.25</v>
      </c>
      <c r="L173" s="901">
        <v>0.05</v>
      </c>
      <c r="M173" s="901">
        <v>0.2</v>
      </c>
      <c r="N173" s="908">
        <f t="shared" si="12"/>
        <v>1</v>
      </c>
      <c r="O173" s="902"/>
      <c r="P173" s="4"/>
      <c r="R173" s="117">
        <f t="shared" si="13"/>
        <v>0.73</v>
      </c>
      <c r="S173" s="205">
        <f t="shared" si="14"/>
        <v>0.71500000000000008</v>
      </c>
    </row>
    <row r="174" spans="2:19">
      <c r="B174" s="930">
        <f t="shared" si="15"/>
        <v>2003</v>
      </c>
      <c r="C174" s="685">
        <f t="shared" si="16"/>
        <v>0</v>
      </c>
      <c r="D174" s="685">
        <f t="shared" si="17"/>
        <v>0</v>
      </c>
      <c r="E174" s="685">
        <f t="shared" si="18"/>
        <v>0.4</v>
      </c>
      <c r="F174" s="685">
        <f t="shared" si="19"/>
        <v>0.3</v>
      </c>
      <c r="G174" s="685">
        <f t="shared" si="20"/>
        <v>0.3</v>
      </c>
      <c r="H174" s="640">
        <f t="shared" si="11"/>
        <v>1</v>
      </c>
      <c r="I174" s="924">
        <v>0.2</v>
      </c>
      <c r="J174" s="901">
        <v>0.3</v>
      </c>
      <c r="K174" s="901">
        <v>0.25</v>
      </c>
      <c r="L174" s="901">
        <v>0.05</v>
      </c>
      <c r="M174" s="901">
        <v>0.2</v>
      </c>
      <c r="N174" s="908">
        <f t="shared" si="12"/>
        <v>1</v>
      </c>
      <c r="O174" s="902"/>
      <c r="P174" s="4"/>
      <c r="R174" s="117">
        <f t="shared" si="13"/>
        <v>0.73</v>
      </c>
      <c r="S174" s="205">
        <f t="shared" si="14"/>
        <v>0.71500000000000008</v>
      </c>
    </row>
    <row r="175" spans="2:19">
      <c r="B175" s="930">
        <f t="shared" si="15"/>
        <v>2004</v>
      </c>
      <c r="C175" s="685">
        <f t="shared" si="16"/>
        <v>0</v>
      </c>
      <c r="D175" s="685">
        <f t="shared" si="17"/>
        <v>0</v>
      </c>
      <c r="E175" s="685">
        <f t="shared" si="18"/>
        <v>0.4</v>
      </c>
      <c r="F175" s="685">
        <f t="shared" si="19"/>
        <v>0.3</v>
      </c>
      <c r="G175" s="685">
        <f t="shared" si="20"/>
        <v>0.3</v>
      </c>
      <c r="H175" s="640">
        <f t="shared" si="11"/>
        <v>1</v>
      </c>
      <c r="I175" s="924">
        <v>0.2</v>
      </c>
      <c r="J175" s="901">
        <v>0.3</v>
      </c>
      <c r="K175" s="901">
        <v>0.25</v>
      </c>
      <c r="L175" s="901">
        <v>0.05</v>
      </c>
      <c r="M175" s="901">
        <v>0.2</v>
      </c>
      <c r="N175" s="908">
        <f t="shared" si="12"/>
        <v>1</v>
      </c>
      <c r="O175" s="902"/>
      <c r="P175" s="4"/>
      <c r="R175" s="117">
        <f t="shared" si="13"/>
        <v>0.73</v>
      </c>
      <c r="S175" s="205">
        <f t="shared" si="14"/>
        <v>0.71500000000000008</v>
      </c>
    </row>
    <row r="176" spans="2:19">
      <c r="B176" s="930">
        <f t="shared" si="15"/>
        <v>2005</v>
      </c>
      <c r="C176" s="685">
        <f t="shared" si="16"/>
        <v>0</v>
      </c>
      <c r="D176" s="685">
        <f t="shared" si="17"/>
        <v>0</v>
      </c>
      <c r="E176" s="685">
        <f t="shared" si="18"/>
        <v>0.4</v>
      </c>
      <c r="F176" s="685">
        <f t="shared" si="19"/>
        <v>0.3</v>
      </c>
      <c r="G176" s="685">
        <f t="shared" si="20"/>
        <v>0.3</v>
      </c>
      <c r="H176" s="640">
        <f t="shared" si="11"/>
        <v>1</v>
      </c>
      <c r="I176" s="924">
        <v>0.2</v>
      </c>
      <c r="J176" s="901">
        <v>0.3</v>
      </c>
      <c r="K176" s="901">
        <v>0.25</v>
      </c>
      <c r="L176" s="901">
        <v>0.05</v>
      </c>
      <c r="M176" s="901">
        <v>0.2</v>
      </c>
      <c r="N176" s="908">
        <f t="shared" si="12"/>
        <v>1</v>
      </c>
      <c r="O176" s="902"/>
      <c r="P176" s="4"/>
      <c r="R176" s="117">
        <f t="shared" si="13"/>
        <v>0.73</v>
      </c>
      <c r="S176" s="205">
        <f t="shared" si="14"/>
        <v>0.71500000000000008</v>
      </c>
    </row>
    <row r="177" spans="1:19">
      <c r="B177" s="930">
        <f t="shared" si="15"/>
        <v>2006</v>
      </c>
      <c r="C177" s="685">
        <f t="shared" si="16"/>
        <v>0</v>
      </c>
      <c r="D177" s="685">
        <f t="shared" si="17"/>
        <v>0</v>
      </c>
      <c r="E177" s="685">
        <f t="shared" si="18"/>
        <v>0.4</v>
      </c>
      <c r="F177" s="685">
        <f t="shared" si="19"/>
        <v>0.3</v>
      </c>
      <c r="G177" s="685">
        <f t="shared" si="20"/>
        <v>0.3</v>
      </c>
      <c r="H177" s="640">
        <f t="shared" si="11"/>
        <v>1</v>
      </c>
      <c r="I177" s="924">
        <v>0.2</v>
      </c>
      <c r="J177" s="901">
        <v>0.3</v>
      </c>
      <c r="K177" s="901">
        <v>0.25</v>
      </c>
      <c r="L177" s="901">
        <v>0.05</v>
      </c>
      <c r="M177" s="901">
        <v>0.2</v>
      </c>
      <c r="N177" s="908">
        <f t="shared" si="12"/>
        <v>1</v>
      </c>
      <c r="O177" s="902"/>
      <c r="P177" s="4"/>
      <c r="R177" s="117">
        <f t="shared" si="13"/>
        <v>0.73</v>
      </c>
      <c r="S177" s="205">
        <f t="shared" si="14"/>
        <v>0.71500000000000008</v>
      </c>
    </row>
    <row r="178" spans="1:19">
      <c r="B178" s="930">
        <f t="shared" si="15"/>
        <v>2007</v>
      </c>
      <c r="C178" s="685">
        <f t="shared" si="16"/>
        <v>0</v>
      </c>
      <c r="D178" s="685">
        <f t="shared" si="17"/>
        <v>0</v>
      </c>
      <c r="E178" s="685">
        <f t="shared" si="18"/>
        <v>0.4</v>
      </c>
      <c r="F178" s="685">
        <f t="shared" si="19"/>
        <v>0.3</v>
      </c>
      <c r="G178" s="685">
        <f t="shared" si="20"/>
        <v>0.3</v>
      </c>
      <c r="H178" s="640">
        <f t="shared" si="11"/>
        <v>1</v>
      </c>
      <c r="I178" s="924">
        <v>0.2</v>
      </c>
      <c r="J178" s="901">
        <v>0.3</v>
      </c>
      <c r="K178" s="901">
        <v>0.25</v>
      </c>
      <c r="L178" s="901">
        <v>0.05</v>
      </c>
      <c r="M178" s="901">
        <v>0.2</v>
      </c>
      <c r="N178" s="908">
        <f t="shared" si="12"/>
        <v>1</v>
      </c>
      <c r="O178" s="902"/>
      <c r="P178" s="4"/>
      <c r="R178" s="117">
        <f t="shared" si="13"/>
        <v>0.73</v>
      </c>
      <c r="S178" s="205">
        <f t="shared" si="14"/>
        <v>0.71500000000000008</v>
      </c>
    </row>
    <row r="179" spans="1:19">
      <c r="B179" s="930">
        <f t="shared" si="15"/>
        <v>2008</v>
      </c>
      <c r="C179" s="685">
        <f t="shared" si="16"/>
        <v>0</v>
      </c>
      <c r="D179" s="685">
        <f t="shared" si="17"/>
        <v>0</v>
      </c>
      <c r="E179" s="685">
        <f t="shared" si="18"/>
        <v>0.4</v>
      </c>
      <c r="F179" s="685">
        <f t="shared" si="19"/>
        <v>0.3</v>
      </c>
      <c r="G179" s="685">
        <f t="shared" si="20"/>
        <v>0.3</v>
      </c>
      <c r="H179" s="640">
        <f t="shared" si="11"/>
        <v>1</v>
      </c>
      <c r="I179" s="924">
        <v>0.2</v>
      </c>
      <c r="J179" s="901">
        <v>0.3</v>
      </c>
      <c r="K179" s="901">
        <v>0.25</v>
      </c>
      <c r="L179" s="901">
        <v>0.05</v>
      </c>
      <c r="M179" s="901">
        <v>0.2</v>
      </c>
      <c r="N179" s="908">
        <f t="shared" si="12"/>
        <v>1</v>
      </c>
      <c r="O179" s="902"/>
      <c r="P179" s="4"/>
      <c r="R179" s="117">
        <f t="shared" si="13"/>
        <v>0.73</v>
      </c>
      <c r="S179" s="205">
        <f t="shared" si="14"/>
        <v>0.71500000000000008</v>
      </c>
    </row>
    <row r="180" spans="1:19">
      <c r="B180" s="930">
        <f t="shared" si="15"/>
        <v>2009</v>
      </c>
      <c r="C180" s="685">
        <f t="shared" si="16"/>
        <v>0</v>
      </c>
      <c r="D180" s="685">
        <f t="shared" si="17"/>
        <v>0</v>
      </c>
      <c r="E180" s="685">
        <f t="shared" si="18"/>
        <v>0.4</v>
      </c>
      <c r="F180" s="685">
        <f t="shared" si="19"/>
        <v>0.3</v>
      </c>
      <c r="G180" s="685">
        <f t="shared" si="20"/>
        <v>0.3</v>
      </c>
      <c r="H180" s="640">
        <f t="shared" si="11"/>
        <v>1</v>
      </c>
      <c r="I180" s="924">
        <v>0.2</v>
      </c>
      <c r="J180" s="901">
        <v>0.3</v>
      </c>
      <c r="K180" s="901">
        <v>0.25</v>
      </c>
      <c r="L180" s="901">
        <v>0.05</v>
      </c>
      <c r="M180" s="901">
        <v>0.2</v>
      </c>
      <c r="N180" s="908">
        <f t="shared" si="12"/>
        <v>1</v>
      </c>
      <c r="O180" s="902"/>
      <c r="P180" s="4"/>
      <c r="R180" s="117">
        <f t="shared" si="13"/>
        <v>0.73</v>
      </c>
      <c r="S180" s="205">
        <f t="shared" si="14"/>
        <v>0.71500000000000008</v>
      </c>
    </row>
    <row r="181" spans="1:19">
      <c r="B181" s="930">
        <f t="shared" si="15"/>
        <v>2010</v>
      </c>
      <c r="C181" s="685">
        <f t="shared" si="16"/>
        <v>0</v>
      </c>
      <c r="D181" s="685">
        <f t="shared" si="17"/>
        <v>0</v>
      </c>
      <c r="E181" s="685">
        <f t="shared" si="18"/>
        <v>0.4</v>
      </c>
      <c r="F181" s="685">
        <f t="shared" si="19"/>
        <v>0.3</v>
      </c>
      <c r="G181" s="685">
        <f t="shared" si="20"/>
        <v>0.3</v>
      </c>
      <c r="H181" s="640">
        <f t="shared" si="11"/>
        <v>1</v>
      </c>
      <c r="I181" s="924">
        <v>0.2</v>
      </c>
      <c r="J181" s="901">
        <v>0.3</v>
      </c>
      <c r="K181" s="901">
        <v>0.25</v>
      </c>
      <c r="L181" s="901">
        <v>0.05</v>
      </c>
      <c r="M181" s="901">
        <v>0.2</v>
      </c>
      <c r="N181" s="908">
        <f t="shared" si="12"/>
        <v>1</v>
      </c>
      <c r="O181" s="902"/>
      <c r="P181" s="4"/>
      <c r="R181" s="117">
        <f t="shared" si="13"/>
        <v>0.73</v>
      </c>
      <c r="S181" s="205">
        <f t="shared" si="14"/>
        <v>0.71500000000000008</v>
      </c>
    </row>
    <row r="182" spans="1:19">
      <c r="B182" s="930">
        <f t="shared" si="15"/>
        <v>2011</v>
      </c>
      <c r="C182" s="685">
        <f t="shared" si="16"/>
        <v>0</v>
      </c>
      <c r="D182" s="685">
        <f t="shared" si="17"/>
        <v>0</v>
      </c>
      <c r="E182" s="685">
        <f t="shared" si="18"/>
        <v>0.4</v>
      </c>
      <c r="F182" s="685">
        <f t="shared" si="19"/>
        <v>0.3</v>
      </c>
      <c r="G182" s="685">
        <f t="shared" si="20"/>
        <v>0.3</v>
      </c>
      <c r="H182" s="640">
        <f t="shared" si="11"/>
        <v>1</v>
      </c>
      <c r="I182" s="924">
        <v>0.2</v>
      </c>
      <c r="J182" s="901">
        <v>0.3</v>
      </c>
      <c r="K182" s="901">
        <v>0.25</v>
      </c>
      <c r="L182" s="901">
        <v>0.05</v>
      </c>
      <c r="M182" s="901">
        <v>0.2</v>
      </c>
      <c r="N182" s="908">
        <f t="shared" si="12"/>
        <v>1</v>
      </c>
      <c r="O182" s="902"/>
      <c r="P182" s="4"/>
      <c r="R182" s="117">
        <f t="shared" si="13"/>
        <v>0.73</v>
      </c>
      <c r="S182" s="205">
        <f t="shared" si="14"/>
        <v>0.71500000000000008</v>
      </c>
    </row>
    <row r="183" spans="1:19">
      <c r="B183" s="930">
        <f t="shared" si="15"/>
        <v>2012</v>
      </c>
      <c r="C183" s="685">
        <f t="shared" si="16"/>
        <v>0</v>
      </c>
      <c r="D183" s="685">
        <f t="shared" si="17"/>
        <v>0</v>
      </c>
      <c r="E183" s="685">
        <f t="shared" si="18"/>
        <v>0.4</v>
      </c>
      <c r="F183" s="685">
        <f t="shared" si="19"/>
        <v>0.3</v>
      </c>
      <c r="G183" s="685">
        <f t="shared" si="20"/>
        <v>0.3</v>
      </c>
      <c r="H183" s="640">
        <f t="shared" si="11"/>
        <v>1</v>
      </c>
      <c r="I183" s="924">
        <v>0.2</v>
      </c>
      <c r="J183" s="901">
        <v>0.3</v>
      </c>
      <c r="K183" s="901">
        <v>0.25</v>
      </c>
      <c r="L183" s="901">
        <v>0.05</v>
      </c>
      <c r="M183" s="901">
        <v>0.2</v>
      </c>
      <c r="N183" s="908">
        <f t="shared" si="12"/>
        <v>1</v>
      </c>
      <c r="O183" s="902"/>
      <c r="P183" s="4"/>
      <c r="R183" s="117">
        <f t="shared" si="13"/>
        <v>0.73</v>
      </c>
      <c r="S183" s="205">
        <f t="shared" si="14"/>
        <v>0.71500000000000008</v>
      </c>
    </row>
    <row r="184" spans="1:19">
      <c r="B184" s="930">
        <f t="shared" si="15"/>
        <v>2013</v>
      </c>
      <c r="C184" s="685">
        <f t="shared" si="16"/>
        <v>0</v>
      </c>
      <c r="D184" s="685">
        <f t="shared" si="17"/>
        <v>0</v>
      </c>
      <c r="E184" s="685">
        <f t="shared" si="18"/>
        <v>0.4</v>
      </c>
      <c r="F184" s="685">
        <f t="shared" si="19"/>
        <v>0.3</v>
      </c>
      <c r="G184" s="685">
        <f t="shared" si="20"/>
        <v>0.3</v>
      </c>
      <c r="H184" s="640">
        <f t="shared" si="11"/>
        <v>1</v>
      </c>
      <c r="I184" s="924">
        <v>0.2</v>
      </c>
      <c r="J184" s="901">
        <v>0.3</v>
      </c>
      <c r="K184" s="901">
        <v>0.25</v>
      </c>
      <c r="L184" s="901">
        <v>0.05</v>
      </c>
      <c r="M184" s="901">
        <v>0.2</v>
      </c>
      <c r="N184" s="908">
        <f t="shared" si="12"/>
        <v>1</v>
      </c>
      <c r="O184" s="902"/>
      <c r="P184" s="4"/>
      <c r="R184" s="117">
        <f t="shared" si="13"/>
        <v>0.73</v>
      </c>
      <c r="S184" s="205">
        <f t="shared" si="14"/>
        <v>0.71500000000000008</v>
      </c>
    </row>
    <row r="185" spans="1:19">
      <c r="B185" s="930">
        <f t="shared" si="15"/>
        <v>2014</v>
      </c>
      <c r="C185" s="685">
        <f t="shared" si="16"/>
        <v>0</v>
      </c>
      <c r="D185" s="685">
        <f t="shared" si="17"/>
        <v>0</v>
      </c>
      <c r="E185" s="685">
        <f t="shared" si="18"/>
        <v>0.4</v>
      </c>
      <c r="F185" s="685">
        <f t="shared" si="19"/>
        <v>0.3</v>
      </c>
      <c r="G185" s="685">
        <f t="shared" si="20"/>
        <v>0.3</v>
      </c>
      <c r="H185" s="640">
        <f t="shared" ref="H185:H216" si="21">SUM(C185:G185)</f>
        <v>1</v>
      </c>
      <c r="I185" s="924">
        <v>0.2</v>
      </c>
      <c r="J185" s="901">
        <v>0.3</v>
      </c>
      <c r="K185" s="901">
        <v>0.25</v>
      </c>
      <c r="L185" s="901">
        <v>0.05</v>
      </c>
      <c r="M185" s="901">
        <v>0.2</v>
      </c>
      <c r="N185" s="908">
        <f t="shared" ref="N185:N216" si="22">SUM(I185:M185)</f>
        <v>1</v>
      </c>
      <c r="O185" s="902"/>
      <c r="P185" s="4"/>
      <c r="R185" s="117">
        <f t="shared" ref="R185:R221" si="23">C185*C$116+D185*D$116+E185*E$116+F185*F$116+G185*G$116</f>
        <v>0.73</v>
      </c>
      <c r="S185" s="205">
        <f t="shared" ref="S185:S221" si="24">I185*$I$116+J185*$J$116+K185*$K$116+L185*L$116+M185*$M$116</f>
        <v>0.71500000000000008</v>
      </c>
    </row>
    <row r="186" spans="1:19">
      <c r="B186" s="930">
        <f t="shared" ref="B186:B221" si="25">B185+1</f>
        <v>2015</v>
      </c>
      <c r="C186" s="685">
        <f t="shared" si="16"/>
        <v>0</v>
      </c>
      <c r="D186" s="685">
        <f t="shared" si="17"/>
        <v>0</v>
      </c>
      <c r="E186" s="685">
        <f t="shared" si="18"/>
        <v>0.4</v>
      </c>
      <c r="F186" s="685">
        <f t="shared" si="19"/>
        <v>0.3</v>
      </c>
      <c r="G186" s="685">
        <f t="shared" si="20"/>
        <v>0.3</v>
      </c>
      <c r="H186" s="640">
        <f t="shared" si="21"/>
        <v>1</v>
      </c>
      <c r="I186" s="924">
        <v>0.2</v>
      </c>
      <c r="J186" s="901">
        <v>0.3</v>
      </c>
      <c r="K186" s="901">
        <v>0.25</v>
      </c>
      <c r="L186" s="901">
        <v>0.05</v>
      </c>
      <c r="M186" s="901">
        <v>0.2</v>
      </c>
      <c r="N186" s="908">
        <f t="shared" si="22"/>
        <v>1</v>
      </c>
      <c r="O186" s="902"/>
      <c r="P186" s="4"/>
      <c r="R186" s="117">
        <f t="shared" si="23"/>
        <v>0.73</v>
      </c>
      <c r="S186" s="205">
        <f t="shared" si="24"/>
        <v>0.71500000000000008</v>
      </c>
    </row>
    <row r="187" spans="1:19" ht="15" thickBot="1">
      <c r="B187" s="930">
        <f t="shared" si="25"/>
        <v>2016</v>
      </c>
      <c r="C187" s="685">
        <f t="shared" si="16"/>
        <v>0</v>
      </c>
      <c r="D187" s="685">
        <f t="shared" si="17"/>
        <v>0</v>
      </c>
      <c r="E187" s="685">
        <f t="shared" si="18"/>
        <v>0.4</v>
      </c>
      <c r="F187" s="685">
        <f t="shared" si="19"/>
        <v>0.3</v>
      </c>
      <c r="G187" s="685">
        <f t="shared" si="20"/>
        <v>0.3</v>
      </c>
      <c r="H187" s="640">
        <f t="shared" si="21"/>
        <v>1</v>
      </c>
      <c r="I187" s="924">
        <v>0.2</v>
      </c>
      <c r="J187" s="901">
        <v>0.3</v>
      </c>
      <c r="K187" s="901">
        <v>0.25</v>
      </c>
      <c r="L187" s="901">
        <v>0.05</v>
      </c>
      <c r="M187" s="901">
        <v>0.2</v>
      </c>
      <c r="N187" s="908">
        <f t="shared" si="22"/>
        <v>1</v>
      </c>
      <c r="O187" s="902"/>
      <c r="P187" s="4"/>
      <c r="R187" s="120">
        <f t="shared" si="23"/>
        <v>0.73</v>
      </c>
      <c r="S187" s="206">
        <f t="shared" si="24"/>
        <v>0.71500000000000008</v>
      </c>
    </row>
    <row r="188" spans="1:19" s="1" customFormat="1">
      <c r="B188" s="905">
        <f t="shared" si="25"/>
        <v>2017</v>
      </c>
      <c r="C188" s="906">
        <f t="shared" si="16"/>
        <v>0</v>
      </c>
      <c r="D188" s="906">
        <f t="shared" si="17"/>
        <v>0</v>
      </c>
      <c r="E188" s="906">
        <f t="shared" si="18"/>
        <v>0.4</v>
      </c>
      <c r="F188" s="906">
        <f t="shared" si="19"/>
        <v>0.3</v>
      </c>
      <c r="G188" s="906">
        <f t="shared" si="20"/>
        <v>0.3</v>
      </c>
      <c r="H188" s="918">
        <f t="shared" si="21"/>
        <v>1</v>
      </c>
      <c r="I188" s="922">
        <v>0.2</v>
      </c>
      <c r="J188" s="923">
        <v>0.3</v>
      </c>
      <c r="K188" s="923">
        <v>0.25</v>
      </c>
      <c r="L188" s="923">
        <v>0.05</v>
      </c>
      <c r="M188" s="923">
        <v>0.2</v>
      </c>
      <c r="N188" s="907">
        <f t="shared" si="22"/>
        <v>1</v>
      </c>
      <c r="O188" s="921"/>
      <c r="P188" s="360"/>
      <c r="R188" s="889">
        <f t="shared" si="23"/>
        <v>0.73</v>
      </c>
      <c r="S188" s="119">
        <f t="shared" si="24"/>
        <v>0.71500000000000008</v>
      </c>
    </row>
    <row r="189" spans="1:19">
      <c r="A189" s="479" t="s">
        <v>647</v>
      </c>
      <c r="B189" s="930">
        <f t="shared" si="25"/>
        <v>2018</v>
      </c>
      <c r="C189" s="685">
        <v>0</v>
      </c>
      <c r="D189" s="685">
        <v>0</v>
      </c>
      <c r="E189" s="685">
        <f t="shared" ref="E189:E200" si="26">($E$201-$E$188)/($B$201-$B$188)+E188</f>
        <v>0.42307692307692307</v>
      </c>
      <c r="F189" s="685">
        <f t="shared" ref="F189:F200" si="27">($F$201-$F$188)/($B$201-$B$188)+F188</f>
        <v>0.28846153846153844</v>
      </c>
      <c r="G189" s="685">
        <f>($G$201-$G$188)/($B$201-$B$188)+G188</f>
        <v>0.28846153846153844</v>
      </c>
      <c r="H189" s="640">
        <f t="shared" si="21"/>
        <v>0.99999999999999989</v>
      </c>
      <c r="I189" s="924">
        <v>0.2</v>
      </c>
      <c r="J189" s="901">
        <v>0.3</v>
      </c>
      <c r="K189" s="901">
        <v>0.25</v>
      </c>
      <c r="L189" s="901">
        <v>0.05</v>
      </c>
      <c r="M189" s="901">
        <v>0.2</v>
      </c>
      <c r="N189" s="908">
        <f t="shared" si="22"/>
        <v>1</v>
      </c>
      <c r="O189" s="902"/>
      <c r="P189" s="99"/>
      <c r="R189" s="117">
        <f t="shared" si="23"/>
        <v>0.74038461538461531</v>
      </c>
      <c r="S189" s="205">
        <f t="shared" si="24"/>
        <v>0.71500000000000008</v>
      </c>
    </row>
    <row r="190" spans="1:19">
      <c r="B190" s="930">
        <f t="shared" si="25"/>
        <v>2019</v>
      </c>
      <c r="C190" s="685">
        <v>0</v>
      </c>
      <c r="D190" s="685">
        <v>0</v>
      </c>
      <c r="E190" s="685">
        <f t="shared" si="26"/>
        <v>0.44615384615384612</v>
      </c>
      <c r="F190" s="685">
        <f t="shared" si="27"/>
        <v>0.27692307692307688</v>
      </c>
      <c r="G190" s="685">
        <f t="shared" ref="G190:G200" si="28">($G$201-$G$188)/($B$201-$B$188)+G189</f>
        <v>0.27692307692307688</v>
      </c>
      <c r="H190" s="640">
        <f t="shared" si="21"/>
        <v>0.99999999999999978</v>
      </c>
      <c r="I190" s="924">
        <v>0.2</v>
      </c>
      <c r="J190" s="901">
        <v>0.3</v>
      </c>
      <c r="K190" s="901">
        <v>0.25</v>
      </c>
      <c r="L190" s="901">
        <v>0.05</v>
      </c>
      <c r="M190" s="901">
        <v>0.2</v>
      </c>
      <c r="N190" s="908">
        <f t="shared" si="22"/>
        <v>1</v>
      </c>
      <c r="O190" s="902"/>
      <c r="P190" s="99"/>
      <c r="R190" s="117">
        <f t="shared" si="23"/>
        <v>0.75076923076923063</v>
      </c>
      <c r="S190" s="205">
        <f t="shared" si="24"/>
        <v>0.71500000000000008</v>
      </c>
    </row>
    <row r="191" spans="1:19">
      <c r="B191" s="930">
        <f t="shared" si="25"/>
        <v>2020</v>
      </c>
      <c r="C191" s="685">
        <v>0</v>
      </c>
      <c r="D191" s="685">
        <v>0</v>
      </c>
      <c r="E191" s="685">
        <f t="shared" si="26"/>
        <v>0.46923076923076917</v>
      </c>
      <c r="F191" s="685">
        <f t="shared" si="27"/>
        <v>0.26538461538461533</v>
      </c>
      <c r="G191" s="685">
        <f t="shared" si="28"/>
        <v>0.26538461538461533</v>
      </c>
      <c r="H191" s="640">
        <f t="shared" si="21"/>
        <v>0.99999999999999978</v>
      </c>
      <c r="I191" s="924">
        <v>0.2</v>
      </c>
      <c r="J191" s="901">
        <v>0.3</v>
      </c>
      <c r="K191" s="901">
        <v>0.25</v>
      </c>
      <c r="L191" s="901">
        <v>0.05</v>
      </c>
      <c r="M191" s="901">
        <v>0.2</v>
      </c>
      <c r="N191" s="908">
        <f t="shared" si="22"/>
        <v>1</v>
      </c>
      <c r="O191" s="902"/>
      <c r="P191" s="99"/>
      <c r="R191" s="117">
        <f t="shared" si="23"/>
        <v>0.76115384615384596</v>
      </c>
      <c r="S191" s="205">
        <f t="shared" si="24"/>
        <v>0.71500000000000008</v>
      </c>
    </row>
    <row r="192" spans="1:19">
      <c r="B192" s="930">
        <f t="shared" si="25"/>
        <v>2021</v>
      </c>
      <c r="C192" s="685">
        <v>0</v>
      </c>
      <c r="D192" s="685">
        <v>0</v>
      </c>
      <c r="E192" s="685">
        <f t="shared" si="26"/>
        <v>0.49230769230769222</v>
      </c>
      <c r="F192" s="685">
        <f t="shared" si="27"/>
        <v>0.25384615384615378</v>
      </c>
      <c r="G192" s="685">
        <f t="shared" si="28"/>
        <v>0.25384615384615378</v>
      </c>
      <c r="H192" s="640">
        <f t="shared" si="21"/>
        <v>0.99999999999999978</v>
      </c>
      <c r="I192" s="924">
        <v>0.2</v>
      </c>
      <c r="J192" s="901">
        <v>0.3</v>
      </c>
      <c r="K192" s="901">
        <v>0.25</v>
      </c>
      <c r="L192" s="901">
        <v>0.05</v>
      </c>
      <c r="M192" s="901">
        <v>0.2</v>
      </c>
      <c r="N192" s="908">
        <f t="shared" si="22"/>
        <v>1</v>
      </c>
      <c r="O192" s="902"/>
      <c r="P192" s="99"/>
      <c r="R192" s="117">
        <f t="shared" si="23"/>
        <v>0.7715384615384614</v>
      </c>
      <c r="S192" s="205">
        <f t="shared" si="24"/>
        <v>0.71500000000000008</v>
      </c>
    </row>
    <row r="193" spans="2:19">
      <c r="B193" s="930">
        <f t="shared" si="25"/>
        <v>2022</v>
      </c>
      <c r="C193" s="685">
        <v>0</v>
      </c>
      <c r="D193" s="685">
        <v>0</v>
      </c>
      <c r="E193" s="685">
        <f t="shared" si="26"/>
        <v>0.51538461538461533</v>
      </c>
      <c r="F193" s="685">
        <f t="shared" si="27"/>
        <v>0.24230769230769225</v>
      </c>
      <c r="G193" s="685">
        <f t="shared" si="28"/>
        <v>0.24230769230769225</v>
      </c>
      <c r="H193" s="640">
        <f t="shared" si="21"/>
        <v>0.99999999999999978</v>
      </c>
      <c r="I193" s="924">
        <v>0.2</v>
      </c>
      <c r="J193" s="901">
        <v>0.3</v>
      </c>
      <c r="K193" s="901">
        <v>0.25</v>
      </c>
      <c r="L193" s="901">
        <v>0.05</v>
      </c>
      <c r="M193" s="901">
        <v>0.2</v>
      </c>
      <c r="N193" s="908">
        <f t="shared" si="22"/>
        <v>1</v>
      </c>
      <c r="O193" s="902"/>
      <c r="P193" s="99"/>
      <c r="R193" s="117">
        <f t="shared" si="23"/>
        <v>0.78192307692307683</v>
      </c>
      <c r="S193" s="205">
        <f t="shared" si="24"/>
        <v>0.71500000000000008</v>
      </c>
    </row>
    <row r="194" spans="2:19">
      <c r="B194" s="930">
        <f t="shared" si="25"/>
        <v>2023</v>
      </c>
      <c r="C194" s="685">
        <v>0</v>
      </c>
      <c r="D194" s="685">
        <v>0</v>
      </c>
      <c r="E194" s="685">
        <f t="shared" si="26"/>
        <v>0.53846153846153844</v>
      </c>
      <c r="F194" s="685">
        <f t="shared" si="27"/>
        <v>0.23076923076923073</v>
      </c>
      <c r="G194" s="685">
        <f t="shared" si="28"/>
        <v>0.23076923076923073</v>
      </c>
      <c r="H194" s="640">
        <f t="shared" si="21"/>
        <v>0.99999999999999989</v>
      </c>
      <c r="I194" s="924">
        <v>0.2</v>
      </c>
      <c r="J194" s="901">
        <v>0.3</v>
      </c>
      <c r="K194" s="901">
        <v>0.25</v>
      </c>
      <c r="L194" s="901">
        <v>0.05</v>
      </c>
      <c r="M194" s="901">
        <v>0.2</v>
      </c>
      <c r="N194" s="908">
        <f t="shared" si="22"/>
        <v>1</v>
      </c>
      <c r="O194" s="902"/>
      <c r="P194" s="99"/>
      <c r="R194" s="117">
        <f t="shared" si="23"/>
        <v>0.79230769230769216</v>
      </c>
      <c r="S194" s="205">
        <f t="shared" si="24"/>
        <v>0.71500000000000008</v>
      </c>
    </row>
    <row r="195" spans="2:19">
      <c r="B195" s="930">
        <f t="shared" si="25"/>
        <v>2024</v>
      </c>
      <c r="C195" s="685">
        <v>0</v>
      </c>
      <c r="D195" s="685">
        <v>0</v>
      </c>
      <c r="E195" s="685">
        <f t="shared" si="26"/>
        <v>0.56153846153846154</v>
      </c>
      <c r="F195" s="685">
        <f t="shared" si="27"/>
        <v>0.2192307692307692</v>
      </c>
      <c r="G195" s="685">
        <f t="shared" si="28"/>
        <v>0.2192307692307692</v>
      </c>
      <c r="H195" s="640">
        <f t="shared" si="21"/>
        <v>1</v>
      </c>
      <c r="I195" s="924">
        <v>0.2</v>
      </c>
      <c r="J195" s="901">
        <v>0.3</v>
      </c>
      <c r="K195" s="901">
        <v>0.25</v>
      </c>
      <c r="L195" s="901">
        <v>0.05</v>
      </c>
      <c r="M195" s="901">
        <v>0.2</v>
      </c>
      <c r="N195" s="908">
        <f t="shared" si="22"/>
        <v>1</v>
      </c>
      <c r="O195" s="902"/>
      <c r="P195" s="99"/>
      <c r="R195" s="117">
        <f t="shared" si="23"/>
        <v>0.80269230769230759</v>
      </c>
      <c r="S195" s="205">
        <f t="shared" si="24"/>
        <v>0.71500000000000008</v>
      </c>
    </row>
    <row r="196" spans="2:19">
      <c r="B196" s="930">
        <f t="shared" si="25"/>
        <v>2025</v>
      </c>
      <c r="C196" s="685">
        <v>0</v>
      </c>
      <c r="D196" s="685">
        <v>0</v>
      </c>
      <c r="E196" s="685">
        <f t="shared" si="26"/>
        <v>0.58461538461538465</v>
      </c>
      <c r="F196" s="685">
        <f t="shared" si="27"/>
        <v>0.20769230769230768</v>
      </c>
      <c r="G196" s="685">
        <f t="shared" si="28"/>
        <v>0.20769230769230768</v>
      </c>
      <c r="H196" s="640">
        <f t="shared" si="21"/>
        <v>1</v>
      </c>
      <c r="I196" s="924">
        <v>0.2</v>
      </c>
      <c r="J196" s="901">
        <v>0.3</v>
      </c>
      <c r="K196" s="901">
        <v>0.25</v>
      </c>
      <c r="L196" s="901">
        <v>0.05</v>
      </c>
      <c r="M196" s="901">
        <v>0.2</v>
      </c>
      <c r="N196" s="908">
        <f t="shared" si="22"/>
        <v>1</v>
      </c>
      <c r="O196" s="902"/>
      <c r="P196" s="99"/>
      <c r="R196" s="117">
        <f t="shared" si="23"/>
        <v>0.81307692307692303</v>
      </c>
      <c r="S196" s="205">
        <f t="shared" si="24"/>
        <v>0.71500000000000008</v>
      </c>
    </row>
    <row r="197" spans="2:19">
      <c r="B197" s="930">
        <f t="shared" si="25"/>
        <v>2026</v>
      </c>
      <c r="C197" s="685">
        <v>0</v>
      </c>
      <c r="D197" s="685">
        <v>0</v>
      </c>
      <c r="E197" s="685">
        <f t="shared" si="26"/>
        <v>0.60769230769230775</v>
      </c>
      <c r="F197" s="685">
        <f t="shared" si="27"/>
        <v>0.19615384615384615</v>
      </c>
      <c r="G197" s="685">
        <f t="shared" si="28"/>
        <v>0.19615384615384615</v>
      </c>
      <c r="H197" s="640">
        <f t="shared" si="21"/>
        <v>1</v>
      </c>
      <c r="I197" s="924">
        <v>0.2</v>
      </c>
      <c r="J197" s="901">
        <v>0.3</v>
      </c>
      <c r="K197" s="901">
        <v>0.25</v>
      </c>
      <c r="L197" s="901">
        <v>0.05</v>
      </c>
      <c r="M197" s="901">
        <v>0.2</v>
      </c>
      <c r="N197" s="908">
        <f t="shared" si="22"/>
        <v>1</v>
      </c>
      <c r="O197" s="902"/>
      <c r="P197" s="99"/>
      <c r="R197" s="117">
        <f t="shared" si="23"/>
        <v>0.82346153846153847</v>
      </c>
      <c r="S197" s="205">
        <f t="shared" si="24"/>
        <v>0.71500000000000008</v>
      </c>
    </row>
    <row r="198" spans="2:19">
      <c r="B198" s="930">
        <f t="shared" si="25"/>
        <v>2027</v>
      </c>
      <c r="C198" s="685">
        <v>0</v>
      </c>
      <c r="D198" s="685">
        <v>0</v>
      </c>
      <c r="E198" s="685">
        <f t="shared" si="26"/>
        <v>0.63076923076923086</v>
      </c>
      <c r="F198" s="685">
        <f t="shared" si="27"/>
        <v>0.18461538461538463</v>
      </c>
      <c r="G198" s="685">
        <f t="shared" si="28"/>
        <v>0.18461538461538463</v>
      </c>
      <c r="H198" s="640">
        <f t="shared" si="21"/>
        <v>1</v>
      </c>
      <c r="I198" s="924">
        <v>0.2</v>
      </c>
      <c r="J198" s="901">
        <v>0.3</v>
      </c>
      <c r="K198" s="901">
        <v>0.25</v>
      </c>
      <c r="L198" s="901">
        <v>0.05</v>
      </c>
      <c r="M198" s="901">
        <v>0.2</v>
      </c>
      <c r="N198" s="908">
        <f t="shared" si="22"/>
        <v>1</v>
      </c>
      <c r="O198" s="902"/>
      <c r="P198" s="99"/>
      <c r="R198" s="117">
        <f t="shared" si="23"/>
        <v>0.8338461538461539</v>
      </c>
      <c r="S198" s="205">
        <f t="shared" si="24"/>
        <v>0.71500000000000008</v>
      </c>
    </row>
    <row r="199" spans="2:19">
      <c r="B199" s="930">
        <f t="shared" si="25"/>
        <v>2028</v>
      </c>
      <c r="C199" s="685">
        <v>0</v>
      </c>
      <c r="D199" s="685">
        <v>0</v>
      </c>
      <c r="E199" s="685">
        <f t="shared" si="26"/>
        <v>0.65384615384615397</v>
      </c>
      <c r="F199" s="685">
        <f t="shared" si="27"/>
        <v>0.1730769230769231</v>
      </c>
      <c r="G199" s="685">
        <f t="shared" si="28"/>
        <v>0.1730769230769231</v>
      </c>
      <c r="H199" s="640">
        <f t="shared" si="21"/>
        <v>1.0000000000000002</v>
      </c>
      <c r="I199" s="924">
        <v>0.2</v>
      </c>
      <c r="J199" s="901">
        <v>0.3</v>
      </c>
      <c r="K199" s="901">
        <v>0.25</v>
      </c>
      <c r="L199" s="901">
        <v>0.05</v>
      </c>
      <c r="M199" s="901">
        <v>0.2</v>
      </c>
      <c r="N199" s="908">
        <f t="shared" si="22"/>
        <v>1</v>
      </c>
      <c r="O199" s="902"/>
      <c r="P199" s="99"/>
      <c r="R199" s="117">
        <f t="shared" si="23"/>
        <v>0.84423076923076934</v>
      </c>
      <c r="S199" s="205">
        <f t="shared" si="24"/>
        <v>0.71500000000000008</v>
      </c>
    </row>
    <row r="200" spans="2:19">
      <c r="B200" s="930">
        <f t="shared" si="25"/>
        <v>2029</v>
      </c>
      <c r="C200" s="685">
        <v>0</v>
      </c>
      <c r="D200" s="685">
        <v>0</v>
      </c>
      <c r="E200" s="685">
        <f t="shared" si="26"/>
        <v>0.67692307692307707</v>
      </c>
      <c r="F200" s="685">
        <f t="shared" si="27"/>
        <v>0.16153846153846158</v>
      </c>
      <c r="G200" s="685">
        <f t="shared" si="28"/>
        <v>0.16153846153846158</v>
      </c>
      <c r="H200" s="640">
        <f t="shared" si="21"/>
        <v>1.0000000000000002</v>
      </c>
      <c r="I200" s="924">
        <v>0.2</v>
      </c>
      <c r="J200" s="901">
        <v>0.3</v>
      </c>
      <c r="K200" s="901">
        <v>0.25</v>
      </c>
      <c r="L200" s="901">
        <v>0.05</v>
      </c>
      <c r="M200" s="901">
        <v>0.2</v>
      </c>
      <c r="N200" s="908">
        <f t="shared" si="22"/>
        <v>1</v>
      </c>
      <c r="O200" s="902"/>
      <c r="P200" s="99"/>
      <c r="R200" s="117">
        <f t="shared" si="23"/>
        <v>0.85461538461538478</v>
      </c>
      <c r="S200" s="205">
        <f t="shared" si="24"/>
        <v>0.71500000000000008</v>
      </c>
    </row>
    <row r="201" spans="2:19" s="1" customFormat="1">
      <c r="B201" s="909">
        <f t="shared" si="25"/>
        <v>2030</v>
      </c>
      <c r="C201" s="903">
        <f>'Recycling - Case 1'!C36</f>
        <v>0</v>
      </c>
      <c r="D201" s="903">
        <f>'Recycling - Case 1'!D36</f>
        <v>0</v>
      </c>
      <c r="E201" s="903">
        <f>'Recycling - Case 1'!E36</f>
        <v>0.7</v>
      </c>
      <c r="F201" s="903">
        <f>'Recycling - Case 1'!F36</f>
        <v>0.15</v>
      </c>
      <c r="G201" s="903">
        <f>'Recycling - Case 1'!G36</f>
        <v>0.15</v>
      </c>
      <c r="H201" s="904">
        <f t="shared" si="21"/>
        <v>1</v>
      </c>
      <c r="I201" s="925">
        <v>0.2</v>
      </c>
      <c r="J201" s="920">
        <v>0.3</v>
      </c>
      <c r="K201" s="920">
        <v>0.25</v>
      </c>
      <c r="L201" s="920">
        <v>0.05</v>
      </c>
      <c r="M201" s="920">
        <v>0.2</v>
      </c>
      <c r="N201" s="910">
        <f t="shared" si="22"/>
        <v>1</v>
      </c>
      <c r="O201" s="921"/>
      <c r="P201" s="360"/>
      <c r="R201" s="889">
        <f t="shared" si="23"/>
        <v>0.86499999999999988</v>
      </c>
      <c r="S201" s="119">
        <f t="shared" si="24"/>
        <v>0.71500000000000008</v>
      </c>
    </row>
    <row r="202" spans="2:19">
      <c r="B202" s="930">
        <f t="shared" si="25"/>
        <v>2031</v>
      </c>
      <c r="C202" s="685">
        <v>0</v>
      </c>
      <c r="D202" s="685">
        <v>0</v>
      </c>
      <c r="E202" s="685">
        <f>($E$221-$E$201)/($B$221-$B$201)+E201</f>
        <v>0.71499999999999997</v>
      </c>
      <c r="F202" s="685">
        <f t="shared" ref="F202:F220" si="29">($F$221-$F$201)/($B$221-$B$201)+F201</f>
        <v>0.14249999999999999</v>
      </c>
      <c r="G202" s="685">
        <f>($G$221-$G$201)/($B$221-$B$201)+G201</f>
        <v>0.14249999999999999</v>
      </c>
      <c r="H202" s="640">
        <f t="shared" si="21"/>
        <v>0.99999999999999989</v>
      </c>
      <c r="I202" s="924">
        <v>0.2</v>
      </c>
      <c r="J202" s="901">
        <v>0.3</v>
      </c>
      <c r="K202" s="901">
        <v>0.25</v>
      </c>
      <c r="L202" s="901">
        <v>0.05</v>
      </c>
      <c r="M202" s="901">
        <v>0.2</v>
      </c>
      <c r="N202" s="908">
        <f t="shared" si="22"/>
        <v>1</v>
      </c>
      <c r="O202" s="902"/>
      <c r="P202" s="99"/>
      <c r="R202" s="117">
        <f t="shared" si="23"/>
        <v>0.87175000000000002</v>
      </c>
      <c r="S202" s="205">
        <f t="shared" si="24"/>
        <v>0.71500000000000008</v>
      </c>
    </row>
    <row r="203" spans="2:19">
      <c r="B203" s="930">
        <f t="shared" si="25"/>
        <v>2032</v>
      </c>
      <c r="C203" s="685">
        <v>0</v>
      </c>
      <c r="D203" s="685">
        <v>0</v>
      </c>
      <c r="E203" s="685">
        <f t="shared" ref="E203:E220" si="30">($E$221-$E$201)/($B$221-$B$201)+E202</f>
        <v>0.73</v>
      </c>
      <c r="F203" s="685">
        <f t="shared" si="29"/>
        <v>0.13499999999999998</v>
      </c>
      <c r="G203" s="685">
        <f t="shared" ref="G203:G220" si="31">($G$221-$G$201)/($B$221-$B$201)+G202</f>
        <v>0.13499999999999998</v>
      </c>
      <c r="H203" s="640">
        <f t="shared" si="21"/>
        <v>1</v>
      </c>
      <c r="I203" s="924">
        <v>0.2</v>
      </c>
      <c r="J203" s="901">
        <v>0.3</v>
      </c>
      <c r="K203" s="901">
        <v>0.25</v>
      </c>
      <c r="L203" s="901">
        <v>0.05</v>
      </c>
      <c r="M203" s="901">
        <v>0.2</v>
      </c>
      <c r="N203" s="908">
        <f t="shared" si="22"/>
        <v>1</v>
      </c>
      <c r="O203" s="902"/>
      <c r="P203" s="104"/>
      <c r="R203" s="117">
        <f t="shared" si="23"/>
        <v>0.87849999999999995</v>
      </c>
      <c r="S203" s="205">
        <f t="shared" si="24"/>
        <v>0.71500000000000008</v>
      </c>
    </row>
    <row r="204" spans="2:19">
      <c r="B204" s="930">
        <f t="shared" si="25"/>
        <v>2033</v>
      </c>
      <c r="C204" s="685">
        <v>0</v>
      </c>
      <c r="D204" s="685">
        <v>0</v>
      </c>
      <c r="E204" s="685">
        <f t="shared" si="30"/>
        <v>0.745</v>
      </c>
      <c r="F204" s="685">
        <f t="shared" si="29"/>
        <v>0.12749999999999997</v>
      </c>
      <c r="G204" s="685">
        <f t="shared" si="31"/>
        <v>0.12749999999999997</v>
      </c>
      <c r="H204" s="640">
        <f t="shared" si="21"/>
        <v>0.99999999999999989</v>
      </c>
      <c r="I204" s="924">
        <v>0.2</v>
      </c>
      <c r="J204" s="901">
        <v>0.3</v>
      </c>
      <c r="K204" s="901">
        <v>0.25</v>
      </c>
      <c r="L204" s="901">
        <v>0.05</v>
      </c>
      <c r="M204" s="901">
        <v>0.2</v>
      </c>
      <c r="N204" s="908">
        <f t="shared" si="22"/>
        <v>1</v>
      </c>
      <c r="O204" s="902"/>
      <c r="P204" s="104"/>
      <c r="R204" s="117">
        <f t="shared" si="23"/>
        <v>0.88524999999999998</v>
      </c>
      <c r="S204" s="205">
        <f t="shared" si="24"/>
        <v>0.71500000000000008</v>
      </c>
    </row>
    <row r="205" spans="2:19">
      <c r="B205" s="930">
        <f t="shared" si="25"/>
        <v>2034</v>
      </c>
      <c r="C205" s="685">
        <v>0</v>
      </c>
      <c r="D205" s="685">
        <v>0</v>
      </c>
      <c r="E205" s="685">
        <f t="shared" si="30"/>
        <v>0.76</v>
      </c>
      <c r="F205" s="685">
        <f t="shared" si="29"/>
        <v>0.11999999999999997</v>
      </c>
      <c r="G205" s="685">
        <f t="shared" si="31"/>
        <v>0.11999999999999997</v>
      </c>
      <c r="H205" s="640">
        <f t="shared" si="21"/>
        <v>1</v>
      </c>
      <c r="I205" s="924">
        <v>0.2</v>
      </c>
      <c r="J205" s="901">
        <v>0.3</v>
      </c>
      <c r="K205" s="901">
        <v>0.25</v>
      </c>
      <c r="L205" s="901">
        <v>0.05</v>
      </c>
      <c r="M205" s="901">
        <v>0.2</v>
      </c>
      <c r="N205" s="908">
        <f t="shared" si="22"/>
        <v>1</v>
      </c>
      <c r="O205" s="902"/>
      <c r="P205" s="104"/>
      <c r="R205" s="117">
        <f t="shared" si="23"/>
        <v>0.8919999999999999</v>
      </c>
      <c r="S205" s="205">
        <f t="shared" si="24"/>
        <v>0.71500000000000008</v>
      </c>
    </row>
    <row r="206" spans="2:19">
      <c r="B206" s="930">
        <f t="shared" si="25"/>
        <v>2035</v>
      </c>
      <c r="C206" s="685">
        <v>0</v>
      </c>
      <c r="D206" s="685">
        <v>0</v>
      </c>
      <c r="E206" s="685">
        <f t="shared" si="30"/>
        <v>0.77500000000000002</v>
      </c>
      <c r="F206" s="685">
        <f t="shared" si="29"/>
        <v>0.11249999999999996</v>
      </c>
      <c r="G206" s="685">
        <f t="shared" si="31"/>
        <v>0.11249999999999996</v>
      </c>
      <c r="H206" s="640">
        <f t="shared" si="21"/>
        <v>0.99999999999999989</v>
      </c>
      <c r="I206" s="924">
        <v>0.2</v>
      </c>
      <c r="J206" s="901">
        <v>0.3</v>
      </c>
      <c r="K206" s="901">
        <v>0.25</v>
      </c>
      <c r="L206" s="901">
        <v>0.05</v>
      </c>
      <c r="M206" s="901">
        <v>0.2</v>
      </c>
      <c r="N206" s="908">
        <f t="shared" si="22"/>
        <v>1</v>
      </c>
      <c r="O206" s="902"/>
      <c r="P206" s="104"/>
      <c r="R206" s="117">
        <f t="shared" si="23"/>
        <v>0.89875000000000005</v>
      </c>
      <c r="S206" s="205">
        <f t="shared" si="24"/>
        <v>0.71500000000000008</v>
      </c>
    </row>
    <row r="207" spans="2:19">
      <c r="B207" s="930">
        <f t="shared" si="25"/>
        <v>2036</v>
      </c>
      <c r="C207" s="685">
        <v>0</v>
      </c>
      <c r="D207" s="685">
        <v>0</v>
      </c>
      <c r="E207" s="685">
        <f t="shared" si="30"/>
        <v>0.79</v>
      </c>
      <c r="F207" s="685">
        <f t="shared" si="29"/>
        <v>0.10499999999999995</v>
      </c>
      <c r="G207" s="685">
        <f t="shared" si="31"/>
        <v>0.10499999999999995</v>
      </c>
      <c r="H207" s="640">
        <f t="shared" si="21"/>
        <v>1</v>
      </c>
      <c r="I207" s="924">
        <v>0.2</v>
      </c>
      <c r="J207" s="901">
        <v>0.3</v>
      </c>
      <c r="K207" s="901">
        <v>0.25</v>
      </c>
      <c r="L207" s="901">
        <v>0.05</v>
      </c>
      <c r="M207" s="901">
        <v>0.2</v>
      </c>
      <c r="N207" s="908">
        <f t="shared" si="22"/>
        <v>1</v>
      </c>
      <c r="O207" s="902"/>
      <c r="P207" s="104"/>
      <c r="R207" s="117">
        <f t="shared" si="23"/>
        <v>0.90549999999999997</v>
      </c>
      <c r="S207" s="205">
        <f t="shared" si="24"/>
        <v>0.71500000000000008</v>
      </c>
    </row>
    <row r="208" spans="2:19">
      <c r="B208" s="930">
        <f t="shared" si="25"/>
        <v>2037</v>
      </c>
      <c r="C208" s="685">
        <v>0</v>
      </c>
      <c r="D208" s="685">
        <v>0</v>
      </c>
      <c r="E208" s="685">
        <f t="shared" si="30"/>
        <v>0.80500000000000005</v>
      </c>
      <c r="F208" s="685">
        <f t="shared" si="29"/>
        <v>9.7499999999999948E-2</v>
      </c>
      <c r="G208" s="685">
        <f t="shared" si="31"/>
        <v>9.7499999999999948E-2</v>
      </c>
      <c r="H208" s="640">
        <f t="shared" si="21"/>
        <v>0.99999999999999989</v>
      </c>
      <c r="I208" s="924">
        <v>0.2</v>
      </c>
      <c r="J208" s="901">
        <v>0.3</v>
      </c>
      <c r="K208" s="901">
        <v>0.25</v>
      </c>
      <c r="L208" s="901">
        <v>0.05</v>
      </c>
      <c r="M208" s="901">
        <v>0.2</v>
      </c>
      <c r="N208" s="908">
        <f t="shared" si="22"/>
        <v>1</v>
      </c>
      <c r="O208" s="902"/>
      <c r="P208" s="104"/>
      <c r="R208" s="117">
        <f t="shared" si="23"/>
        <v>0.91225000000000001</v>
      </c>
      <c r="S208" s="205">
        <f t="shared" si="24"/>
        <v>0.71500000000000008</v>
      </c>
    </row>
    <row r="209" spans="1:20">
      <c r="B209" s="930">
        <f t="shared" si="25"/>
        <v>2038</v>
      </c>
      <c r="C209" s="685">
        <v>0</v>
      </c>
      <c r="D209" s="685">
        <v>0</v>
      </c>
      <c r="E209" s="685">
        <f t="shared" si="30"/>
        <v>0.82000000000000006</v>
      </c>
      <c r="F209" s="685">
        <f t="shared" si="29"/>
        <v>8.9999999999999941E-2</v>
      </c>
      <c r="G209" s="685">
        <f t="shared" si="31"/>
        <v>8.9999999999999941E-2</v>
      </c>
      <c r="H209" s="640">
        <f t="shared" si="21"/>
        <v>1</v>
      </c>
      <c r="I209" s="924">
        <v>0.2</v>
      </c>
      <c r="J209" s="901">
        <v>0.3</v>
      </c>
      <c r="K209" s="901">
        <v>0.25</v>
      </c>
      <c r="L209" s="901">
        <v>0.05</v>
      </c>
      <c r="M209" s="901">
        <v>0.2</v>
      </c>
      <c r="N209" s="908">
        <f t="shared" si="22"/>
        <v>1</v>
      </c>
      <c r="O209" s="902"/>
      <c r="P209" s="104"/>
      <c r="R209" s="117">
        <f t="shared" si="23"/>
        <v>0.91899999999999993</v>
      </c>
      <c r="S209" s="205">
        <f t="shared" si="24"/>
        <v>0.71500000000000008</v>
      </c>
    </row>
    <row r="210" spans="1:20">
      <c r="B210" s="930">
        <f t="shared" si="25"/>
        <v>2039</v>
      </c>
      <c r="C210" s="685">
        <v>0</v>
      </c>
      <c r="D210" s="685">
        <v>0</v>
      </c>
      <c r="E210" s="685">
        <f t="shared" si="30"/>
        <v>0.83500000000000008</v>
      </c>
      <c r="F210" s="685">
        <f t="shared" si="29"/>
        <v>8.2499999999999934E-2</v>
      </c>
      <c r="G210" s="685">
        <f t="shared" si="31"/>
        <v>8.2499999999999934E-2</v>
      </c>
      <c r="H210" s="640">
        <f t="shared" si="21"/>
        <v>0.99999999999999989</v>
      </c>
      <c r="I210" s="924">
        <v>0.2</v>
      </c>
      <c r="J210" s="901">
        <v>0.3</v>
      </c>
      <c r="K210" s="901">
        <v>0.25</v>
      </c>
      <c r="L210" s="901">
        <v>0.05</v>
      </c>
      <c r="M210" s="901">
        <v>0.2</v>
      </c>
      <c r="N210" s="908">
        <f t="shared" si="22"/>
        <v>1</v>
      </c>
      <c r="O210" s="902"/>
      <c r="P210" s="104"/>
      <c r="R210" s="117">
        <f t="shared" si="23"/>
        <v>0.92575000000000007</v>
      </c>
      <c r="S210" s="205">
        <f t="shared" si="24"/>
        <v>0.71500000000000008</v>
      </c>
    </row>
    <row r="211" spans="1:20">
      <c r="B211" s="930">
        <f t="shared" si="25"/>
        <v>2040</v>
      </c>
      <c r="C211" s="685">
        <v>0</v>
      </c>
      <c r="D211" s="685">
        <v>0</v>
      </c>
      <c r="E211" s="685">
        <f t="shared" si="30"/>
        <v>0.85000000000000009</v>
      </c>
      <c r="F211" s="685">
        <f t="shared" si="29"/>
        <v>7.4999999999999928E-2</v>
      </c>
      <c r="G211" s="685">
        <f t="shared" si="31"/>
        <v>7.4999999999999928E-2</v>
      </c>
      <c r="H211" s="640">
        <f t="shared" si="21"/>
        <v>1</v>
      </c>
      <c r="I211" s="924">
        <v>0.2</v>
      </c>
      <c r="J211" s="901">
        <v>0.3</v>
      </c>
      <c r="K211" s="901">
        <v>0.25</v>
      </c>
      <c r="L211" s="901">
        <v>0.05</v>
      </c>
      <c r="M211" s="901">
        <v>0.2</v>
      </c>
      <c r="N211" s="908">
        <f t="shared" si="22"/>
        <v>1</v>
      </c>
      <c r="O211" s="902"/>
      <c r="P211" s="104"/>
      <c r="R211" s="117">
        <f t="shared" si="23"/>
        <v>0.9325</v>
      </c>
      <c r="S211" s="205">
        <f t="shared" si="24"/>
        <v>0.71500000000000008</v>
      </c>
    </row>
    <row r="212" spans="1:20">
      <c r="B212" s="930">
        <f t="shared" si="25"/>
        <v>2041</v>
      </c>
      <c r="C212" s="685">
        <v>0</v>
      </c>
      <c r="D212" s="685">
        <v>0</v>
      </c>
      <c r="E212" s="685">
        <f t="shared" si="30"/>
        <v>0.8650000000000001</v>
      </c>
      <c r="F212" s="685">
        <f t="shared" si="29"/>
        <v>6.7499999999999921E-2</v>
      </c>
      <c r="G212" s="685">
        <f t="shared" si="31"/>
        <v>6.7499999999999921E-2</v>
      </c>
      <c r="H212" s="640">
        <f t="shared" si="21"/>
        <v>0.99999999999999989</v>
      </c>
      <c r="I212" s="924">
        <v>0.2</v>
      </c>
      <c r="J212" s="901">
        <v>0.3</v>
      </c>
      <c r="K212" s="901">
        <v>0.25</v>
      </c>
      <c r="L212" s="901">
        <v>0.05</v>
      </c>
      <c r="M212" s="901">
        <v>0.2</v>
      </c>
      <c r="N212" s="908">
        <f t="shared" si="22"/>
        <v>1</v>
      </c>
      <c r="O212" s="902"/>
      <c r="P212" s="104"/>
      <c r="R212" s="117">
        <f t="shared" si="23"/>
        <v>0.93925000000000003</v>
      </c>
      <c r="S212" s="205">
        <f t="shared" si="24"/>
        <v>0.71500000000000008</v>
      </c>
    </row>
    <row r="213" spans="1:20">
      <c r="B213" s="930">
        <f t="shared" si="25"/>
        <v>2042</v>
      </c>
      <c r="C213" s="685">
        <v>0</v>
      </c>
      <c r="D213" s="685">
        <v>0</v>
      </c>
      <c r="E213" s="685">
        <f t="shared" si="30"/>
        <v>0.88000000000000012</v>
      </c>
      <c r="F213" s="685">
        <f t="shared" si="29"/>
        <v>5.9999999999999921E-2</v>
      </c>
      <c r="G213" s="685">
        <f t="shared" si="31"/>
        <v>5.9999999999999921E-2</v>
      </c>
      <c r="H213" s="640">
        <f t="shared" si="21"/>
        <v>1</v>
      </c>
      <c r="I213" s="924">
        <v>0.2</v>
      </c>
      <c r="J213" s="901">
        <v>0.3</v>
      </c>
      <c r="K213" s="901">
        <v>0.25</v>
      </c>
      <c r="L213" s="901">
        <v>0.05</v>
      </c>
      <c r="M213" s="901">
        <v>0.2</v>
      </c>
      <c r="N213" s="908">
        <f t="shared" si="22"/>
        <v>1</v>
      </c>
      <c r="O213" s="902"/>
      <c r="P213" s="104"/>
      <c r="R213" s="117">
        <f t="shared" si="23"/>
        <v>0.94599999999999995</v>
      </c>
      <c r="S213" s="205">
        <f t="shared" si="24"/>
        <v>0.71500000000000008</v>
      </c>
    </row>
    <row r="214" spans="1:20">
      <c r="B214" s="930">
        <f t="shared" si="25"/>
        <v>2043</v>
      </c>
      <c r="C214" s="685">
        <v>0</v>
      </c>
      <c r="D214" s="685">
        <v>0</v>
      </c>
      <c r="E214" s="685">
        <f t="shared" si="30"/>
        <v>0.89500000000000013</v>
      </c>
      <c r="F214" s="685">
        <f t="shared" si="29"/>
        <v>5.2499999999999922E-2</v>
      </c>
      <c r="G214" s="685">
        <f t="shared" si="31"/>
        <v>5.2499999999999922E-2</v>
      </c>
      <c r="H214" s="640">
        <f t="shared" si="21"/>
        <v>0.99999999999999989</v>
      </c>
      <c r="I214" s="924">
        <v>0.2</v>
      </c>
      <c r="J214" s="901">
        <v>0.3</v>
      </c>
      <c r="K214" s="901">
        <v>0.25</v>
      </c>
      <c r="L214" s="901">
        <v>0.05</v>
      </c>
      <c r="M214" s="901">
        <v>0.2</v>
      </c>
      <c r="N214" s="908">
        <f t="shared" si="22"/>
        <v>1</v>
      </c>
      <c r="O214" s="902"/>
      <c r="P214" s="104"/>
      <c r="R214" s="117">
        <f t="shared" si="23"/>
        <v>0.9527500000000001</v>
      </c>
      <c r="S214" s="205">
        <f t="shared" si="24"/>
        <v>0.71500000000000008</v>
      </c>
    </row>
    <row r="215" spans="1:20">
      <c r="B215" s="930">
        <f t="shared" si="25"/>
        <v>2044</v>
      </c>
      <c r="C215" s="685">
        <v>0</v>
      </c>
      <c r="D215" s="685">
        <v>0</v>
      </c>
      <c r="E215" s="685">
        <f t="shared" si="30"/>
        <v>0.91000000000000014</v>
      </c>
      <c r="F215" s="685">
        <f t="shared" si="29"/>
        <v>4.4999999999999922E-2</v>
      </c>
      <c r="G215" s="685">
        <f t="shared" si="31"/>
        <v>4.4999999999999922E-2</v>
      </c>
      <c r="H215" s="640">
        <f t="shared" si="21"/>
        <v>1</v>
      </c>
      <c r="I215" s="924">
        <v>0.2</v>
      </c>
      <c r="J215" s="901">
        <v>0.3</v>
      </c>
      <c r="K215" s="901">
        <v>0.25</v>
      </c>
      <c r="L215" s="901">
        <v>0.05</v>
      </c>
      <c r="M215" s="901">
        <v>0.2</v>
      </c>
      <c r="N215" s="908">
        <f t="shared" si="22"/>
        <v>1</v>
      </c>
      <c r="O215" s="902"/>
      <c r="P215" s="104"/>
      <c r="R215" s="117">
        <f t="shared" si="23"/>
        <v>0.95950000000000002</v>
      </c>
      <c r="S215" s="205">
        <f t="shared" si="24"/>
        <v>0.71500000000000008</v>
      </c>
    </row>
    <row r="216" spans="1:20">
      <c r="B216" s="930">
        <f t="shared" si="25"/>
        <v>2045</v>
      </c>
      <c r="C216" s="685">
        <v>0</v>
      </c>
      <c r="D216" s="685">
        <v>0</v>
      </c>
      <c r="E216" s="685">
        <f t="shared" si="30"/>
        <v>0.92500000000000016</v>
      </c>
      <c r="F216" s="685">
        <f t="shared" si="29"/>
        <v>3.7499999999999922E-2</v>
      </c>
      <c r="G216" s="685">
        <f t="shared" si="31"/>
        <v>3.7499999999999922E-2</v>
      </c>
      <c r="H216" s="640">
        <f t="shared" si="21"/>
        <v>1</v>
      </c>
      <c r="I216" s="924">
        <v>0.2</v>
      </c>
      <c r="J216" s="901">
        <v>0.3</v>
      </c>
      <c r="K216" s="901">
        <v>0.25</v>
      </c>
      <c r="L216" s="901">
        <v>0.05</v>
      </c>
      <c r="M216" s="901">
        <v>0.2</v>
      </c>
      <c r="N216" s="908">
        <f t="shared" si="22"/>
        <v>1</v>
      </c>
      <c r="O216" s="902"/>
      <c r="P216" s="104"/>
      <c r="R216" s="117">
        <f t="shared" si="23"/>
        <v>0.96625000000000005</v>
      </c>
      <c r="S216" s="205">
        <f t="shared" si="24"/>
        <v>0.71500000000000008</v>
      </c>
    </row>
    <row r="217" spans="1:20">
      <c r="B217" s="930">
        <f t="shared" si="25"/>
        <v>2046</v>
      </c>
      <c r="C217" s="685">
        <v>0</v>
      </c>
      <c r="D217" s="685">
        <v>0</v>
      </c>
      <c r="E217" s="685">
        <f t="shared" si="30"/>
        <v>0.94000000000000017</v>
      </c>
      <c r="F217" s="685">
        <f t="shared" si="29"/>
        <v>2.9999999999999923E-2</v>
      </c>
      <c r="G217" s="685">
        <f t="shared" si="31"/>
        <v>2.9999999999999923E-2</v>
      </c>
      <c r="H217" s="640">
        <f t="shared" ref="H217:H251" si="32">SUM(C217:G217)</f>
        <v>1</v>
      </c>
      <c r="I217" s="924">
        <v>0.2</v>
      </c>
      <c r="J217" s="901">
        <v>0.3</v>
      </c>
      <c r="K217" s="901">
        <v>0.25</v>
      </c>
      <c r="L217" s="901">
        <v>0.05</v>
      </c>
      <c r="M217" s="901">
        <v>0.2</v>
      </c>
      <c r="N217" s="908">
        <f t="shared" ref="N217:N221" si="33">SUM(I217:M217)</f>
        <v>1</v>
      </c>
      <c r="O217" s="902"/>
      <c r="P217" s="104"/>
      <c r="R217" s="117">
        <f t="shared" si="23"/>
        <v>0.97300000000000009</v>
      </c>
      <c r="S217" s="205">
        <f t="shared" si="24"/>
        <v>0.71500000000000008</v>
      </c>
    </row>
    <row r="218" spans="1:20">
      <c r="B218" s="930">
        <f t="shared" si="25"/>
        <v>2047</v>
      </c>
      <c r="C218" s="685">
        <v>0</v>
      </c>
      <c r="D218" s="685">
        <v>0</v>
      </c>
      <c r="E218" s="685">
        <f t="shared" si="30"/>
        <v>0.95500000000000018</v>
      </c>
      <c r="F218" s="685">
        <f t="shared" si="29"/>
        <v>2.2499999999999923E-2</v>
      </c>
      <c r="G218" s="685">
        <f t="shared" si="31"/>
        <v>2.2499999999999923E-2</v>
      </c>
      <c r="H218" s="640">
        <f t="shared" si="32"/>
        <v>1</v>
      </c>
      <c r="I218" s="924">
        <v>0.2</v>
      </c>
      <c r="J218" s="901">
        <v>0.3</v>
      </c>
      <c r="K218" s="901">
        <v>0.25</v>
      </c>
      <c r="L218" s="901">
        <v>0.05</v>
      </c>
      <c r="M218" s="901">
        <v>0.2</v>
      </c>
      <c r="N218" s="908">
        <f t="shared" si="33"/>
        <v>1</v>
      </c>
      <c r="O218" s="902"/>
      <c r="P218" s="104"/>
      <c r="R218" s="117">
        <f t="shared" si="23"/>
        <v>0.97975000000000012</v>
      </c>
      <c r="S218" s="205">
        <f t="shared" si="24"/>
        <v>0.71500000000000008</v>
      </c>
    </row>
    <row r="219" spans="1:20">
      <c r="B219" s="930">
        <f t="shared" si="25"/>
        <v>2048</v>
      </c>
      <c r="C219" s="685">
        <v>0</v>
      </c>
      <c r="D219" s="685">
        <v>0</v>
      </c>
      <c r="E219" s="685">
        <f t="shared" si="30"/>
        <v>0.9700000000000002</v>
      </c>
      <c r="F219" s="685">
        <f t="shared" si="29"/>
        <v>1.4999999999999923E-2</v>
      </c>
      <c r="G219" s="685">
        <f t="shared" si="31"/>
        <v>1.4999999999999923E-2</v>
      </c>
      <c r="H219" s="640">
        <f t="shared" si="32"/>
        <v>1</v>
      </c>
      <c r="I219" s="924">
        <v>0.2</v>
      </c>
      <c r="J219" s="901">
        <v>0.3</v>
      </c>
      <c r="K219" s="901">
        <v>0.25</v>
      </c>
      <c r="L219" s="901">
        <v>0.05</v>
      </c>
      <c r="M219" s="901">
        <v>0.2</v>
      </c>
      <c r="N219" s="908">
        <f t="shared" si="33"/>
        <v>1</v>
      </c>
      <c r="O219" s="902"/>
      <c r="P219" s="104"/>
      <c r="R219" s="117">
        <f t="shared" si="23"/>
        <v>0.98650000000000015</v>
      </c>
      <c r="S219" s="205">
        <f t="shared" si="24"/>
        <v>0.71500000000000008</v>
      </c>
    </row>
    <row r="220" spans="1:20">
      <c r="B220" s="930">
        <f t="shared" si="25"/>
        <v>2049</v>
      </c>
      <c r="C220" s="685">
        <v>0</v>
      </c>
      <c r="D220" s="685">
        <v>0</v>
      </c>
      <c r="E220" s="685">
        <f t="shared" si="30"/>
        <v>0.98500000000000021</v>
      </c>
      <c r="F220" s="685">
        <f t="shared" si="29"/>
        <v>7.4999999999999234E-3</v>
      </c>
      <c r="G220" s="685">
        <f t="shared" si="31"/>
        <v>7.4999999999999234E-3</v>
      </c>
      <c r="H220" s="640">
        <f t="shared" si="32"/>
        <v>1</v>
      </c>
      <c r="I220" s="924">
        <v>0.2</v>
      </c>
      <c r="J220" s="901">
        <v>0.3</v>
      </c>
      <c r="K220" s="901">
        <v>0.25</v>
      </c>
      <c r="L220" s="901">
        <v>0.05</v>
      </c>
      <c r="M220" s="901">
        <v>0.2</v>
      </c>
      <c r="N220" s="908">
        <f t="shared" si="33"/>
        <v>1</v>
      </c>
      <c r="O220" s="902"/>
      <c r="P220" s="104"/>
      <c r="R220" s="117">
        <f t="shared" si="23"/>
        <v>0.99325000000000008</v>
      </c>
      <c r="S220" s="205">
        <f t="shared" si="24"/>
        <v>0.71500000000000008</v>
      </c>
    </row>
    <row r="221" spans="1:20" ht="15" thickBot="1">
      <c r="B221" s="931">
        <f t="shared" si="25"/>
        <v>2050</v>
      </c>
      <c r="C221" s="687">
        <f>'Recycling - Case 1'!C37</f>
        <v>0</v>
      </c>
      <c r="D221" s="687">
        <f>'Recycling - Case 1'!D37</f>
        <v>0</v>
      </c>
      <c r="E221" s="687">
        <f>'Recycling - Case 1'!E37</f>
        <v>1</v>
      </c>
      <c r="F221" s="687">
        <f>'Recycling - Case 1'!F37</f>
        <v>0</v>
      </c>
      <c r="G221" s="687">
        <f>'Recycling - Case 1'!G37</f>
        <v>0</v>
      </c>
      <c r="H221" s="919">
        <f t="shared" si="32"/>
        <v>1</v>
      </c>
      <c r="I221" s="926">
        <v>0.2</v>
      </c>
      <c r="J221" s="927">
        <v>0.3</v>
      </c>
      <c r="K221" s="927">
        <v>0.25</v>
      </c>
      <c r="L221" s="927">
        <v>0.05</v>
      </c>
      <c r="M221" s="927">
        <v>0.2</v>
      </c>
      <c r="N221" s="911">
        <f t="shared" si="33"/>
        <v>1</v>
      </c>
      <c r="O221" s="902"/>
      <c r="P221" s="104"/>
      <c r="R221" s="120">
        <f t="shared" si="23"/>
        <v>1</v>
      </c>
      <c r="S221" s="206">
        <f t="shared" si="24"/>
        <v>0.71500000000000008</v>
      </c>
    </row>
    <row r="222" spans="1:20" ht="15" thickBot="1">
      <c r="A222" s="104"/>
      <c r="B222" s="309"/>
      <c r="C222" s="685"/>
      <c r="D222" s="685"/>
      <c r="E222" s="685"/>
      <c r="F222" s="685"/>
      <c r="G222" s="685"/>
      <c r="H222" s="640"/>
      <c r="I222" s="901"/>
      <c r="J222" s="901"/>
      <c r="K222" s="901"/>
      <c r="L222" s="901"/>
      <c r="M222" s="901"/>
      <c r="N222" s="640"/>
      <c r="O222" s="902"/>
      <c r="Q222" s="104"/>
      <c r="R222" s="118"/>
      <c r="S222" s="118"/>
      <c r="T222" s="104"/>
    </row>
    <row r="223" spans="1:20">
      <c r="A223" s="1"/>
      <c r="B223" s="915">
        <f>B188</f>
        <v>2017</v>
      </c>
      <c r="C223" s="916">
        <f>C188</f>
        <v>0</v>
      </c>
      <c r="D223" s="906">
        <f t="shared" ref="D223:G223" si="34">D188</f>
        <v>0</v>
      </c>
      <c r="E223" s="906">
        <f t="shared" si="34"/>
        <v>0.4</v>
      </c>
      <c r="F223" s="906">
        <f t="shared" si="34"/>
        <v>0.3</v>
      </c>
      <c r="G223" s="906">
        <f t="shared" si="34"/>
        <v>0.3</v>
      </c>
      <c r="H223" s="918">
        <f t="shared" si="32"/>
        <v>1</v>
      </c>
      <c r="I223" s="922">
        <v>0.2</v>
      </c>
      <c r="J223" s="923">
        <v>0.3</v>
      </c>
      <c r="K223" s="923">
        <v>0.25</v>
      </c>
      <c r="L223" s="923">
        <v>0.05</v>
      </c>
      <c r="M223" s="923">
        <v>0.2</v>
      </c>
      <c r="N223" s="907">
        <f t="shared" ref="N223:N256" si="35">SUM(I223:M223)</f>
        <v>1</v>
      </c>
      <c r="O223" s="921"/>
      <c r="R223" s="928">
        <f t="shared" ref="R223:R256" si="36">C223*C$116+D223*D$116+E223*E$116+F223*F$116+G223*G$116</f>
        <v>0.73</v>
      </c>
      <c r="S223" s="929">
        <f t="shared" ref="S223:S256" si="37">I223*$I$116+J223*$J$116+K223*$K$116+L223*L$116+M223*$M$116</f>
        <v>0.71500000000000008</v>
      </c>
    </row>
    <row r="224" spans="1:20">
      <c r="A224" s="479" t="s">
        <v>709</v>
      </c>
      <c r="B224" s="912">
        <f t="shared" ref="B224:B256" si="38">B189</f>
        <v>2018</v>
      </c>
      <c r="C224" s="689">
        <v>0</v>
      </c>
      <c r="D224" s="685">
        <v>0</v>
      </c>
      <c r="E224" s="685">
        <f>($E$236-$E$223)/($B$236-$B$223)+E223</f>
        <v>0.44615384615384618</v>
      </c>
      <c r="F224" s="685">
        <f>($F$236-$F$223)/($B$236-$B$223)+F223</f>
        <v>0.27692307692307694</v>
      </c>
      <c r="G224" s="685">
        <f>($G$236-$G$223)/($B$236-$B$223)+G223</f>
        <v>0.27692307692307694</v>
      </c>
      <c r="H224" s="640">
        <f t="shared" si="32"/>
        <v>1</v>
      </c>
      <c r="I224" s="924">
        <v>0.2</v>
      </c>
      <c r="J224" s="901">
        <v>0.3</v>
      </c>
      <c r="K224" s="901">
        <v>0.25</v>
      </c>
      <c r="L224" s="901">
        <v>0.05</v>
      </c>
      <c r="M224" s="901">
        <v>0.2</v>
      </c>
      <c r="N224" s="908">
        <f t="shared" si="35"/>
        <v>1</v>
      </c>
      <c r="O224" s="902"/>
      <c r="R224" s="117">
        <f t="shared" si="36"/>
        <v>0.75076923076923086</v>
      </c>
      <c r="S224" s="205">
        <f t="shared" si="37"/>
        <v>0.71500000000000008</v>
      </c>
    </row>
    <row r="225" spans="1:19">
      <c r="B225" s="912">
        <f t="shared" si="38"/>
        <v>2019</v>
      </c>
      <c r="C225" s="689">
        <v>0</v>
      </c>
      <c r="D225" s="685">
        <v>0</v>
      </c>
      <c r="E225" s="685">
        <f t="shared" ref="E225:E235" si="39">($E$236-$E$223)/($B$236-$B$223)+E224</f>
        <v>0.49230769230769234</v>
      </c>
      <c r="F225" s="685">
        <f t="shared" ref="F225:F235" si="40">($F$236-$F$223)/($B$236-$B$223)+F224</f>
        <v>0.25384615384615389</v>
      </c>
      <c r="G225" s="685">
        <f t="shared" ref="G225:G235" si="41">($G$236-$G$223)/($B$236-$B$223)+G224</f>
        <v>0.25384615384615389</v>
      </c>
      <c r="H225" s="640">
        <f t="shared" si="32"/>
        <v>1</v>
      </c>
      <c r="I225" s="924">
        <v>0.2</v>
      </c>
      <c r="J225" s="901">
        <v>0.3</v>
      </c>
      <c r="K225" s="901">
        <v>0.25</v>
      </c>
      <c r="L225" s="901">
        <v>0.05</v>
      </c>
      <c r="M225" s="901">
        <v>0.2</v>
      </c>
      <c r="N225" s="908">
        <f t="shared" si="35"/>
        <v>1</v>
      </c>
      <c r="O225" s="902"/>
      <c r="R225" s="117">
        <f t="shared" si="36"/>
        <v>0.77153846153846162</v>
      </c>
      <c r="S225" s="205">
        <f t="shared" si="37"/>
        <v>0.71500000000000008</v>
      </c>
    </row>
    <row r="226" spans="1:19">
      <c r="B226" s="912">
        <f t="shared" si="38"/>
        <v>2020</v>
      </c>
      <c r="C226" s="689">
        <v>0</v>
      </c>
      <c r="D226" s="685">
        <v>0</v>
      </c>
      <c r="E226" s="685">
        <f t="shared" si="39"/>
        <v>0.53846153846153844</v>
      </c>
      <c r="F226" s="685">
        <f t="shared" si="40"/>
        <v>0.23076923076923081</v>
      </c>
      <c r="G226" s="685">
        <f t="shared" si="41"/>
        <v>0.23076923076923081</v>
      </c>
      <c r="H226" s="640">
        <f t="shared" si="32"/>
        <v>1</v>
      </c>
      <c r="I226" s="924">
        <v>0.2</v>
      </c>
      <c r="J226" s="901">
        <v>0.3</v>
      </c>
      <c r="K226" s="901">
        <v>0.25</v>
      </c>
      <c r="L226" s="901">
        <v>0.05</v>
      </c>
      <c r="M226" s="901">
        <v>0.2</v>
      </c>
      <c r="N226" s="908">
        <f t="shared" si="35"/>
        <v>1</v>
      </c>
      <c r="O226" s="902"/>
      <c r="R226" s="117">
        <f t="shared" si="36"/>
        <v>0.79230769230769238</v>
      </c>
      <c r="S226" s="205">
        <f t="shared" si="37"/>
        <v>0.71500000000000008</v>
      </c>
    </row>
    <row r="227" spans="1:19">
      <c r="B227" s="912">
        <f t="shared" si="38"/>
        <v>2021</v>
      </c>
      <c r="C227" s="689">
        <v>0</v>
      </c>
      <c r="D227" s="685">
        <v>0</v>
      </c>
      <c r="E227" s="685">
        <f t="shared" si="39"/>
        <v>0.58461538461538454</v>
      </c>
      <c r="F227" s="685">
        <f t="shared" si="40"/>
        <v>0.20769230769230773</v>
      </c>
      <c r="G227" s="685">
        <f t="shared" si="41"/>
        <v>0.20769230769230773</v>
      </c>
      <c r="H227" s="640">
        <f t="shared" si="32"/>
        <v>1</v>
      </c>
      <c r="I227" s="924">
        <v>0.2</v>
      </c>
      <c r="J227" s="901">
        <v>0.3</v>
      </c>
      <c r="K227" s="901">
        <v>0.25</v>
      </c>
      <c r="L227" s="901">
        <v>0.05</v>
      </c>
      <c r="M227" s="901">
        <v>0.2</v>
      </c>
      <c r="N227" s="908">
        <f t="shared" si="35"/>
        <v>1</v>
      </c>
      <c r="O227" s="902"/>
      <c r="R227" s="117">
        <f t="shared" si="36"/>
        <v>0.81307692307692303</v>
      </c>
      <c r="S227" s="205">
        <f t="shared" si="37"/>
        <v>0.71500000000000008</v>
      </c>
    </row>
    <row r="228" spans="1:19">
      <c r="B228" s="912">
        <f t="shared" si="38"/>
        <v>2022</v>
      </c>
      <c r="C228" s="689">
        <v>0</v>
      </c>
      <c r="D228" s="685">
        <v>0</v>
      </c>
      <c r="E228" s="685">
        <f t="shared" si="39"/>
        <v>0.63076923076923064</v>
      </c>
      <c r="F228" s="685">
        <f t="shared" si="40"/>
        <v>0.18461538461538465</v>
      </c>
      <c r="G228" s="685">
        <f t="shared" si="41"/>
        <v>0.18461538461538465</v>
      </c>
      <c r="H228" s="640">
        <f t="shared" si="32"/>
        <v>0.99999999999999989</v>
      </c>
      <c r="I228" s="924">
        <v>0.2</v>
      </c>
      <c r="J228" s="901">
        <v>0.3</v>
      </c>
      <c r="K228" s="901">
        <v>0.25</v>
      </c>
      <c r="L228" s="901">
        <v>0.05</v>
      </c>
      <c r="M228" s="901">
        <v>0.2</v>
      </c>
      <c r="N228" s="908">
        <f t="shared" si="35"/>
        <v>1</v>
      </c>
      <c r="O228" s="902"/>
      <c r="R228" s="117">
        <f t="shared" si="36"/>
        <v>0.83384615384615368</v>
      </c>
      <c r="S228" s="205">
        <f t="shared" si="37"/>
        <v>0.71500000000000008</v>
      </c>
    </row>
    <row r="229" spans="1:19">
      <c r="B229" s="912">
        <f t="shared" si="38"/>
        <v>2023</v>
      </c>
      <c r="C229" s="689">
        <v>0</v>
      </c>
      <c r="D229" s="685">
        <v>0</v>
      </c>
      <c r="E229" s="685">
        <f t="shared" si="39"/>
        <v>0.67692307692307674</v>
      </c>
      <c r="F229" s="685">
        <f t="shared" si="40"/>
        <v>0.16153846153846158</v>
      </c>
      <c r="G229" s="685">
        <f t="shared" si="41"/>
        <v>0.16153846153846158</v>
      </c>
      <c r="H229" s="640">
        <f t="shared" si="32"/>
        <v>1</v>
      </c>
      <c r="I229" s="924">
        <v>0.2</v>
      </c>
      <c r="J229" s="901">
        <v>0.3</v>
      </c>
      <c r="K229" s="901">
        <v>0.25</v>
      </c>
      <c r="L229" s="901">
        <v>0.05</v>
      </c>
      <c r="M229" s="901">
        <v>0.2</v>
      </c>
      <c r="N229" s="908">
        <f t="shared" si="35"/>
        <v>1</v>
      </c>
      <c r="O229" s="902"/>
      <c r="R229" s="117">
        <f t="shared" si="36"/>
        <v>0.85461538461538455</v>
      </c>
      <c r="S229" s="205">
        <f t="shared" si="37"/>
        <v>0.71500000000000008</v>
      </c>
    </row>
    <row r="230" spans="1:19">
      <c r="B230" s="912">
        <f t="shared" si="38"/>
        <v>2024</v>
      </c>
      <c r="C230" s="689">
        <v>0</v>
      </c>
      <c r="D230" s="685">
        <v>0</v>
      </c>
      <c r="E230" s="685">
        <f t="shared" si="39"/>
        <v>0.72307692307692284</v>
      </c>
      <c r="F230" s="685">
        <f t="shared" si="40"/>
        <v>0.1384615384615385</v>
      </c>
      <c r="G230" s="685">
        <f t="shared" si="41"/>
        <v>0.1384615384615385</v>
      </c>
      <c r="H230" s="640">
        <f t="shared" si="32"/>
        <v>0.99999999999999989</v>
      </c>
      <c r="I230" s="924">
        <v>0.2</v>
      </c>
      <c r="J230" s="901">
        <v>0.3</v>
      </c>
      <c r="K230" s="901">
        <v>0.25</v>
      </c>
      <c r="L230" s="901">
        <v>0.05</v>
      </c>
      <c r="M230" s="901">
        <v>0.2</v>
      </c>
      <c r="N230" s="908">
        <f t="shared" si="35"/>
        <v>1</v>
      </c>
      <c r="O230" s="902"/>
      <c r="R230" s="117">
        <f t="shared" si="36"/>
        <v>0.87538461538461509</v>
      </c>
      <c r="S230" s="205">
        <f t="shared" si="37"/>
        <v>0.71500000000000008</v>
      </c>
    </row>
    <row r="231" spans="1:19">
      <c r="B231" s="912">
        <f t="shared" si="38"/>
        <v>2025</v>
      </c>
      <c r="C231" s="689">
        <v>0</v>
      </c>
      <c r="D231" s="685">
        <v>0</v>
      </c>
      <c r="E231" s="685">
        <f t="shared" si="39"/>
        <v>0.76923076923076894</v>
      </c>
      <c r="F231" s="685">
        <f t="shared" si="40"/>
        <v>0.11538461538461542</v>
      </c>
      <c r="G231" s="685">
        <f t="shared" si="41"/>
        <v>0.11538461538461542</v>
      </c>
      <c r="H231" s="640">
        <f t="shared" si="32"/>
        <v>0.99999999999999978</v>
      </c>
      <c r="I231" s="924">
        <v>0.2</v>
      </c>
      <c r="J231" s="901">
        <v>0.3</v>
      </c>
      <c r="K231" s="901">
        <v>0.25</v>
      </c>
      <c r="L231" s="901">
        <v>0.05</v>
      </c>
      <c r="M231" s="901">
        <v>0.2</v>
      </c>
      <c r="N231" s="908">
        <f t="shared" si="35"/>
        <v>1</v>
      </c>
      <c r="O231" s="902"/>
      <c r="R231" s="117">
        <f t="shared" si="36"/>
        <v>0.89615384615384586</v>
      </c>
      <c r="S231" s="205">
        <f t="shared" si="37"/>
        <v>0.71500000000000008</v>
      </c>
    </row>
    <row r="232" spans="1:19">
      <c r="B232" s="912">
        <f t="shared" si="38"/>
        <v>2026</v>
      </c>
      <c r="C232" s="689">
        <v>0</v>
      </c>
      <c r="D232" s="685">
        <v>0</v>
      </c>
      <c r="E232" s="685">
        <f t="shared" si="39"/>
        <v>0.81538461538461504</v>
      </c>
      <c r="F232" s="685">
        <f t="shared" si="40"/>
        <v>9.2307692307692341E-2</v>
      </c>
      <c r="G232" s="685">
        <f t="shared" si="41"/>
        <v>9.2307692307692341E-2</v>
      </c>
      <c r="H232" s="640">
        <f t="shared" si="32"/>
        <v>0.99999999999999967</v>
      </c>
      <c r="I232" s="924">
        <v>0.2</v>
      </c>
      <c r="J232" s="901">
        <v>0.3</v>
      </c>
      <c r="K232" s="901">
        <v>0.25</v>
      </c>
      <c r="L232" s="901">
        <v>0.05</v>
      </c>
      <c r="M232" s="901">
        <v>0.2</v>
      </c>
      <c r="N232" s="908">
        <f t="shared" si="35"/>
        <v>1</v>
      </c>
      <c r="O232" s="902"/>
      <c r="R232" s="117">
        <f t="shared" si="36"/>
        <v>0.91692307692307662</v>
      </c>
      <c r="S232" s="205">
        <f t="shared" si="37"/>
        <v>0.71500000000000008</v>
      </c>
    </row>
    <row r="233" spans="1:19">
      <c r="B233" s="912">
        <f t="shared" si="38"/>
        <v>2027</v>
      </c>
      <c r="C233" s="689">
        <v>0</v>
      </c>
      <c r="D233" s="685">
        <v>0</v>
      </c>
      <c r="E233" s="685">
        <f t="shared" si="39"/>
        <v>0.86153846153846114</v>
      </c>
      <c r="F233" s="685">
        <f t="shared" si="40"/>
        <v>6.9230769230769262E-2</v>
      </c>
      <c r="G233" s="685">
        <f t="shared" si="41"/>
        <v>6.9230769230769262E-2</v>
      </c>
      <c r="H233" s="640">
        <f t="shared" si="32"/>
        <v>0.99999999999999956</v>
      </c>
      <c r="I233" s="924">
        <v>0.2</v>
      </c>
      <c r="J233" s="901">
        <v>0.3</v>
      </c>
      <c r="K233" s="901">
        <v>0.25</v>
      </c>
      <c r="L233" s="901">
        <v>0.05</v>
      </c>
      <c r="M233" s="901">
        <v>0.2</v>
      </c>
      <c r="N233" s="908">
        <f t="shared" si="35"/>
        <v>1</v>
      </c>
      <c r="O233" s="902"/>
      <c r="R233" s="117">
        <f t="shared" si="36"/>
        <v>0.93769230769230727</v>
      </c>
      <c r="S233" s="205">
        <f t="shared" si="37"/>
        <v>0.71500000000000008</v>
      </c>
    </row>
    <row r="234" spans="1:19">
      <c r="B234" s="912">
        <f t="shared" si="38"/>
        <v>2028</v>
      </c>
      <c r="C234" s="689">
        <v>0</v>
      </c>
      <c r="D234" s="685">
        <v>0</v>
      </c>
      <c r="E234" s="685">
        <f t="shared" si="39"/>
        <v>0.90769230769230724</v>
      </c>
      <c r="F234" s="685">
        <f t="shared" si="40"/>
        <v>4.6153846153846184E-2</v>
      </c>
      <c r="G234" s="685">
        <f t="shared" si="41"/>
        <v>4.6153846153846184E-2</v>
      </c>
      <c r="H234" s="640">
        <f t="shared" si="32"/>
        <v>0.99999999999999967</v>
      </c>
      <c r="I234" s="924">
        <v>0.2</v>
      </c>
      <c r="J234" s="901">
        <v>0.3</v>
      </c>
      <c r="K234" s="901">
        <v>0.25</v>
      </c>
      <c r="L234" s="901">
        <v>0.05</v>
      </c>
      <c r="M234" s="901">
        <v>0.2</v>
      </c>
      <c r="N234" s="908">
        <f t="shared" si="35"/>
        <v>1</v>
      </c>
      <c r="O234" s="902"/>
      <c r="R234" s="117">
        <f t="shared" si="36"/>
        <v>0.95846153846153803</v>
      </c>
      <c r="S234" s="205">
        <f t="shared" si="37"/>
        <v>0.71500000000000008</v>
      </c>
    </row>
    <row r="235" spans="1:19">
      <c r="B235" s="912">
        <f t="shared" si="38"/>
        <v>2029</v>
      </c>
      <c r="C235" s="689">
        <v>0</v>
      </c>
      <c r="D235" s="685">
        <v>0</v>
      </c>
      <c r="E235" s="685">
        <f t="shared" si="39"/>
        <v>0.95384615384615334</v>
      </c>
      <c r="F235" s="685">
        <f t="shared" si="40"/>
        <v>2.3076923076923109E-2</v>
      </c>
      <c r="G235" s="685">
        <f t="shared" si="41"/>
        <v>2.3076923076923109E-2</v>
      </c>
      <c r="H235" s="640">
        <f t="shared" si="32"/>
        <v>0.99999999999999956</v>
      </c>
      <c r="I235" s="924">
        <v>0.2</v>
      </c>
      <c r="J235" s="901">
        <v>0.3</v>
      </c>
      <c r="K235" s="901">
        <v>0.25</v>
      </c>
      <c r="L235" s="901">
        <v>0.05</v>
      </c>
      <c r="M235" s="901">
        <v>0.2</v>
      </c>
      <c r="N235" s="908">
        <f t="shared" si="35"/>
        <v>1</v>
      </c>
      <c r="O235" s="902"/>
      <c r="R235" s="117">
        <f t="shared" si="36"/>
        <v>0.97923076923076879</v>
      </c>
      <c r="S235" s="205">
        <f t="shared" si="37"/>
        <v>0.71500000000000008</v>
      </c>
    </row>
    <row r="236" spans="1:19">
      <c r="A236" s="1"/>
      <c r="B236" s="913">
        <f t="shared" si="38"/>
        <v>2030</v>
      </c>
      <c r="C236" s="917">
        <f>'Recycling - Case 2'!C38</f>
        <v>0</v>
      </c>
      <c r="D236" s="903">
        <f>'Recycling - Case 2'!D38</f>
        <v>0</v>
      </c>
      <c r="E236" s="903">
        <f>'Recycling - Case 2'!E38</f>
        <v>1</v>
      </c>
      <c r="F236" s="903">
        <f>'Recycling - Case 2'!F38</f>
        <v>0</v>
      </c>
      <c r="G236" s="903">
        <f>'Recycling - Case 2'!G38</f>
        <v>0</v>
      </c>
      <c r="H236" s="904">
        <f t="shared" si="32"/>
        <v>1</v>
      </c>
      <c r="I236" s="925">
        <v>0.2</v>
      </c>
      <c r="J236" s="920">
        <v>0.3</v>
      </c>
      <c r="K236" s="920">
        <v>0.25</v>
      </c>
      <c r="L236" s="920">
        <v>0.05</v>
      </c>
      <c r="M236" s="920">
        <v>0.2</v>
      </c>
      <c r="N236" s="910">
        <f t="shared" si="35"/>
        <v>1</v>
      </c>
      <c r="O236" s="921"/>
      <c r="R236" s="117">
        <f t="shared" si="36"/>
        <v>1</v>
      </c>
      <c r="S236" s="205">
        <f t="shared" si="37"/>
        <v>0.71500000000000008</v>
      </c>
    </row>
    <row r="237" spans="1:19">
      <c r="B237" s="912">
        <f t="shared" si="38"/>
        <v>2031</v>
      </c>
      <c r="C237" s="689">
        <f>C236</f>
        <v>0</v>
      </c>
      <c r="D237" s="685">
        <f t="shared" ref="D237:G237" si="42">D236</f>
        <v>0</v>
      </c>
      <c r="E237" s="685">
        <f t="shared" si="42"/>
        <v>1</v>
      </c>
      <c r="F237" s="685">
        <f t="shared" si="42"/>
        <v>0</v>
      </c>
      <c r="G237" s="685">
        <f t="shared" si="42"/>
        <v>0</v>
      </c>
      <c r="H237" s="640">
        <f t="shared" si="32"/>
        <v>1</v>
      </c>
      <c r="I237" s="924">
        <v>0.2</v>
      </c>
      <c r="J237" s="901">
        <v>0.3</v>
      </c>
      <c r="K237" s="901">
        <v>0.25</v>
      </c>
      <c r="L237" s="901">
        <v>0.05</v>
      </c>
      <c r="M237" s="901">
        <v>0.2</v>
      </c>
      <c r="N237" s="908">
        <f t="shared" si="35"/>
        <v>1</v>
      </c>
      <c r="O237" s="902"/>
      <c r="R237" s="117">
        <f t="shared" si="36"/>
        <v>1</v>
      </c>
      <c r="S237" s="205">
        <f t="shared" si="37"/>
        <v>0.71500000000000008</v>
      </c>
    </row>
    <row r="238" spans="1:19">
      <c r="B238" s="912">
        <f t="shared" si="38"/>
        <v>2032</v>
      </c>
      <c r="C238" s="689">
        <f t="shared" ref="C238:C256" si="43">C237</f>
        <v>0</v>
      </c>
      <c r="D238" s="685">
        <f t="shared" ref="D238:D256" si="44">D237</f>
        <v>0</v>
      </c>
      <c r="E238" s="685">
        <f t="shared" ref="E238:E256" si="45">E237</f>
        <v>1</v>
      </c>
      <c r="F238" s="685">
        <f t="shared" ref="F238:F256" si="46">F237</f>
        <v>0</v>
      </c>
      <c r="G238" s="685">
        <f t="shared" ref="G238:G256" si="47">G237</f>
        <v>0</v>
      </c>
      <c r="H238" s="640">
        <f t="shared" si="32"/>
        <v>1</v>
      </c>
      <c r="I238" s="924">
        <v>0.2</v>
      </c>
      <c r="J238" s="901">
        <v>0.3</v>
      </c>
      <c r="K238" s="901">
        <v>0.25</v>
      </c>
      <c r="L238" s="901">
        <v>0.05</v>
      </c>
      <c r="M238" s="901">
        <v>0.2</v>
      </c>
      <c r="N238" s="908">
        <f t="shared" si="35"/>
        <v>1</v>
      </c>
      <c r="O238" s="902"/>
      <c r="R238" s="117">
        <f t="shared" si="36"/>
        <v>1</v>
      </c>
      <c r="S238" s="205">
        <f t="shared" si="37"/>
        <v>0.71500000000000008</v>
      </c>
    </row>
    <row r="239" spans="1:19">
      <c r="B239" s="912">
        <f t="shared" si="38"/>
        <v>2033</v>
      </c>
      <c r="C239" s="689">
        <f t="shared" si="43"/>
        <v>0</v>
      </c>
      <c r="D239" s="685">
        <f t="shared" si="44"/>
        <v>0</v>
      </c>
      <c r="E239" s="685">
        <f t="shared" si="45"/>
        <v>1</v>
      </c>
      <c r="F239" s="685">
        <f t="shared" si="46"/>
        <v>0</v>
      </c>
      <c r="G239" s="685">
        <f t="shared" si="47"/>
        <v>0</v>
      </c>
      <c r="H239" s="640">
        <f t="shared" si="32"/>
        <v>1</v>
      </c>
      <c r="I239" s="924">
        <v>0.2</v>
      </c>
      <c r="J239" s="901">
        <v>0.3</v>
      </c>
      <c r="K239" s="901">
        <v>0.25</v>
      </c>
      <c r="L239" s="901">
        <v>0.05</v>
      </c>
      <c r="M239" s="901">
        <v>0.2</v>
      </c>
      <c r="N239" s="908">
        <f t="shared" si="35"/>
        <v>1</v>
      </c>
      <c r="O239" s="902"/>
      <c r="R239" s="117">
        <f t="shared" si="36"/>
        <v>1</v>
      </c>
      <c r="S239" s="205">
        <f t="shared" si="37"/>
        <v>0.71500000000000008</v>
      </c>
    </row>
    <row r="240" spans="1:19">
      <c r="B240" s="912">
        <f t="shared" si="38"/>
        <v>2034</v>
      </c>
      <c r="C240" s="689">
        <f t="shared" si="43"/>
        <v>0</v>
      </c>
      <c r="D240" s="685">
        <f t="shared" si="44"/>
        <v>0</v>
      </c>
      <c r="E240" s="685">
        <f t="shared" si="45"/>
        <v>1</v>
      </c>
      <c r="F240" s="685">
        <f t="shared" si="46"/>
        <v>0</v>
      </c>
      <c r="G240" s="685">
        <f t="shared" si="47"/>
        <v>0</v>
      </c>
      <c r="H240" s="640">
        <f t="shared" si="32"/>
        <v>1</v>
      </c>
      <c r="I240" s="924">
        <v>0.2</v>
      </c>
      <c r="J240" s="901">
        <v>0.3</v>
      </c>
      <c r="K240" s="901">
        <v>0.25</v>
      </c>
      <c r="L240" s="901">
        <v>0.05</v>
      </c>
      <c r="M240" s="901">
        <v>0.2</v>
      </c>
      <c r="N240" s="908">
        <f t="shared" si="35"/>
        <v>1</v>
      </c>
      <c r="O240" s="902"/>
      <c r="R240" s="117">
        <f t="shared" si="36"/>
        <v>1</v>
      </c>
      <c r="S240" s="205">
        <f t="shared" si="37"/>
        <v>0.71500000000000008</v>
      </c>
    </row>
    <row r="241" spans="2:19">
      <c r="B241" s="912">
        <f t="shared" si="38"/>
        <v>2035</v>
      </c>
      <c r="C241" s="689">
        <f t="shared" si="43"/>
        <v>0</v>
      </c>
      <c r="D241" s="685">
        <f t="shared" si="44"/>
        <v>0</v>
      </c>
      <c r="E241" s="685">
        <f t="shared" si="45"/>
        <v>1</v>
      </c>
      <c r="F241" s="685">
        <f t="shared" si="46"/>
        <v>0</v>
      </c>
      <c r="G241" s="685">
        <f t="shared" si="47"/>
        <v>0</v>
      </c>
      <c r="H241" s="640">
        <f t="shared" si="32"/>
        <v>1</v>
      </c>
      <c r="I241" s="924">
        <v>0.2</v>
      </c>
      <c r="J241" s="901">
        <v>0.3</v>
      </c>
      <c r="K241" s="901">
        <v>0.25</v>
      </c>
      <c r="L241" s="901">
        <v>0.05</v>
      </c>
      <c r="M241" s="901">
        <v>0.2</v>
      </c>
      <c r="N241" s="908">
        <f t="shared" si="35"/>
        <v>1</v>
      </c>
      <c r="O241" s="902"/>
      <c r="R241" s="117">
        <f t="shared" si="36"/>
        <v>1</v>
      </c>
      <c r="S241" s="205">
        <f t="shared" si="37"/>
        <v>0.71500000000000008</v>
      </c>
    </row>
    <row r="242" spans="2:19">
      <c r="B242" s="912">
        <f t="shared" si="38"/>
        <v>2036</v>
      </c>
      <c r="C242" s="689">
        <f t="shared" si="43"/>
        <v>0</v>
      </c>
      <c r="D242" s="685">
        <f t="shared" si="44"/>
        <v>0</v>
      </c>
      <c r="E242" s="685">
        <f t="shared" si="45"/>
        <v>1</v>
      </c>
      <c r="F242" s="685">
        <f t="shared" si="46"/>
        <v>0</v>
      </c>
      <c r="G242" s="685">
        <f t="shared" si="47"/>
        <v>0</v>
      </c>
      <c r="H242" s="640">
        <f t="shared" si="32"/>
        <v>1</v>
      </c>
      <c r="I242" s="924">
        <v>0.2</v>
      </c>
      <c r="J242" s="901">
        <v>0.3</v>
      </c>
      <c r="K242" s="901">
        <v>0.25</v>
      </c>
      <c r="L242" s="901">
        <v>0.05</v>
      </c>
      <c r="M242" s="901">
        <v>0.2</v>
      </c>
      <c r="N242" s="908">
        <f t="shared" si="35"/>
        <v>1</v>
      </c>
      <c r="O242" s="902"/>
      <c r="R242" s="117">
        <f t="shared" si="36"/>
        <v>1</v>
      </c>
      <c r="S242" s="205">
        <f t="shared" si="37"/>
        <v>0.71500000000000008</v>
      </c>
    </row>
    <row r="243" spans="2:19">
      <c r="B243" s="912">
        <f t="shared" si="38"/>
        <v>2037</v>
      </c>
      <c r="C243" s="689">
        <f t="shared" si="43"/>
        <v>0</v>
      </c>
      <c r="D243" s="685">
        <f t="shared" si="44"/>
        <v>0</v>
      </c>
      <c r="E243" s="685">
        <f t="shared" si="45"/>
        <v>1</v>
      </c>
      <c r="F243" s="685">
        <f t="shared" si="46"/>
        <v>0</v>
      </c>
      <c r="G243" s="685">
        <f t="shared" si="47"/>
        <v>0</v>
      </c>
      <c r="H243" s="640">
        <f t="shared" si="32"/>
        <v>1</v>
      </c>
      <c r="I243" s="924">
        <v>0.2</v>
      </c>
      <c r="J243" s="901">
        <v>0.3</v>
      </c>
      <c r="K243" s="901">
        <v>0.25</v>
      </c>
      <c r="L243" s="901">
        <v>0.05</v>
      </c>
      <c r="M243" s="901">
        <v>0.2</v>
      </c>
      <c r="N243" s="908">
        <f t="shared" si="35"/>
        <v>1</v>
      </c>
      <c r="O243" s="902"/>
      <c r="R243" s="117">
        <f t="shared" si="36"/>
        <v>1</v>
      </c>
      <c r="S243" s="205">
        <f t="shared" si="37"/>
        <v>0.71500000000000008</v>
      </c>
    </row>
    <row r="244" spans="2:19">
      <c r="B244" s="912">
        <f t="shared" si="38"/>
        <v>2038</v>
      </c>
      <c r="C244" s="689">
        <f>C243</f>
        <v>0</v>
      </c>
      <c r="D244" s="685">
        <f t="shared" si="44"/>
        <v>0</v>
      </c>
      <c r="E244" s="685">
        <f t="shared" si="45"/>
        <v>1</v>
      </c>
      <c r="F244" s="685">
        <f t="shared" si="46"/>
        <v>0</v>
      </c>
      <c r="G244" s="685">
        <f t="shared" si="47"/>
        <v>0</v>
      </c>
      <c r="H244" s="640">
        <f t="shared" si="32"/>
        <v>1</v>
      </c>
      <c r="I244" s="924">
        <v>0.2</v>
      </c>
      <c r="J244" s="901">
        <v>0.3</v>
      </c>
      <c r="K244" s="901">
        <v>0.25</v>
      </c>
      <c r="L244" s="901">
        <v>0.05</v>
      </c>
      <c r="M244" s="901">
        <v>0.2</v>
      </c>
      <c r="N244" s="908">
        <f t="shared" si="35"/>
        <v>1</v>
      </c>
      <c r="O244" s="902"/>
      <c r="R244" s="117">
        <f t="shared" si="36"/>
        <v>1</v>
      </c>
      <c r="S244" s="205">
        <f t="shared" si="37"/>
        <v>0.71500000000000008</v>
      </c>
    </row>
    <row r="245" spans="2:19">
      <c r="B245" s="912">
        <f t="shared" si="38"/>
        <v>2039</v>
      </c>
      <c r="C245" s="689">
        <f t="shared" si="43"/>
        <v>0</v>
      </c>
      <c r="D245" s="685">
        <f t="shared" si="44"/>
        <v>0</v>
      </c>
      <c r="E245" s="685">
        <f t="shared" si="45"/>
        <v>1</v>
      </c>
      <c r="F245" s="685">
        <f t="shared" si="46"/>
        <v>0</v>
      </c>
      <c r="G245" s="685">
        <f t="shared" si="47"/>
        <v>0</v>
      </c>
      <c r="H245" s="640">
        <f t="shared" si="32"/>
        <v>1</v>
      </c>
      <c r="I245" s="924">
        <v>0.2</v>
      </c>
      <c r="J245" s="901">
        <v>0.3</v>
      </c>
      <c r="K245" s="901">
        <v>0.25</v>
      </c>
      <c r="L245" s="901">
        <v>0.05</v>
      </c>
      <c r="M245" s="901">
        <v>0.2</v>
      </c>
      <c r="N245" s="908">
        <f t="shared" si="35"/>
        <v>1</v>
      </c>
      <c r="O245" s="902"/>
      <c r="R245" s="117">
        <f t="shared" si="36"/>
        <v>1</v>
      </c>
      <c r="S245" s="205">
        <f t="shared" si="37"/>
        <v>0.71500000000000008</v>
      </c>
    </row>
    <row r="246" spans="2:19">
      <c r="B246" s="912">
        <f t="shared" si="38"/>
        <v>2040</v>
      </c>
      <c r="C246" s="689">
        <f t="shared" si="43"/>
        <v>0</v>
      </c>
      <c r="D246" s="685">
        <f t="shared" si="44"/>
        <v>0</v>
      </c>
      <c r="E246" s="685">
        <f t="shared" si="45"/>
        <v>1</v>
      </c>
      <c r="F246" s="685">
        <f t="shared" si="46"/>
        <v>0</v>
      </c>
      <c r="G246" s="685">
        <f t="shared" si="47"/>
        <v>0</v>
      </c>
      <c r="H246" s="640">
        <f t="shared" si="32"/>
        <v>1</v>
      </c>
      <c r="I246" s="924">
        <v>0.2</v>
      </c>
      <c r="J246" s="901">
        <v>0.3</v>
      </c>
      <c r="K246" s="901">
        <v>0.25</v>
      </c>
      <c r="L246" s="901">
        <v>0.05</v>
      </c>
      <c r="M246" s="901">
        <v>0.2</v>
      </c>
      <c r="N246" s="908">
        <f t="shared" si="35"/>
        <v>1</v>
      </c>
      <c r="O246" s="902"/>
      <c r="R246" s="117">
        <f t="shared" si="36"/>
        <v>1</v>
      </c>
      <c r="S246" s="205">
        <f t="shared" si="37"/>
        <v>0.71500000000000008</v>
      </c>
    </row>
    <row r="247" spans="2:19">
      <c r="B247" s="912">
        <f t="shared" si="38"/>
        <v>2041</v>
      </c>
      <c r="C247" s="689">
        <f t="shared" si="43"/>
        <v>0</v>
      </c>
      <c r="D247" s="685">
        <f t="shared" si="44"/>
        <v>0</v>
      </c>
      <c r="E247" s="685">
        <f t="shared" si="45"/>
        <v>1</v>
      </c>
      <c r="F247" s="685">
        <f t="shared" si="46"/>
        <v>0</v>
      </c>
      <c r="G247" s="685">
        <f t="shared" si="47"/>
        <v>0</v>
      </c>
      <c r="H247" s="640">
        <f t="shared" si="32"/>
        <v>1</v>
      </c>
      <c r="I247" s="924">
        <v>0.2</v>
      </c>
      <c r="J247" s="901">
        <v>0.3</v>
      </c>
      <c r="K247" s="901">
        <v>0.25</v>
      </c>
      <c r="L247" s="901">
        <v>0.05</v>
      </c>
      <c r="M247" s="901">
        <v>0.2</v>
      </c>
      <c r="N247" s="908">
        <f t="shared" si="35"/>
        <v>1</v>
      </c>
      <c r="O247" s="902"/>
      <c r="R247" s="117">
        <f t="shared" si="36"/>
        <v>1</v>
      </c>
      <c r="S247" s="205">
        <f t="shared" si="37"/>
        <v>0.71500000000000008</v>
      </c>
    </row>
    <row r="248" spans="2:19">
      <c r="B248" s="912">
        <f t="shared" si="38"/>
        <v>2042</v>
      </c>
      <c r="C248" s="689">
        <f t="shared" si="43"/>
        <v>0</v>
      </c>
      <c r="D248" s="685">
        <f t="shared" si="44"/>
        <v>0</v>
      </c>
      <c r="E248" s="685">
        <f t="shared" si="45"/>
        <v>1</v>
      </c>
      <c r="F248" s="685">
        <f t="shared" si="46"/>
        <v>0</v>
      </c>
      <c r="G248" s="685">
        <f t="shared" si="47"/>
        <v>0</v>
      </c>
      <c r="H248" s="640">
        <f t="shared" si="32"/>
        <v>1</v>
      </c>
      <c r="I248" s="924">
        <v>0.2</v>
      </c>
      <c r="J248" s="901">
        <v>0.3</v>
      </c>
      <c r="K248" s="901">
        <v>0.25</v>
      </c>
      <c r="L248" s="901">
        <v>0.05</v>
      </c>
      <c r="M248" s="901">
        <v>0.2</v>
      </c>
      <c r="N248" s="908">
        <f t="shared" si="35"/>
        <v>1</v>
      </c>
      <c r="O248" s="902"/>
      <c r="R248" s="117">
        <f t="shared" si="36"/>
        <v>1</v>
      </c>
      <c r="S248" s="205">
        <f t="shared" si="37"/>
        <v>0.71500000000000008</v>
      </c>
    </row>
    <row r="249" spans="2:19">
      <c r="B249" s="912">
        <f t="shared" si="38"/>
        <v>2043</v>
      </c>
      <c r="C249" s="689">
        <f t="shared" si="43"/>
        <v>0</v>
      </c>
      <c r="D249" s="685">
        <f t="shared" si="44"/>
        <v>0</v>
      </c>
      <c r="E249" s="685">
        <f t="shared" si="45"/>
        <v>1</v>
      </c>
      <c r="F249" s="685">
        <f t="shared" si="46"/>
        <v>0</v>
      </c>
      <c r="G249" s="685">
        <f t="shared" si="47"/>
        <v>0</v>
      </c>
      <c r="H249" s="640">
        <f t="shared" si="32"/>
        <v>1</v>
      </c>
      <c r="I249" s="924">
        <v>0.2</v>
      </c>
      <c r="J249" s="901">
        <v>0.3</v>
      </c>
      <c r="K249" s="901">
        <v>0.25</v>
      </c>
      <c r="L249" s="901">
        <v>0.05</v>
      </c>
      <c r="M249" s="901">
        <v>0.2</v>
      </c>
      <c r="N249" s="908">
        <f t="shared" si="35"/>
        <v>1</v>
      </c>
      <c r="O249" s="902"/>
      <c r="R249" s="117">
        <f t="shared" si="36"/>
        <v>1</v>
      </c>
      <c r="S249" s="205">
        <f t="shared" si="37"/>
        <v>0.71500000000000008</v>
      </c>
    </row>
    <row r="250" spans="2:19">
      <c r="B250" s="912">
        <f t="shared" si="38"/>
        <v>2044</v>
      </c>
      <c r="C250" s="689">
        <f t="shared" si="43"/>
        <v>0</v>
      </c>
      <c r="D250" s="685">
        <f t="shared" si="44"/>
        <v>0</v>
      </c>
      <c r="E250" s="685">
        <f t="shared" si="45"/>
        <v>1</v>
      </c>
      <c r="F250" s="685">
        <f t="shared" si="46"/>
        <v>0</v>
      </c>
      <c r="G250" s="685">
        <f t="shared" si="47"/>
        <v>0</v>
      </c>
      <c r="H250" s="640">
        <f t="shared" si="32"/>
        <v>1</v>
      </c>
      <c r="I250" s="924">
        <v>0.2</v>
      </c>
      <c r="J250" s="901">
        <v>0.3</v>
      </c>
      <c r="K250" s="901">
        <v>0.25</v>
      </c>
      <c r="L250" s="901">
        <v>0.05</v>
      </c>
      <c r="M250" s="901">
        <v>0.2</v>
      </c>
      <c r="N250" s="908">
        <f t="shared" si="35"/>
        <v>1</v>
      </c>
      <c r="O250" s="902"/>
      <c r="R250" s="117">
        <f t="shared" si="36"/>
        <v>1</v>
      </c>
      <c r="S250" s="205">
        <f t="shared" si="37"/>
        <v>0.71500000000000008</v>
      </c>
    </row>
    <row r="251" spans="2:19">
      <c r="B251" s="912">
        <f t="shared" si="38"/>
        <v>2045</v>
      </c>
      <c r="C251" s="689">
        <f t="shared" si="43"/>
        <v>0</v>
      </c>
      <c r="D251" s="685">
        <f t="shared" si="44"/>
        <v>0</v>
      </c>
      <c r="E251" s="685">
        <f t="shared" si="45"/>
        <v>1</v>
      </c>
      <c r="F251" s="685">
        <f t="shared" si="46"/>
        <v>0</v>
      </c>
      <c r="G251" s="685">
        <f t="shared" si="47"/>
        <v>0</v>
      </c>
      <c r="H251" s="640">
        <f t="shared" si="32"/>
        <v>1</v>
      </c>
      <c r="I251" s="924">
        <v>0.2</v>
      </c>
      <c r="J251" s="901">
        <v>0.3</v>
      </c>
      <c r="K251" s="901">
        <v>0.25</v>
      </c>
      <c r="L251" s="901">
        <v>0.05</v>
      </c>
      <c r="M251" s="901">
        <v>0.2</v>
      </c>
      <c r="N251" s="908">
        <f t="shared" si="35"/>
        <v>1</v>
      </c>
      <c r="O251" s="902"/>
      <c r="R251" s="117">
        <f t="shared" si="36"/>
        <v>1</v>
      </c>
      <c r="S251" s="205">
        <f t="shared" si="37"/>
        <v>0.71500000000000008</v>
      </c>
    </row>
    <row r="252" spans="2:19">
      <c r="B252" s="912">
        <f t="shared" si="38"/>
        <v>2046</v>
      </c>
      <c r="C252" s="689">
        <f t="shared" si="43"/>
        <v>0</v>
      </c>
      <c r="D252" s="685">
        <f t="shared" si="44"/>
        <v>0</v>
      </c>
      <c r="E252" s="685">
        <f t="shared" si="45"/>
        <v>1</v>
      </c>
      <c r="F252" s="685">
        <f t="shared" si="46"/>
        <v>0</v>
      </c>
      <c r="G252" s="685">
        <f t="shared" si="47"/>
        <v>0</v>
      </c>
      <c r="H252" s="640">
        <f t="shared" ref="H252:H256" si="48">SUM(C252:G252)</f>
        <v>1</v>
      </c>
      <c r="I252" s="924">
        <v>0.2</v>
      </c>
      <c r="J252" s="901">
        <v>0.3</v>
      </c>
      <c r="K252" s="901">
        <v>0.25</v>
      </c>
      <c r="L252" s="901">
        <v>0.05</v>
      </c>
      <c r="M252" s="901">
        <v>0.2</v>
      </c>
      <c r="N252" s="908">
        <f t="shared" si="35"/>
        <v>1</v>
      </c>
      <c r="O252" s="902"/>
      <c r="R252" s="117">
        <f t="shared" si="36"/>
        <v>1</v>
      </c>
      <c r="S252" s="205">
        <f t="shared" si="37"/>
        <v>0.71500000000000008</v>
      </c>
    </row>
    <row r="253" spans="2:19">
      <c r="B253" s="912">
        <f t="shared" si="38"/>
        <v>2047</v>
      </c>
      <c r="C253" s="689">
        <f t="shared" si="43"/>
        <v>0</v>
      </c>
      <c r="D253" s="685">
        <f t="shared" si="44"/>
        <v>0</v>
      </c>
      <c r="E253" s="685">
        <f t="shared" si="45"/>
        <v>1</v>
      </c>
      <c r="F253" s="685">
        <f t="shared" si="46"/>
        <v>0</v>
      </c>
      <c r="G253" s="685">
        <f t="shared" si="47"/>
        <v>0</v>
      </c>
      <c r="H253" s="640">
        <f t="shared" si="48"/>
        <v>1</v>
      </c>
      <c r="I253" s="924">
        <v>0.2</v>
      </c>
      <c r="J253" s="901">
        <v>0.3</v>
      </c>
      <c r="K253" s="901">
        <v>0.25</v>
      </c>
      <c r="L253" s="901">
        <v>0.05</v>
      </c>
      <c r="M253" s="901">
        <v>0.2</v>
      </c>
      <c r="N253" s="908">
        <f t="shared" si="35"/>
        <v>1</v>
      </c>
      <c r="O253" s="902"/>
      <c r="R253" s="117">
        <f t="shared" si="36"/>
        <v>1</v>
      </c>
      <c r="S253" s="205">
        <f t="shared" si="37"/>
        <v>0.71500000000000008</v>
      </c>
    </row>
    <row r="254" spans="2:19">
      <c r="B254" s="912">
        <f t="shared" si="38"/>
        <v>2048</v>
      </c>
      <c r="C254" s="689">
        <f t="shared" si="43"/>
        <v>0</v>
      </c>
      <c r="D254" s="685">
        <f t="shared" si="44"/>
        <v>0</v>
      </c>
      <c r="E254" s="685">
        <f t="shared" si="45"/>
        <v>1</v>
      </c>
      <c r="F254" s="685">
        <f t="shared" si="46"/>
        <v>0</v>
      </c>
      <c r="G254" s="685">
        <f t="shared" si="47"/>
        <v>0</v>
      </c>
      <c r="H254" s="640">
        <f t="shared" si="48"/>
        <v>1</v>
      </c>
      <c r="I254" s="924">
        <v>0.2</v>
      </c>
      <c r="J254" s="901">
        <v>0.3</v>
      </c>
      <c r="K254" s="901">
        <v>0.25</v>
      </c>
      <c r="L254" s="901">
        <v>0.05</v>
      </c>
      <c r="M254" s="901">
        <v>0.2</v>
      </c>
      <c r="N254" s="908">
        <f t="shared" si="35"/>
        <v>1</v>
      </c>
      <c r="O254" s="902"/>
      <c r="R254" s="117">
        <f t="shared" si="36"/>
        <v>1</v>
      </c>
      <c r="S254" s="205">
        <f t="shared" si="37"/>
        <v>0.71500000000000008</v>
      </c>
    </row>
    <row r="255" spans="2:19">
      <c r="B255" s="912">
        <f t="shared" si="38"/>
        <v>2049</v>
      </c>
      <c r="C255" s="689">
        <f t="shared" si="43"/>
        <v>0</v>
      </c>
      <c r="D255" s="685">
        <f t="shared" si="44"/>
        <v>0</v>
      </c>
      <c r="E255" s="685">
        <f t="shared" si="45"/>
        <v>1</v>
      </c>
      <c r="F255" s="685">
        <f t="shared" si="46"/>
        <v>0</v>
      </c>
      <c r="G255" s="685">
        <f t="shared" si="47"/>
        <v>0</v>
      </c>
      <c r="H255" s="640">
        <f t="shared" si="48"/>
        <v>1</v>
      </c>
      <c r="I255" s="924">
        <v>0.2</v>
      </c>
      <c r="J255" s="901">
        <v>0.3</v>
      </c>
      <c r="K255" s="901">
        <v>0.25</v>
      </c>
      <c r="L255" s="901">
        <v>0.05</v>
      </c>
      <c r="M255" s="901">
        <v>0.2</v>
      </c>
      <c r="N255" s="908">
        <f t="shared" si="35"/>
        <v>1</v>
      </c>
      <c r="O255" s="902"/>
      <c r="R255" s="117">
        <f t="shared" si="36"/>
        <v>1</v>
      </c>
      <c r="S255" s="205">
        <f t="shared" si="37"/>
        <v>0.71500000000000008</v>
      </c>
    </row>
    <row r="256" spans="2:19" ht="15" thickBot="1">
      <c r="B256" s="914">
        <f t="shared" si="38"/>
        <v>2050</v>
      </c>
      <c r="C256" s="690">
        <f t="shared" si="43"/>
        <v>0</v>
      </c>
      <c r="D256" s="687">
        <f t="shared" si="44"/>
        <v>0</v>
      </c>
      <c r="E256" s="687">
        <f t="shared" si="45"/>
        <v>1</v>
      </c>
      <c r="F256" s="687">
        <f t="shared" si="46"/>
        <v>0</v>
      </c>
      <c r="G256" s="687">
        <f t="shared" si="47"/>
        <v>0</v>
      </c>
      <c r="H256" s="919">
        <f t="shared" si="48"/>
        <v>1</v>
      </c>
      <c r="I256" s="926">
        <v>0.2</v>
      </c>
      <c r="J256" s="927">
        <v>0.3</v>
      </c>
      <c r="K256" s="927">
        <v>0.25</v>
      </c>
      <c r="L256" s="927">
        <v>0.05</v>
      </c>
      <c r="M256" s="927">
        <v>0.2</v>
      </c>
      <c r="N256" s="911">
        <f t="shared" si="35"/>
        <v>1</v>
      </c>
      <c r="O256" s="902"/>
      <c r="R256" s="120">
        <f t="shared" si="36"/>
        <v>1</v>
      </c>
      <c r="S256" s="206">
        <f t="shared" si="37"/>
        <v>0.71500000000000008</v>
      </c>
    </row>
    <row r="257" spans="1:19" ht="15" thickBot="1"/>
    <row r="258" spans="1:19">
      <c r="A258" s="1"/>
      <c r="B258" s="915">
        <f>B223</f>
        <v>2017</v>
      </c>
      <c r="C258" s="916">
        <f>C223</f>
        <v>0</v>
      </c>
      <c r="D258" s="906">
        <f t="shared" ref="D258:G258" si="49">D223</f>
        <v>0</v>
      </c>
      <c r="E258" s="906">
        <f t="shared" si="49"/>
        <v>0.4</v>
      </c>
      <c r="F258" s="906">
        <f t="shared" si="49"/>
        <v>0.3</v>
      </c>
      <c r="G258" s="906">
        <f t="shared" si="49"/>
        <v>0.3</v>
      </c>
      <c r="H258" s="918">
        <f t="shared" ref="H258:H286" si="50">SUM(C258:G258)</f>
        <v>1</v>
      </c>
      <c r="I258" s="922">
        <v>0.2</v>
      </c>
      <c r="J258" s="923">
        <v>0.3</v>
      </c>
      <c r="K258" s="923">
        <v>0.25</v>
      </c>
      <c r="L258" s="923">
        <v>0.05</v>
      </c>
      <c r="M258" s="923">
        <v>0.2</v>
      </c>
      <c r="N258" s="907">
        <f t="shared" ref="N258:N291" si="51">SUM(I258:M258)</f>
        <v>1</v>
      </c>
      <c r="O258" s="921"/>
      <c r="R258" s="928">
        <f t="shared" ref="R258:R291" si="52">C258*C$116+D258*D$116+E258*E$116+F258*F$116+G258*G$116</f>
        <v>0.73</v>
      </c>
      <c r="S258" s="929">
        <f t="shared" ref="S258:S291" si="53">I258*$I$116+J258*$J$116+K258*$K$116+L258*L$116+M258*$M$116</f>
        <v>0.71500000000000008</v>
      </c>
    </row>
    <row r="259" spans="1:19">
      <c r="A259" s="479" t="s">
        <v>711</v>
      </c>
      <c r="B259" s="912">
        <f t="shared" ref="B259:B291" si="54">B224</f>
        <v>2018</v>
      </c>
      <c r="C259" s="689">
        <f>($C$271-$C$258)/($B$271-$B$258)+C258</f>
        <v>0</v>
      </c>
      <c r="D259" s="685">
        <f>($D$271-$D$258)/($B$271-$B$258)+D258</f>
        <v>0</v>
      </c>
      <c r="E259" s="685">
        <f>($E$271-$E$258)/($B$271-$B$258)+E258</f>
        <v>0.44615384615384618</v>
      </c>
      <c r="F259" s="685">
        <f>($F$271-$F$258)/($B$271-$B$258)+F258</f>
        <v>0.27692307692307694</v>
      </c>
      <c r="G259" s="685">
        <f>($G$271-$G$258)/($B$271-$B$258)+G258</f>
        <v>0.27692307692307694</v>
      </c>
      <c r="H259" s="640">
        <f>SUM(C259:G259)</f>
        <v>1</v>
      </c>
      <c r="I259" s="924">
        <v>0.2</v>
      </c>
      <c r="J259" s="901">
        <v>0.3</v>
      </c>
      <c r="K259" s="901">
        <v>0.25</v>
      </c>
      <c r="L259" s="901">
        <v>0.05</v>
      </c>
      <c r="M259" s="901">
        <v>0.2</v>
      </c>
      <c r="N259" s="908">
        <f t="shared" si="51"/>
        <v>1</v>
      </c>
      <c r="O259" s="902"/>
      <c r="R259" s="117">
        <f t="shared" si="52"/>
        <v>0.75076923076923086</v>
      </c>
      <c r="S259" s="205">
        <f t="shared" si="53"/>
        <v>0.71500000000000008</v>
      </c>
    </row>
    <row r="260" spans="1:19">
      <c r="B260" s="912">
        <f t="shared" si="54"/>
        <v>2019</v>
      </c>
      <c r="C260" s="689">
        <f t="shared" ref="C260:C270" si="55">($C$271-$C$258)/($B$271-$B$258)+C259</f>
        <v>0</v>
      </c>
      <c r="D260" s="685">
        <f t="shared" ref="D260:D270" si="56">($D$271-$D$258)/($B$271-$B$258)+D259</f>
        <v>0</v>
      </c>
      <c r="E260" s="685">
        <f t="shared" ref="E260:E270" si="57">($E$271-$E$258)/($B$271-$B$258)+E259</f>
        <v>0.49230769230769234</v>
      </c>
      <c r="F260" s="685">
        <f t="shared" ref="F260:F270" si="58">($F$271-$F$258)/($B$271-$B$258)+F259</f>
        <v>0.25384615384615389</v>
      </c>
      <c r="G260" s="685">
        <f t="shared" ref="G260:G270" si="59">($G$271-$G$258)/($B$271-$B$258)+G259</f>
        <v>0.25384615384615389</v>
      </c>
      <c r="H260" s="640">
        <f t="shared" si="50"/>
        <v>1</v>
      </c>
      <c r="I260" s="924">
        <v>0.2</v>
      </c>
      <c r="J260" s="901">
        <v>0.3</v>
      </c>
      <c r="K260" s="901">
        <v>0.25</v>
      </c>
      <c r="L260" s="901">
        <v>0.05</v>
      </c>
      <c r="M260" s="901">
        <v>0.2</v>
      </c>
      <c r="N260" s="908">
        <f t="shared" si="51"/>
        <v>1</v>
      </c>
      <c r="O260" s="902"/>
      <c r="R260" s="117">
        <f t="shared" si="52"/>
        <v>0.77153846153846162</v>
      </c>
      <c r="S260" s="205">
        <f t="shared" si="53"/>
        <v>0.71500000000000008</v>
      </c>
    </row>
    <row r="261" spans="1:19">
      <c r="B261" s="912">
        <f t="shared" si="54"/>
        <v>2020</v>
      </c>
      <c r="C261" s="689">
        <f t="shared" si="55"/>
        <v>0</v>
      </c>
      <c r="D261" s="685">
        <f t="shared" si="56"/>
        <v>0</v>
      </c>
      <c r="E261" s="685">
        <f t="shared" si="57"/>
        <v>0.53846153846153844</v>
      </c>
      <c r="F261" s="685">
        <f t="shared" si="58"/>
        <v>0.23076923076923081</v>
      </c>
      <c r="G261" s="685">
        <f t="shared" si="59"/>
        <v>0.23076923076923081</v>
      </c>
      <c r="H261" s="640">
        <f t="shared" si="50"/>
        <v>1</v>
      </c>
      <c r="I261" s="924">
        <v>0.2</v>
      </c>
      <c r="J261" s="901">
        <v>0.3</v>
      </c>
      <c r="K261" s="901">
        <v>0.25</v>
      </c>
      <c r="L261" s="901">
        <v>0.05</v>
      </c>
      <c r="M261" s="901">
        <v>0.2</v>
      </c>
      <c r="N261" s="908">
        <f t="shared" si="51"/>
        <v>1</v>
      </c>
      <c r="O261" s="902"/>
      <c r="R261" s="117">
        <f t="shared" si="52"/>
        <v>0.79230769230769238</v>
      </c>
      <c r="S261" s="205">
        <f t="shared" si="53"/>
        <v>0.71500000000000008</v>
      </c>
    </row>
    <row r="262" spans="1:19">
      <c r="B262" s="912">
        <f t="shared" si="54"/>
        <v>2021</v>
      </c>
      <c r="C262" s="689">
        <f t="shared" si="55"/>
        <v>0</v>
      </c>
      <c r="D262" s="685">
        <f t="shared" si="56"/>
        <v>0</v>
      </c>
      <c r="E262" s="685">
        <f t="shared" si="57"/>
        <v>0.58461538461538454</v>
      </c>
      <c r="F262" s="685">
        <f t="shared" si="58"/>
        <v>0.20769230769230773</v>
      </c>
      <c r="G262" s="685">
        <f t="shared" si="59"/>
        <v>0.20769230769230773</v>
      </c>
      <c r="H262" s="640">
        <f t="shared" si="50"/>
        <v>1</v>
      </c>
      <c r="I262" s="924">
        <v>0.2</v>
      </c>
      <c r="J262" s="901">
        <v>0.3</v>
      </c>
      <c r="K262" s="901">
        <v>0.25</v>
      </c>
      <c r="L262" s="901">
        <v>0.05</v>
      </c>
      <c r="M262" s="901">
        <v>0.2</v>
      </c>
      <c r="N262" s="908">
        <f t="shared" si="51"/>
        <v>1</v>
      </c>
      <c r="O262" s="902"/>
      <c r="R262" s="117">
        <f t="shared" si="52"/>
        <v>0.81307692307692303</v>
      </c>
      <c r="S262" s="205">
        <f t="shared" si="53"/>
        <v>0.71500000000000008</v>
      </c>
    </row>
    <row r="263" spans="1:19">
      <c r="B263" s="912">
        <f t="shared" si="54"/>
        <v>2022</v>
      </c>
      <c r="C263" s="689">
        <f t="shared" si="55"/>
        <v>0</v>
      </c>
      <c r="D263" s="685">
        <f t="shared" si="56"/>
        <v>0</v>
      </c>
      <c r="E263" s="685">
        <f t="shared" si="57"/>
        <v>0.63076923076923064</v>
      </c>
      <c r="F263" s="685">
        <f t="shared" si="58"/>
        <v>0.18461538461538465</v>
      </c>
      <c r="G263" s="685">
        <f t="shared" si="59"/>
        <v>0.18461538461538465</v>
      </c>
      <c r="H263" s="640">
        <f t="shared" si="50"/>
        <v>0.99999999999999989</v>
      </c>
      <c r="I263" s="924">
        <v>0.2</v>
      </c>
      <c r="J263" s="901">
        <v>0.3</v>
      </c>
      <c r="K263" s="901">
        <v>0.25</v>
      </c>
      <c r="L263" s="901">
        <v>0.05</v>
      </c>
      <c r="M263" s="901">
        <v>0.2</v>
      </c>
      <c r="N263" s="908">
        <f t="shared" si="51"/>
        <v>1</v>
      </c>
      <c r="O263" s="902"/>
      <c r="R263" s="117">
        <f t="shared" si="52"/>
        <v>0.83384615384615368</v>
      </c>
      <c r="S263" s="205">
        <f t="shared" si="53"/>
        <v>0.71500000000000008</v>
      </c>
    </row>
    <row r="264" spans="1:19">
      <c r="B264" s="912">
        <f t="shared" si="54"/>
        <v>2023</v>
      </c>
      <c r="C264" s="689">
        <f t="shared" si="55"/>
        <v>0</v>
      </c>
      <c r="D264" s="685">
        <f t="shared" si="56"/>
        <v>0</v>
      </c>
      <c r="E264" s="685">
        <f t="shared" si="57"/>
        <v>0.67692307692307674</v>
      </c>
      <c r="F264" s="685">
        <f t="shared" si="58"/>
        <v>0.16153846153846158</v>
      </c>
      <c r="G264" s="685">
        <f t="shared" si="59"/>
        <v>0.16153846153846158</v>
      </c>
      <c r="H264" s="640">
        <f t="shared" si="50"/>
        <v>1</v>
      </c>
      <c r="I264" s="924">
        <v>0.2</v>
      </c>
      <c r="J264" s="901">
        <v>0.3</v>
      </c>
      <c r="K264" s="901">
        <v>0.25</v>
      </c>
      <c r="L264" s="901">
        <v>0.05</v>
      </c>
      <c r="M264" s="901">
        <v>0.2</v>
      </c>
      <c r="N264" s="908">
        <f t="shared" si="51"/>
        <v>1</v>
      </c>
      <c r="O264" s="902"/>
      <c r="R264" s="117">
        <f t="shared" si="52"/>
        <v>0.85461538461538455</v>
      </c>
      <c r="S264" s="205">
        <f t="shared" si="53"/>
        <v>0.71500000000000008</v>
      </c>
    </row>
    <row r="265" spans="1:19">
      <c r="B265" s="912">
        <f t="shared" si="54"/>
        <v>2024</v>
      </c>
      <c r="C265" s="689">
        <f t="shared" si="55"/>
        <v>0</v>
      </c>
      <c r="D265" s="685">
        <f t="shared" si="56"/>
        <v>0</v>
      </c>
      <c r="E265" s="685">
        <f t="shared" si="57"/>
        <v>0.72307692307692284</v>
      </c>
      <c r="F265" s="685">
        <f t="shared" si="58"/>
        <v>0.1384615384615385</v>
      </c>
      <c r="G265" s="685">
        <f t="shared" si="59"/>
        <v>0.1384615384615385</v>
      </c>
      <c r="H265" s="640">
        <f t="shared" si="50"/>
        <v>0.99999999999999989</v>
      </c>
      <c r="I265" s="924">
        <v>0.2</v>
      </c>
      <c r="J265" s="901">
        <v>0.3</v>
      </c>
      <c r="K265" s="901">
        <v>0.25</v>
      </c>
      <c r="L265" s="901">
        <v>0.05</v>
      </c>
      <c r="M265" s="901">
        <v>0.2</v>
      </c>
      <c r="N265" s="908">
        <f t="shared" si="51"/>
        <v>1</v>
      </c>
      <c r="O265" s="902"/>
      <c r="R265" s="117">
        <f t="shared" si="52"/>
        <v>0.87538461538461509</v>
      </c>
      <c r="S265" s="205">
        <f t="shared" si="53"/>
        <v>0.71500000000000008</v>
      </c>
    </row>
    <row r="266" spans="1:19">
      <c r="B266" s="912">
        <f t="shared" si="54"/>
        <v>2025</v>
      </c>
      <c r="C266" s="689">
        <f t="shared" si="55"/>
        <v>0</v>
      </c>
      <c r="D266" s="685">
        <f t="shared" si="56"/>
        <v>0</v>
      </c>
      <c r="E266" s="685">
        <f t="shared" si="57"/>
        <v>0.76923076923076894</v>
      </c>
      <c r="F266" s="685">
        <f t="shared" si="58"/>
        <v>0.11538461538461542</v>
      </c>
      <c r="G266" s="685">
        <f t="shared" si="59"/>
        <v>0.11538461538461542</v>
      </c>
      <c r="H266" s="640">
        <f t="shared" si="50"/>
        <v>0.99999999999999978</v>
      </c>
      <c r="I266" s="924">
        <v>0.2</v>
      </c>
      <c r="J266" s="901">
        <v>0.3</v>
      </c>
      <c r="K266" s="901">
        <v>0.25</v>
      </c>
      <c r="L266" s="901">
        <v>0.05</v>
      </c>
      <c r="M266" s="901">
        <v>0.2</v>
      </c>
      <c r="N266" s="908">
        <f t="shared" si="51"/>
        <v>1</v>
      </c>
      <c r="O266" s="902"/>
      <c r="R266" s="117">
        <f t="shared" si="52"/>
        <v>0.89615384615384586</v>
      </c>
      <c r="S266" s="205">
        <f t="shared" si="53"/>
        <v>0.71500000000000008</v>
      </c>
    </row>
    <row r="267" spans="1:19">
      <c r="B267" s="912">
        <f t="shared" si="54"/>
        <v>2026</v>
      </c>
      <c r="C267" s="689">
        <f t="shared" si="55"/>
        <v>0</v>
      </c>
      <c r="D267" s="685">
        <f t="shared" si="56"/>
        <v>0</v>
      </c>
      <c r="E267" s="685">
        <f t="shared" si="57"/>
        <v>0.81538461538461504</v>
      </c>
      <c r="F267" s="685">
        <f t="shared" si="58"/>
        <v>9.2307692307692341E-2</v>
      </c>
      <c r="G267" s="685">
        <f t="shared" si="59"/>
        <v>9.2307692307692341E-2</v>
      </c>
      <c r="H267" s="640">
        <f t="shared" si="50"/>
        <v>0.99999999999999967</v>
      </c>
      <c r="I267" s="924">
        <v>0.2</v>
      </c>
      <c r="J267" s="901">
        <v>0.3</v>
      </c>
      <c r="K267" s="901">
        <v>0.25</v>
      </c>
      <c r="L267" s="901">
        <v>0.05</v>
      </c>
      <c r="M267" s="901">
        <v>0.2</v>
      </c>
      <c r="N267" s="908">
        <f t="shared" si="51"/>
        <v>1</v>
      </c>
      <c r="O267" s="902"/>
      <c r="R267" s="117">
        <f t="shared" si="52"/>
        <v>0.91692307692307662</v>
      </c>
      <c r="S267" s="205">
        <f t="shared" si="53"/>
        <v>0.71500000000000008</v>
      </c>
    </row>
    <row r="268" spans="1:19">
      <c r="B268" s="912">
        <f t="shared" si="54"/>
        <v>2027</v>
      </c>
      <c r="C268" s="689">
        <f t="shared" si="55"/>
        <v>0</v>
      </c>
      <c r="D268" s="685">
        <f t="shared" si="56"/>
        <v>0</v>
      </c>
      <c r="E268" s="685">
        <f t="shared" si="57"/>
        <v>0.86153846153846114</v>
      </c>
      <c r="F268" s="685">
        <f t="shared" si="58"/>
        <v>6.9230769230769262E-2</v>
      </c>
      <c r="G268" s="685">
        <f t="shared" si="59"/>
        <v>6.9230769230769262E-2</v>
      </c>
      <c r="H268" s="640">
        <f t="shared" si="50"/>
        <v>0.99999999999999956</v>
      </c>
      <c r="I268" s="924">
        <v>0.2</v>
      </c>
      <c r="J268" s="901">
        <v>0.3</v>
      </c>
      <c r="K268" s="901">
        <v>0.25</v>
      </c>
      <c r="L268" s="901">
        <v>0.05</v>
      </c>
      <c r="M268" s="901">
        <v>0.2</v>
      </c>
      <c r="N268" s="908">
        <f t="shared" si="51"/>
        <v>1</v>
      </c>
      <c r="O268" s="902"/>
      <c r="R268" s="117">
        <f t="shared" si="52"/>
        <v>0.93769230769230727</v>
      </c>
      <c r="S268" s="205">
        <f t="shared" si="53"/>
        <v>0.71500000000000008</v>
      </c>
    </row>
    <row r="269" spans="1:19">
      <c r="B269" s="912">
        <f t="shared" si="54"/>
        <v>2028</v>
      </c>
      <c r="C269" s="689">
        <f t="shared" si="55"/>
        <v>0</v>
      </c>
      <c r="D269" s="685">
        <f t="shared" si="56"/>
        <v>0</v>
      </c>
      <c r="E269" s="685">
        <f t="shared" si="57"/>
        <v>0.90769230769230724</v>
      </c>
      <c r="F269" s="685">
        <f t="shared" si="58"/>
        <v>4.6153846153846184E-2</v>
      </c>
      <c r="G269" s="685">
        <f t="shared" si="59"/>
        <v>4.6153846153846184E-2</v>
      </c>
      <c r="H269" s="640">
        <f t="shared" si="50"/>
        <v>0.99999999999999967</v>
      </c>
      <c r="I269" s="924">
        <v>0.2</v>
      </c>
      <c r="J269" s="901">
        <v>0.3</v>
      </c>
      <c r="K269" s="901">
        <v>0.25</v>
      </c>
      <c r="L269" s="901">
        <v>0.05</v>
      </c>
      <c r="M269" s="901">
        <v>0.2</v>
      </c>
      <c r="N269" s="908">
        <f t="shared" si="51"/>
        <v>1</v>
      </c>
      <c r="O269" s="902"/>
      <c r="R269" s="117">
        <f t="shared" si="52"/>
        <v>0.95846153846153803</v>
      </c>
      <c r="S269" s="205">
        <f t="shared" si="53"/>
        <v>0.71500000000000008</v>
      </c>
    </row>
    <row r="270" spans="1:19">
      <c r="B270" s="912">
        <f t="shared" si="54"/>
        <v>2029</v>
      </c>
      <c r="C270" s="689">
        <f t="shared" si="55"/>
        <v>0</v>
      </c>
      <c r="D270" s="685">
        <f t="shared" si="56"/>
        <v>0</v>
      </c>
      <c r="E270" s="685">
        <f t="shared" si="57"/>
        <v>0.95384615384615334</v>
      </c>
      <c r="F270" s="685">
        <f t="shared" si="58"/>
        <v>2.3076923076923109E-2</v>
      </c>
      <c r="G270" s="685">
        <f t="shared" si="59"/>
        <v>2.3076923076923109E-2</v>
      </c>
      <c r="H270" s="640">
        <f t="shared" si="50"/>
        <v>0.99999999999999956</v>
      </c>
      <c r="I270" s="924">
        <v>0.2</v>
      </c>
      <c r="J270" s="901">
        <v>0.3</v>
      </c>
      <c r="K270" s="901">
        <v>0.25</v>
      </c>
      <c r="L270" s="901">
        <v>0.05</v>
      </c>
      <c r="M270" s="901">
        <v>0.2</v>
      </c>
      <c r="N270" s="908">
        <f t="shared" si="51"/>
        <v>1</v>
      </c>
      <c r="O270" s="902"/>
      <c r="R270" s="117">
        <f t="shared" si="52"/>
        <v>0.97923076923076879</v>
      </c>
      <c r="S270" s="205">
        <f t="shared" si="53"/>
        <v>0.71500000000000008</v>
      </c>
    </row>
    <row r="271" spans="1:19">
      <c r="A271" s="1"/>
      <c r="B271" s="913">
        <f t="shared" si="54"/>
        <v>2030</v>
      </c>
      <c r="C271" s="917">
        <f>'Recycling - Case 3'!C39</f>
        <v>0</v>
      </c>
      <c r="D271" s="903">
        <f>'Recycling - Case 3'!D39</f>
        <v>0</v>
      </c>
      <c r="E271" s="903">
        <f>'Recycling - Case 3'!E39</f>
        <v>1</v>
      </c>
      <c r="F271" s="903">
        <f>'Recycling - Case 3'!F39</f>
        <v>0</v>
      </c>
      <c r="G271" s="903">
        <f>'Recycling - Case 3'!G39</f>
        <v>0</v>
      </c>
      <c r="H271" s="904">
        <f>'Recycling - Case 3'!H39</f>
        <v>0</v>
      </c>
      <c r="I271" s="925">
        <v>0.2</v>
      </c>
      <c r="J271" s="920">
        <v>0.3</v>
      </c>
      <c r="K271" s="920">
        <v>0.25</v>
      </c>
      <c r="L271" s="920">
        <v>0.05</v>
      </c>
      <c r="M271" s="920">
        <v>0.2</v>
      </c>
      <c r="N271" s="910">
        <f t="shared" si="51"/>
        <v>1</v>
      </c>
      <c r="O271" s="921"/>
      <c r="R271" s="117">
        <f t="shared" si="52"/>
        <v>1</v>
      </c>
      <c r="S271" s="205">
        <f t="shared" si="53"/>
        <v>0.71500000000000008</v>
      </c>
    </row>
    <row r="272" spans="1:19">
      <c r="B272" s="912">
        <f t="shared" si="54"/>
        <v>2031</v>
      </c>
      <c r="C272" s="689">
        <f>C271</f>
        <v>0</v>
      </c>
      <c r="D272" s="685">
        <f t="shared" ref="D272:G287" si="60">D271</f>
        <v>0</v>
      </c>
      <c r="E272" s="685">
        <f t="shared" si="60"/>
        <v>1</v>
      </c>
      <c r="F272" s="685">
        <f t="shared" si="60"/>
        <v>0</v>
      </c>
      <c r="G272" s="685">
        <f t="shared" si="60"/>
        <v>0</v>
      </c>
      <c r="H272" s="640">
        <f t="shared" si="50"/>
        <v>1</v>
      </c>
      <c r="I272" s="924">
        <v>0.2</v>
      </c>
      <c r="J272" s="901">
        <v>0.3</v>
      </c>
      <c r="K272" s="901">
        <v>0.25</v>
      </c>
      <c r="L272" s="901">
        <v>0.05</v>
      </c>
      <c r="M272" s="901">
        <v>0.2</v>
      </c>
      <c r="N272" s="908">
        <f t="shared" si="51"/>
        <v>1</v>
      </c>
      <c r="O272" s="902"/>
      <c r="R272" s="117">
        <f t="shared" si="52"/>
        <v>1</v>
      </c>
      <c r="S272" s="205">
        <f t="shared" si="53"/>
        <v>0.71500000000000008</v>
      </c>
    </row>
    <row r="273" spans="2:19">
      <c r="B273" s="912">
        <f t="shared" si="54"/>
        <v>2032</v>
      </c>
      <c r="C273" s="689">
        <f t="shared" ref="C273:G288" si="61">C272</f>
        <v>0</v>
      </c>
      <c r="D273" s="685">
        <f t="shared" si="60"/>
        <v>0</v>
      </c>
      <c r="E273" s="685">
        <f t="shared" si="60"/>
        <v>1</v>
      </c>
      <c r="F273" s="685">
        <f t="shared" si="60"/>
        <v>0</v>
      </c>
      <c r="G273" s="685">
        <f t="shared" si="60"/>
        <v>0</v>
      </c>
      <c r="H273" s="640">
        <f t="shared" si="50"/>
        <v>1</v>
      </c>
      <c r="I273" s="924">
        <v>0.2</v>
      </c>
      <c r="J273" s="901">
        <v>0.3</v>
      </c>
      <c r="K273" s="901">
        <v>0.25</v>
      </c>
      <c r="L273" s="901">
        <v>0.05</v>
      </c>
      <c r="M273" s="901">
        <v>0.2</v>
      </c>
      <c r="N273" s="908">
        <f t="shared" si="51"/>
        <v>1</v>
      </c>
      <c r="O273" s="902"/>
      <c r="R273" s="117">
        <f t="shared" si="52"/>
        <v>1</v>
      </c>
      <c r="S273" s="205">
        <f t="shared" si="53"/>
        <v>0.71500000000000008</v>
      </c>
    </row>
    <row r="274" spans="2:19">
      <c r="B274" s="912">
        <f t="shared" si="54"/>
        <v>2033</v>
      </c>
      <c r="C274" s="689">
        <f t="shared" si="61"/>
        <v>0</v>
      </c>
      <c r="D274" s="685">
        <f t="shared" si="60"/>
        <v>0</v>
      </c>
      <c r="E274" s="685">
        <f t="shared" si="60"/>
        <v>1</v>
      </c>
      <c r="F274" s="685">
        <f t="shared" si="60"/>
        <v>0</v>
      </c>
      <c r="G274" s="685">
        <f t="shared" si="60"/>
        <v>0</v>
      </c>
      <c r="H274" s="640">
        <f t="shared" si="50"/>
        <v>1</v>
      </c>
      <c r="I274" s="924">
        <v>0.2</v>
      </c>
      <c r="J274" s="901">
        <v>0.3</v>
      </c>
      <c r="K274" s="901">
        <v>0.25</v>
      </c>
      <c r="L274" s="901">
        <v>0.05</v>
      </c>
      <c r="M274" s="901">
        <v>0.2</v>
      </c>
      <c r="N274" s="908">
        <f t="shared" si="51"/>
        <v>1</v>
      </c>
      <c r="O274" s="902"/>
      <c r="R274" s="117">
        <f t="shared" si="52"/>
        <v>1</v>
      </c>
      <c r="S274" s="205">
        <f t="shared" si="53"/>
        <v>0.71500000000000008</v>
      </c>
    </row>
    <row r="275" spans="2:19">
      <c r="B275" s="912">
        <f t="shared" si="54"/>
        <v>2034</v>
      </c>
      <c r="C275" s="689">
        <f t="shared" si="61"/>
        <v>0</v>
      </c>
      <c r="D275" s="685">
        <f t="shared" si="60"/>
        <v>0</v>
      </c>
      <c r="E275" s="685">
        <f t="shared" si="60"/>
        <v>1</v>
      </c>
      <c r="F275" s="685">
        <f t="shared" si="60"/>
        <v>0</v>
      </c>
      <c r="G275" s="685">
        <f t="shared" si="60"/>
        <v>0</v>
      </c>
      <c r="H275" s="640">
        <f t="shared" si="50"/>
        <v>1</v>
      </c>
      <c r="I275" s="924">
        <v>0.2</v>
      </c>
      <c r="J275" s="901">
        <v>0.3</v>
      </c>
      <c r="K275" s="901">
        <v>0.25</v>
      </c>
      <c r="L275" s="901">
        <v>0.05</v>
      </c>
      <c r="M275" s="901">
        <v>0.2</v>
      </c>
      <c r="N275" s="908">
        <f t="shared" si="51"/>
        <v>1</v>
      </c>
      <c r="O275" s="902"/>
      <c r="R275" s="117">
        <f t="shared" si="52"/>
        <v>1</v>
      </c>
      <c r="S275" s="205">
        <f t="shared" si="53"/>
        <v>0.71500000000000008</v>
      </c>
    </row>
    <row r="276" spans="2:19">
      <c r="B276" s="912">
        <f t="shared" si="54"/>
        <v>2035</v>
      </c>
      <c r="C276" s="689">
        <f t="shared" si="61"/>
        <v>0</v>
      </c>
      <c r="D276" s="685">
        <f t="shared" si="60"/>
        <v>0</v>
      </c>
      <c r="E276" s="685">
        <f t="shared" si="60"/>
        <v>1</v>
      </c>
      <c r="F276" s="685">
        <f t="shared" si="60"/>
        <v>0</v>
      </c>
      <c r="G276" s="685">
        <f t="shared" si="60"/>
        <v>0</v>
      </c>
      <c r="H276" s="640">
        <f t="shared" si="50"/>
        <v>1</v>
      </c>
      <c r="I276" s="924">
        <v>0.2</v>
      </c>
      <c r="J276" s="901">
        <v>0.3</v>
      </c>
      <c r="K276" s="901">
        <v>0.25</v>
      </c>
      <c r="L276" s="901">
        <v>0.05</v>
      </c>
      <c r="M276" s="901">
        <v>0.2</v>
      </c>
      <c r="N276" s="908">
        <f t="shared" si="51"/>
        <v>1</v>
      </c>
      <c r="O276" s="902"/>
      <c r="R276" s="117">
        <f t="shared" si="52"/>
        <v>1</v>
      </c>
      <c r="S276" s="205">
        <f t="shared" si="53"/>
        <v>0.71500000000000008</v>
      </c>
    </row>
    <row r="277" spans="2:19">
      <c r="B277" s="912">
        <f t="shared" si="54"/>
        <v>2036</v>
      </c>
      <c r="C277" s="689">
        <f t="shared" si="61"/>
        <v>0</v>
      </c>
      <c r="D277" s="685">
        <f t="shared" si="60"/>
        <v>0</v>
      </c>
      <c r="E277" s="685">
        <f t="shared" si="60"/>
        <v>1</v>
      </c>
      <c r="F277" s="685">
        <f t="shared" si="60"/>
        <v>0</v>
      </c>
      <c r="G277" s="685">
        <f t="shared" si="60"/>
        <v>0</v>
      </c>
      <c r="H277" s="640">
        <f t="shared" si="50"/>
        <v>1</v>
      </c>
      <c r="I277" s="924">
        <v>0.2</v>
      </c>
      <c r="J277" s="901">
        <v>0.3</v>
      </c>
      <c r="K277" s="901">
        <v>0.25</v>
      </c>
      <c r="L277" s="901">
        <v>0.05</v>
      </c>
      <c r="M277" s="901">
        <v>0.2</v>
      </c>
      <c r="N277" s="908">
        <f t="shared" si="51"/>
        <v>1</v>
      </c>
      <c r="O277" s="902"/>
      <c r="R277" s="117">
        <f t="shared" si="52"/>
        <v>1</v>
      </c>
      <c r="S277" s="205">
        <f t="shared" si="53"/>
        <v>0.71500000000000008</v>
      </c>
    </row>
    <row r="278" spans="2:19">
      <c r="B278" s="912">
        <f t="shared" si="54"/>
        <v>2037</v>
      </c>
      <c r="C278" s="689">
        <f t="shared" si="61"/>
        <v>0</v>
      </c>
      <c r="D278" s="685">
        <f t="shared" si="60"/>
        <v>0</v>
      </c>
      <c r="E278" s="685">
        <f t="shared" si="60"/>
        <v>1</v>
      </c>
      <c r="F278" s="685">
        <f t="shared" si="60"/>
        <v>0</v>
      </c>
      <c r="G278" s="685">
        <f t="shared" si="60"/>
        <v>0</v>
      </c>
      <c r="H278" s="640">
        <f t="shared" si="50"/>
        <v>1</v>
      </c>
      <c r="I278" s="924">
        <v>0.2</v>
      </c>
      <c r="J278" s="901">
        <v>0.3</v>
      </c>
      <c r="K278" s="901">
        <v>0.25</v>
      </c>
      <c r="L278" s="901">
        <v>0.05</v>
      </c>
      <c r="M278" s="901">
        <v>0.2</v>
      </c>
      <c r="N278" s="908">
        <f t="shared" si="51"/>
        <v>1</v>
      </c>
      <c r="O278" s="902"/>
      <c r="R278" s="117">
        <f t="shared" si="52"/>
        <v>1</v>
      </c>
      <c r="S278" s="205">
        <f t="shared" si="53"/>
        <v>0.71500000000000008</v>
      </c>
    </row>
    <row r="279" spans="2:19">
      <c r="B279" s="912">
        <f t="shared" si="54"/>
        <v>2038</v>
      </c>
      <c r="C279" s="689">
        <f t="shared" si="61"/>
        <v>0</v>
      </c>
      <c r="D279" s="685">
        <f t="shared" si="60"/>
        <v>0</v>
      </c>
      <c r="E279" s="685">
        <f t="shared" si="60"/>
        <v>1</v>
      </c>
      <c r="F279" s="685">
        <f t="shared" si="60"/>
        <v>0</v>
      </c>
      <c r="G279" s="685">
        <f t="shared" si="60"/>
        <v>0</v>
      </c>
      <c r="H279" s="640">
        <f t="shared" si="50"/>
        <v>1</v>
      </c>
      <c r="I279" s="924">
        <v>0.2</v>
      </c>
      <c r="J279" s="901">
        <v>0.3</v>
      </c>
      <c r="K279" s="901">
        <v>0.25</v>
      </c>
      <c r="L279" s="901">
        <v>0.05</v>
      </c>
      <c r="M279" s="901">
        <v>0.2</v>
      </c>
      <c r="N279" s="908">
        <f t="shared" si="51"/>
        <v>1</v>
      </c>
      <c r="O279" s="902"/>
      <c r="R279" s="117">
        <f t="shared" si="52"/>
        <v>1</v>
      </c>
      <c r="S279" s="205">
        <f t="shared" si="53"/>
        <v>0.71500000000000008</v>
      </c>
    </row>
    <row r="280" spans="2:19">
      <c r="B280" s="912">
        <f t="shared" si="54"/>
        <v>2039</v>
      </c>
      <c r="C280" s="689">
        <f t="shared" si="61"/>
        <v>0</v>
      </c>
      <c r="D280" s="685">
        <f t="shared" si="60"/>
        <v>0</v>
      </c>
      <c r="E280" s="685">
        <f t="shared" si="60"/>
        <v>1</v>
      </c>
      <c r="F280" s="685">
        <f t="shared" si="60"/>
        <v>0</v>
      </c>
      <c r="G280" s="685">
        <f t="shared" si="60"/>
        <v>0</v>
      </c>
      <c r="H280" s="640">
        <f t="shared" si="50"/>
        <v>1</v>
      </c>
      <c r="I280" s="924">
        <v>0.2</v>
      </c>
      <c r="J280" s="901">
        <v>0.3</v>
      </c>
      <c r="K280" s="901">
        <v>0.25</v>
      </c>
      <c r="L280" s="901">
        <v>0.05</v>
      </c>
      <c r="M280" s="901">
        <v>0.2</v>
      </c>
      <c r="N280" s="908">
        <f t="shared" si="51"/>
        <v>1</v>
      </c>
      <c r="O280" s="902"/>
      <c r="R280" s="117">
        <f t="shared" si="52"/>
        <v>1</v>
      </c>
      <c r="S280" s="205">
        <f t="shared" si="53"/>
        <v>0.71500000000000008</v>
      </c>
    </row>
    <row r="281" spans="2:19">
      <c r="B281" s="912">
        <f t="shared" si="54"/>
        <v>2040</v>
      </c>
      <c r="C281" s="689">
        <f t="shared" si="61"/>
        <v>0</v>
      </c>
      <c r="D281" s="685">
        <f t="shared" si="60"/>
        <v>0</v>
      </c>
      <c r="E281" s="685">
        <f t="shared" si="60"/>
        <v>1</v>
      </c>
      <c r="F281" s="685">
        <f t="shared" si="60"/>
        <v>0</v>
      </c>
      <c r="G281" s="685">
        <f t="shared" si="60"/>
        <v>0</v>
      </c>
      <c r="H281" s="640">
        <f t="shared" si="50"/>
        <v>1</v>
      </c>
      <c r="I281" s="924">
        <v>0.2</v>
      </c>
      <c r="J281" s="901">
        <v>0.3</v>
      </c>
      <c r="K281" s="901">
        <v>0.25</v>
      </c>
      <c r="L281" s="901">
        <v>0.05</v>
      </c>
      <c r="M281" s="901">
        <v>0.2</v>
      </c>
      <c r="N281" s="908">
        <f t="shared" si="51"/>
        <v>1</v>
      </c>
      <c r="O281" s="902"/>
      <c r="R281" s="117">
        <f t="shared" si="52"/>
        <v>1</v>
      </c>
      <c r="S281" s="205">
        <f t="shared" si="53"/>
        <v>0.71500000000000008</v>
      </c>
    </row>
    <row r="282" spans="2:19">
      <c r="B282" s="912">
        <f t="shared" si="54"/>
        <v>2041</v>
      </c>
      <c r="C282" s="689">
        <f t="shared" si="61"/>
        <v>0</v>
      </c>
      <c r="D282" s="685">
        <f t="shared" si="60"/>
        <v>0</v>
      </c>
      <c r="E282" s="685">
        <f t="shared" si="60"/>
        <v>1</v>
      </c>
      <c r="F282" s="685">
        <f t="shared" si="60"/>
        <v>0</v>
      </c>
      <c r="G282" s="685">
        <f t="shared" si="60"/>
        <v>0</v>
      </c>
      <c r="H282" s="640">
        <f t="shared" si="50"/>
        <v>1</v>
      </c>
      <c r="I282" s="924">
        <v>0.2</v>
      </c>
      <c r="J282" s="901">
        <v>0.3</v>
      </c>
      <c r="K282" s="901">
        <v>0.25</v>
      </c>
      <c r="L282" s="901">
        <v>0.05</v>
      </c>
      <c r="M282" s="901">
        <v>0.2</v>
      </c>
      <c r="N282" s="908">
        <f t="shared" si="51"/>
        <v>1</v>
      </c>
      <c r="O282" s="902"/>
      <c r="R282" s="117">
        <f t="shared" si="52"/>
        <v>1</v>
      </c>
      <c r="S282" s="205">
        <f t="shared" si="53"/>
        <v>0.71500000000000008</v>
      </c>
    </row>
    <row r="283" spans="2:19">
      <c r="B283" s="912">
        <f t="shared" si="54"/>
        <v>2042</v>
      </c>
      <c r="C283" s="689">
        <f t="shared" si="61"/>
        <v>0</v>
      </c>
      <c r="D283" s="685">
        <f t="shared" si="60"/>
        <v>0</v>
      </c>
      <c r="E283" s="685">
        <f t="shared" si="60"/>
        <v>1</v>
      </c>
      <c r="F283" s="685">
        <f t="shared" si="60"/>
        <v>0</v>
      </c>
      <c r="G283" s="685">
        <f t="shared" si="60"/>
        <v>0</v>
      </c>
      <c r="H283" s="640">
        <f t="shared" si="50"/>
        <v>1</v>
      </c>
      <c r="I283" s="924">
        <v>0.2</v>
      </c>
      <c r="J283" s="901">
        <v>0.3</v>
      </c>
      <c r="K283" s="901">
        <v>0.25</v>
      </c>
      <c r="L283" s="901">
        <v>0.05</v>
      </c>
      <c r="M283" s="901">
        <v>0.2</v>
      </c>
      <c r="N283" s="908">
        <f t="shared" si="51"/>
        <v>1</v>
      </c>
      <c r="O283" s="902"/>
      <c r="R283" s="117">
        <f t="shared" si="52"/>
        <v>1</v>
      </c>
      <c r="S283" s="205">
        <f t="shared" si="53"/>
        <v>0.71500000000000008</v>
      </c>
    </row>
    <row r="284" spans="2:19">
      <c r="B284" s="912">
        <f t="shared" si="54"/>
        <v>2043</v>
      </c>
      <c r="C284" s="689">
        <f t="shared" si="61"/>
        <v>0</v>
      </c>
      <c r="D284" s="685">
        <f t="shared" si="60"/>
        <v>0</v>
      </c>
      <c r="E284" s="685">
        <f t="shared" si="60"/>
        <v>1</v>
      </c>
      <c r="F284" s="685">
        <f t="shared" si="60"/>
        <v>0</v>
      </c>
      <c r="G284" s="685">
        <f t="shared" si="60"/>
        <v>0</v>
      </c>
      <c r="H284" s="640">
        <f t="shared" si="50"/>
        <v>1</v>
      </c>
      <c r="I284" s="924">
        <v>0.2</v>
      </c>
      <c r="J284" s="901">
        <v>0.3</v>
      </c>
      <c r="K284" s="901">
        <v>0.25</v>
      </c>
      <c r="L284" s="901">
        <v>0.05</v>
      </c>
      <c r="M284" s="901">
        <v>0.2</v>
      </c>
      <c r="N284" s="908">
        <f t="shared" si="51"/>
        <v>1</v>
      </c>
      <c r="O284" s="902"/>
      <c r="R284" s="117">
        <f t="shared" si="52"/>
        <v>1</v>
      </c>
      <c r="S284" s="205">
        <f t="shared" si="53"/>
        <v>0.71500000000000008</v>
      </c>
    </row>
    <row r="285" spans="2:19">
      <c r="B285" s="912">
        <f t="shared" si="54"/>
        <v>2044</v>
      </c>
      <c r="C285" s="689">
        <f t="shared" si="61"/>
        <v>0</v>
      </c>
      <c r="D285" s="685">
        <f t="shared" si="60"/>
        <v>0</v>
      </c>
      <c r="E285" s="685">
        <f t="shared" si="60"/>
        <v>1</v>
      </c>
      <c r="F285" s="685">
        <f t="shared" si="60"/>
        <v>0</v>
      </c>
      <c r="G285" s="685">
        <f t="shared" si="60"/>
        <v>0</v>
      </c>
      <c r="H285" s="640">
        <f t="shared" si="50"/>
        <v>1</v>
      </c>
      <c r="I285" s="924">
        <v>0.2</v>
      </c>
      <c r="J285" s="901">
        <v>0.3</v>
      </c>
      <c r="K285" s="901">
        <v>0.25</v>
      </c>
      <c r="L285" s="901">
        <v>0.05</v>
      </c>
      <c r="M285" s="901">
        <v>0.2</v>
      </c>
      <c r="N285" s="908">
        <f t="shared" si="51"/>
        <v>1</v>
      </c>
      <c r="O285" s="902"/>
      <c r="R285" s="117">
        <f t="shared" si="52"/>
        <v>1</v>
      </c>
      <c r="S285" s="205">
        <f t="shared" si="53"/>
        <v>0.71500000000000008</v>
      </c>
    </row>
    <row r="286" spans="2:19">
      <c r="B286" s="912">
        <f t="shared" si="54"/>
        <v>2045</v>
      </c>
      <c r="C286" s="689">
        <f t="shared" si="61"/>
        <v>0</v>
      </c>
      <c r="D286" s="685">
        <f t="shared" si="60"/>
        <v>0</v>
      </c>
      <c r="E286" s="685">
        <f t="shared" si="60"/>
        <v>1</v>
      </c>
      <c r="F286" s="685">
        <f t="shared" si="60"/>
        <v>0</v>
      </c>
      <c r="G286" s="685">
        <f t="shared" si="60"/>
        <v>0</v>
      </c>
      <c r="H286" s="640">
        <f t="shared" si="50"/>
        <v>1</v>
      </c>
      <c r="I286" s="924">
        <v>0.2</v>
      </c>
      <c r="J286" s="901">
        <v>0.3</v>
      </c>
      <c r="K286" s="901">
        <v>0.25</v>
      </c>
      <c r="L286" s="901">
        <v>0.05</v>
      </c>
      <c r="M286" s="901">
        <v>0.2</v>
      </c>
      <c r="N286" s="908">
        <f t="shared" si="51"/>
        <v>1</v>
      </c>
      <c r="O286" s="902"/>
      <c r="R286" s="117">
        <f t="shared" si="52"/>
        <v>1</v>
      </c>
      <c r="S286" s="205">
        <f t="shared" si="53"/>
        <v>0.71500000000000008</v>
      </c>
    </row>
    <row r="287" spans="2:19">
      <c r="B287" s="912">
        <f t="shared" si="54"/>
        <v>2046</v>
      </c>
      <c r="C287" s="689">
        <f t="shared" si="61"/>
        <v>0</v>
      </c>
      <c r="D287" s="685">
        <f t="shared" si="60"/>
        <v>0</v>
      </c>
      <c r="E287" s="685">
        <f t="shared" si="60"/>
        <v>1</v>
      </c>
      <c r="F287" s="685">
        <f t="shared" si="60"/>
        <v>0</v>
      </c>
      <c r="G287" s="685">
        <f t="shared" si="60"/>
        <v>0</v>
      </c>
      <c r="H287" s="640">
        <f t="shared" ref="H287:H291" si="62">SUM(C287:G287)</f>
        <v>1</v>
      </c>
      <c r="I287" s="924">
        <v>0.2</v>
      </c>
      <c r="J287" s="901">
        <v>0.3</v>
      </c>
      <c r="K287" s="901">
        <v>0.25</v>
      </c>
      <c r="L287" s="901">
        <v>0.05</v>
      </c>
      <c r="M287" s="901">
        <v>0.2</v>
      </c>
      <c r="N287" s="908">
        <f t="shared" si="51"/>
        <v>1</v>
      </c>
      <c r="O287" s="902"/>
      <c r="R287" s="117">
        <f t="shared" si="52"/>
        <v>1</v>
      </c>
      <c r="S287" s="205">
        <f t="shared" si="53"/>
        <v>0.71500000000000008</v>
      </c>
    </row>
    <row r="288" spans="2:19">
      <c r="B288" s="912">
        <f t="shared" si="54"/>
        <v>2047</v>
      </c>
      <c r="C288" s="689">
        <f t="shared" si="61"/>
        <v>0</v>
      </c>
      <c r="D288" s="685">
        <f t="shared" si="61"/>
        <v>0</v>
      </c>
      <c r="E288" s="685">
        <f t="shared" si="61"/>
        <v>1</v>
      </c>
      <c r="F288" s="685">
        <f t="shared" si="61"/>
        <v>0</v>
      </c>
      <c r="G288" s="685">
        <f t="shared" si="61"/>
        <v>0</v>
      </c>
      <c r="H288" s="640">
        <f t="shared" si="62"/>
        <v>1</v>
      </c>
      <c r="I288" s="924">
        <v>0.2</v>
      </c>
      <c r="J288" s="901">
        <v>0.3</v>
      </c>
      <c r="K288" s="901">
        <v>0.25</v>
      </c>
      <c r="L288" s="901">
        <v>0.05</v>
      </c>
      <c r="M288" s="901">
        <v>0.2</v>
      </c>
      <c r="N288" s="908">
        <f t="shared" si="51"/>
        <v>1</v>
      </c>
      <c r="O288" s="902"/>
      <c r="R288" s="117">
        <f t="shared" si="52"/>
        <v>1</v>
      </c>
      <c r="S288" s="205">
        <f t="shared" si="53"/>
        <v>0.71500000000000008</v>
      </c>
    </row>
    <row r="289" spans="2:19">
      <c r="B289" s="912">
        <f t="shared" si="54"/>
        <v>2048</v>
      </c>
      <c r="C289" s="689">
        <f t="shared" ref="C289:G291" si="63">C288</f>
        <v>0</v>
      </c>
      <c r="D289" s="685">
        <f t="shared" si="63"/>
        <v>0</v>
      </c>
      <c r="E289" s="685">
        <f t="shared" si="63"/>
        <v>1</v>
      </c>
      <c r="F289" s="685">
        <f t="shared" si="63"/>
        <v>0</v>
      </c>
      <c r="G289" s="685">
        <f t="shared" si="63"/>
        <v>0</v>
      </c>
      <c r="H289" s="640">
        <f t="shared" si="62"/>
        <v>1</v>
      </c>
      <c r="I289" s="924">
        <v>0.2</v>
      </c>
      <c r="J289" s="901">
        <v>0.3</v>
      </c>
      <c r="K289" s="901">
        <v>0.25</v>
      </c>
      <c r="L289" s="901">
        <v>0.05</v>
      </c>
      <c r="M289" s="901">
        <v>0.2</v>
      </c>
      <c r="N289" s="908">
        <f t="shared" si="51"/>
        <v>1</v>
      </c>
      <c r="O289" s="902"/>
      <c r="R289" s="117">
        <f t="shared" si="52"/>
        <v>1</v>
      </c>
      <c r="S289" s="205">
        <f t="shared" si="53"/>
        <v>0.71500000000000008</v>
      </c>
    </row>
    <row r="290" spans="2:19">
      <c r="B290" s="912">
        <f t="shared" si="54"/>
        <v>2049</v>
      </c>
      <c r="C290" s="689">
        <f t="shared" si="63"/>
        <v>0</v>
      </c>
      <c r="D290" s="685">
        <f t="shared" si="63"/>
        <v>0</v>
      </c>
      <c r="E290" s="685">
        <f t="shared" si="63"/>
        <v>1</v>
      </c>
      <c r="F290" s="685">
        <f t="shared" si="63"/>
        <v>0</v>
      </c>
      <c r="G290" s="685">
        <f t="shared" si="63"/>
        <v>0</v>
      </c>
      <c r="H290" s="640">
        <f t="shared" si="62"/>
        <v>1</v>
      </c>
      <c r="I290" s="924">
        <v>0.2</v>
      </c>
      <c r="J290" s="901">
        <v>0.3</v>
      </c>
      <c r="K290" s="901">
        <v>0.25</v>
      </c>
      <c r="L290" s="901">
        <v>0.05</v>
      </c>
      <c r="M290" s="901">
        <v>0.2</v>
      </c>
      <c r="N290" s="908">
        <f t="shared" si="51"/>
        <v>1</v>
      </c>
      <c r="O290" s="902"/>
      <c r="R290" s="117">
        <f t="shared" si="52"/>
        <v>1</v>
      </c>
      <c r="S290" s="205">
        <f t="shared" si="53"/>
        <v>0.71500000000000008</v>
      </c>
    </row>
    <row r="291" spans="2:19" ht="15" thickBot="1">
      <c r="B291" s="914">
        <f t="shared" si="54"/>
        <v>2050</v>
      </c>
      <c r="C291" s="690">
        <f t="shared" si="63"/>
        <v>0</v>
      </c>
      <c r="D291" s="687">
        <f t="shared" si="63"/>
        <v>0</v>
      </c>
      <c r="E291" s="687">
        <f t="shared" si="63"/>
        <v>1</v>
      </c>
      <c r="F291" s="687">
        <f t="shared" si="63"/>
        <v>0</v>
      </c>
      <c r="G291" s="687">
        <f t="shared" si="63"/>
        <v>0</v>
      </c>
      <c r="H291" s="919">
        <f t="shared" si="62"/>
        <v>1</v>
      </c>
      <c r="I291" s="926">
        <v>0.2</v>
      </c>
      <c r="J291" s="927">
        <v>0.3</v>
      </c>
      <c r="K291" s="927">
        <v>0.25</v>
      </c>
      <c r="L291" s="927">
        <v>0.05</v>
      </c>
      <c r="M291" s="927">
        <v>0.2</v>
      </c>
      <c r="N291" s="911">
        <f t="shared" si="51"/>
        <v>1</v>
      </c>
      <c r="O291" s="902"/>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Q207"/>
  <sheetViews>
    <sheetView topLeftCell="BC72" zoomScale="71" zoomScaleNormal="85" workbookViewId="0">
      <selection activeCell="BT99" sqref="BT99"/>
    </sheetView>
  </sheetViews>
  <sheetFormatPr defaultRowHeight="14.4"/>
  <cols>
    <col min="1" max="1" width="52.5546875" customWidth="1"/>
    <col min="2" max="2" width="20.44140625" customWidth="1"/>
    <col min="3" max="3" width="16.332031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32"/>
    <col min="56" max="56" width="8.88671875" style="1212"/>
    <col min="57" max="57" width="11.33203125" customWidth="1"/>
    <col min="59" max="59" width="12.33203125" customWidth="1"/>
    <col min="61" max="62" width="11.33203125" customWidth="1"/>
    <col min="63" max="63" width="11.33203125" style="1212" customWidth="1"/>
    <col min="64" max="64" width="11.33203125" customWidth="1"/>
    <col min="66" max="66" width="12.33203125" customWidth="1"/>
  </cols>
  <sheetData>
    <row r="1" spans="1:66">
      <c r="A1" s="141" t="s">
        <v>198</v>
      </c>
      <c r="B1" s="115"/>
      <c r="C1" s="1376" t="s">
        <v>267</v>
      </c>
      <c r="D1" s="1380" t="s">
        <v>356</v>
      </c>
      <c r="E1" s="1380" t="s">
        <v>361</v>
      </c>
      <c r="F1" s="104"/>
    </row>
    <row r="2" spans="1:66">
      <c r="A2" s="150"/>
      <c r="B2" s="99"/>
      <c r="C2" s="99"/>
      <c r="D2" s="130"/>
      <c r="E2" s="130"/>
      <c r="F2" s="104"/>
    </row>
    <row r="3" spans="1:66">
      <c r="A3" s="150" t="s">
        <v>357</v>
      </c>
      <c r="B3" s="99"/>
      <c r="C3" s="309" t="str">
        <f>Parameters!D94</f>
        <v>varies</v>
      </c>
      <c r="D3" s="1381">
        <v>0.2</v>
      </c>
      <c r="E3" s="1381">
        <f>Parameters!F94</f>
        <v>0.05</v>
      </c>
      <c r="F3" s="104"/>
    </row>
    <row r="4" spans="1:66">
      <c r="A4" s="150" t="s">
        <v>260</v>
      </c>
      <c r="B4" s="99"/>
      <c r="C4" s="99">
        <f>Parameters!D95</f>
        <v>0.5</v>
      </c>
      <c r="D4" s="1381">
        <f>Parameters!E95</f>
        <v>0.5</v>
      </c>
      <c r="E4" s="1381">
        <f>Parameters!F95</f>
        <v>0.5</v>
      </c>
      <c r="F4" s="104"/>
    </row>
    <row r="5" spans="1:66">
      <c r="A5" s="174" t="s">
        <v>257</v>
      </c>
      <c r="B5" s="175"/>
      <c r="C5" s="99">
        <f>Parameters!D96</f>
        <v>0.05</v>
      </c>
      <c r="D5" s="1381">
        <f>Parameters!E96</f>
        <v>0.05</v>
      </c>
      <c r="E5" s="1381">
        <f>Parameters!F96</f>
        <v>0.06</v>
      </c>
      <c r="F5" s="104"/>
    </row>
    <row r="6" spans="1:66">
      <c r="A6" s="150" t="s">
        <v>258</v>
      </c>
      <c r="B6" s="107" t="s">
        <v>211</v>
      </c>
      <c r="C6" s="106">
        <f>Parameters!D97</f>
        <v>13.862943611198904</v>
      </c>
      <c r="D6" s="1382">
        <f>Parameters!E97</f>
        <v>13.862943611198904</v>
      </c>
      <c r="E6" s="1382">
        <f>Parameters!F97</f>
        <v>11.552453009332423</v>
      </c>
      <c r="F6" s="104"/>
    </row>
    <row r="7" spans="1:66">
      <c r="A7" s="150" t="s">
        <v>255</v>
      </c>
      <c r="B7" s="107" t="s">
        <v>256</v>
      </c>
      <c r="C7" s="99">
        <f>Parameters!D98</f>
        <v>6</v>
      </c>
      <c r="D7" s="1381">
        <f>Parameters!E98</f>
        <v>6</v>
      </c>
      <c r="E7" s="1381">
        <f>Parameters!F98</f>
        <v>6</v>
      </c>
      <c r="F7" s="104"/>
    </row>
    <row r="8" spans="1:66">
      <c r="A8" s="151" t="s">
        <v>248</v>
      </c>
      <c r="B8" s="108" t="s">
        <v>249</v>
      </c>
      <c r="C8" s="158">
        <f>Parameters!D99</f>
        <v>0.95122942450071402</v>
      </c>
      <c r="D8" s="1383">
        <f>Parameters!E99</f>
        <v>0.95122942450071402</v>
      </c>
      <c r="E8" s="1383">
        <f>Parameters!F99</f>
        <v>0.94176453358424872</v>
      </c>
      <c r="F8" s="104"/>
    </row>
    <row r="9" spans="1:66">
      <c r="A9" s="151" t="s">
        <v>250</v>
      </c>
      <c r="B9" s="108" t="s">
        <v>251</v>
      </c>
      <c r="C9" s="99">
        <f>Parameters!D100</f>
        <v>13</v>
      </c>
      <c r="D9" s="1381">
        <f>Parameters!E100</f>
        <v>13</v>
      </c>
      <c r="E9" s="1381">
        <f>Parameters!F100</f>
        <v>13</v>
      </c>
      <c r="F9" s="104"/>
      <c r="H9" s="641"/>
    </row>
    <row r="10" spans="1:66">
      <c r="A10" s="151" t="s">
        <v>252</v>
      </c>
      <c r="B10" s="108" t="s">
        <v>253</v>
      </c>
      <c r="C10" s="99">
        <f>Parameters!D101</f>
        <v>1</v>
      </c>
      <c r="D10" s="1381">
        <f>Parameters!E101</f>
        <v>1</v>
      </c>
      <c r="E10" s="1381">
        <f>Parameters!F101</f>
        <v>1</v>
      </c>
      <c r="F10" s="104"/>
    </row>
    <row r="11" spans="1:66">
      <c r="A11" s="151" t="s">
        <v>259</v>
      </c>
      <c r="B11" s="108" t="s">
        <v>254</v>
      </c>
      <c r="C11" s="99">
        <f>Parameters!D102</f>
        <v>0.5</v>
      </c>
      <c r="D11" s="1381">
        <f>Parameters!E102</f>
        <v>0.5</v>
      </c>
      <c r="E11" s="1381">
        <f>Parameters!F102</f>
        <v>0.5</v>
      </c>
      <c r="F11" s="104"/>
    </row>
    <row r="12" spans="1:66">
      <c r="A12" s="151" t="s">
        <v>849</v>
      </c>
      <c r="B12" s="108"/>
      <c r="C12" s="99"/>
      <c r="D12" s="1381">
        <f>'Waste Summary 2017 SASOW'!$L$25</f>
        <v>0.1093486545815688</v>
      </c>
      <c r="E12" s="1381"/>
      <c r="F12" s="104"/>
    </row>
    <row r="13" spans="1:66" ht="15" thickBot="1">
      <c r="A13" s="152" t="s">
        <v>848</v>
      </c>
      <c r="B13" s="163"/>
      <c r="C13" s="163"/>
      <c r="D13" s="140">
        <f>'Waste Summary 2017 SASOW'!$L$26</f>
        <v>0.30189463979095105</v>
      </c>
      <c r="E13" s="140"/>
      <c r="F13" s="104"/>
      <c r="X13" s="1" t="s">
        <v>744</v>
      </c>
      <c r="AH13" s="1" t="s">
        <v>739</v>
      </c>
      <c r="BB13" s="332" t="s">
        <v>744</v>
      </c>
      <c r="BI13" t="s">
        <v>739</v>
      </c>
    </row>
    <row r="14" spans="1:66" ht="15" thickBot="1">
      <c r="A14" s="10"/>
      <c r="B14" s="10"/>
      <c r="C14" s="10"/>
      <c r="D14" s="10"/>
      <c r="E14" s="10"/>
      <c r="F14" s="10"/>
      <c r="G14" s="10"/>
      <c r="H14" s="10"/>
      <c r="I14" s="10"/>
      <c r="J14" s="10"/>
      <c r="K14" s="10"/>
      <c r="L14" s="10"/>
      <c r="M14" s="10"/>
      <c r="N14" s="231" t="s">
        <v>267</v>
      </c>
      <c r="O14" s="10"/>
      <c r="P14" s="10"/>
      <c r="Q14" s="10"/>
      <c r="R14" s="10"/>
      <c r="S14" s="10"/>
      <c r="T14" s="10"/>
      <c r="U14" s="10"/>
      <c r="V14" s="10"/>
      <c r="W14" s="10"/>
      <c r="X14" s="2" t="s">
        <v>359</v>
      </c>
      <c r="AH14" s="2" t="s">
        <v>724</v>
      </c>
      <c r="AR14" s="2" t="s">
        <v>361</v>
      </c>
      <c r="BB14" s="1897" t="s">
        <v>360</v>
      </c>
      <c r="BC14" s="1898"/>
      <c r="BD14" s="1898"/>
      <c r="BE14" s="1898"/>
      <c r="BF14" s="1898"/>
      <c r="BG14" s="1899"/>
      <c r="BI14" s="1897" t="s">
        <v>360</v>
      </c>
      <c r="BJ14" s="1898"/>
      <c r="BK14" s="1898"/>
      <c r="BL14" s="1898"/>
      <c r="BM14" s="1898"/>
      <c r="BN14" s="1899"/>
    </row>
    <row r="15" spans="1:66" ht="57.6">
      <c r="A15" s="1910" t="s">
        <v>217</v>
      </c>
      <c r="B15" s="1913" t="s">
        <v>218</v>
      </c>
      <c r="C15" s="1910" t="s">
        <v>219</v>
      </c>
      <c r="D15" s="1910" t="s">
        <v>220</v>
      </c>
      <c r="E15" s="1910" t="s">
        <v>221</v>
      </c>
      <c r="F15" s="1915" t="s">
        <v>85</v>
      </c>
      <c r="G15" s="1915" t="s">
        <v>87</v>
      </c>
      <c r="H15" s="1915" t="s">
        <v>222</v>
      </c>
      <c r="I15" s="1915" t="s">
        <v>115</v>
      </c>
      <c r="J15" s="1915" t="s">
        <v>223</v>
      </c>
      <c r="K15" s="1915" t="s">
        <v>224</v>
      </c>
      <c r="L15" s="1908" t="s">
        <v>225</v>
      </c>
      <c r="M15" s="311"/>
      <c r="N15" s="213" t="s">
        <v>235</v>
      </c>
      <c r="O15" s="214" t="s">
        <v>22</v>
      </c>
      <c r="P15" s="214" t="s">
        <v>236</v>
      </c>
      <c r="Q15" s="215" t="s">
        <v>237</v>
      </c>
      <c r="R15" s="215" t="s">
        <v>238</v>
      </c>
      <c r="S15" s="215" t="s">
        <v>239</v>
      </c>
      <c r="T15" s="215" t="s">
        <v>240</v>
      </c>
      <c r="U15" s="215" t="s">
        <v>241</v>
      </c>
      <c r="V15" s="221" t="s">
        <v>300</v>
      </c>
      <c r="W15" s="10"/>
      <c r="X15" s="213" t="s">
        <v>845</v>
      </c>
      <c r="Y15" s="214" t="s">
        <v>22</v>
      </c>
      <c r="Z15" s="214" t="s">
        <v>236</v>
      </c>
      <c r="AA15" s="215" t="s">
        <v>237</v>
      </c>
      <c r="AB15" s="215" t="s">
        <v>238</v>
      </c>
      <c r="AC15" s="215" t="s">
        <v>239</v>
      </c>
      <c r="AD15" s="215" t="s">
        <v>240</v>
      </c>
      <c r="AE15" s="215" t="s">
        <v>241</v>
      </c>
      <c r="AF15" s="221" t="s">
        <v>300</v>
      </c>
      <c r="AH15" s="213" t="s">
        <v>845</v>
      </c>
      <c r="AI15" s="214" t="s">
        <v>22</v>
      </c>
      <c r="AJ15" s="214" t="s">
        <v>236</v>
      </c>
      <c r="AK15" s="215" t="s">
        <v>237</v>
      </c>
      <c r="AL15" s="215" t="s">
        <v>238</v>
      </c>
      <c r="AM15" s="215" t="s">
        <v>239</v>
      </c>
      <c r="AN15" s="215" t="s">
        <v>240</v>
      </c>
      <c r="AO15" s="215" t="s">
        <v>241</v>
      </c>
      <c r="AP15" s="221" t="s">
        <v>300</v>
      </c>
      <c r="AR15" s="321" t="s">
        <v>235</v>
      </c>
      <c r="AS15" s="214" t="s">
        <v>22</v>
      </c>
      <c r="AT15" s="214" t="s">
        <v>236</v>
      </c>
      <c r="AU15" s="215" t="s">
        <v>237</v>
      </c>
      <c r="AV15" s="215" t="s">
        <v>238</v>
      </c>
      <c r="AW15" s="215" t="s">
        <v>239</v>
      </c>
      <c r="AX15" s="215" t="s">
        <v>240</v>
      </c>
      <c r="AY15" s="215" t="s">
        <v>241</v>
      </c>
      <c r="AZ15" s="221" t="s">
        <v>300</v>
      </c>
      <c r="BB15" s="1900" t="s">
        <v>267</v>
      </c>
      <c r="BC15" s="1902" t="s">
        <v>356</v>
      </c>
      <c r="BD15" s="1904" t="s">
        <v>361</v>
      </c>
      <c r="BE15" s="1902" t="s">
        <v>225</v>
      </c>
      <c r="BF15" s="1902" t="s">
        <v>362</v>
      </c>
      <c r="BG15" s="1906" t="s">
        <v>363</v>
      </c>
      <c r="BI15" s="1900" t="s">
        <v>267</v>
      </c>
      <c r="BJ15" s="1902" t="s">
        <v>356</v>
      </c>
      <c r="BK15" s="1904" t="s">
        <v>361</v>
      </c>
      <c r="BL15" s="1902" t="s">
        <v>225</v>
      </c>
      <c r="BM15" s="1902" t="s">
        <v>362</v>
      </c>
      <c r="BN15" s="1906" t="s">
        <v>363</v>
      </c>
    </row>
    <row r="16" spans="1:66" ht="22.8">
      <c r="A16" s="1911"/>
      <c r="B16" s="1914"/>
      <c r="C16" s="1911"/>
      <c r="D16" s="1911"/>
      <c r="E16" s="1911"/>
      <c r="F16" s="1916"/>
      <c r="G16" s="1916"/>
      <c r="H16" s="1916"/>
      <c r="I16" s="1916"/>
      <c r="J16" s="1916"/>
      <c r="K16" s="1916"/>
      <c r="L16" s="1909"/>
      <c r="M16" s="312"/>
      <c r="N16" s="222" t="s">
        <v>242</v>
      </c>
      <c r="O16" s="223" t="s">
        <v>22</v>
      </c>
      <c r="P16" s="223" t="s">
        <v>236</v>
      </c>
      <c r="Q16" s="224" t="s">
        <v>243</v>
      </c>
      <c r="R16" s="224" t="s">
        <v>244</v>
      </c>
      <c r="S16" s="224" t="s">
        <v>245</v>
      </c>
      <c r="T16" s="224" t="s">
        <v>301</v>
      </c>
      <c r="U16" s="224" t="s">
        <v>302</v>
      </c>
      <c r="V16" s="225" t="s">
        <v>246</v>
      </c>
      <c r="W16" s="10"/>
      <c r="X16" s="222" t="s">
        <v>242</v>
      </c>
      <c r="Y16" s="223" t="s">
        <v>22</v>
      </c>
      <c r="Z16" s="223" t="s">
        <v>236</v>
      </c>
      <c r="AA16" s="224" t="s">
        <v>243</v>
      </c>
      <c r="AB16" s="224" t="s">
        <v>244</v>
      </c>
      <c r="AC16" s="224" t="s">
        <v>245</v>
      </c>
      <c r="AD16" s="224" t="s">
        <v>301</v>
      </c>
      <c r="AE16" s="224" t="s">
        <v>302</v>
      </c>
      <c r="AF16" s="225" t="s">
        <v>246</v>
      </c>
      <c r="AH16" s="222" t="s">
        <v>242</v>
      </c>
      <c r="AI16" s="223" t="s">
        <v>22</v>
      </c>
      <c r="AJ16" s="223" t="s">
        <v>236</v>
      </c>
      <c r="AK16" s="224" t="s">
        <v>243</v>
      </c>
      <c r="AL16" s="224" t="s">
        <v>244</v>
      </c>
      <c r="AM16" s="224" t="s">
        <v>245</v>
      </c>
      <c r="AN16" s="224" t="s">
        <v>301</v>
      </c>
      <c r="AO16" s="224" t="s">
        <v>302</v>
      </c>
      <c r="AP16" s="225" t="s">
        <v>246</v>
      </c>
      <c r="AR16" s="322" t="s">
        <v>242</v>
      </c>
      <c r="AS16" s="223" t="s">
        <v>22</v>
      </c>
      <c r="AT16" s="223" t="s">
        <v>236</v>
      </c>
      <c r="AU16" s="224" t="s">
        <v>243</v>
      </c>
      <c r="AV16" s="224" t="s">
        <v>244</v>
      </c>
      <c r="AW16" s="224" t="s">
        <v>245</v>
      </c>
      <c r="AX16" s="224" t="s">
        <v>301</v>
      </c>
      <c r="AY16" s="224" t="s">
        <v>302</v>
      </c>
      <c r="AZ16" s="225" t="s">
        <v>246</v>
      </c>
      <c r="BB16" s="1901"/>
      <c r="BC16" s="1903"/>
      <c r="BD16" s="1905"/>
      <c r="BE16" s="1903"/>
      <c r="BF16" s="1903"/>
      <c r="BG16" s="1907"/>
      <c r="BI16" s="1901"/>
      <c r="BJ16" s="1903"/>
      <c r="BK16" s="1905"/>
      <c r="BL16" s="1903"/>
      <c r="BM16" s="1903"/>
      <c r="BN16" s="1907"/>
    </row>
    <row r="17" spans="1:66" ht="15" thickBot="1">
      <c r="A17" s="1912"/>
      <c r="B17" s="534" t="s">
        <v>226</v>
      </c>
      <c r="C17" s="216" t="s">
        <v>227</v>
      </c>
      <c r="D17" s="216" t="s">
        <v>229</v>
      </c>
      <c r="E17" s="216" t="s">
        <v>229</v>
      </c>
      <c r="F17" s="217" t="s">
        <v>229</v>
      </c>
      <c r="G17" s="217" t="s">
        <v>229</v>
      </c>
      <c r="H17" s="217" t="s">
        <v>229</v>
      </c>
      <c r="I17" s="217" t="s">
        <v>229</v>
      </c>
      <c r="J17" s="217" t="s">
        <v>229</v>
      </c>
      <c r="K17" s="217" t="s">
        <v>229</v>
      </c>
      <c r="L17" s="534" t="s">
        <v>230</v>
      </c>
      <c r="M17" s="313"/>
      <c r="N17" s="217" t="s">
        <v>228</v>
      </c>
      <c r="O17" s="218" t="s">
        <v>41</v>
      </c>
      <c r="P17" s="218" t="s">
        <v>41</v>
      </c>
      <c r="Q17" s="219" t="s">
        <v>228</v>
      </c>
      <c r="R17" s="219" t="s">
        <v>228</v>
      </c>
      <c r="S17" s="219" t="s">
        <v>228</v>
      </c>
      <c r="T17" s="219" t="s">
        <v>228</v>
      </c>
      <c r="U17" s="219" t="s">
        <v>228</v>
      </c>
      <c r="V17" s="220" t="s">
        <v>228</v>
      </c>
      <c r="W17" s="10"/>
      <c r="X17" s="217" t="s">
        <v>228</v>
      </c>
      <c r="Y17" s="218" t="s">
        <v>41</v>
      </c>
      <c r="Z17" s="218" t="s">
        <v>41</v>
      </c>
      <c r="AA17" s="219" t="s">
        <v>228</v>
      </c>
      <c r="AB17" s="219" t="s">
        <v>228</v>
      </c>
      <c r="AC17" s="219" t="s">
        <v>228</v>
      </c>
      <c r="AD17" s="219" t="s">
        <v>228</v>
      </c>
      <c r="AE17" s="219" t="s">
        <v>228</v>
      </c>
      <c r="AF17" s="220" t="s">
        <v>228</v>
      </c>
      <c r="AH17" s="217" t="s">
        <v>228</v>
      </c>
      <c r="AI17" s="218" t="s">
        <v>41</v>
      </c>
      <c r="AJ17" s="218" t="s">
        <v>41</v>
      </c>
      <c r="AK17" s="219" t="s">
        <v>228</v>
      </c>
      <c r="AL17" s="219" t="s">
        <v>228</v>
      </c>
      <c r="AM17" s="219" t="s">
        <v>228</v>
      </c>
      <c r="AN17" s="219" t="s">
        <v>228</v>
      </c>
      <c r="AO17" s="219" t="s">
        <v>228</v>
      </c>
      <c r="AP17" s="220" t="s">
        <v>228</v>
      </c>
      <c r="AR17" s="216" t="s">
        <v>228</v>
      </c>
      <c r="AS17" s="218" t="s">
        <v>41</v>
      </c>
      <c r="AT17" s="218" t="s">
        <v>41</v>
      </c>
      <c r="AU17" s="219" t="s">
        <v>228</v>
      </c>
      <c r="AV17" s="219" t="s">
        <v>228</v>
      </c>
      <c r="AW17" s="219" t="s">
        <v>228</v>
      </c>
      <c r="AX17" s="219" t="s">
        <v>228</v>
      </c>
      <c r="AY17" s="219" t="s">
        <v>228</v>
      </c>
      <c r="AZ17" s="220" t="s">
        <v>228</v>
      </c>
      <c r="BB17" s="315" t="s">
        <v>228</v>
      </c>
      <c r="BC17" s="314" t="s">
        <v>228</v>
      </c>
      <c r="BD17" s="1213" t="s">
        <v>228</v>
      </c>
      <c r="BE17" s="314" t="s">
        <v>228</v>
      </c>
      <c r="BF17" s="314" t="s">
        <v>228</v>
      </c>
      <c r="BG17" s="316" t="s">
        <v>228</v>
      </c>
      <c r="BI17" s="315" t="s">
        <v>228</v>
      </c>
      <c r="BJ17" s="314" t="s">
        <v>228</v>
      </c>
      <c r="BK17" s="1213" t="s">
        <v>228</v>
      </c>
      <c r="BL17" s="314" t="s">
        <v>228</v>
      </c>
      <c r="BM17" s="314" t="s">
        <v>228</v>
      </c>
      <c r="BN17" s="316" t="s">
        <v>228</v>
      </c>
    </row>
    <row r="18" spans="1:66" ht="15" thickBot="1">
      <c r="A18" s="226"/>
      <c r="B18" s="984"/>
      <c r="C18" s="985"/>
      <c r="D18" s="985"/>
      <c r="E18" s="985"/>
      <c r="F18" s="986"/>
      <c r="G18" s="986"/>
      <c r="H18" s="986"/>
      <c r="I18" s="986"/>
      <c r="J18" s="986"/>
      <c r="K18" s="986"/>
      <c r="L18" s="984"/>
      <c r="M18" s="228"/>
      <c r="N18" s="986"/>
      <c r="O18" s="1026"/>
      <c r="P18" s="1026"/>
      <c r="Q18" s="1027"/>
      <c r="R18" s="1027"/>
      <c r="S18" s="1027"/>
      <c r="T18" s="1027"/>
      <c r="U18" s="1027"/>
      <c r="V18" s="1028"/>
      <c r="W18" s="10"/>
      <c r="X18" s="986"/>
      <c r="Y18" s="1026"/>
      <c r="Z18" s="1026"/>
      <c r="AA18" s="1027"/>
      <c r="AB18" s="1027"/>
      <c r="AC18" s="1027"/>
      <c r="AD18" s="1027"/>
      <c r="AE18" s="1027"/>
      <c r="AF18" s="1028"/>
      <c r="AH18" s="986"/>
      <c r="AI18" s="1026"/>
      <c r="AJ18" s="1026"/>
      <c r="AK18" s="1027"/>
      <c r="AL18" s="1027"/>
      <c r="AM18" s="1027"/>
      <c r="AN18" s="1027"/>
      <c r="AO18" s="1027"/>
      <c r="AP18" s="1028"/>
      <c r="AR18" s="985"/>
      <c r="AS18" s="1026"/>
      <c r="AT18" s="1026"/>
      <c r="AU18" s="1027"/>
      <c r="AV18" s="1027"/>
      <c r="AW18" s="1027"/>
      <c r="AX18" s="1027"/>
      <c r="AY18" s="1027"/>
      <c r="AZ18" s="1044"/>
      <c r="BB18" s="317"/>
      <c r="BC18" s="318"/>
      <c r="BD18" s="1214"/>
      <c r="BE18" s="318"/>
      <c r="BF18" s="104"/>
      <c r="BG18" s="130"/>
      <c r="BI18" s="317"/>
      <c r="BJ18" s="318"/>
      <c r="BK18" s="1214"/>
      <c r="BL18" s="318"/>
      <c r="BM18" s="104"/>
      <c r="BN18" s="130"/>
    </row>
    <row r="19" spans="1:66">
      <c r="A19" s="991">
        <f>'Input data'!A50</f>
        <v>1950</v>
      </c>
      <c r="B19" s="992">
        <f>'Input data'!B50</f>
        <v>5.3541578999999997</v>
      </c>
      <c r="C19" s="1146">
        <f>'Baseline data (from input)'!B6</f>
        <v>578.73</v>
      </c>
      <c r="D19" s="993">
        <f>'Baseline data (from input)'!T6</f>
        <v>0.8</v>
      </c>
      <c r="E19" s="993">
        <f>'Input data'!C29</f>
        <v>0.19892488097366726</v>
      </c>
      <c r="F19" s="993">
        <f>'Input data'!D29</f>
        <v>0.26585903447659598</v>
      </c>
      <c r="G19" s="993">
        <f>'Input data'!E29</f>
        <v>8.9228108703258049E-2</v>
      </c>
      <c r="H19" s="993">
        <f>'Input data'!F29</f>
        <v>0</v>
      </c>
      <c r="I19" s="993">
        <f>'Input data'!G29</f>
        <v>0</v>
      </c>
      <c r="J19" s="993">
        <f>'Input data'!H29</f>
        <v>0</v>
      </c>
      <c r="K19" s="993">
        <f>SUM('Input data'!I29:M29)</f>
        <v>0.4459879758464787</v>
      </c>
      <c r="L19" s="994">
        <f>SUM(E19:K19)</f>
        <v>1</v>
      </c>
      <c r="M19" s="102"/>
      <c r="N19" s="1032">
        <f>B19*C19*D19</f>
        <v>2478.8894411736001</v>
      </c>
      <c r="O19" s="1033">
        <f>Parameters!R121</f>
        <v>0.73</v>
      </c>
      <c r="P19" s="1033">
        <f>E19*'MSW characteristics'!$B$28+'MSW characteristics'!$B$29*'4A SWD Case 1'!F19+'4A SWD Case 1'!G19*'MSW characteristics'!$B$30+'MSW characteristics'!$B$31*'4A SWD Case 1'!H19+'4A SWD Case 1'!I19*'MSW characteristics'!$B$32+'MSW characteristics'!$B$33*'4A SWD Case 1'!J19+'4A SWD Case 1'!K19*'MSW characteristics'!$B$35</f>
        <v>0.11870178252267252</v>
      </c>
      <c r="Q19" s="1034">
        <f>N19*P19*O19*$C$4</f>
        <v>107.40073730053733</v>
      </c>
      <c r="R19" s="1034">
        <f>Q19*$C$10</f>
        <v>107.40073730053733</v>
      </c>
      <c r="S19" s="1035">
        <f>Q19*(1-$C$10)</f>
        <v>0</v>
      </c>
      <c r="T19" s="1034">
        <f>R19+(T18*$C$8)</f>
        <v>107.40073730053733</v>
      </c>
      <c r="U19" s="1034">
        <f>S19+T18*(1-$C$8)</f>
        <v>0</v>
      </c>
      <c r="V19" s="1203">
        <f>U19*16/12*$C$11</f>
        <v>0</v>
      </c>
      <c r="W19" s="10"/>
      <c r="X19" s="1032">
        <f>'Baseline data (from input)'!AS6*'4A SWD Case 1'!$D$12</f>
        <v>0</v>
      </c>
      <c r="Y19" s="1033">
        <f>Parameters!S121</f>
        <v>0.71500000000000008</v>
      </c>
      <c r="Z19" s="1033">
        <f>$D$3</f>
        <v>0.2</v>
      </c>
      <c r="AA19" s="1034">
        <f>X19*Z19*Y19*$D$4</f>
        <v>0</v>
      </c>
      <c r="AB19" s="1034">
        <f>AA19*$D$10</f>
        <v>0</v>
      </c>
      <c r="AC19" s="1035">
        <f>AA19*(1-$D$10)</f>
        <v>0</v>
      </c>
      <c r="AD19" s="1034">
        <f>AB19+(AD18*$D$8)</f>
        <v>0</v>
      </c>
      <c r="AE19" s="1034">
        <f>AC19+AD18*(1-$D$8)</f>
        <v>0</v>
      </c>
      <c r="AF19" s="1203">
        <f>AE19*16/12*$D$11</f>
        <v>0</v>
      </c>
      <c r="AH19" s="1032">
        <f>'Baseline data (from input)'!AS6*'4A SWD Case 1'!$D$12</f>
        <v>0</v>
      </c>
      <c r="AI19" s="1033">
        <f>Parameters!S121</f>
        <v>0.71500000000000008</v>
      </c>
      <c r="AJ19" s="1033">
        <f>$D$3</f>
        <v>0.2</v>
      </c>
      <c r="AK19" s="1034">
        <f>AH19*AJ19*AI19*$D$4</f>
        <v>0</v>
      </c>
      <c r="AL19" s="1034">
        <f>AK19*$D$10</f>
        <v>0</v>
      </c>
      <c r="AM19" s="1035">
        <f>AK19*(1-$D$10)</f>
        <v>0</v>
      </c>
      <c r="AN19" s="1034">
        <f>AL19+(AN18*$D$8)</f>
        <v>0</v>
      </c>
      <c r="AO19" s="1034">
        <f>AM19+AN18*(1-$D$8)</f>
        <v>0</v>
      </c>
      <c r="AP19" s="1203">
        <f>AO19*16/12*$D$11</f>
        <v>0</v>
      </c>
      <c r="AR19" s="1032">
        <v>0</v>
      </c>
      <c r="AS19" s="1033">
        <v>1</v>
      </c>
      <c r="AT19" s="1033">
        <f>$E$3</f>
        <v>0.05</v>
      </c>
      <c r="AU19" s="1034">
        <f>AR19*AT19*AS19*$E$4</f>
        <v>0</v>
      </c>
      <c r="AV19" s="1034">
        <f>AU19*$E$10</f>
        <v>0</v>
      </c>
      <c r="AW19" s="1035">
        <f>AU19*(1-$E$10)</f>
        <v>0</v>
      </c>
      <c r="AX19" s="1034">
        <f>AV19+(AX18*$E$8)</f>
        <v>0</v>
      </c>
      <c r="AY19" s="1034">
        <f>AW19+AX18*(1-$E$8)</f>
        <v>0</v>
      </c>
      <c r="AZ19" s="1203">
        <f>AY19*16/12*$E$11</f>
        <v>0</v>
      </c>
      <c r="BB19" s="317">
        <f>V19</f>
        <v>0</v>
      </c>
      <c r="BC19" s="318">
        <f>AF19</f>
        <v>0</v>
      </c>
      <c r="BD19" s="1214">
        <f>AZ19</f>
        <v>0</v>
      </c>
      <c r="BE19" s="318">
        <f>SUM(BB19:BD19)</f>
        <v>0</v>
      </c>
      <c r="BF19" s="104">
        <v>0</v>
      </c>
      <c r="BG19" s="319">
        <f>BE19-BF19</f>
        <v>0</v>
      </c>
      <c r="BI19" s="317">
        <f>V19</f>
        <v>0</v>
      </c>
      <c r="BJ19" s="318">
        <f>AP19</f>
        <v>0</v>
      </c>
      <c r="BK19" s="1214">
        <f>AZ19</f>
        <v>0</v>
      </c>
      <c r="BL19" s="318">
        <f>SUM(BI19:BK19)</f>
        <v>0</v>
      </c>
      <c r="BM19" s="104">
        <v>0</v>
      </c>
      <c r="BN19" s="319">
        <f>BL19-BM19</f>
        <v>0</v>
      </c>
    </row>
    <row r="20" spans="1:66">
      <c r="A20" s="995">
        <f>'Input data'!A51</f>
        <v>1951</v>
      </c>
      <c r="B20" s="987">
        <f>'Input data'!B51</f>
        <v>5.53942844</v>
      </c>
      <c r="C20" s="1145">
        <f>'Baseline data (from input)'!B7</f>
        <v>578.73</v>
      </c>
      <c r="D20" s="899">
        <f>'Baseline data (from input)'!T7</f>
        <v>0.8</v>
      </c>
      <c r="E20" s="899">
        <f>E19</f>
        <v>0.19892488097366726</v>
      </c>
      <c r="F20" s="899">
        <f t="shared" ref="F20:K20" si="0">F19</f>
        <v>0.26585903447659598</v>
      </c>
      <c r="G20" s="899">
        <f t="shared" si="0"/>
        <v>8.9228108703258049E-2</v>
      </c>
      <c r="H20" s="899">
        <f t="shared" si="0"/>
        <v>0</v>
      </c>
      <c r="I20" s="899">
        <f t="shared" si="0"/>
        <v>0</v>
      </c>
      <c r="J20" s="899">
        <f t="shared" si="0"/>
        <v>0</v>
      </c>
      <c r="K20" s="899">
        <f t="shared" si="0"/>
        <v>0.4459879758464787</v>
      </c>
      <c r="L20" s="996">
        <f>SUM(E20:K20)</f>
        <v>1</v>
      </c>
      <c r="M20" s="102"/>
      <c r="N20" s="1037">
        <f t="shared" ref="N20:N50" si="1">B20*C20*D20</f>
        <v>2564.6667368649601</v>
      </c>
      <c r="O20" s="1030">
        <f>Parameters!R122</f>
        <v>0.73</v>
      </c>
      <c r="P20" s="1030">
        <f>E20*'MSW characteristics'!$B$28+'MSW characteristics'!$B$29*'4A SWD Case 1'!F20+'4A SWD Case 1'!G20*'MSW characteristics'!$B$30+'MSW characteristics'!$B$31*'4A SWD Case 1'!H20+'4A SWD Case 1'!I20*'MSW characteristics'!$B$32+'MSW characteristics'!$B$33*'4A SWD Case 1'!J20+'4A SWD Case 1'!K20*'MSW characteristics'!$B$35</f>
        <v>0.11870178252267252</v>
      </c>
      <c r="Q20" s="1029">
        <f t="shared" ref="Q20:Q83" si="2">N20*P20*O20*$C$4</f>
        <v>111.11713733350399</v>
      </c>
      <c r="R20" s="1029">
        <f t="shared" ref="R20:R83" si="3">Q20*$C$10</f>
        <v>111.11713733350399</v>
      </c>
      <c r="S20" s="303">
        <f t="shared" ref="S20:S83" si="4">Q20*(1-$C$10)</f>
        <v>0</v>
      </c>
      <c r="T20" s="1029">
        <f t="shared" ref="T20:T83" si="5">R20+(T19*$C$8)</f>
        <v>213.2798788668465</v>
      </c>
      <c r="U20" s="1029">
        <f t="shared" ref="U20:U83" si="6">S20+T19*(1-$C$8)</f>
        <v>5.2379957671948363</v>
      </c>
      <c r="V20" s="1202">
        <f t="shared" ref="V20:V83" si="7">U20*16/12*$C$11</f>
        <v>3.4919971781298909</v>
      </c>
      <c r="W20" s="10"/>
      <c r="X20" s="1037">
        <f>'Baseline data (from input)'!AS7*'4A SWD Case 1'!$D$12</f>
        <v>0</v>
      </c>
      <c r="Y20" s="1030">
        <f>Parameters!S122</f>
        <v>0.71500000000000008</v>
      </c>
      <c r="Z20" s="1030">
        <f t="shared" ref="Z20:Z83" si="8">$D$3</f>
        <v>0.2</v>
      </c>
      <c r="AA20" s="1029">
        <f t="shared" ref="AA20:AA83" si="9">X20*Z20*Y20*$D$4</f>
        <v>0</v>
      </c>
      <c r="AB20" s="1029">
        <f t="shared" ref="AB20:AB83" si="10">AA20*$D$10</f>
        <v>0</v>
      </c>
      <c r="AC20" s="303">
        <f t="shared" ref="AC20:AC83" si="11">AA20*(1-$D$10)</f>
        <v>0</v>
      </c>
      <c r="AD20" s="1029">
        <f t="shared" ref="AD20:AD83" si="12">AB20+(AD19*$D$8)</f>
        <v>0</v>
      </c>
      <c r="AE20" s="1029">
        <f t="shared" ref="AE20:AE83" si="13">AC20+AD19*(1-$D$8)</f>
        <v>0</v>
      </c>
      <c r="AF20" s="1202">
        <f t="shared" ref="AF20:AF83" si="14">AE20*16/12*$D$11</f>
        <v>0</v>
      </c>
      <c r="AH20" s="1037">
        <f>'Baseline data (from input)'!AS7*'4A SWD Case 1'!$D$12</f>
        <v>0</v>
      </c>
      <c r="AI20" s="1030">
        <f>Parameters!S122</f>
        <v>0.71500000000000008</v>
      </c>
      <c r="AJ20" s="1030">
        <f t="shared" ref="AJ20:AJ83" si="15">$D$3</f>
        <v>0.2</v>
      </c>
      <c r="AK20" s="1029">
        <f t="shared" ref="AK20:AK83" si="16">AH20*AJ20*AI20*$D$4</f>
        <v>0</v>
      </c>
      <c r="AL20" s="1029">
        <f t="shared" ref="AL20:AL83" si="17">AK20*$D$10</f>
        <v>0</v>
      </c>
      <c r="AM20" s="303">
        <f t="shared" ref="AM20:AM83" si="18">AK20*(1-$D$10)</f>
        <v>0</v>
      </c>
      <c r="AN20" s="1029">
        <f t="shared" ref="AN20:AN83" si="19">AL20+(AN19*$D$8)</f>
        <v>0</v>
      </c>
      <c r="AO20" s="1029">
        <f t="shared" ref="AO20:AO83" si="20">AM20+AN19*(1-$D$8)</f>
        <v>0</v>
      </c>
      <c r="AP20" s="1202">
        <f t="shared" ref="AP20:AP83" si="21">AO20*16/12*$D$11</f>
        <v>0</v>
      </c>
      <c r="AR20" s="1037">
        <v>0</v>
      </c>
      <c r="AS20" s="1030">
        <v>1</v>
      </c>
      <c r="AT20" s="1030">
        <f t="shared" ref="AT20:AT83" si="22">$E$3</f>
        <v>0.05</v>
      </c>
      <c r="AU20" s="1029">
        <f t="shared" ref="AU20:AU83" si="23">AR20*AT20*AS20*$E$4</f>
        <v>0</v>
      </c>
      <c r="AV20" s="1029">
        <f t="shared" ref="AV20:AV83" si="24">AU20*$E$10</f>
        <v>0</v>
      </c>
      <c r="AW20" s="303">
        <f t="shared" ref="AW20:AW83" si="25">AU20*(1-$C$10)</f>
        <v>0</v>
      </c>
      <c r="AX20" s="1029">
        <f t="shared" ref="AX20:AX48" si="26">AV20+(AX19*$C$8)</f>
        <v>0</v>
      </c>
      <c r="AY20" s="1029">
        <f t="shared" ref="AY20:AY68" si="27">AW20+AX19*(1-$C$8)</f>
        <v>0</v>
      </c>
      <c r="AZ20" s="1202">
        <f t="shared" ref="AZ20:AZ68" si="28">AY20*16/12*$C$11</f>
        <v>0</v>
      </c>
      <c r="BB20" s="317">
        <f t="shared" ref="BB20:BB83" si="29">V20</f>
        <v>3.4919971781298909</v>
      </c>
      <c r="BC20" s="318">
        <f t="shared" ref="BC20:BC83" si="30">AF20</f>
        <v>0</v>
      </c>
      <c r="BD20" s="1214">
        <f t="shared" ref="BD20:BD68" si="31">AZ20</f>
        <v>0</v>
      </c>
      <c r="BE20" s="318">
        <f t="shared" ref="BE20:BE82" si="32">SUM(BB20:BD20)</f>
        <v>3.4919971781298909</v>
      </c>
      <c r="BF20" s="104">
        <v>0</v>
      </c>
      <c r="BG20" s="319">
        <f t="shared" ref="BG20:BG83" si="33">BE20-BF20</f>
        <v>3.4919971781298909</v>
      </c>
      <c r="BI20" s="317">
        <f t="shared" ref="BI20:BI83" si="34">V20</f>
        <v>3.4919971781298909</v>
      </c>
      <c r="BJ20" s="318">
        <f t="shared" ref="BJ20:BJ83" si="35">AP20</f>
        <v>0</v>
      </c>
      <c r="BK20" s="1214">
        <f t="shared" ref="BK20:BK83" si="36">AZ20</f>
        <v>0</v>
      </c>
      <c r="BL20" s="318">
        <f t="shared" ref="BL20:BL82" si="37">SUM(BI20:BK20)</f>
        <v>3.4919971781298909</v>
      </c>
      <c r="BM20" s="104">
        <v>0</v>
      </c>
      <c r="BN20" s="319">
        <f t="shared" ref="BN20:BN83" si="38">BL20-BM20</f>
        <v>3.4919971781298909</v>
      </c>
    </row>
    <row r="21" spans="1:66">
      <c r="A21" s="995">
        <f>'Input data'!A52</f>
        <v>1952</v>
      </c>
      <c r="B21" s="987">
        <f>'Input data'!B52</f>
        <v>5.7129272200000001</v>
      </c>
      <c r="C21" s="1145">
        <f>'Baseline data (from input)'!B8</f>
        <v>578.73</v>
      </c>
      <c r="D21" s="899">
        <f>'Baseline data (from input)'!T8</f>
        <v>0.8</v>
      </c>
      <c r="E21" s="899">
        <f t="shared" ref="E21:E84" si="39">E20</f>
        <v>0.19892488097366726</v>
      </c>
      <c r="F21" s="899">
        <f t="shared" ref="F21:F84" si="40">F20</f>
        <v>0.26585903447659598</v>
      </c>
      <c r="G21" s="899">
        <f t="shared" ref="G21:G84" si="41">G20</f>
        <v>8.9228108703258049E-2</v>
      </c>
      <c r="H21" s="899">
        <f t="shared" ref="H21:H84" si="42">H20</f>
        <v>0</v>
      </c>
      <c r="I21" s="899">
        <f t="shared" ref="I21:I84" si="43">I20</f>
        <v>0</v>
      </c>
      <c r="J21" s="899">
        <f t="shared" ref="J21:J84" si="44">J20</f>
        <v>0</v>
      </c>
      <c r="K21" s="899">
        <f t="shared" ref="K21:K84" si="45">K20</f>
        <v>0.4459879758464787</v>
      </c>
      <c r="L21" s="996">
        <f t="shared" ref="L21:L84" si="46">SUM(E21:K21)</f>
        <v>1</v>
      </c>
      <c r="M21" s="102"/>
      <c r="N21" s="1037">
        <f t="shared" si="1"/>
        <v>2644.9938960244804</v>
      </c>
      <c r="O21" s="1030">
        <f>Parameters!R123</f>
        <v>0.73</v>
      </c>
      <c r="P21" s="1030">
        <f>E21*'MSW characteristics'!$B$28+'MSW characteristics'!$B$29*'4A SWD Case 1'!F21+'4A SWD Case 1'!G21*'MSW characteristics'!$B$30+'MSW characteristics'!$B$31*'4A SWD Case 1'!H21+'4A SWD Case 1'!I21*'MSW characteristics'!$B$32+'MSW characteristics'!$B$33*'4A SWD Case 1'!J21+'4A SWD Case 1'!K21*'MSW characteristics'!$B$35</f>
        <v>0.11870178252267252</v>
      </c>
      <c r="Q21" s="1029">
        <f t="shared" si="2"/>
        <v>114.59740393018838</v>
      </c>
      <c r="R21" s="1029">
        <f t="shared" si="3"/>
        <v>114.59740393018838</v>
      </c>
      <c r="S21" s="303">
        <f t="shared" si="4"/>
        <v>0</v>
      </c>
      <c r="T21" s="1029">
        <f t="shared" si="5"/>
        <v>317.4755003622808</v>
      </c>
      <c r="U21" s="1029">
        <f t="shared" si="6"/>
        <v>10.401782434754107</v>
      </c>
      <c r="V21" s="1202">
        <f t="shared" si="7"/>
        <v>6.9345216231694051</v>
      </c>
      <c r="W21" s="10"/>
      <c r="X21" s="1037">
        <f>'Baseline data (from input)'!AS8*'4A SWD Case 1'!$D$12</f>
        <v>0</v>
      </c>
      <c r="Y21" s="1030">
        <f>Parameters!S123</f>
        <v>0.71500000000000008</v>
      </c>
      <c r="Z21" s="1030">
        <f t="shared" si="8"/>
        <v>0.2</v>
      </c>
      <c r="AA21" s="1029">
        <f t="shared" si="9"/>
        <v>0</v>
      </c>
      <c r="AB21" s="1029">
        <f t="shared" si="10"/>
        <v>0</v>
      </c>
      <c r="AC21" s="303">
        <f t="shared" si="11"/>
        <v>0</v>
      </c>
      <c r="AD21" s="1029">
        <f t="shared" si="12"/>
        <v>0</v>
      </c>
      <c r="AE21" s="1029">
        <f t="shared" si="13"/>
        <v>0</v>
      </c>
      <c r="AF21" s="1202">
        <f t="shared" si="14"/>
        <v>0</v>
      </c>
      <c r="AH21" s="1037">
        <f>'Baseline data (from input)'!AS8*'4A SWD Case 1'!$D$12</f>
        <v>0</v>
      </c>
      <c r="AI21" s="1030">
        <f>Parameters!S123</f>
        <v>0.71500000000000008</v>
      </c>
      <c r="AJ21" s="1030">
        <f t="shared" si="15"/>
        <v>0.2</v>
      </c>
      <c r="AK21" s="1029">
        <f t="shared" si="16"/>
        <v>0</v>
      </c>
      <c r="AL21" s="1029">
        <f t="shared" si="17"/>
        <v>0</v>
      </c>
      <c r="AM21" s="303">
        <f t="shared" si="18"/>
        <v>0</v>
      </c>
      <c r="AN21" s="1029">
        <f t="shared" si="19"/>
        <v>0</v>
      </c>
      <c r="AO21" s="1029">
        <f t="shared" si="20"/>
        <v>0</v>
      </c>
      <c r="AP21" s="1202">
        <f t="shared" si="21"/>
        <v>0</v>
      </c>
      <c r="AR21" s="1037">
        <v>0</v>
      </c>
      <c r="AS21" s="1030">
        <v>1</v>
      </c>
      <c r="AT21" s="1030">
        <f t="shared" si="22"/>
        <v>0.05</v>
      </c>
      <c r="AU21" s="1029">
        <f t="shared" si="23"/>
        <v>0</v>
      </c>
      <c r="AV21" s="1029">
        <f t="shared" si="24"/>
        <v>0</v>
      </c>
      <c r="AW21" s="303">
        <f t="shared" si="25"/>
        <v>0</v>
      </c>
      <c r="AX21" s="1029">
        <f t="shared" si="26"/>
        <v>0</v>
      </c>
      <c r="AY21" s="1029">
        <f t="shared" si="27"/>
        <v>0</v>
      </c>
      <c r="AZ21" s="1202">
        <f t="shared" si="28"/>
        <v>0</v>
      </c>
      <c r="BB21" s="317">
        <f t="shared" si="29"/>
        <v>6.9345216231694051</v>
      </c>
      <c r="BC21" s="318">
        <f t="shared" si="30"/>
        <v>0</v>
      </c>
      <c r="BD21" s="1214">
        <f t="shared" si="31"/>
        <v>0</v>
      </c>
      <c r="BE21" s="318">
        <f t="shared" si="32"/>
        <v>6.9345216231694051</v>
      </c>
      <c r="BF21" s="104">
        <v>0</v>
      </c>
      <c r="BG21" s="319">
        <f t="shared" si="33"/>
        <v>6.9345216231694051</v>
      </c>
      <c r="BI21" s="317">
        <f t="shared" si="34"/>
        <v>6.9345216231694051</v>
      </c>
      <c r="BJ21" s="318">
        <f t="shared" si="35"/>
        <v>0</v>
      </c>
      <c r="BK21" s="1214">
        <f t="shared" si="36"/>
        <v>0</v>
      </c>
      <c r="BL21" s="318">
        <f t="shared" si="37"/>
        <v>6.9345216231694051</v>
      </c>
      <c r="BM21" s="104">
        <v>0</v>
      </c>
      <c r="BN21" s="319">
        <f t="shared" si="38"/>
        <v>6.9345216231694051</v>
      </c>
    </row>
    <row r="22" spans="1:66">
      <c r="A22" s="995">
        <f>'Input data'!A53</f>
        <v>1953</v>
      </c>
      <c r="B22" s="987">
        <f>'Input data'!B53</f>
        <v>5.9284297800000001</v>
      </c>
      <c r="C22" s="1145">
        <f>'Baseline data (from input)'!B9</f>
        <v>578.73</v>
      </c>
      <c r="D22" s="899">
        <f>'Baseline data (from input)'!T9</f>
        <v>0.8</v>
      </c>
      <c r="E22" s="899">
        <f t="shared" si="39"/>
        <v>0.19892488097366726</v>
      </c>
      <c r="F22" s="899">
        <f t="shared" si="40"/>
        <v>0.26585903447659598</v>
      </c>
      <c r="G22" s="899">
        <f t="shared" si="41"/>
        <v>8.9228108703258049E-2</v>
      </c>
      <c r="H22" s="899">
        <f t="shared" si="42"/>
        <v>0</v>
      </c>
      <c r="I22" s="899">
        <f t="shared" si="43"/>
        <v>0</v>
      </c>
      <c r="J22" s="899">
        <f t="shared" si="44"/>
        <v>0</v>
      </c>
      <c r="K22" s="899">
        <f t="shared" si="45"/>
        <v>0.4459879758464787</v>
      </c>
      <c r="L22" s="996">
        <f t="shared" si="46"/>
        <v>1</v>
      </c>
      <c r="M22" s="102"/>
      <c r="N22" s="1037">
        <f t="shared" si="1"/>
        <v>2744.7681332635202</v>
      </c>
      <c r="O22" s="1030">
        <f>Parameters!R124</f>
        <v>0.73</v>
      </c>
      <c r="P22" s="1030">
        <f>E22*'MSW characteristics'!$B$28+'MSW characteristics'!$B$29*'4A SWD Case 1'!F22+'4A SWD Case 1'!G22*'MSW characteristics'!$B$30+'MSW characteristics'!$B$31*'4A SWD Case 1'!H22+'4A SWD Case 1'!I22*'MSW characteristics'!$B$32+'MSW characteristics'!$B$33*'4A SWD Case 1'!J22+'4A SWD Case 1'!K22*'MSW characteristics'!$B$35</f>
        <v>0.11870178252267252</v>
      </c>
      <c r="Q22" s="1029">
        <f t="shared" si="2"/>
        <v>118.92023756087998</v>
      </c>
      <c r="R22" s="1029">
        <f t="shared" si="3"/>
        <v>118.92023756087998</v>
      </c>
      <c r="S22" s="303">
        <f t="shared" si="4"/>
        <v>0</v>
      </c>
      <c r="T22" s="1029">
        <f t="shared" si="5"/>
        <v>420.91227506356853</v>
      </c>
      <c r="U22" s="1029">
        <f t="shared" si="6"/>
        <v>15.48346285959221</v>
      </c>
      <c r="V22" s="1202">
        <f t="shared" si="7"/>
        <v>10.322308573061473</v>
      </c>
      <c r="W22" s="10"/>
      <c r="X22" s="1037">
        <f>'Baseline data (from input)'!AS9*'4A SWD Case 1'!$D$12</f>
        <v>0</v>
      </c>
      <c r="Y22" s="1030">
        <f>Parameters!S124</f>
        <v>0.71500000000000008</v>
      </c>
      <c r="Z22" s="1030">
        <f t="shared" si="8"/>
        <v>0.2</v>
      </c>
      <c r="AA22" s="1029">
        <f t="shared" si="9"/>
        <v>0</v>
      </c>
      <c r="AB22" s="1029">
        <f t="shared" si="10"/>
        <v>0</v>
      </c>
      <c r="AC22" s="303">
        <f t="shared" si="11"/>
        <v>0</v>
      </c>
      <c r="AD22" s="1029">
        <f t="shared" si="12"/>
        <v>0</v>
      </c>
      <c r="AE22" s="1029">
        <f t="shared" si="13"/>
        <v>0</v>
      </c>
      <c r="AF22" s="1202">
        <f t="shared" si="14"/>
        <v>0</v>
      </c>
      <c r="AH22" s="1037">
        <f>'Baseline data (from input)'!AS9*'4A SWD Case 1'!$D$12</f>
        <v>0</v>
      </c>
      <c r="AI22" s="1030">
        <f>Parameters!S124</f>
        <v>0.71500000000000008</v>
      </c>
      <c r="AJ22" s="1030">
        <f t="shared" si="15"/>
        <v>0.2</v>
      </c>
      <c r="AK22" s="1029">
        <f t="shared" si="16"/>
        <v>0</v>
      </c>
      <c r="AL22" s="1029">
        <f t="shared" si="17"/>
        <v>0</v>
      </c>
      <c r="AM22" s="303">
        <f t="shared" si="18"/>
        <v>0</v>
      </c>
      <c r="AN22" s="1029">
        <f t="shared" si="19"/>
        <v>0</v>
      </c>
      <c r="AO22" s="1029">
        <f t="shared" si="20"/>
        <v>0</v>
      </c>
      <c r="AP22" s="1202">
        <f t="shared" si="21"/>
        <v>0</v>
      </c>
      <c r="AR22" s="1037">
        <v>0</v>
      </c>
      <c r="AS22" s="1030">
        <v>1</v>
      </c>
      <c r="AT22" s="1030">
        <f t="shared" si="22"/>
        <v>0.05</v>
      </c>
      <c r="AU22" s="1029">
        <f t="shared" si="23"/>
        <v>0</v>
      </c>
      <c r="AV22" s="1029">
        <f t="shared" si="24"/>
        <v>0</v>
      </c>
      <c r="AW22" s="303">
        <f t="shared" si="25"/>
        <v>0</v>
      </c>
      <c r="AX22" s="1029">
        <f t="shared" si="26"/>
        <v>0</v>
      </c>
      <c r="AY22" s="1029">
        <f t="shared" si="27"/>
        <v>0</v>
      </c>
      <c r="AZ22" s="1202">
        <f t="shared" si="28"/>
        <v>0</v>
      </c>
      <c r="BB22" s="317">
        <f t="shared" si="29"/>
        <v>10.322308573061473</v>
      </c>
      <c r="BC22" s="318">
        <f t="shared" si="30"/>
        <v>0</v>
      </c>
      <c r="BD22" s="1214">
        <f t="shared" si="31"/>
        <v>0</v>
      </c>
      <c r="BE22" s="318">
        <f t="shared" si="32"/>
        <v>10.322308573061473</v>
      </c>
      <c r="BF22" s="104">
        <v>0</v>
      </c>
      <c r="BG22" s="319">
        <f t="shared" si="33"/>
        <v>10.322308573061473</v>
      </c>
      <c r="BI22" s="317">
        <f t="shared" si="34"/>
        <v>10.322308573061473</v>
      </c>
      <c r="BJ22" s="318">
        <f t="shared" si="35"/>
        <v>0</v>
      </c>
      <c r="BK22" s="1214">
        <f t="shared" si="36"/>
        <v>0</v>
      </c>
      <c r="BL22" s="318">
        <f t="shared" si="37"/>
        <v>10.322308573061473</v>
      </c>
      <c r="BM22" s="104">
        <v>0</v>
      </c>
      <c r="BN22" s="319">
        <f t="shared" si="38"/>
        <v>10.322308573061473</v>
      </c>
    </row>
    <row r="23" spans="1:66">
      <c r="A23" s="995">
        <f>'Input data'!A54</f>
        <v>1954</v>
      </c>
      <c r="B23" s="987">
        <f>'Input data'!B54</f>
        <v>6.1065695599999996</v>
      </c>
      <c r="C23" s="1145">
        <f>'Baseline data (from input)'!B10</f>
        <v>578.73</v>
      </c>
      <c r="D23" s="899">
        <f>'Baseline data (from input)'!T10</f>
        <v>0.8</v>
      </c>
      <c r="E23" s="899">
        <f t="shared" si="39"/>
        <v>0.19892488097366726</v>
      </c>
      <c r="F23" s="899">
        <f t="shared" si="40"/>
        <v>0.26585903447659598</v>
      </c>
      <c r="G23" s="899">
        <f t="shared" si="41"/>
        <v>8.9228108703258049E-2</v>
      </c>
      <c r="H23" s="899">
        <f t="shared" si="42"/>
        <v>0</v>
      </c>
      <c r="I23" s="899">
        <f t="shared" si="43"/>
        <v>0</v>
      </c>
      <c r="J23" s="899">
        <f t="shared" si="44"/>
        <v>0</v>
      </c>
      <c r="K23" s="899">
        <f t="shared" si="45"/>
        <v>0.4459879758464787</v>
      </c>
      <c r="L23" s="996">
        <f t="shared" si="46"/>
        <v>1</v>
      </c>
      <c r="M23" s="102"/>
      <c r="N23" s="1037">
        <f t="shared" si="1"/>
        <v>2827.2440011670401</v>
      </c>
      <c r="O23" s="1030">
        <f>Parameters!R125</f>
        <v>0.73</v>
      </c>
      <c r="P23" s="1030">
        <f>E23*'MSW characteristics'!$B$28+'MSW characteristics'!$B$29*'4A SWD Case 1'!F23+'4A SWD Case 1'!G23*'MSW characteristics'!$B$30+'MSW characteristics'!$B$31*'4A SWD Case 1'!H23+'4A SWD Case 1'!I23*'MSW characteristics'!$B$32+'MSW characteristics'!$B$33*'4A SWD Case 1'!J23+'4A SWD Case 1'!K23*'MSW characteristics'!$B$35</f>
        <v>0.11870178252267252</v>
      </c>
      <c r="Q23" s="1029">
        <f t="shared" si="2"/>
        <v>122.49359943624708</v>
      </c>
      <c r="R23" s="1029">
        <f t="shared" si="3"/>
        <v>122.49359943624708</v>
      </c>
      <c r="S23" s="303">
        <f t="shared" si="4"/>
        <v>0</v>
      </c>
      <c r="T23" s="1029">
        <f t="shared" si="5"/>
        <v>522.87774061025164</v>
      </c>
      <c r="U23" s="1029">
        <f t="shared" si="6"/>
        <v>20.528133889564</v>
      </c>
      <c r="V23" s="1202">
        <f t="shared" si="7"/>
        <v>13.685422593042667</v>
      </c>
      <c r="W23" s="10"/>
      <c r="X23" s="1037">
        <f>'Baseline data (from input)'!AS10*'4A SWD Case 1'!$D$12</f>
        <v>0</v>
      </c>
      <c r="Y23" s="1030">
        <f>Parameters!S125</f>
        <v>0.71500000000000008</v>
      </c>
      <c r="Z23" s="1030">
        <f t="shared" si="8"/>
        <v>0.2</v>
      </c>
      <c r="AA23" s="1029">
        <f t="shared" si="9"/>
        <v>0</v>
      </c>
      <c r="AB23" s="1029">
        <f t="shared" si="10"/>
        <v>0</v>
      </c>
      <c r="AC23" s="303">
        <f t="shared" si="11"/>
        <v>0</v>
      </c>
      <c r="AD23" s="1029">
        <f t="shared" si="12"/>
        <v>0</v>
      </c>
      <c r="AE23" s="1029">
        <f t="shared" si="13"/>
        <v>0</v>
      </c>
      <c r="AF23" s="1202">
        <f t="shared" si="14"/>
        <v>0</v>
      </c>
      <c r="AH23" s="1037">
        <f>'Baseline data (from input)'!AS10*'4A SWD Case 1'!$D$12</f>
        <v>0</v>
      </c>
      <c r="AI23" s="1030">
        <f>Parameters!S125</f>
        <v>0.71500000000000008</v>
      </c>
      <c r="AJ23" s="1030">
        <f t="shared" si="15"/>
        <v>0.2</v>
      </c>
      <c r="AK23" s="1029">
        <f t="shared" si="16"/>
        <v>0</v>
      </c>
      <c r="AL23" s="1029">
        <f t="shared" si="17"/>
        <v>0</v>
      </c>
      <c r="AM23" s="303">
        <f t="shared" si="18"/>
        <v>0</v>
      </c>
      <c r="AN23" s="1029">
        <f t="shared" si="19"/>
        <v>0</v>
      </c>
      <c r="AO23" s="1029">
        <f t="shared" si="20"/>
        <v>0</v>
      </c>
      <c r="AP23" s="1202">
        <f t="shared" si="21"/>
        <v>0</v>
      </c>
      <c r="AR23" s="1037">
        <v>0</v>
      </c>
      <c r="AS23" s="1030">
        <v>1</v>
      </c>
      <c r="AT23" s="1030">
        <f t="shared" si="22"/>
        <v>0.05</v>
      </c>
      <c r="AU23" s="1029">
        <f t="shared" si="23"/>
        <v>0</v>
      </c>
      <c r="AV23" s="1029">
        <f t="shared" si="24"/>
        <v>0</v>
      </c>
      <c r="AW23" s="303">
        <f t="shared" si="25"/>
        <v>0</v>
      </c>
      <c r="AX23" s="1029">
        <f t="shared" si="26"/>
        <v>0</v>
      </c>
      <c r="AY23" s="1029">
        <f t="shared" si="27"/>
        <v>0</v>
      </c>
      <c r="AZ23" s="1202">
        <f t="shared" si="28"/>
        <v>0</v>
      </c>
      <c r="BB23" s="317">
        <f t="shared" si="29"/>
        <v>13.685422593042667</v>
      </c>
      <c r="BC23" s="318">
        <f t="shared" si="30"/>
        <v>0</v>
      </c>
      <c r="BD23" s="1214">
        <f t="shared" si="31"/>
        <v>0</v>
      </c>
      <c r="BE23" s="318">
        <f t="shared" si="32"/>
        <v>13.685422593042667</v>
      </c>
      <c r="BF23" s="104">
        <v>0</v>
      </c>
      <c r="BG23" s="319">
        <f t="shared" si="33"/>
        <v>13.685422593042667</v>
      </c>
      <c r="BI23" s="317">
        <f t="shared" si="34"/>
        <v>13.685422593042667</v>
      </c>
      <c r="BJ23" s="318">
        <f t="shared" si="35"/>
        <v>0</v>
      </c>
      <c r="BK23" s="1214">
        <f t="shared" si="36"/>
        <v>0</v>
      </c>
      <c r="BL23" s="318">
        <f t="shared" si="37"/>
        <v>13.685422593042667</v>
      </c>
      <c r="BM23" s="104">
        <v>0</v>
      </c>
      <c r="BN23" s="319">
        <f t="shared" si="38"/>
        <v>13.685422593042667</v>
      </c>
    </row>
    <row r="24" spans="1:66">
      <c r="A24" s="995">
        <f>'Input data'!A55</f>
        <v>1955</v>
      </c>
      <c r="B24" s="987">
        <f>'Input data'!B55</f>
        <v>6.2725644799999998</v>
      </c>
      <c r="C24" s="1145">
        <f>'Baseline data (from input)'!B11</f>
        <v>578.73</v>
      </c>
      <c r="D24" s="899">
        <f>'Baseline data (from input)'!T11</f>
        <v>0.8</v>
      </c>
      <c r="E24" s="899">
        <f t="shared" si="39"/>
        <v>0.19892488097366726</v>
      </c>
      <c r="F24" s="899">
        <f t="shared" si="40"/>
        <v>0.26585903447659598</v>
      </c>
      <c r="G24" s="899">
        <f t="shared" si="41"/>
        <v>8.9228108703258049E-2</v>
      </c>
      <c r="H24" s="899">
        <f t="shared" si="42"/>
        <v>0</v>
      </c>
      <c r="I24" s="899">
        <f t="shared" si="43"/>
        <v>0</v>
      </c>
      <c r="J24" s="899">
        <f t="shared" si="44"/>
        <v>0</v>
      </c>
      <c r="K24" s="899">
        <f t="shared" si="45"/>
        <v>0.4459879758464787</v>
      </c>
      <c r="L24" s="996">
        <f t="shared" si="46"/>
        <v>1</v>
      </c>
      <c r="M24" s="102"/>
      <c r="N24" s="1037">
        <f t="shared" si="1"/>
        <v>2904.0969932083203</v>
      </c>
      <c r="O24" s="1030">
        <f>Parameters!R126</f>
        <v>0.73</v>
      </c>
      <c r="P24" s="1030">
        <f>E24*'MSW characteristics'!$B$28+'MSW characteristics'!$B$29*'4A SWD Case 1'!F24+'4A SWD Case 1'!G24*'MSW characteristics'!$B$30+'MSW characteristics'!$B$31*'4A SWD Case 1'!H24+'4A SWD Case 1'!I24*'MSW characteristics'!$B$32+'MSW characteristics'!$B$33*'4A SWD Case 1'!J24+'4A SWD Case 1'!K24*'MSW characteristics'!$B$35</f>
        <v>0.11870178252267252</v>
      </c>
      <c r="Q24" s="1029">
        <f t="shared" si="2"/>
        <v>125.82334374508484</v>
      </c>
      <c r="R24" s="1029">
        <f t="shared" si="3"/>
        <v>125.82334374508484</v>
      </c>
      <c r="S24" s="303">
        <f t="shared" si="4"/>
        <v>0</v>
      </c>
      <c r="T24" s="1029">
        <f t="shared" si="5"/>
        <v>623.20003603000816</v>
      </c>
      <c r="U24" s="1029">
        <f t="shared" si="6"/>
        <v>25.501048325328352</v>
      </c>
      <c r="V24" s="1202">
        <f t="shared" si="7"/>
        <v>17.000698883552236</v>
      </c>
      <c r="W24" s="10"/>
      <c r="X24" s="1037">
        <f>'Baseline data (from input)'!AS11*'4A SWD Case 1'!$D$12</f>
        <v>0</v>
      </c>
      <c r="Y24" s="1030">
        <f>Parameters!S126</f>
        <v>0.71500000000000008</v>
      </c>
      <c r="Z24" s="1030">
        <f t="shared" si="8"/>
        <v>0.2</v>
      </c>
      <c r="AA24" s="1029">
        <f t="shared" si="9"/>
        <v>0</v>
      </c>
      <c r="AB24" s="1029">
        <f t="shared" si="10"/>
        <v>0</v>
      </c>
      <c r="AC24" s="303">
        <f t="shared" si="11"/>
        <v>0</v>
      </c>
      <c r="AD24" s="1029">
        <f t="shared" si="12"/>
        <v>0</v>
      </c>
      <c r="AE24" s="1029">
        <f t="shared" si="13"/>
        <v>0</v>
      </c>
      <c r="AF24" s="1202">
        <f t="shared" si="14"/>
        <v>0</v>
      </c>
      <c r="AH24" s="1037">
        <f>'Baseline data (from input)'!AS11*'4A SWD Case 1'!$D$12</f>
        <v>0</v>
      </c>
      <c r="AI24" s="1030">
        <f>Parameters!S126</f>
        <v>0.71500000000000008</v>
      </c>
      <c r="AJ24" s="1030">
        <f t="shared" si="15"/>
        <v>0.2</v>
      </c>
      <c r="AK24" s="1029">
        <f t="shared" si="16"/>
        <v>0</v>
      </c>
      <c r="AL24" s="1029">
        <f t="shared" si="17"/>
        <v>0</v>
      </c>
      <c r="AM24" s="303">
        <f t="shared" si="18"/>
        <v>0</v>
      </c>
      <c r="AN24" s="1029">
        <f t="shared" si="19"/>
        <v>0</v>
      </c>
      <c r="AO24" s="1029">
        <f t="shared" si="20"/>
        <v>0</v>
      </c>
      <c r="AP24" s="1202">
        <f t="shared" si="21"/>
        <v>0</v>
      </c>
      <c r="AR24" s="1037">
        <v>0</v>
      </c>
      <c r="AS24" s="1030">
        <v>1</v>
      </c>
      <c r="AT24" s="1030">
        <f t="shared" si="22"/>
        <v>0.05</v>
      </c>
      <c r="AU24" s="1029">
        <f t="shared" si="23"/>
        <v>0</v>
      </c>
      <c r="AV24" s="1029">
        <f t="shared" si="24"/>
        <v>0</v>
      </c>
      <c r="AW24" s="303">
        <f t="shared" si="25"/>
        <v>0</v>
      </c>
      <c r="AX24" s="1029">
        <f t="shared" si="26"/>
        <v>0</v>
      </c>
      <c r="AY24" s="1029">
        <f t="shared" si="27"/>
        <v>0</v>
      </c>
      <c r="AZ24" s="1202">
        <f t="shared" si="28"/>
        <v>0</v>
      </c>
      <c r="BB24" s="317">
        <f t="shared" si="29"/>
        <v>17.000698883552236</v>
      </c>
      <c r="BC24" s="318">
        <f t="shared" si="30"/>
        <v>0</v>
      </c>
      <c r="BD24" s="1214">
        <f t="shared" si="31"/>
        <v>0</v>
      </c>
      <c r="BE24" s="318">
        <f t="shared" si="32"/>
        <v>17.000698883552236</v>
      </c>
      <c r="BF24" s="104">
        <v>0</v>
      </c>
      <c r="BG24" s="319">
        <f t="shared" si="33"/>
        <v>17.000698883552236</v>
      </c>
      <c r="BI24" s="317">
        <f t="shared" si="34"/>
        <v>17.000698883552236</v>
      </c>
      <c r="BJ24" s="318">
        <f t="shared" si="35"/>
        <v>0</v>
      </c>
      <c r="BK24" s="1214">
        <f t="shared" si="36"/>
        <v>0</v>
      </c>
      <c r="BL24" s="318">
        <f t="shared" si="37"/>
        <v>17.000698883552236</v>
      </c>
      <c r="BM24" s="104">
        <v>0</v>
      </c>
      <c r="BN24" s="319">
        <f t="shared" si="38"/>
        <v>17.000698883552236</v>
      </c>
    </row>
    <row r="25" spans="1:66">
      <c r="A25" s="995">
        <f>'Input data'!A56</f>
        <v>1956</v>
      </c>
      <c r="B25" s="987">
        <f>'Input data'!B56</f>
        <v>6.4651860000000001</v>
      </c>
      <c r="C25" s="1145">
        <f>'Baseline data (from input)'!B12</f>
        <v>578.73</v>
      </c>
      <c r="D25" s="899">
        <f>'Baseline data (from input)'!T12</f>
        <v>0.8</v>
      </c>
      <c r="E25" s="899">
        <f t="shared" si="39"/>
        <v>0.19892488097366726</v>
      </c>
      <c r="F25" s="899">
        <f t="shared" si="40"/>
        <v>0.26585903447659598</v>
      </c>
      <c r="G25" s="899">
        <f t="shared" si="41"/>
        <v>8.9228108703258049E-2</v>
      </c>
      <c r="H25" s="899">
        <f t="shared" si="42"/>
        <v>0</v>
      </c>
      <c r="I25" s="899">
        <f t="shared" si="43"/>
        <v>0</v>
      </c>
      <c r="J25" s="899">
        <f t="shared" si="44"/>
        <v>0</v>
      </c>
      <c r="K25" s="899">
        <f t="shared" si="45"/>
        <v>0.4459879758464787</v>
      </c>
      <c r="L25" s="996">
        <f t="shared" si="46"/>
        <v>1</v>
      </c>
      <c r="M25" s="102"/>
      <c r="N25" s="1037">
        <f t="shared" si="1"/>
        <v>2993.2776750240005</v>
      </c>
      <c r="O25" s="1030">
        <f>Parameters!R127</f>
        <v>0.73</v>
      </c>
      <c r="P25" s="1030">
        <f>E25*'MSW characteristics'!$B$28+'MSW characteristics'!$B$29*'4A SWD Case 1'!F25+'4A SWD Case 1'!G25*'MSW characteristics'!$B$30+'MSW characteristics'!$B$31*'4A SWD Case 1'!H25+'4A SWD Case 1'!I25*'MSW characteristics'!$B$32+'MSW characteristics'!$B$33*'4A SWD Case 1'!J25+'4A SWD Case 1'!K25*'MSW characteristics'!$B$35</f>
        <v>0.11870178252267252</v>
      </c>
      <c r="Q25" s="1029">
        <f t="shared" si="2"/>
        <v>129.68719939789446</v>
      </c>
      <c r="R25" s="1029">
        <f t="shared" si="3"/>
        <v>129.68719939789446</v>
      </c>
      <c r="S25" s="303">
        <f t="shared" si="4"/>
        <v>0</v>
      </c>
      <c r="T25" s="1029">
        <f t="shared" si="5"/>
        <v>722.49341101954337</v>
      </c>
      <c r="U25" s="1029">
        <f t="shared" si="6"/>
        <v>30.393824408359258</v>
      </c>
      <c r="V25" s="1202">
        <f t="shared" si="7"/>
        <v>20.26254960557284</v>
      </c>
      <c r="W25" s="10"/>
      <c r="X25" s="1037">
        <f>'Baseline data (from input)'!AS12*'4A SWD Case 1'!$D$12</f>
        <v>0</v>
      </c>
      <c r="Y25" s="1030">
        <f>Parameters!S127</f>
        <v>0.71500000000000008</v>
      </c>
      <c r="Z25" s="1030">
        <f t="shared" si="8"/>
        <v>0.2</v>
      </c>
      <c r="AA25" s="1029">
        <f t="shared" si="9"/>
        <v>0</v>
      </c>
      <c r="AB25" s="1029">
        <f t="shared" si="10"/>
        <v>0</v>
      </c>
      <c r="AC25" s="303">
        <f t="shared" si="11"/>
        <v>0</v>
      </c>
      <c r="AD25" s="1029">
        <f t="shared" si="12"/>
        <v>0</v>
      </c>
      <c r="AE25" s="1029">
        <f t="shared" si="13"/>
        <v>0</v>
      </c>
      <c r="AF25" s="1202">
        <f t="shared" si="14"/>
        <v>0</v>
      </c>
      <c r="AH25" s="1037">
        <f>'Baseline data (from input)'!AS12*'4A SWD Case 1'!$D$12</f>
        <v>0</v>
      </c>
      <c r="AI25" s="1030">
        <f>Parameters!S127</f>
        <v>0.71500000000000008</v>
      </c>
      <c r="AJ25" s="1030">
        <f t="shared" si="15"/>
        <v>0.2</v>
      </c>
      <c r="AK25" s="1029">
        <f t="shared" si="16"/>
        <v>0</v>
      </c>
      <c r="AL25" s="1029">
        <f t="shared" si="17"/>
        <v>0</v>
      </c>
      <c r="AM25" s="303">
        <f t="shared" si="18"/>
        <v>0</v>
      </c>
      <c r="AN25" s="1029">
        <f t="shared" si="19"/>
        <v>0</v>
      </c>
      <c r="AO25" s="1029">
        <f t="shared" si="20"/>
        <v>0</v>
      </c>
      <c r="AP25" s="1202">
        <f t="shared" si="21"/>
        <v>0</v>
      </c>
      <c r="AR25" s="1037">
        <v>0</v>
      </c>
      <c r="AS25" s="1030">
        <v>1</v>
      </c>
      <c r="AT25" s="1030">
        <f t="shared" si="22"/>
        <v>0.05</v>
      </c>
      <c r="AU25" s="1029">
        <f t="shared" si="23"/>
        <v>0</v>
      </c>
      <c r="AV25" s="1029">
        <f t="shared" si="24"/>
        <v>0</v>
      </c>
      <c r="AW25" s="303">
        <f t="shared" si="25"/>
        <v>0</v>
      </c>
      <c r="AX25" s="1029">
        <f t="shared" si="26"/>
        <v>0</v>
      </c>
      <c r="AY25" s="1029">
        <f t="shared" si="27"/>
        <v>0</v>
      </c>
      <c r="AZ25" s="1202">
        <f t="shared" si="28"/>
        <v>0</v>
      </c>
      <c r="BB25" s="317">
        <f t="shared" si="29"/>
        <v>20.26254960557284</v>
      </c>
      <c r="BC25" s="318">
        <f t="shared" si="30"/>
        <v>0</v>
      </c>
      <c r="BD25" s="1214">
        <f t="shared" si="31"/>
        <v>0</v>
      </c>
      <c r="BE25" s="318">
        <f t="shared" si="32"/>
        <v>20.26254960557284</v>
      </c>
      <c r="BF25" s="104">
        <v>0</v>
      </c>
      <c r="BG25" s="319">
        <f t="shared" si="33"/>
        <v>20.26254960557284</v>
      </c>
      <c r="BI25" s="317">
        <f t="shared" si="34"/>
        <v>20.26254960557284</v>
      </c>
      <c r="BJ25" s="318">
        <f t="shared" si="35"/>
        <v>0</v>
      </c>
      <c r="BK25" s="1214">
        <f t="shared" si="36"/>
        <v>0</v>
      </c>
      <c r="BL25" s="318">
        <f t="shared" si="37"/>
        <v>20.26254960557284</v>
      </c>
      <c r="BM25" s="104">
        <v>0</v>
      </c>
      <c r="BN25" s="319">
        <f t="shared" si="38"/>
        <v>20.26254960557284</v>
      </c>
    </row>
    <row r="26" spans="1:66">
      <c r="A26" s="995">
        <f>'Input data'!A57</f>
        <v>1957</v>
      </c>
      <c r="B26" s="987">
        <f>'Input data'!B57</f>
        <v>6.6592707999999998</v>
      </c>
      <c r="C26" s="1145">
        <f>'Baseline data (from input)'!B13</f>
        <v>578.73</v>
      </c>
      <c r="D26" s="899">
        <f>'Baseline data (from input)'!T13</f>
        <v>0.8</v>
      </c>
      <c r="E26" s="899">
        <f t="shared" si="39"/>
        <v>0.19892488097366726</v>
      </c>
      <c r="F26" s="899">
        <f t="shared" si="40"/>
        <v>0.26585903447659598</v>
      </c>
      <c r="G26" s="899">
        <f t="shared" si="41"/>
        <v>8.9228108703258049E-2</v>
      </c>
      <c r="H26" s="899">
        <f t="shared" si="42"/>
        <v>0</v>
      </c>
      <c r="I26" s="899">
        <f t="shared" si="43"/>
        <v>0</v>
      </c>
      <c r="J26" s="899">
        <f t="shared" si="44"/>
        <v>0</v>
      </c>
      <c r="K26" s="899">
        <f t="shared" si="45"/>
        <v>0.4459879758464787</v>
      </c>
      <c r="L26" s="996">
        <f t="shared" si="46"/>
        <v>1</v>
      </c>
      <c r="M26" s="102"/>
      <c r="N26" s="1037">
        <f t="shared" si="1"/>
        <v>3083.1358320672002</v>
      </c>
      <c r="O26" s="1030">
        <f>Parameters!R128</f>
        <v>0.73</v>
      </c>
      <c r="P26" s="1030">
        <f>E26*'MSW characteristics'!$B$28+'MSW characteristics'!$B$29*'4A SWD Case 1'!F26+'4A SWD Case 1'!G26*'MSW characteristics'!$B$30+'MSW characteristics'!$B$31*'4A SWD Case 1'!H26+'4A SWD Case 1'!I26*'MSW characteristics'!$B$32+'MSW characteristics'!$B$33*'4A SWD Case 1'!J26+'4A SWD Case 1'!K26*'MSW characteristics'!$B$35</f>
        <v>0.11870178252267252</v>
      </c>
      <c r="Q26" s="1029">
        <f t="shared" si="2"/>
        <v>133.58040744445341</v>
      </c>
      <c r="R26" s="1029">
        <f t="shared" si="3"/>
        <v>133.58040744445341</v>
      </c>
      <c r="S26" s="303">
        <f t="shared" si="4"/>
        <v>0</v>
      </c>
      <c r="T26" s="1029">
        <f t="shared" si="5"/>
        <v>820.83739901413151</v>
      </c>
      <c r="U26" s="1029">
        <f t="shared" si="6"/>
        <v>35.236419449865302</v>
      </c>
      <c r="V26" s="1202">
        <f t="shared" si="7"/>
        <v>23.490946299910203</v>
      </c>
      <c r="W26" s="10"/>
      <c r="X26" s="1037">
        <f>'Baseline data (from input)'!AS13*'4A SWD Case 1'!$D$12</f>
        <v>0</v>
      </c>
      <c r="Y26" s="1030">
        <f>Parameters!S128</f>
        <v>0.71500000000000008</v>
      </c>
      <c r="Z26" s="1030">
        <f t="shared" si="8"/>
        <v>0.2</v>
      </c>
      <c r="AA26" s="1029">
        <f t="shared" si="9"/>
        <v>0</v>
      </c>
      <c r="AB26" s="1029">
        <f t="shared" si="10"/>
        <v>0</v>
      </c>
      <c r="AC26" s="303">
        <f t="shared" si="11"/>
        <v>0</v>
      </c>
      <c r="AD26" s="1029">
        <f t="shared" si="12"/>
        <v>0</v>
      </c>
      <c r="AE26" s="1029">
        <f t="shared" si="13"/>
        <v>0</v>
      </c>
      <c r="AF26" s="1202">
        <f t="shared" si="14"/>
        <v>0</v>
      </c>
      <c r="AH26" s="1037">
        <f>'Baseline data (from input)'!AS13*'4A SWD Case 1'!$D$12</f>
        <v>0</v>
      </c>
      <c r="AI26" s="1030">
        <f>Parameters!S128</f>
        <v>0.71500000000000008</v>
      </c>
      <c r="AJ26" s="1030">
        <f t="shared" si="15"/>
        <v>0.2</v>
      </c>
      <c r="AK26" s="1029">
        <f t="shared" si="16"/>
        <v>0</v>
      </c>
      <c r="AL26" s="1029">
        <f t="shared" si="17"/>
        <v>0</v>
      </c>
      <c r="AM26" s="303">
        <f t="shared" si="18"/>
        <v>0</v>
      </c>
      <c r="AN26" s="1029">
        <f t="shared" si="19"/>
        <v>0</v>
      </c>
      <c r="AO26" s="1029">
        <f t="shared" si="20"/>
        <v>0</v>
      </c>
      <c r="AP26" s="1202">
        <f t="shared" si="21"/>
        <v>0</v>
      </c>
      <c r="AR26" s="1037">
        <v>0</v>
      </c>
      <c r="AS26" s="1030">
        <v>1</v>
      </c>
      <c r="AT26" s="1030">
        <f t="shared" si="22"/>
        <v>0.05</v>
      </c>
      <c r="AU26" s="1029">
        <f t="shared" si="23"/>
        <v>0</v>
      </c>
      <c r="AV26" s="1029">
        <f t="shared" si="24"/>
        <v>0</v>
      </c>
      <c r="AW26" s="303">
        <f t="shared" si="25"/>
        <v>0</v>
      </c>
      <c r="AX26" s="1045">
        <f t="shared" si="26"/>
        <v>0</v>
      </c>
      <c r="AY26" s="1045">
        <f t="shared" si="27"/>
        <v>0</v>
      </c>
      <c r="AZ26" s="1202">
        <f t="shared" si="28"/>
        <v>0</v>
      </c>
      <c r="BB26" s="317">
        <f t="shared" si="29"/>
        <v>23.490946299910203</v>
      </c>
      <c r="BC26" s="318">
        <f t="shared" si="30"/>
        <v>0</v>
      </c>
      <c r="BD26" s="1214">
        <f t="shared" si="31"/>
        <v>0</v>
      </c>
      <c r="BE26" s="318">
        <f t="shared" si="32"/>
        <v>23.490946299910203</v>
      </c>
      <c r="BF26" s="104">
        <v>0</v>
      </c>
      <c r="BG26" s="319">
        <f t="shared" si="33"/>
        <v>23.490946299910203</v>
      </c>
      <c r="BI26" s="317">
        <f t="shared" si="34"/>
        <v>23.490946299910203</v>
      </c>
      <c r="BJ26" s="318">
        <f t="shared" si="35"/>
        <v>0</v>
      </c>
      <c r="BK26" s="1214">
        <f t="shared" si="36"/>
        <v>0</v>
      </c>
      <c r="BL26" s="318">
        <f t="shared" si="37"/>
        <v>23.490946299910203</v>
      </c>
      <c r="BM26" s="104">
        <v>0</v>
      </c>
      <c r="BN26" s="319">
        <f t="shared" si="38"/>
        <v>23.490946299910203</v>
      </c>
    </row>
    <row r="27" spans="1:66">
      <c r="A27" s="995">
        <f>'Input data'!A58</f>
        <v>1958</v>
      </c>
      <c r="B27" s="987">
        <f>'Input data'!B58</f>
        <v>6.8699176</v>
      </c>
      <c r="C27" s="1145">
        <f>'Baseline data (from input)'!B14</f>
        <v>578.73</v>
      </c>
      <c r="D27" s="899">
        <f>'Baseline data (from input)'!T14</f>
        <v>0.8</v>
      </c>
      <c r="E27" s="899">
        <f t="shared" si="39"/>
        <v>0.19892488097366726</v>
      </c>
      <c r="F27" s="899">
        <f t="shared" si="40"/>
        <v>0.26585903447659598</v>
      </c>
      <c r="G27" s="899">
        <f t="shared" si="41"/>
        <v>8.9228108703258049E-2</v>
      </c>
      <c r="H27" s="899">
        <f t="shared" si="42"/>
        <v>0</v>
      </c>
      <c r="I27" s="899">
        <f t="shared" si="43"/>
        <v>0</v>
      </c>
      <c r="J27" s="899">
        <f t="shared" si="44"/>
        <v>0</v>
      </c>
      <c r="K27" s="899">
        <f t="shared" si="45"/>
        <v>0.4459879758464787</v>
      </c>
      <c r="L27" s="996">
        <f t="shared" si="46"/>
        <v>1</v>
      </c>
      <c r="M27" s="102"/>
      <c r="N27" s="1037">
        <f t="shared" si="1"/>
        <v>3180.6619301184001</v>
      </c>
      <c r="O27" s="1030">
        <f>Parameters!R129</f>
        <v>0.73</v>
      </c>
      <c r="P27" s="1030">
        <f>E27*'MSW characteristics'!$B$28+'MSW characteristics'!$B$29*'4A SWD Case 1'!F27+'4A SWD Case 1'!G27*'MSW characteristics'!$B$30+'MSW characteristics'!$B$31*'4A SWD Case 1'!H27+'4A SWD Case 1'!I27*'MSW characteristics'!$B$32+'MSW characteristics'!$B$33*'4A SWD Case 1'!J27+'4A SWD Case 1'!K27*'MSW characteristics'!$B$35</f>
        <v>0.11870178252267252</v>
      </c>
      <c r="Q27" s="1029">
        <f t="shared" si="2"/>
        <v>137.80583785807622</v>
      </c>
      <c r="R27" s="1029">
        <f t="shared" si="3"/>
        <v>137.80583785807622</v>
      </c>
      <c r="S27" s="303">
        <f t="shared" si="4"/>
        <v>0</v>
      </c>
      <c r="T27" s="1029">
        <f t="shared" si="5"/>
        <v>918.61052453095147</v>
      </c>
      <c r="U27" s="1029">
        <f t="shared" si="6"/>
        <v>40.032712341256236</v>
      </c>
      <c r="V27" s="1202">
        <f t="shared" si="7"/>
        <v>26.688474894170824</v>
      </c>
      <c r="W27" s="10"/>
      <c r="X27" s="1037">
        <f>'Baseline data (from input)'!AS14*'4A SWD Case 1'!$D$12</f>
        <v>0</v>
      </c>
      <c r="Y27" s="1030">
        <f>Parameters!S129</f>
        <v>0.71500000000000008</v>
      </c>
      <c r="Z27" s="1030">
        <f t="shared" si="8"/>
        <v>0.2</v>
      </c>
      <c r="AA27" s="1029">
        <f t="shared" si="9"/>
        <v>0</v>
      </c>
      <c r="AB27" s="1029">
        <f t="shared" si="10"/>
        <v>0</v>
      </c>
      <c r="AC27" s="303">
        <f t="shared" si="11"/>
        <v>0</v>
      </c>
      <c r="AD27" s="1029">
        <f t="shared" si="12"/>
        <v>0</v>
      </c>
      <c r="AE27" s="1029">
        <f t="shared" si="13"/>
        <v>0</v>
      </c>
      <c r="AF27" s="1202">
        <f t="shared" si="14"/>
        <v>0</v>
      </c>
      <c r="AH27" s="1037">
        <f>'Baseline data (from input)'!AS14*'4A SWD Case 1'!$D$12</f>
        <v>0</v>
      </c>
      <c r="AI27" s="1030">
        <f>Parameters!S129</f>
        <v>0.71500000000000008</v>
      </c>
      <c r="AJ27" s="1030">
        <f t="shared" si="15"/>
        <v>0.2</v>
      </c>
      <c r="AK27" s="1029">
        <f t="shared" si="16"/>
        <v>0</v>
      </c>
      <c r="AL27" s="1029">
        <f t="shared" si="17"/>
        <v>0</v>
      </c>
      <c r="AM27" s="303">
        <f t="shared" si="18"/>
        <v>0</v>
      </c>
      <c r="AN27" s="1029">
        <f t="shared" si="19"/>
        <v>0</v>
      </c>
      <c r="AO27" s="1029">
        <f t="shared" si="20"/>
        <v>0</v>
      </c>
      <c r="AP27" s="1202">
        <f t="shared" si="21"/>
        <v>0</v>
      </c>
      <c r="AR27" s="1037">
        <v>0</v>
      </c>
      <c r="AS27" s="1030">
        <v>1</v>
      </c>
      <c r="AT27" s="1030">
        <f t="shared" si="22"/>
        <v>0.05</v>
      </c>
      <c r="AU27" s="1029">
        <f t="shared" si="23"/>
        <v>0</v>
      </c>
      <c r="AV27" s="1029">
        <f t="shared" si="24"/>
        <v>0</v>
      </c>
      <c r="AW27" s="303">
        <f t="shared" si="25"/>
        <v>0</v>
      </c>
      <c r="AX27" s="1045">
        <f t="shared" si="26"/>
        <v>0</v>
      </c>
      <c r="AY27" s="1045">
        <f t="shared" si="27"/>
        <v>0</v>
      </c>
      <c r="AZ27" s="1202">
        <f t="shared" si="28"/>
        <v>0</v>
      </c>
      <c r="BB27" s="317">
        <f t="shared" si="29"/>
        <v>26.688474894170824</v>
      </c>
      <c r="BC27" s="318">
        <f t="shared" si="30"/>
        <v>0</v>
      </c>
      <c r="BD27" s="1214">
        <f t="shared" si="31"/>
        <v>0</v>
      </c>
      <c r="BE27" s="318">
        <f t="shared" si="32"/>
        <v>26.688474894170824</v>
      </c>
      <c r="BF27" s="104">
        <v>0</v>
      </c>
      <c r="BG27" s="319">
        <f t="shared" si="33"/>
        <v>26.688474894170824</v>
      </c>
      <c r="BI27" s="317">
        <f t="shared" si="34"/>
        <v>26.688474894170824</v>
      </c>
      <c r="BJ27" s="318">
        <f t="shared" si="35"/>
        <v>0</v>
      </c>
      <c r="BK27" s="1214">
        <f t="shared" si="36"/>
        <v>0</v>
      </c>
      <c r="BL27" s="318">
        <f t="shared" si="37"/>
        <v>26.688474894170824</v>
      </c>
      <c r="BM27" s="104">
        <v>0</v>
      </c>
      <c r="BN27" s="319">
        <f t="shared" si="38"/>
        <v>26.688474894170824</v>
      </c>
    </row>
    <row r="28" spans="1:66">
      <c r="A28" s="995">
        <f>'Input data'!A59</f>
        <v>1959</v>
      </c>
      <c r="B28" s="987">
        <f>'Input data'!B59</f>
        <v>7.0827593200000001</v>
      </c>
      <c r="C28" s="1145">
        <f>'Baseline data (from input)'!B15</f>
        <v>578.73</v>
      </c>
      <c r="D28" s="899">
        <f>'Baseline data (from input)'!T15</f>
        <v>0.8</v>
      </c>
      <c r="E28" s="899">
        <f t="shared" si="39"/>
        <v>0.19892488097366726</v>
      </c>
      <c r="F28" s="899">
        <f t="shared" si="40"/>
        <v>0.26585903447659598</v>
      </c>
      <c r="G28" s="899">
        <f t="shared" si="41"/>
        <v>8.9228108703258049E-2</v>
      </c>
      <c r="H28" s="899">
        <f t="shared" si="42"/>
        <v>0</v>
      </c>
      <c r="I28" s="899">
        <f t="shared" si="43"/>
        <v>0</v>
      </c>
      <c r="J28" s="899">
        <f t="shared" si="44"/>
        <v>0</v>
      </c>
      <c r="K28" s="899">
        <f t="shared" si="45"/>
        <v>0.4459879758464787</v>
      </c>
      <c r="L28" s="996">
        <f t="shared" si="46"/>
        <v>1</v>
      </c>
      <c r="M28" s="102"/>
      <c r="N28" s="1037">
        <f t="shared" si="1"/>
        <v>3279.2042410108802</v>
      </c>
      <c r="O28" s="1030">
        <f>Parameters!R130</f>
        <v>0.73</v>
      </c>
      <c r="P28" s="1030">
        <f>E28*'MSW characteristics'!$B$28+'MSW characteristics'!$B$29*'4A SWD Case 1'!F28+'4A SWD Case 1'!G28*'MSW characteristics'!$B$30+'MSW characteristics'!$B$31*'4A SWD Case 1'!H28+'4A SWD Case 1'!I28*'MSW characteristics'!$B$32+'MSW characteristics'!$B$33*'4A SWD Case 1'!J28+'4A SWD Case 1'!K28*'MSW characteristics'!$B$35</f>
        <v>0.11870178252267252</v>
      </c>
      <c r="Q28" s="1029">
        <f t="shared" si="2"/>
        <v>142.07529686232309</v>
      </c>
      <c r="R28" s="1029">
        <f t="shared" si="3"/>
        <v>142.07529686232309</v>
      </c>
      <c r="S28" s="303">
        <f t="shared" si="4"/>
        <v>0</v>
      </c>
      <c r="T28" s="1029">
        <f t="shared" si="5"/>
        <v>1015.884657452199</v>
      </c>
      <c r="U28" s="1029">
        <f t="shared" si="6"/>
        <v>44.801163941075465</v>
      </c>
      <c r="V28" s="1202">
        <f t="shared" si="7"/>
        <v>29.867442627383642</v>
      </c>
      <c r="W28" s="10"/>
      <c r="X28" s="1037">
        <f>'Baseline data (from input)'!AS15*'4A SWD Case 1'!$D$12</f>
        <v>0</v>
      </c>
      <c r="Y28" s="1030">
        <f>Parameters!S130</f>
        <v>0.71500000000000008</v>
      </c>
      <c r="Z28" s="1030">
        <f t="shared" si="8"/>
        <v>0.2</v>
      </c>
      <c r="AA28" s="1029">
        <f t="shared" si="9"/>
        <v>0</v>
      </c>
      <c r="AB28" s="1029">
        <f t="shared" si="10"/>
        <v>0</v>
      </c>
      <c r="AC28" s="303">
        <f t="shared" si="11"/>
        <v>0</v>
      </c>
      <c r="AD28" s="1029">
        <f t="shared" si="12"/>
        <v>0</v>
      </c>
      <c r="AE28" s="1029">
        <f t="shared" si="13"/>
        <v>0</v>
      </c>
      <c r="AF28" s="1202">
        <f t="shared" si="14"/>
        <v>0</v>
      </c>
      <c r="AH28" s="1037">
        <f>'Baseline data (from input)'!AS15*'4A SWD Case 1'!$D$12</f>
        <v>0</v>
      </c>
      <c r="AI28" s="1030">
        <f>Parameters!S130</f>
        <v>0.71500000000000008</v>
      </c>
      <c r="AJ28" s="1030">
        <f t="shared" si="15"/>
        <v>0.2</v>
      </c>
      <c r="AK28" s="1029">
        <f t="shared" si="16"/>
        <v>0</v>
      </c>
      <c r="AL28" s="1029">
        <f t="shared" si="17"/>
        <v>0</v>
      </c>
      <c r="AM28" s="303">
        <f t="shared" si="18"/>
        <v>0</v>
      </c>
      <c r="AN28" s="1029">
        <f t="shared" si="19"/>
        <v>0</v>
      </c>
      <c r="AO28" s="1029">
        <f t="shared" si="20"/>
        <v>0</v>
      </c>
      <c r="AP28" s="1202">
        <f t="shared" si="21"/>
        <v>0</v>
      </c>
      <c r="AR28" s="1037">
        <v>0</v>
      </c>
      <c r="AS28" s="1030">
        <v>1</v>
      </c>
      <c r="AT28" s="1030">
        <f t="shared" si="22"/>
        <v>0.05</v>
      </c>
      <c r="AU28" s="1029">
        <f t="shared" si="23"/>
        <v>0</v>
      </c>
      <c r="AV28" s="1029">
        <f t="shared" si="24"/>
        <v>0</v>
      </c>
      <c r="AW28" s="303">
        <f t="shared" si="25"/>
        <v>0</v>
      </c>
      <c r="AX28" s="1045">
        <f t="shared" si="26"/>
        <v>0</v>
      </c>
      <c r="AY28" s="1045">
        <f t="shared" si="27"/>
        <v>0</v>
      </c>
      <c r="AZ28" s="1202">
        <f t="shared" si="28"/>
        <v>0</v>
      </c>
      <c r="BB28" s="317">
        <f t="shared" si="29"/>
        <v>29.867442627383642</v>
      </c>
      <c r="BC28" s="318">
        <f t="shared" si="30"/>
        <v>0</v>
      </c>
      <c r="BD28" s="1214">
        <f t="shared" si="31"/>
        <v>0</v>
      </c>
      <c r="BE28" s="318">
        <f t="shared" si="32"/>
        <v>29.867442627383642</v>
      </c>
      <c r="BF28" s="104">
        <v>0</v>
      </c>
      <c r="BG28" s="319">
        <f t="shared" si="33"/>
        <v>29.867442627383642</v>
      </c>
      <c r="BI28" s="317">
        <f t="shared" si="34"/>
        <v>29.867442627383642</v>
      </c>
      <c r="BJ28" s="318">
        <f t="shared" si="35"/>
        <v>0</v>
      </c>
      <c r="BK28" s="1214">
        <f t="shared" si="36"/>
        <v>0</v>
      </c>
      <c r="BL28" s="318">
        <f t="shared" si="37"/>
        <v>29.867442627383642</v>
      </c>
      <c r="BM28" s="104">
        <v>0</v>
      </c>
      <c r="BN28" s="319">
        <f t="shared" si="38"/>
        <v>29.867442627383642</v>
      </c>
    </row>
    <row r="29" spans="1:66">
      <c r="A29" s="995">
        <f>'Input data'!A60</f>
        <v>1960</v>
      </c>
      <c r="B29" s="987">
        <f>'Input data'!B60</f>
        <v>7.2819655999999995</v>
      </c>
      <c r="C29" s="1145">
        <f>'Baseline data (from input)'!B16</f>
        <v>578.73</v>
      </c>
      <c r="D29" s="899">
        <f>'Baseline data (from input)'!T16</f>
        <v>0.8</v>
      </c>
      <c r="E29" s="899">
        <f t="shared" si="39"/>
        <v>0.19892488097366726</v>
      </c>
      <c r="F29" s="899">
        <f t="shared" si="40"/>
        <v>0.26585903447659598</v>
      </c>
      <c r="G29" s="899">
        <f t="shared" si="41"/>
        <v>8.9228108703258049E-2</v>
      </c>
      <c r="H29" s="899">
        <f t="shared" si="42"/>
        <v>0</v>
      </c>
      <c r="I29" s="899">
        <f t="shared" si="43"/>
        <v>0</v>
      </c>
      <c r="J29" s="899">
        <f t="shared" si="44"/>
        <v>0</v>
      </c>
      <c r="K29" s="899">
        <f t="shared" si="45"/>
        <v>0.4459879758464787</v>
      </c>
      <c r="L29" s="996">
        <f t="shared" si="46"/>
        <v>1</v>
      </c>
      <c r="M29" s="102"/>
      <c r="N29" s="1037">
        <f t="shared" si="1"/>
        <v>3371.4335613504004</v>
      </c>
      <c r="O29" s="1030">
        <f>Parameters!R131</f>
        <v>0.73</v>
      </c>
      <c r="P29" s="1030">
        <f>E29*'MSW characteristics'!$B$28+'MSW characteristics'!$B$29*'4A SWD Case 1'!F29+'4A SWD Case 1'!G29*'MSW characteristics'!$B$30+'MSW characteristics'!$B$31*'4A SWD Case 1'!H29+'4A SWD Case 1'!I29*'MSW characteristics'!$B$32+'MSW characteristics'!$B$33*'4A SWD Case 1'!J29+'4A SWD Case 1'!K29*'MSW characteristics'!$B$35</f>
        <v>0.11870178252267252</v>
      </c>
      <c r="Q29" s="1029">
        <f t="shared" si="2"/>
        <v>146.07123828700492</v>
      </c>
      <c r="R29" s="1029">
        <f t="shared" si="3"/>
        <v>146.07123828700492</v>
      </c>
      <c r="S29" s="303">
        <f t="shared" si="4"/>
        <v>0</v>
      </c>
      <c r="T29" s="1029">
        <f t="shared" si="5"/>
        <v>1112.4106163543652</v>
      </c>
      <c r="U29" s="1029">
        <f t="shared" si="6"/>
        <v>49.54527938483875</v>
      </c>
      <c r="V29" s="1202">
        <f t="shared" si="7"/>
        <v>33.030186256559169</v>
      </c>
      <c r="W29" s="10"/>
      <c r="X29" s="1037">
        <f>'Baseline data (from input)'!AS16*'4A SWD Case 1'!$D$12</f>
        <v>0</v>
      </c>
      <c r="Y29" s="1030">
        <f>Parameters!S131</f>
        <v>0.71500000000000008</v>
      </c>
      <c r="Z29" s="1030">
        <f t="shared" si="8"/>
        <v>0.2</v>
      </c>
      <c r="AA29" s="1029">
        <f t="shared" si="9"/>
        <v>0</v>
      </c>
      <c r="AB29" s="1029">
        <f t="shared" si="10"/>
        <v>0</v>
      </c>
      <c r="AC29" s="303">
        <f t="shared" si="11"/>
        <v>0</v>
      </c>
      <c r="AD29" s="1029">
        <f t="shared" si="12"/>
        <v>0</v>
      </c>
      <c r="AE29" s="1029">
        <f t="shared" si="13"/>
        <v>0</v>
      </c>
      <c r="AF29" s="1202">
        <f t="shared" si="14"/>
        <v>0</v>
      </c>
      <c r="AH29" s="1037">
        <f>'Baseline data (from input)'!AS16*'4A SWD Case 1'!$D$12</f>
        <v>0</v>
      </c>
      <c r="AI29" s="1030">
        <f>Parameters!S131</f>
        <v>0.71500000000000008</v>
      </c>
      <c r="AJ29" s="1030">
        <f t="shared" si="15"/>
        <v>0.2</v>
      </c>
      <c r="AK29" s="1029">
        <f t="shared" si="16"/>
        <v>0</v>
      </c>
      <c r="AL29" s="1029">
        <f t="shared" si="17"/>
        <v>0</v>
      </c>
      <c r="AM29" s="303">
        <f t="shared" si="18"/>
        <v>0</v>
      </c>
      <c r="AN29" s="1029">
        <f t="shared" si="19"/>
        <v>0</v>
      </c>
      <c r="AO29" s="1029">
        <f t="shared" si="20"/>
        <v>0</v>
      </c>
      <c r="AP29" s="1202">
        <f t="shared" si="21"/>
        <v>0</v>
      </c>
      <c r="AR29" s="1037">
        <v>0</v>
      </c>
      <c r="AS29" s="1030">
        <v>1</v>
      </c>
      <c r="AT29" s="1030">
        <f t="shared" si="22"/>
        <v>0.05</v>
      </c>
      <c r="AU29" s="1029">
        <f t="shared" si="23"/>
        <v>0</v>
      </c>
      <c r="AV29" s="1029">
        <f t="shared" si="24"/>
        <v>0</v>
      </c>
      <c r="AW29" s="303">
        <f t="shared" si="25"/>
        <v>0</v>
      </c>
      <c r="AX29" s="1045">
        <f t="shared" si="26"/>
        <v>0</v>
      </c>
      <c r="AY29" s="1045">
        <f t="shared" si="27"/>
        <v>0</v>
      </c>
      <c r="AZ29" s="1202">
        <f t="shared" si="28"/>
        <v>0</v>
      </c>
      <c r="BB29" s="317">
        <f t="shared" si="29"/>
        <v>33.030186256559169</v>
      </c>
      <c r="BC29" s="318">
        <f t="shared" si="30"/>
        <v>0</v>
      </c>
      <c r="BD29" s="1214">
        <f t="shared" si="31"/>
        <v>0</v>
      </c>
      <c r="BE29" s="318">
        <f t="shared" si="32"/>
        <v>33.030186256559169</v>
      </c>
      <c r="BF29" s="104">
        <v>0</v>
      </c>
      <c r="BG29" s="319">
        <f t="shared" si="33"/>
        <v>33.030186256559169</v>
      </c>
      <c r="BI29" s="317">
        <f t="shared" si="34"/>
        <v>33.030186256559169</v>
      </c>
      <c r="BJ29" s="318">
        <f t="shared" si="35"/>
        <v>0</v>
      </c>
      <c r="BK29" s="1214">
        <f t="shared" si="36"/>
        <v>0</v>
      </c>
      <c r="BL29" s="318">
        <f t="shared" si="37"/>
        <v>33.030186256559169</v>
      </c>
      <c r="BM29" s="104">
        <v>0</v>
      </c>
      <c r="BN29" s="319">
        <f t="shared" si="38"/>
        <v>33.030186256559169</v>
      </c>
    </row>
    <row r="30" spans="1:66">
      <c r="A30" s="995">
        <f>'Input data'!A61</f>
        <v>1961</v>
      </c>
      <c r="B30" s="987">
        <f>'Input data'!B61</f>
        <v>7.6498422000000001</v>
      </c>
      <c r="C30" s="1145">
        <f>'Baseline data (from input)'!B17</f>
        <v>578.73</v>
      </c>
      <c r="D30" s="899">
        <f>'Baseline data (from input)'!T17</f>
        <v>0.8</v>
      </c>
      <c r="E30" s="899">
        <f t="shared" si="39"/>
        <v>0.19892488097366726</v>
      </c>
      <c r="F30" s="899">
        <f t="shared" si="40"/>
        <v>0.26585903447659598</v>
      </c>
      <c r="G30" s="899">
        <f t="shared" si="41"/>
        <v>8.9228108703258049E-2</v>
      </c>
      <c r="H30" s="899">
        <f t="shared" si="42"/>
        <v>0</v>
      </c>
      <c r="I30" s="899">
        <f t="shared" si="43"/>
        <v>0</v>
      </c>
      <c r="J30" s="899">
        <f t="shared" si="44"/>
        <v>0</v>
      </c>
      <c r="K30" s="899">
        <f t="shared" si="45"/>
        <v>0.4459879758464787</v>
      </c>
      <c r="L30" s="996">
        <f t="shared" si="46"/>
        <v>1</v>
      </c>
      <c r="M30" s="102"/>
      <c r="N30" s="1037">
        <f t="shared" si="1"/>
        <v>3541.7545411248002</v>
      </c>
      <c r="O30" s="1030">
        <f>Parameters!R132</f>
        <v>0.73</v>
      </c>
      <c r="P30" s="1030">
        <f>E30*'MSW characteristics'!$B$28+'MSW characteristics'!$B$29*'4A SWD Case 1'!F30+'4A SWD Case 1'!G30*'MSW characteristics'!$B$30+'MSW characteristics'!$B$31*'4A SWD Case 1'!H30+'4A SWD Case 1'!I30*'MSW characteristics'!$B$32+'MSW characteristics'!$B$33*'4A SWD Case 1'!J30+'4A SWD Case 1'!K30*'MSW characteristics'!$B$35</f>
        <v>0.11870178252267252</v>
      </c>
      <c r="Q30" s="1029">
        <f t="shared" si="2"/>
        <v>153.45059071058859</v>
      </c>
      <c r="R30" s="1029">
        <f t="shared" si="3"/>
        <v>153.45059071058859</v>
      </c>
      <c r="S30" s="303">
        <f t="shared" si="4"/>
        <v>0</v>
      </c>
      <c r="T30" s="1029">
        <f t="shared" si="5"/>
        <v>1211.608301113836</v>
      </c>
      <c r="U30" s="1029">
        <f t="shared" si="6"/>
        <v>54.252905951117825</v>
      </c>
      <c r="V30" s="1202">
        <f t="shared" si="7"/>
        <v>36.168603967411883</v>
      </c>
      <c r="W30" s="10"/>
      <c r="X30" s="1037">
        <f>'Baseline data (from input)'!AS17*'4A SWD Case 1'!$D$12</f>
        <v>1545.6154512386593</v>
      </c>
      <c r="Y30" s="1030">
        <f>Parameters!S132</f>
        <v>0.71500000000000008</v>
      </c>
      <c r="Z30" s="1030">
        <f t="shared" si="8"/>
        <v>0.2</v>
      </c>
      <c r="AA30" s="1029">
        <f t="shared" si="9"/>
        <v>110.51150476356415</v>
      </c>
      <c r="AB30" s="1029">
        <f t="shared" si="10"/>
        <v>110.51150476356415</v>
      </c>
      <c r="AC30" s="303">
        <f t="shared" si="11"/>
        <v>0</v>
      </c>
      <c r="AD30" s="1029">
        <f t="shared" si="12"/>
        <v>110.51150476356415</v>
      </c>
      <c r="AE30" s="1029">
        <f t="shared" si="13"/>
        <v>0</v>
      </c>
      <c r="AF30" s="1202">
        <f t="shared" si="14"/>
        <v>0</v>
      </c>
      <c r="AH30" s="1037">
        <f>'Baseline data (from input)'!AS17*'4A SWD Case 1'!$D$12</f>
        <v>1545.6154512386593</v>
      </c>
      <c r="AI30" s="1030">
        <f>Parameters!S132</f>
        <v>0.71500000000000008</v>
      </c>
      <c r="AJ30" s="1030">
        <f t="shared" si="15"/>
        <v>0.2</v>
      </c>
      <c r="AK30" s="1029">
        <f t="shared" si="16"/>
        <v>110.51150476356415</v>
      </c>
      <c r="AL30" s="1029">
        <f t="shared" si="17"/>
        <v>110.51150476356415</v>
      </c>
      <c r="AM30" s="303">
        <f t="shared" si="18"/>
        <v>0</v>
      </c>
      <c r="AN30" s="1029">
        <f t="shared" si="19"/>
        <v>110.51150476356415</v>
      </c>
      <c r="AO30" s="1029">
        <f t="shared" si="20"/>
        <v>0</v>
      </c>
      <c r="AP30" s="1202">
        <f t="shared" si="21"/>
        <v>0</v>
      </c>
      <c r="AR30" s="1037">
        <v>0</v>
      </c>
      <c r="AS30" s="1030">
        <v>1</v>
      </c>
      <c r="AT30" s="1030">
        <f t="shared" si="22"/>
        <v>0.05</v>
      </c>
      <c r="AU30" s="1029">
        <f t="shared" si="23"/>
        <v>0</v>
      </c>
      <c r="AV30" s="1029">
        <f t="shared" si="24"/>
        <v>0</v>
      </c>
      <c r="AW30" s="303">
        <f t="shared" si="25"/>
        <v>0</v>
      </c>
      <c r="AX30" s="1045">
        <f t="shared" si="26"/>
        <v>0</v>
      </c>
      <c r="AY30" s="1045">
        <f t="shared" si="27"/>
        <v>0</v>
      </c>
      <c r="AZ30" s="1202">
        <f t="shared" si="28"/>
        <v>0</v>
      </c>
      <c r="BB30" s="317">
        <f t="shared" si="29"/>
        <v>36.168603967411883</v>
      </c>
      <c r="BC30" s="318">
        <f t="shared" si="30"/>
        <v>0</v>
      </c>
      <c r="BD30" s="1214">
        <f t="shared" si="31"/>
        <v>0</v>
      </c>
      <c r="BE30" s="318">
        <f t="shared" si="32"/>
        <v>36.168603967411883</v>
      </c>
      <c r="BF30" s="104">
        <v>0</v>
      </c>
      <c r="BG30" s="319">
        <f t="shared" si="33"/>
        <v>36.168603967411883</v>
      </c>
      <c r="BI30" s="317">
        <f t="shared" si="34"/>
        <v>36.168603967411883</v>
      </c>
      <c r="BJ30" s="318">
        <f t="shared" si="35"/>
        <v>0</v>
      </c>
      <c r="BK30" s="1214">
        <f t="shared" si="36"/>
        <v>0</v>
      </c>
      <c r="BL30" s="318">
        <f t="shared" si="37"/>
        <v>36.168603967411883</v>
      </c>
      <c r="BM30" s="104">
        <v>0</v>
      </c>
      <c r="BN30" s="319">
        <f t="shared" si="38"/>
        <v>36.168603967411883</v>
      </c>
    </row>
    <row r="31" spans="1:66">
      <c r="A31" s="995">
        <f>'Input data'!A62</f>
        <v>1962</v>
      </c>
      <c r="B31" s="987">
        <f>'Input data'!B62</f>
        <v>7.8559936000000006</v>
      </c>
      <c r="C31" s="1145">
        <f>'Baseline data (from input)'!B18</f>
        <v>578.73</v>
      </c>
      <c r="D31" s="899">
        <f>'Baseline data (from input)'!T18</f>
        <v>0.8</v>
      </c>
      <c r="E31" s="899">
        <f t="shared" si="39"/>
        <v>0.19892488097366726</v>
      </c>
      <c r="F31" s="899">
        <f t="shared" si="40"/>
        <v>0.26585903447659598</v>
      </c>
      <c r="G31" s="899">
        <f t="shared" si="41"/>
        <v>8.9228108703258049E-2</v>
      </c>
      <c r="H31" s="899">
        <f t="shared" si="42"/>
        <v>0</v>
      </c>
      <c r="I31" s="899">
        <f t="shared" si="43"/>
        <v>0</v>
      </c>
      <c r="J31" s="899">
        <f t="shared" si="44"/>
        <v>0</v>
      </c>
      <c r="K31" s="899">
        <f t="shared" si="45"/>
        <v>0.4459879758464787</v>
      </c>
      <c r="L31" s="996">
        <f t="shared" si="46"/>
        <v>1</v>
      </c>
      <c r="M31" s="102"/>
      <c r="N31" s="1037">
        <f t="shared" si="1"/>
        <v>3637.1993409024008</v>
      </c>
      <c r="O31" s="1030">
        <f>Parameters!R133</f>
        <v>0.73</v>
      </c>
      <c r="P31" s="1030">
        <f>E31*'MSW characteristics'!$B$28+'MSW characteristics'!$B$29*'4A SWD Case 1'!F31+'4A SWD Case 1'!G31*'MSW characteristics'!$B$30+'MSW characteristics'!$B$31*'4A SWD Case 1'!H31+'4A SWD Case 1'!I31*'MSW characteristics'!$B$32+'MSW characteristics'!$B$33*'4A SWD Case 1'!J31+'4A SWD Case 1'!K31*'MSW characteristics'!$B$35</f>
        <v>0.11870178252267252</v>
      </c>
      <c r="Q31" s="1029">
        <f t="shared" si="2"/>
        <v>157.58584648172268</v>
      </c>
      <c r="R31" s="1029">
        <f t="shared" si="3"/>
        <v>157.58584648172268</v>
      </c>
      <c r="S31" s="303">
        <f t="shared" si="4"/>
        <v>0</v>
      </c>
      <c r="T31" s="1029">
        <f t="shared" si="5"/>
        <v>1310.1033134705247</v>
      </c>
      <c r="U31" s="1029">
        <f t="shared" si="6"/>
        <v>59.090834125033965</v>
      </c>
      <c r="V31" s="1202">
        <f t="shared" si="7"/>
        <v>39.393889416689312</v>
      </c>
      <c r="W31" s="10"/>
      <c r="X31" s="1037">
        <f>'Baseline data (from input)'!AS18*'4A SWD Case 1'!$D$12</f>
        <v>1641.1017669144405</v>
      </c>
      <c r="Y31" s="1030">
        <f>Parameters!S133</f>
        <v>0.71500000000000008</v>
      </c>
      <c r="Z31" s="1030">
        <f t="shared" si="8"/>
        <v>0.2</v>
      </c>
      <c r="AA31" s="1029">
        <f t="shared" si="9"/>
        <v>117.33877633438252</v>
      </c>
      <c r="AB31" s="1029">
        <f t="shared" si="10"/>
        <v>117.33877633438252</v>
      </c>
      <c r="AC31" s="303">
        <f t="shared" si="11"/>
        <v>0</v>
      </c>
      <c r="AD31" s="1029">
        <f t="shared" si="12"/>
        <v>222.46057141133554</v>
      </c>
      <c r="AE31" s="1029">
        <f t="shared" si="13"/>
        <v>5.3897096866111083</v>
      </c>
      <c r="AF31" s="1202">
        <f t="shared" si="14"/>
        <v>3.5931397910740723</v>
      </c>
      <c r="AH31" s="1037">
        <f>'Baseline data (from input)'!AS18*'4A SWD Case 1'!$D$12</f>
        <v>1641.1017669144405</v>
      </c>
      <c r="AI31" s="1030">
        <f>Parameters!S133</f>
        <v>0.71500000000000008</v>
      </c>
      <c r="AJ31" s="1030">
        <f t="shared" si="15"/>
        <v>0.2</v>
      </c>
      <c r="AK31" s="1029">
        <f t="shared" si="16"/>
        <v>117.33877633438252</v>
      </c>
      <c r="AL31" s="1029">
        <f t="shared" si="17"/>
        <v>117.33877633438252</v>
      </c>
      <c r="AM31" s="303">
        <f t="shared" si="18"/>
        <v>0</v>
      </c>
      <c r="AN31" s="1029">
        <f t="shared" si="19"/>
        <v>222.46057141133554</v>
      </c>
      <c r="AO31" s="1029">
        <f t="shared" si="20"/>
        <v>5.3897096866111083</v>
      </c>
      <c r="AP31" s="1202">
        <f t="shared" si="21"/>
        <v>3.5931397910740723</v>
      </c>
      <c r="AR31" s="1037">
        <v>0</v>
      </c>
      <c r="AS31" s="1030">
        <v>1</v>
      </c>
      <c r="AT31" s="1030">
        <f t="shared" si="22"/>
        <v>0.05</v>
      </c>
      <c r="AU31" s="1029">
        <f t="shared" si="23"/>
        <v>0</v>
      </c>
      <c r="AV31" s="1029">
        <f t="shared" si="24"/>
        <v>0</v>
      </c>
      <c r="AW31" s="303">
        <f t="shared" si="25"/>
        <v>0</v>
      </c>
      <c r="AX31" s="1045">
        <f t="shared" si="26"/>
        <v>0</v>
      </c>
      <c r="AY31" s="1045">
        <f t="shared" si="27"/>
        <v>0</v>
      </c>
      <c r="AZ31" s="1202">
        <f t="shared" si="28"/>
        <v>0</v>
      </c>
      <c r="BB31" s="317">
        <f t="shared" si="29"/>
        <v>39.393889416689312</v>
      </c>
      <c r="BC31" s="318">
        <f t="shared" si="30"/>
        <v>3.5931397910740723</v>
      </c>
      <c r="BD31" s="1214">
        <f t="shared" si="31"/>
        <v>0</v>
      </c>
      <c r="BE31" s="318">
        <f t="shared" si="32"/>
        <v>42.987029207763385</v>
      </c>
      <c r="BF31" s="104">
        <v>0</v>
      </c>
      <c r="BG31" s="319">
        <f t="shared" si="33"/>
        <v>42.987029207763385</v>
      </c>
      <c r="BI31" s="317">
        <f t="shared" si="34"/>
        <v>39.393889416689312</v>
      </c>
      <c r="BJ31" s="318">
        <f t="shared" si="35"/>
        <v>3.5931397910740723</v>
      </c>
      <c r="BK31" s="1214">
        <f t="shared" si="36"/>
        <v>0</v>
      </c>
      <c r="BL31" s="318">
        <f t="shared" si="37"/>
        <v>42.987029207763385</v>
      </c>
      <c r="BM31" s="104">
        <v>0</v>
      </c>
      <c r="BN31" s="319">
        <f t="shared" si="38"/>
        <v>42.987029207763385</v>
      </c>
    </row>
    <row r="32" spans="1:66">
      <c r="A32" s="127">
        <f>'Input data'!A63</f>
        <v>1963</v>
      </c>
      <c r="B32" s="988">
        <f>'Input data'!B63</f>
        <v>8.062145000000001</v>
      </c>
      <c r="C32" s="902">
        <f>'Baseline data (from input)'!B19</f>
        <v>578.73</v>
      </c>
      <c r="D32" s="899">
        <f>'Baseline data (from input)'!T19</f>
        <v>0.8</v>
      </c>
      <c r="E32" s="899">
        <f t="shared" si="39"/>
        <v>0.19892488097366726</v>
      </c>
      <c r="F32" s="899">
        <f t="shared" si="40"/>
        <v>0.26585903447659598</v>
      </c>
      <c r="G32" s="899">
        <f t="shared" si="41"/>
        <v>8.9228108703258049E-2</v>
      </c>
      <c r="H32" s="899">
        <f t="shared" si="42"/>
        <v>0</v>
      </c>
      <c r="I32" s="899">
        <f t="shared" si="43"/>
        <v>0</v>
      </c>
      <c r="J32" s="899">
        <f t="shared" si="44"/>
        <v>0</v>
      </c>
      <c r="K32" s="899">
        <f t="shared" si="45"/>
        <v>0.4459879758464787</v>
      </c>
      <c r="L32" s="996">
        <f t="shared" si="46"/>
        <v>1</v>
      </c>
      <c r="M32" s="101"/>
      <c r="N32" s="317">
        <f t="shared" si="1"/>
        <v>3732.6441406800004</v>
      </c>
      <c r="O32" s="1031">
        <f>Parameters!R134</f>
        <v>0.73</v>
      </c>
      <c r="P32" s="1031">
        <f>E32*'MSW characteristics'!$B$28+'MSW characteristics'!$B$29*'4A SWD Case 1'!F32+'4A SWD Case 1'!G32*'MSW characteristics'!$B$30+'MSW characteristics'!$B$31*'4A SWD Case 1'!H32+'4A SWD Case 1'!I32*'MSW characteristics'!$B$32+'MSW characteristics'!$B$33*'4A SWD Case 1'!J32+'4A SWD Case 1'!K32*'MSW characteristics'!$B$35</f>
        <v>0.11870178252267252</v>
      </c>
      <c r="Q32" s="1029">
        <f t="shared" si="2"/>
        <v>161.72110225285672</v>
      </c>
      <c r="R32" s="1029">
        <f t="shared" si="3"/>
        <v>161.72110225285672</v>
      </c>
      <c r="S32" s="303">
        <f t="shared" si="4"/>
        <v>0</v>
      </c>
      <c r="T32" s="1029">
        <f t="shared" si="5"/>
        <v>1407.9299231619025</v>
      </c>
      <c r="U32" s="1029">
        <f t="shared" si="6"/>
        <v>63.894492561478955</v>
      </c>
      <c r="V32" s="1202">
        <f t="shared" si="7"/>
        <v>42.596328374319306</v>
      </c>
      <c r="X32" s="1037">
        <f>'Baseline data (from input)'!AS19*'4A SWD Case 1'!$D$12</f>
        <v>1762.1102566145044</v>
      </c>
      <c r="Y32" s="1030">
        <f>Parameters!S134</f>
        <v>0.71500000000000008</v>
      </c>
      <c r="Z32" s="1030">
        <f t="shared" si="8"/>
        <v>0.2</v>
      </c>
      <c r="AA32" s="1029">
        <f t="shared" si="9"/>
        <v>125.99088334793707</v>
      </c>
      <c r="AB32" s="1029">
        <f t="shared" si="10"/>
        <v>125.99088334793707</v>
      </c>
      <c r="AC32" s="303">
        <f t="shared" si="11"/>
        <v>0</v>
      </c>
      <c r="AD32" s="1029">
        <f t="shared" si="12"/>
        <v>337.60192466564177</v>
      </c>
      <c r="AE32" s="1029">
        <f t="shared" si="13"/>
        <v>10.849530093630841</v>
      </c>
      <c r="AF32" s="1202">
        <f t="shared" si="14"/>
        <v>7.2330200624205609</v>
      </c>
      <c r="AH32" s="1037">
        <f>'Baseline data (from input)'!AS19*'4A SWD Case 1'!$D$12</f>
        <v>1762.1102566145044</v>
      </c>
      <c r="AI32" s="1030">
        <f>Parameters!S134</f>
        <v>0.71500000000000008</v>
      </c>
      <c r="AJ32" s="1030">
        <f t="shared" si="15"/>
        <v>0.2</v>
      </c>
      <c r="AK32" s="1029">
        <f t="shared" si="16"/>
        <v>125.99088334793707</v>
      </c>
      <c r="AL32" s="1029">
        <f t="shared" si="17"/>
        <v>125.99088334793707</v>
      </c>
      <c r="AM32" s="303">
        <f t="shared" si="18"/>
        <v>0</v>
      </c>
      <c r="AN32" s="1029">
        <f t="shared" si="19"/>
        <v>337.60192466564177</v>
      </c>
      <c r="AO32" s="1029">
        <f t="shared" si="20"/>
        <v>10.849530093630841</v>
      </c>
      <c r="AP32" s="1202">
        <f t="shared" si="21"/>
        <v>7.2330200624205609</v>
      </c>
      <c r="AR32" s="1037">
        <v>0</v>
      </c>
      <c r="AS32" s="1030">
        <v>1</v>
      </c>
      <c r="AT32" s="1030">
        <f t="shared" si="22"/>
        <v>0.05</v>
      </c>
      <c r="AU32" s="1029">
        <f t="shared" si="23"/>
        <v>0</v>
      </c>
      <c r="AV32" s="1029">
        <f t="shared" si="24"/>
        <v>0</v>
      </c>
      <c r="AW32" s="303">
        <f t="shared" si="25"/>
        <v>0</v>
      </c>
      <c r="AX32" s="1045">
        <f t="shared" si="26"/>
        <v>0</v>
      </c>
      <c r="AY32" s="1045">
        <f t="shared" si="27"/>
        <v>0</v>
      </c>
      <c r="AZ32" s="1202">
        <f t="shared" si="28"/>
        <v>0</v>
      </c>
      <c r="BB32" s="317">
        <f t="shared" si="29"/>
        <v>42.596328374319306</v>
      </c>
      <c r="BC32" s="318">
        <f t="shared" si="30"/>
        <v>7.2330200624205609</v>
      </c>
      <c r="BD32" s="1214">
        <f t="shared" si="31"/>
        <v>0</v>
      </c>
      <c r="BE32" s="318">
        <f t="shared" si="32"/>
        <v>49.829348436739863</v>
      </c>
      <c r="BF32" s="104">
        <v>0</v>
      </c>
      <c r="BG32" s="319">
        <f t="shared" si="33"/>
        <v>49.829348436739863</v>
      </c>
      <c r="BI32" s="317">
        <f t="shared" si="34"/>
        <v>42.596328374319306</v>
      </c>
      <c r="BJ32" s="318">
        <f t="shared" si="35"/>
        <v>7.2330200624205609</v>
      </c>
      <c r="BK32" s="1214">
        <f t="shared" si="36"/>
        <v>0</v>
      </c>
      <c r="BL32" s="318">
        <f t="shared" si="37"/>
        <v>49.829348436739863</v>
      </c>
      <c r="BM32" s="104">
        <v>0</v>
      </c>
      <c r="BN32" s="319">
        <f t="shared" si="38"/>
        <v>49.829348436739863</v>
      </c>
    </row>
    <row r="33" spans="1:66">
      <c r="A33" s="127">
        <f>'Input data'!A64</f>
        <v>1964</v>
      </c>
      <c r="B33" s="988">
        <f>'Input data'!B64</f>
        <v>8.2682964000000005</v>
      </c>
      <c r="C33" s="902">
        <f>'Baseline data (from input)'!B20</f>
        <v>578.73</v>
      </c>
      <c r="D33" s="899">
        <f>'Baseline data (from input)'!T20</f>
        <v>0.8</v>
      </c>
      <c r="E33" s="899">
        <f t="shared" si="39"/>
        <v>0.19892488097366726</v>
      </c>
      <c r="F33" s="899">
        <f t="shared" si="40"/>
        <v>0.26585903447659598</v>
      </c>
      <c r="G33" s="899">
        <f t="shared" si="41"/>
        <v>8.9228108703258049E-2</v>
      </c>
      <c r="H33" s="899">
        <f t="shared" si="42"/>
        <v>0</v>
      </c>
      <c r="I33" s="899">
        <f t="shared" si="43"/>
        <v>0</v>
      </c>
      <c r="J33" s="899">
        <f t="shared" si="44"/>
        <v>0</v>
      </c>
      <c r="K33" s="899">
        <f t="shared" si="45"/>
        <v>0.4459879758464787</v>
      </c>
      <c r="L33" s="996">
        <f t="shared" si="46"/>
        <v>1</v>
      </c>
      <c r="N33" s="317">
        <f t="shared" si="1"/>
        <v>3828.0889404576005</v>
      </c>
      <c r="O33" s="1031">
        <f>Parameters!R135</f>
        <v>0.73</v>
      </c>
      <c r="P33" s="1031">
        <f>E33*'MSW characteristics'!$B$28+'MSW characteristics'!$B$29*'4A SWD Case 1'!F33+'4A SWD Case 1'!G33*'MSW characteristics'!$B$30+'MSW characteristics'!$B$31*'4A SWD Case 1'!H33+'4A SWD Case 1'!I33*'MSW characteristics'!$B$32+'MSW characteristics'!$B$33*'4A SWD Case 1'!J33+'4A SWD Case 1'!K33*'MSW characteristics'!$B$35</f>
        <v>0.11870178252267252</v>
      </c>
      <c r="Q33" s="1029">
        <f t="shared" si="2"/>
        <v>165.85635802399077</v>
      </c>
      <c r="R33" s="1029">
        <f t="shared" si="3"/>
        <v>165.85635802399077</v>
      </c>
      <c r="S33" s="303">
        <f t="shared" si="4"/>
        <v>0</v>
      </c>
      <c r="T33" s="1029">
        <f t="shared" si="5"/>
        <v>1505.1207285706218</v>
      </c>
      <c r="U33" s="1029">
        <f t="shared" si="6"/>
        <v>68.66555261527148</v>
      </c>
      <c r="V33" s="1202">
        <f t="shared" si="7"/>
        <v>45.777035076847653</v>
      </c>
      <c r="X33" s="1037">
        <f>'Baseline data (from input)'!AS20*'4A SWD Case 1'!$D$12</f>
        <v>1902.0179637567517</v>
      </c>
      <c r="Y33" s="1030">
        <f>Parameters!S135</f>
        <v>0.71500000000000008</v>
      </c>
      <c r="Z33" s="1030">
        <f t="shared" si="8"/>
        <v>0.2</v>
      </c>
      <c r="AA33" s="1029">
        <f t="shared" si="9"/>
        <v>135.99428440860777</v>
      </c>
      <c r="AB33" s="1029">
        <f t="shared" si="10"/>
        <v>135.99428440860777</v>
      </c>
      <c r="AC33" s="303">
        <f t="shared" si="11"/>
        <v>0</v>
      </c>
      <c r="AD33" s="1029">
        <f t="shared" si="12"/>
        <v>457.13116891863962</v>
      </c>
      <c r="AE33" s="1029">
        <f t="shared" si="13"/>
        <v>16.465040155609941</v>
      </c>
      <c r="AF33" s="1202">
        <f t="shared" si="14"/>
        <v>10.976693437073294</v>
      </c>
      <c r="AH33" s="1037">
        <f>'Baseline data (from input)'!AS20*'4A SWD Case 1'!$D$12</f>
        <v>1902.0179637567517</v>
      </c>
      <c r="AI33" s="1030">
        <f>Parameters!S135</f>
        <v>0.71500000000000008</v>
      </c>
      <c r="AJ33" s="1030">
        <f t="shared" si="15"/>
        <v>0.2</v>
      </c>
      <c r="AK33" s="1029">
        <f t="shared" si="16"/>
        <v>135.99428440860777</v>
      </c>
      <c r="AL33" s="1029">
        <f t="shared" si="17"/>
        <v>135.99428440860777</v>
      </c>
      <c r="AM33" s="303">
        <f t="shared" si="18"/>
        <v>0</v>
      </c>
      <c r="AN33" s="1029">
        <f t="shared" si="19"/>
        <v>457.13116891863962</v>
      </c>
      <c r="AO33" s="1029">
        <f t="shared" si="20"/>
        <v>16.465040155609941</v>
      </c>
      <c r="AP33" s="1202">
        <f t="shared" si="21"/>
        <v>10.976693437073294</v>
      </c>
      <c r="AR33" s="1037">
        <v>0</v>
      </c>
      <c r="AS33" s="1030">
        <v>1</v>
      </c>
      <c r="AT33" s="1030">
        <f t="shared" si="22"/>
        <v>0.05</v>
      </c>
      <c r="AU33" s="1029">
        <f t="shared" si="23"/>
        <v>0</v>
      </c>
      <c r="AV33" s="1029">
        <f t="shared" si="24"/>
        <v>0</v>
      </c>
      <c r="AW33" s="303">
        <f t="shared" si="25"/>
        <v>0</v>
      </c>
      <c r="AX33" s="1045">
        <f t="shared" si="26"/>
        <v>0</v>
      </c>
      <c r="AY33" s="1045">
        <f t="shared" si="27"/>
        <v>0</v>
      </c>
      <c r="AZ33" s="1202">
        <f t="shared" si="28"/>
        <v>0</v>
      </c>
      <c r="BB33" s="317">
        <f t="shared" si="29"/>
        <v>45.777035076847653</v>
      </c>
      <c r="BC33" s="318">
        <f t="shared" si="30"/>
        <v>10.976693437073294</v>
      </c>
      <c r="BD33" s="1214">
        <f t="shared" si="31"/>
        <v>0</v>
      </c>
      <c r="BE33" s="318">
        <f t="shared" si="32"/>
        <v>56.753728513920947</v>
      </c>
      <c r="BF33" s="104">
        <v>0</v>
      </c>
      <c r="BG33" s="319">
        <f t="shared" si="33"/>
        <v>56.753728513920947</v>
      </c>
      <c r="BI33" s="317">
        <f t="shared" si="34"/>
        <v>45.777035076847653</v>
      </c>
      <c r="BJ33" s="318">
        <f t="shared" si="35"/>
        <v>10.976693437073294</v>
      </c>
      <c r="BK33" s="1214">
        <f t="shared" si="36"/>
        <v>0</v>
      </c>
      <c r="BL33" s="318">
        <f t="shared" si="37"/>
        <v>56.753728513920947</v>
      </c>
      <c r="BM33" s="104">
        <v>0</v>
      </c>
      <c r="BN33" s="319">
        <f t="shared" si="38"/>
        <v>56.753728513920947</v>
      </c>
    </row>
    <row r="34" spans="1:66">
      <c r="A34" s="127">
        <f>'Input data'!A65</f>
        <v>1965</v>
      </c>
      <c r="B34" s="988">
        <f>'Input data'!B65</f>
        <v>8.4744478000000001</v>
      </c>
      <c r="C34" s="902">
        <f>'Baseline data (from input)'!B21</f>
        <v>578.73</v>
      </c>
      <c r="D34" s="899">
        <f>'Baseline data (from input)'!T21</f>
        <v>0.8</v>
      </c>
      <c r="E34" s="899">
        <f t="shared" si="39"/>
        <v>0.19892488097366726</v>
      </c>
      <c r="F34" s="899">
        <f t="shared" si="40"/>
        <v>0.26585903447659598</v>
      </c>
      <c r="G34" s="899">
        <f t="shared" si="41"/>
        <v>8.9228108703258049E-2</v>
      </c>
      <c r="H34" s="899">
        <f t="shared" si="42"/>
        <v>0</v>
      </c>
      <c r="I34" s="899">
        <f t="shared" si="43"/>
        <v>0</v>
      </c>
      <c r="J34" s="899">
        <f t="shared" si="44"/>
        <v>0</v>
      </c>
      <c r="K34" s="899">
        <f t="shared" si="45"/>
        <v>0.4459879758464787</v>
      </c>
      <c r="L34" s="996">
        <f t="shared" si="46"/>
        <v>1</v>
      </c>
      <c r="N34" s="317">
        <f t="shared" si="1"/>
        <v>3923.5337402352002</v>
      </c>
      <c r="O34" s="1031">
        <f>Parameters!R136</f>
        <v>0.73</v>
      </c>
      <c r="P34" s="1031">
        <f>E34*'MSW characteristics'!$B$28+'MSW characteristics'!$B$29*'4A SWD Case 1'!F34+'4A SWD Case 1'!G34*'MSW characteristics'!$B$30+'MSW characteristics'!$B$31*'4A SWD Case 1'!H34+'4A SWD Case 1'!I34*'MSW characteristics'!$B$32+'MSW characteristics'!$B$33*'4A SWD Case 1'!J34+'4A SWD Case 1'!K34*'MSW characteristics'!$B$35</f>
        <v>0.11870178252267252</v>
      </c>
      <c r="Q34" s="1029">
        <f t="shared" si="2"/>
        <v>169.99161379512481</v>
      </c>
      <c r="R34" s="1029">
        <f t="shared" si="3"/>
        <v>169.99161379512481</v>
      </c>
      <c r="S34" s="303">
        <f t="shared" si="4"/>
        <v>0</v>
      </c>
      <c r="T34" s="1029">
        <f t="shared" si="5"/>
        <v>1601.7067382374528</v>
      </c>
      <c r="U34" s="1029">
        <f t="shared" si="6"/>
        <v>73.405604128293845</v>
      </c>
      <c r="V34" s="1202">
        <f t="shared" si="7"/>
        <v>48.937069418862563</v>
      </c>
      <c r="X34" s="1037">
        <f>'Baseline data (from input)'!AS21*'4A SWD Case 1'!$D$12</f>
        <v>2018.4739745641532</v>
      </c>
      <c r="Y34" s="1030">
        <f>Parameters!S136</f>
        <v>0.71500000000000008</v>
      </c>
      <c r="Z34" s="1030">
        <f t="shared" si="8"/>
        <v>0.2</v>
      </c>
      <c r="AA34" s="1029">
        <f t="shared" si="9"/>
        <v>144.32088918133698</v>
      </c>
      <c r="AB34" s="1029">
        <f t="shared" si="10"/>
        <v>144.32088918133698</v>
      </c>
      <c r="AC34" s="303">
        <f t="shared" si="11"/>
        <v>0</v>
      </c>
      <c r="AD34" s="1029">
        <f t="shared" si="12"/>
        <v>579.15750791315327</v>
      </c>
      <c r="AE34" s="1029">
        <f t="shared" si="13"/>
        <v>22.294550186823368</v>
      </c>
      <c r="AF34" s="1202">
        <f t="shared" si="14"/>
        <v>14.863033457882246</v>
      </c>
      <c r="AH34" s="1037">
        <f>'Baseline data (from input)'!AS21*'4A SWD Case 1'!$D$12</f>
        <v>2018.4739745641532</v>
      </c>
      <c r="AI34" s="1030">
        <f>Parameters!S136</f>
        <v>0.71500000000000008</v>
      </c>
      <c r="AJ34" s="1030">
        <f t="shared" si="15"/>
        <v>0.2</v>
      </c>
      <c r="AK34" s="1029">
        <f t="shared" si="16"/>
        <v>144.32088918133698</v>
      </c>
      <c r="AL34" s="1029">
        <f t="shared" si="17"/>
        <v>144.32088918133698</v>
      </c>
      <c r="AM34" s="303">
        <f t="shared" si="18"/>
        <v>0</v>
      </c>
      <c r="AN34" s="1029">
        <f t="shared" si="19"/>
        <v>579.15750791315327</v>
      </c>
      <c r="AO34" s="1029">
        <f t="shared" si="20"/>
        <v>22.294550186823368</v>
      </c>
      <c r="AP34" s="1202">
        <f t="shared" si="21"/>
        <v>14.863033457882246</v>
      </c>
      <c r="AR34" s="1037">
        <v>0</v>
      </c>
      <c r="AS34" s="1030">
        <v>1</v>
      </c>
      <c r="AT34" s="1030">
        <f t="shared" si="22"/>
        <v>0.05</v>
      </c>
      <c r="AU34" s="1029">
        <f t="shared" si="23"/>
        <v>0</v>
      </c>
      <c r="AV34" s="1029">
        <f t="shared" si="24"/>
        <v>0</v>
      </c>
      <c r="AW34" s="303">
        <f t="shared" si="25"/>
        <v>0</v>
      </c>
      <c r="AX34" s="1045">
        <f t="shared" si="26"/>
        <v>0</v>
      </c>
      <c r="AY34" s="1045">
        <f t="shared" si="27"/>
        <v>0</v>
      </c>
      <c r="AZ34" s="1202">
        <f t="shared" si="28"/>
        <v>0</v>
      </c>
      <c r="BB34" s="317">
        <f t="shared" si="29"/>
        <v>48.937069418862563</v>
      </c>
      <c r="BC34" s="318">
        <f t="shared" si="30"/>
        <v>14.863033457882246</v>
      </c>
      <c r="BD34" s="1214">
        <f t="shared" si="31"/>
        <v>0</v>
      </c>
      <c r="BE34" s="318">
        <f t="shared" si="32"/>
        <v>63.800102876744809</v>
      </c>
      <c r="BF34" s="104">
        <v>0</v>
      </c>
      <c r="BG34" s="319">
        <f t="shared" si="33"/>
        <v>63.800102876744809</v>
      </c>
      <c r="BI34" s="317">
        <f t="shared" si="34"/>
        <v>48.937069418862563</v>
      </c>
      <c r="BJ34" s="318">
        <f t="shared" si="35"/>
        <v>14.863033457882246</v>
      </c>
      <c r="BK34" s="1214">
        <f t="shared" si="36"/>
        <v>0</v>
      </c>
      <c r="BL34" s="318">
        <f t="shared" si="37"/>
        <v>63.800102876744809</v>
      </c>
      <c r="BM34" s="104">
        <v>0</v>
      </c>
      <c r="BN34" s="319">
        <f t="shared" si="38"/>
        <v>63.800102876744809</v>
      </c>
    </row>
    <row r="35" spans="1:66">
      <c r="A35" s="127">
        <f>'Input data'!A66</f>
        <v>1966</v>
      </c>
      <c r="B35" s="988">
        <f>'Input data'!B66</f>
        <v>8.7407319999999995</v>
      </c>
      <c r="C35" s="902">
        <f>'Baseline data (from input)'!B22</f>
        <v>578.73</v>
      </c>
      <c r="D35" s="899">
        <f>'Baseline data (from input)'!T22</f>
        <v>0.8</v>
      </c>
      <c r="E35" s="899">
        <f t="shared" si="39"/>
        <v>0.19892488097366726</v>
      </c>
      <c r="F35" s="899">
        <f t="shared" si="40"/>
        <v>0.26585903447659598</v>
      </c>
      <c r="G35" s="899">
        <f t="shared" si="41"/>
        <v>8.9228108703258049E-2</v>
      </c>
      <c r="H35" s="899">
        <f t="shared" si="42"/>
        <v>0</v>
      </c>
      <c r="I35" s="899">
        <f t="shared" si="43"/>
        <v>0</v>
      </c>
      <c r="J35" s="899">
        <f t="shared" si="44"/>
        <v>0</v>
      </c>
      <c r="K35" s="899">
        <f t="shared" si="45"/>
        <v>0.4459879758464787</v>
      </c>
      <c r="L35" s="996">
        <f t="shared" si="46"/>
        <v>1</v>
      </c>
      <c r="N35" s="317">
        <f t="shared" si="1"/>
        <v>4046.8190642879999</v>
      </c>
      <c r="O35" s="1031">
        <f>Parameters!R137</f>
        <v>0.73</v>
      </c>
      <c r="P35" s="1031">
        <f>E35*'MSW characteristics'!$B$28+'MSW characteristics'!$B$29*'4A SWD Case 1'!F35+'4A SWD Case 1'!G35*'MSW characteristics'!$B$30+'MSW characteristics'!$B$31*'4A SWD Case 1'!H35+'4A SWD Case 1'!I35*'MSW characteristics'!$B$32+'MSW characteristics'!$B$33*'4A SWD Case 1'!J35+'4A SWD Case 1'!K35*'MSW characteristics'!$B$35</f>
        <v>0.11870178252267252</v>
      </c>
      <c r="Q35" s="1029">
        <f t="shared" si="2"/>
        <v>175.33309231436752</v>
      </c>
      <c r="R35" s="1029">
        <f t="shared" si="3"/>
        <v>175.33309231436752</v>
      </c>
      <c r="S35" s="303">
        <f t="shared" si="4"/>
        <v>0</v>
      </c>
      <c r="T35" s="1029">
        <f t="shared" si="5"/>
        <v>1698.9236711468957</v>
      </c>
      <c r="U35" s="1029">
        <f t="shared" si="6"/>
        <v>78.116159404924787</v>
      </c>
      <c r="V35" s="1202">
        <f t="shared" si="7"/>
        <v>52.077439603283189</v>
      </c>
      <c r="X35" s="1037">
        <f>'Baseline data (from input)'!AS22*'4A SWD Case 1'!$D$12</f>
        <v>2108.0600718444775</v>
      </c>
      <c r="Y35" s="1030">
        <f>Parameters!S137</f>
        <v>0.71500000000000008</v>
      </c>
      <c r="Z35" s="1030">
        <f t="shared" si="8"/>
        <v>0.2</v>
      </c>
      <c r="AA35" s="1029">
        <f t="shared" si="9"/>
        <v>150.72629513688017</v>
      </c>
      <c r="AB35" s="1029">
        <f t="shared" si="10"/>
        <v>150.72629513688017</v>
      </c>
      <c r="AC35" s="303">
        <f t="shared" si="11"/>
        <v>0</v>
      </c>
      <c r="AD35" s="1029">
        <f t="shared" si="12"/>
        <v>701.63795808437669</v>
      </c>
      <c r="AE35" s="1029">
        <f t="shared" si="13"/>
        <v>28.245844965656762</v>
      </c>
      <c r="AF35" s="1202">
        <f t="shared" si="14"/>
        <v>18.830563310437842</v>
      </c>
      <c r="AH35" s="1037">
        <f>'Baseline data (from input)'!AS22*'4A SWD Case 1'!$D$12</f>
        <v>2108.0600718444775</v>
      </c>
      <c r="AI35" s="1030">
        <f>Parameters!S137</f>
        <v>0.71500000000000008</v>
      </c>
      <c r="AJ35" s="1030">
        <f t="shared" si="15"/>
        <v>0.2</v>
      </c>
      <c r="AK35" s="1029">
        <f t="shared" si="16"/>
        <v>150.72629513688017</v>
      </c>
      <c r="AL35" s="1029">
        <f t="shared" si="17"/>
        <v>150.72629513688017</v>
      </c>
      <c r="AM35" s="303">
        <f t="shared" si="18"/>
        <v>0</v>
      </c>
      <c r="AN35" s="1029">
        <f t="shared" si="19"/>
        <v>701.63795808437669</v>
      </c>
      <c r="AO35" s="1029">
        <f t="shared" si="20"/>
        <v>28.245844965656762</v>
      </c>
      <c r="AP35" s="1202">
        <f t="shared" si="21"/>
        <v>18.830563310437842</v>
      </c>
      <c r="AR35" s="1037">
        <v>0</v>
      </c>
      <c r="AS35" s="1030">
        <v>1</v>
      </c>
      <c r="AT35" s="1030">
        <f t="shared" si="22"/>
        <v>0.05</v>
      </c>
      <c r="AU35" s="1029">
        <f t="shared" si="23"/>
        <v>0</v>
      </c>
      <c r="AV35" s="1029">
        <f t="shared" si="24"/>
        <v>0</v>
      </c>
      <c r="AW35" s="303">
        <f t="shared" si="25"/>
        <v>0</v>
      </c>
      <c r="AX35" s="1045">
        <f t="shared" si="26"/>
        <v>0</v>
      </c>
      <c r="AY35" s="1045">
        <f t="shared" si="27"/>
        <v>0</v>
      </c>
      <c r="AZ35" s="1202">
        <f t="shared" si="28"/>
        <v>0</v>
      </c>
      <c r="BB35" s="317">
        <f t="shared" si="29"/>
        <v>52.077439603283189</v>
      </c>
      <c r="BC35" s="318">
        <f t="shared" si="30"/>
        <v>18.830563310437842</v>
      </c>
      <c r="BD35" s="1214">
        <f t="shared" si="31"/>
        <v>0</v>
      </c>
      <c r="BE35" s="318">
        <f t="shared" si="32"/>
        <v>70.908002913721035</v>
      </c>
      <c r="BF35" s="104">
        <v>0</v>
      </c>
      <c r="BG35" s="319">
        <f t="shared" si="33"/>
        <v>70.908002913721035</v>
      </c>
      <c r="BI35" s="317">
        <f t="shared" si="34"/>
        <v>52.077439603283189</v>
      </c>
      <c r="BJ35" s="318">
        <f t="shared" si="35"/>
        <v>18.830563310437842</v>
      </c>
      <c r="BK35" s="1214">
        <f t="shared" si="36"/>
        <v>0</v>
      </c>
      <c r="BL35" s="318">
        <f t="shared" si="37"/>
        <v>70.908002913721035</v>
      </c>
      <c r="BM35" s="104">
        <v>0</v>
      </c>
      <c r="BN35" s="319">
        <f t="shared" si="38"/>
        <v>70.908002913721035</v>
      </c>
    </row>
    <row r="36" spans="1:66">
      <c r="A36" s="127">
        <f>'Input data'!A67</f>
        <v>1967</v>
      </c>
      <c r="B36" s="988">
        <f>'Input data'!B67</f>
        <v>9.0098299199999996</v>
      </c>
      <c r="C36" s="902">
        <f>'Baseline data (from input)'!B23</f>
        <v>578.73</v>
      </c>
      <c r="D36" s="899">
        <f>'Baseline data (from input)'!T23</f>
        <v>0.8</v>
      </c>
      <c r="E36" s="899">
        <f t="shared" si="39"/>
        <v>0.19892488097366726</v>
      </c>
      <c r="F36" s="899">
        <f t="shared" si="40"/>
        <v>0.26585903447659598</v>
      </c>
      <c r="G36" s="899">
        <f t="shared" si="41"/>
        <v>8.9228108703258049E-2</v>
      </c>
      <c r="H36" s="899">
        <f t="shared" si="42"/>
        <v>0</v>
      </c>
      <c r="I36" s="899">
        <f t="shared" si="43"/>
        <v>0</v>
      </c>
      <c r="J36" s="899">
        <f t="shared" si="44"/>
        <v>0</v>
      </c>
      <c r="K36" s="899">
        <f t="shared" si="45"/>
        <v>0.4459879758464787</v>
      </c>
      <c r="L36" s="996">
        <f t="shared" si="46"/>
        <v>1</v>
      </c>
      <c r="N36" s="317">
        <f t="shared" si="1"/>
        <v>4171.4070956812802</v>
      </c>
      <c r="O36" s="1031">
        <f>Parameters!R138</f>
        <v>0.73</v>
      </c>
      <c r="P36" s="1031">
        <f>E36*'MSW characteristics'!$B$28+'MSW characteristics'!$B$29*'4A SWD Case 1'!F36+'4A SWD Case 1'!G36*'MSW characteristics'!$B$30+'MSW characteristics'!$B$31*'4A SWD Case 1'!H36+'4A SWD Case 1'!I36*'MSW characteristics'!$B$32+'MSW characteristics'!$B$33*'4A SWD Case 1'!J36+'4A SWD Case 1'!K36*'MSW characteristics'!$B$35</f>
        <v>0.11870178252267252</v>
      </c>
      <c r="Q36" s="1029">
        <f t="shared" si="2"/>
        <v>180.73101212805869</v>
      </c>
      <c r="R36" s="1029">
        <f t="shared" si="3"/>
        <v>180.73101212805869</v>
      </c>
      <c r="S36" s="303">
        <f t="shared" si="4"/>
        <v>0</v>
      </c>
      <c r="T36" s="1029">
        <f t="shared" si="5"/>
        <v>1796.7971981037606</v>
      </c>
      <c r="U36" s="1029">
        <f t="shared" si="6"/>
        <v>82.857485171193787</v>
      </c>
      <c r="V36" s="1202">
        <f t="shared" si="7"/>
        <v>55.238323447462527</v>
      </c>
      <c r="X36" s="1037">
        <f>'Baseline data (from input)'!AS23*'4A SWD Case 1'!$D$12</f>
        <v>2259.7682157966651</v>
      </c>
      <c r="Y36" s="1030">
        <f>Parameters!S138</f>
        <v>0.71500000000000008</v>
      </c>
      <c r="Z36" s="1030">
        <f t="shared" si="8"/>
        <v>0.2</v>
      </c>
      <c r="AA36" s="1029">
        <f t="shared" si="9"/>
        <v>161.57342742946159</v>
      </c>
      <c r="AB36" s="1029">
        <f t="shared" si="10"/>
        <v>161.57342742946159</v>
      </c>
      <c r="AC36" s="303">
        <f t="shared" si="11"/>
        <v>0</v>
      </c>
      <c r="AD36" s="1029">
        <f t="shared" si="12"/>
        <v>828.99209850591933</v>
      </c>
      <c r="AE36" s="1029">
        <f t="shared" si="13"/>
        <v>34.21928700791895</v>
      </c>
      <c r="AF36" s="1202">
        <f t="shared" si="14"/>
        <v>22.812858005279299</v>
      </c>
      <c r="AH36" s="1037">
        <f>'Baseline data (from input)'!AS23*'4A SWD Case 1'!$D$12</f>
        <v>2259.7682157966651</v>
      </c>
      <c r="AI36" s="1030">
        <f>Parameters!S138</f>
        <v>0.71500000000000008</v>
      </c>
      <c r="AJ36" s="1030">
        <f t="shared" si="15"/>
        <v>0.2</v>
      </c>
      <c r="AK36" s="1029">
        <f t="shared" si="16"/>
        <v>161.57342742946159</v>
      </c>
      <c r="AL36" s="1029">
        <f t="shared" si="17"/>
        <v>161.57342742946159</v>
      </c>
      <c r="AM36" s="303">
        <f t="shared" si="18"/>
        <v>0</v>
      </c>
      <c r="AN36" s="1029">
        <f t="shared" si="19"/>
        <v>828.99209850591933</v>
      </c>
      <c r="AO36" s="1029">
        <f t="shared" si="20"/>
        <v>34.21928700791895</v>
      </c>
      <c r="AP36" s="1202">
        <f t="shared" si="21"/>
        <v>22.812858005279299</v>
      </c>
      <c r="AR36" s="1037">
        <v>0</v>
      </c>
      <c r="AS36" s="1030">
        <v>1</v>
      </c>
      <c r="AT36" s="1030">
        <f t="shared" si="22"/>
        <v>0.05</v>
      </c>
      <c r="AU36" s="1029">
        <f t="shared" si="23"/>
        <v>0</v>
      </c>
      <c r="AV36" s="1029">
        <f t="shared" si="24"/>
        <v>0</v>
      </c>
      <c r="AW36" s="303">
        <f t="shared" si="25"/>
        <v>0</v>
      </c>
      <c r="AX36" s="1045">
        <f t="shared" si="26"/>
        <v>0</v>
      </c>
      <c r="AY36" s="1045">
        <f t="shared" si="27"/>
        <v>0</v>
      </c>
      <c r="AZ36" s="1202">
        <f t="shared" si="28"/>
        <v>0</v>
      </c>
      <c r="BB36" s="317">
        <f t="shared" si="29"/>
        <v>55.238323447462527</v>
      </c>
      <c r="BC36" s="318">
        <f t="shared" si="30"/>
        <v>22.812858005279299</v>
      </c>
      <c r="BD36" s="1214">
        <f t="shared" si="31"/>
        <v>0</v>
      </c>
      <c r="BE36" s="318">
        <f t="shared" si="32"/>
        <v>78.05118145274183</v>
      </c>
      <c r="BF36" s="104">
        <v>0</v>
      </c>
      <c r="BG36" s="319">
        <f t="shared" si="33"/>
        <v>78.05118145274183</v>
      </c>
      <c r="BI36" s="317">
        <f t="shared" si="34"/>
        <v>55.238323447462527</v>
      </c>
      <c r="BJ36" s="318">
        <f t="shared" si="35"/>
        <v>22.812858005279299</v>
      </c>
      <c r="BK36" s="1214">
        <f t="shared" si="36"/>
        <v>0</v>
      </c>
      <c r="BL36" s="318">
        <f t="shared" si="37"/>
        <v>78.05118145274183</v>
      </c>
      <c r="BM36" s="104">
        <v>0</v>
      </c>
      <c r="BN36" s="319">
        <f t="shared" si="38"/>
        <v>78.05118145274183</v>
      </c>
    </row>
    <row r="37" spans="1:66">
      <c r="A37" s="127">
        <f>'Input data'!A68</f>
        <v>1968</v>
      </c>
      <c r="B37" s="988">
        <f>'Input data'!B68</f>
        <v>9.2808861600000014</v>
      </c>
      <c r="C37" s="902">
        <f>'Baseline data (from input)'!B24</f>
        <v>578.73</v>
      </c>
      <c r="D37" s="899">
        <f>'Baseline data (from input)'!T24</f>
        <v>0.8</v>
      </c>
      <c r="E37" s="899">
        <f t="shared" si="39"/>
        <v>0.19892488097366726</v>
      </c>
      <c r="F37" s="899">
        <f t="shared" si="40"/>
        <v>0.26585903447659598</v>
      </c>
      <c r="G37" s="899">
        <f t="shared" si="41"/>
        <v>8.9228108703258049E-2</v>
      </c>
      <c r="H37" s="899">
        <f t="shared" si="42"/>
        <v>0</v>
      </c>
      <c r="I37" s="899">
        <f t="shared" si="43"/>
        <v>0</v>
      </c>
      <c r="J37" s="899">
        <f t="shared" si="44"/>
        <v>0</v>
      </c>
      <c r="K37" s="899">
        <f t="shared" si="45"/>
        <v>0.4459879758464787</v>
      </c>
      <c r="L37" s="996">
        <f t="shared" si="46"/>
        <v>1</v>
      </c>
      <c r="N37" s="317">
        <f t="shared" si="1"/>
        <v>4296.9017979014416</v>
      </c>
      <c r="O37" s="1031">
        <f>Parameters!R139</f>
        <v>0.73</v>
      </c>
      <c r="P37" s="1031">
        <f>E37*'MSW characteristics'!$B$28+'MSW characteristics'!$B$29*'4A SWD Case 1'!F37+'4A SWD Case 1'!G37*'MSW characteristics'!$B$30+'MSW characteristics'!$B$31*'4A SWD Case 1'!H37+'4A SWD Case 1'!I37*'MSW characteristics'!$B$32+'MSW characteristics'!$B$33*'4A SWD Case 1'!J37+'4A SWD Case 1'!K37*'MSW characteristics'!$B$35</f>
        <v>0.11870178252267252</v>
      </c>
      <c r="Q37" s="1029">
        <f t="shared" si="2"/>
        <v>186.16821449855877</v>
      </c>
      <c r="R37" s="1029">
        <f t="shared" si="3"/>
        <v>186.16821449855877</v>
      </c>
      <c r="S37" s="303">
        <f t="shared" si="4"/>
        <v>0</v>
      </c>
      <c r="T37" s="1029">
        <f t="shared" si="5"/>
        <v>1895.3345791952943</v>
      </c>
      <c r="U37" s="1029">
        <f t="shared" si="6"/>
        <v>87.630833407024966</v>
      </c>
      <c r="V37" s="1202">
        <f t="shared" si="7"/>
        <v>58.420555604683308</v>
      </c>
      <c r="X37" s="1037">
        <f>'Baseline data (from input)'!AS24*'4A SWD Case 1'!$D$12</f>
        <v>2353.6264415640917</v>
      </c>
      <c r="Y37" s="1030">
        <f>Parameters!S139</f>
        <v>0.71500000000000008</v>
      </c>
      <c r="Z37" s="1030">
        <f t="shared" si="8"/>
        <v>0.2</v>
      </c>
      <c r="AA37" s="1029">
        <f t="shared" si="9"/>
        <v>168.28429057183257</v>
      </c>
      <c r="AB37" s="1029">
        <f t="shared" si="10"/>
        <v>168.28429057183257</v>
      </c>
      <c r="AC37" s="303">
        <f t="shared" si="11"/>
        <v>0</v>
      </c>
      <c r="AD37" s="1029">
        <f t="shared" si="12"/>
        <v>956.84596734925742</v>
      </c>
      <c r="AE37" s="1029">
        <f t="shared" si="13"/>
        <v>40.430421728494466</v>
      </c>
      <c r="AF37" s="1202">
        <f t="shared" si="14"/>
        <v>26.953614485662978</v>
      </c>
      <c r="AH37" s="1037">
        <f>'Baseline data (from input)'!AS24*'4A SWD Case 1'!$D$12</f>
        <v>2353.6264415640917</v>
      </c>
      <c r="AI37" s="1030">
        <f>Parameters!S139</f>
        <v>0.71500000000000008</v>
      </c>
      <c r="AJ37" s="1030">
        <f t="shared" si="15"/>
        <v>0.2</v>
      </c>
      <c r="AK37" s="1029">
        <f t="shared" si="16"/>
        <v>168.28429057183257</v>
      </c>
      <c r="AL37" s="1029">
        <f t="shared" si="17"/>
        <v>168.28429057183257</v>
      </c>
      <c r="AM37" s="303">
        <f t="shared" si="18"/>
        <v>0</v>
      </c>
      <c r="AN37" s="1029">
        <f t="shared" si="19"/>
        <v>956.84596734925742</v>
      </c>
      <c r="AO37" s="1029">
        <f t="shared" si="20"/>
        <v>40.430421728494466</v>
      </c>
      <c r="AP37" s="1202">
        <f t="shared" si="21"/>
        <v>26.953614485662978</v>
      </c>
      <c r="AR37" s="1037">
        <v>0</v>
      </c>
      <c r="AS37" s="1030">
        <v>1</v>
      </c>
      <c r="AT37" s="1030">
        <f t="shared" si="22"/>
        <v>0.05</v>
      </c>
      <c r="AU37" s="1029">
        <f t="shared" si="23"/>
        <v>0</v>
      </c>
      <c r="AV37" s="1029">
        <f t="shared" si="24"/>
        <v>0</v>
      </c>
      <c r="AW37" s="303">
        <f t="shared" si="25"/>
        <v>0</v>
      </c>
      <c r="AX37" s="1045">
        <f t="shared" si="26"/>
        <v>0</v>
      </c>
      <c r="AY37" s="1045">
        <f t="shared" si="27"/>
        <v>0</v>
      </c>
      <c r="AZ37" s="1202">
        <f t="shared" si="28"/>
        <v>0</v>
      </c>
      <c r="BB37" s="317">
        <f t="shared" si="29"/>
        <v>58.420555604683308</v>
      </c>
      <c r="BC37" s="318">
        <f t="shared" si="30"/>
        <v>26.953614485662978</v>
      </c>
      <c r="BD37" s="1214">
        <f t="shared" si="31"/>
        <v>0</v>
      </c>
      <c r="BE37" s="318">
        <f t="shared" si="32"/>
        <v>85.374170090346283</v>
      </c>
      <c r="BF37" s="104">
        <v>0</v>
      </c>
      <c r="BG37" s="319">
        <f t="shared" si="33"/>
        <v>85.374170090346283</v>
      </c>
      <c r="BI37" s="317">
        <f t="shared" si="34"/>
        <v>58.420555604683308</v>
      </c>
      <c r="BJ37" s="318">
        <f t="shared" si="35"/>
        <v>26.953614485662978</v>
      </c>
      <c r="BK37" s="1214">
        <f t="shared" si="36"/>
        <v>0</v>
      </c>
      <c r="BL37" s="318">
        <f t="shared" si="37"/>
        <v>85.374170090346283</v>
      </c>
      <c r="BM37" s="104">
        <v>0</v>
      </c>
      <c r="BN37" s="319">
        <f t="shared" si="38"/>
        <v>85.374170090346283</v>
      </c>
    </row>
    <row r="38" spans="1:66">
      <c r="A38" s="127">
        <f>'Input data'!A69</f>
        <v>1969</v>
      </c>
      <c r="B38" s="988">
        <f>'Input data'!B69</f>
        <v>9.5539007199999997</v>
      </c>
      <c r="C38" s="902">
        <f>'Baseline data (from input)'!B25</f>
        <v>578.73</v>
      </c>
      <c r="D38" s="899">
        <f>'Baseline data (from input)'!T25</f>
        <v>0.8</v>
      </c>
      <c r="E38" s="899">
        <f t="shared" si="39"/>
        <v>0.19892488097366726</v>
      </c>
      <c r="F38" s="899">
        <f t="shared" si="40"/>
        <v>0.26585903447659598</v>
      </c>
      <c r="G38" s="899">
        <f t="shared" si="41"/>
        <v>8.9228108703258049E-2</v>
      </c>
      <c r="H38" s="899">
        <f t="shared" si="42"/>
        <v>0</v>
      </c>
      <c r="I38" s="899">
        <f t="shared" si="43"/>
        <v>0</v>
      </c>
      <c r="J38" s="899">
        <f t="shared" si="44"/>
        <v>0</v>
      </c>
      <c r="K38" s="899">
        <f t="shared" si="45"/>
        <v>0.4459879758464787</v>
      </c>
      <c r="L38" s="996">
        <f t="shared" si="46"/>
        <v>1</v>
      </c>
      <c r="N38" s="317">
        <f t="shared" si="1"/>
        <v>4423.3031709484803</v>
      </c>
      <c r="O38" s="1031">
        <f>Parameters!R140</f>
        <v>0.73</v>
      </c>
      <c r="P38" s="1031">
        <f>E38*'MSW characteristics'!$B$28+'MSW characteristics'!$B$29*'4A SWD Case 1'!F38+'4A SWD Case 1'!G38*'MSW characteristics'!$B$30+'MSW characteristics'!$B$31*'4A SWD Case 1'!H38+'4A SWD Case 1'!I38*'MSW characteristics'!$B$32+'MSW characteristics'!$B$33*'4A SWD Case 1'!J38+'4A SWD Case 1'!K38*'MSW characteristics'!$B$35</f>
        <v>0.11870178252267252</v>
      </c>
      <c r="Q38" s="1029">
        <f t="shared" si="2"/>
        <v>191.6446994258676</v>
      </c>
      <c r="R38" s="1029">
        <f t="shared" si="3"/>
        <v>191.6446994258676</v>
      </c>
      <c r="S38" s="303">
        <f t="shared" si="4"/>
        <v>0</v>
      </c>
      <c r="T38" s="1029">
        <f t="shared" si="5"/>
        <v>1994.5427204301104</v>
      </c>
      <c r="U38" s="1029">
        <f t="shared" si="6"/>
        <v>92.436558191051532</v>
      </c>
      <c r="V38" s="1202">
        <f t="shared" si="7"/>
        <v>61.624372127367685</v>
      </c>
      <c r="X38" s="1037">
        <f>'Baseline data (from input)'!AS25*'4A SWD Case 1'!$D$12</f>
        <v>2464.6194777168885</v>
      </c>
      <c r="Y38" s="1030">
        <f>Parameters!S140</f>
        <v>0.71500000000000008</v>
      </c>
      <c r="Z38" s="1030">
        <f t="shared" si="8"/>
        <v>0.2</v>
      </c>
      <c r="AA38" s="1029">
        <f t="shared" si="9"/>
        <v>176.22029265675755</v>
      </c>
      <c r="AB38" s="1029">
        <f t="shared" si="10"/>
        <v>176.22029265675755</v>
      </c>
      <c r="AC38" s="303">
        <f t="shared" si="11"/>
        <v>0</v>
      </c>
      <c r="AD38" s="1029">
        <f t="shared" si="12"/>
        <v>1086.4003315142206</v>
      </c>
      <c r="AE38" s="1029">
        <f t="shared" si="13"/>
        <v>46.66592849179429</v>
      </c>
      <c r="AF38" s="1202">
        <f t="shared" si="14"/>
        <v>31.110618994529528</v>
      </c>
      <c r="AH38" s="1037">
        <f>'Baseline data (from input)'!AS25*'4A SWD Case 1'!$D$12</f>
        <v>2464.6194777168885</v>
      </c>
      <c r="AI38" s="1030">
        <f>Parameters!S140</f>
        <v>0.71500000000000008</v>
      </c>
      <c r="AJ38" s="1030">
        <f t="shared" si="15"/>
        <v>0.2</v>
      </c>
      <c r="AK38" s="1029">
        <f t="shared" si="16"/>
        <v>176.22029265675755</v>
      </c>
      <c r="AL38" s="1029">
        <f t="shared" si="17"/>
        <v>176.22029265675755</v>
      </c>
      <c r="AM38" s="303">
        <f t="shared" si="18"/>
        <v>0</v>
      </c>
      <c r="AN38" s="1029">
        <f t="shared" si="19"/>
        <v>1086.4003315142206</v>
      </c>
      <c r="AO38" s="1029">
        <f t="shared" si="20"/>
        <v>46.66592849179429</v>
      </c>
      <c r="AP38" s="1202">
        <f t="shared" si="21"/>
        <v>31.110618994529528</v>
      </c>
      <c r="AR38" s="1037">
        <v>0</v>
      </c>
      <c r="AS38" s="1030">
        <v>1</v>
      </c>
      <c r="AT38" s="1030">
        <f t="shared" si="22"/>
        <v>0.05</v>
      </c>
      <c r="AU38" s="1029">
        <f t="shared" si="23"/>
        <v>0</v>
      </c>
      <c r="AV38" s="1029">
        <f t="shared" si="24"/>
        <v>0</v>
      </c>
      <c r="AW38" s="303">
        <f t="shared" si="25"/>
        <v>0</v>
      </c>
      <c r="AX38" s="1045">
        <f t="shared" si="26"/>
        <v>0</v>
      </c>
      <c r="AY38" s="1045">
        <f t="shared" si="27"/>
        <v>0</v>
      </c>
      <c r="AZ38" s="1202">
        <f t="shared" si="28"/>
        <v>0</v>
      </c>
      <c r="BB38" s="317">
        <f t="shared" si="29"/>
        <v>61.624372127367685</v>
      </c>
      <c r="BC38" s="318">
        <f t="shared" si="30"/>
        <v>31.110618994529528</v>
      </c>
      <c r="BD38" s="1214">
        <f t="shared" si="31"/>
        <v>0</v>
      </c>
      <c r="BE38" s="318">
        <f t="shared" si="32"/>
        <v>92.73499112189721</v>
      </c>
      <c r="BF38" s="104">
        <v>0</v>
      </c>
      <c r="BG38" s="319">
        <f t="shared" si="33"/>
        <v>92.73499112189721</v>
      </c>
      <c r="BI38" s="317">
        <f t="shared" si="34"/>
        <v>61.624372127367685</v>
      </c>
      <c r="BJ38" s="318">
        <f t="shared" si="35"/>
        <v>31.110618994529528</v>
      </c>
      <c r="BK38" s="1214">
        <f t="shared" si="36"/>
        <v>0</v>
      </c>
      <c r="BL38" s="318">
        <f t="shared" si="37"/>
        <v>92.73499112189721</v>
      </c>
      <c r="BM38" s="104">
        <v>0</v>
      </c>
      <c r="BN38" s="319">
        <f t="shared" si="38"/>
        <v>92.73499112189721</v>
      </c>
    </row>
    <row r="39" spans="1:66">
      <c r="A39" s="127">
        <f>'Input data'!A70</f>
        <v>1970</v>
      </c>
      <c r="B39" s="988">
        <f>'Input data'!B70</f>
        <v>9.8288735999999997</v>
      </c>
      <c r="C39" s="902">
        <f>'Baseline data (from input)'!B26</f>
        <v>578.73</v>
      </c>
      <c r="D39" s="899">
        <f>'Baseline data (from input)'!T26</f>
        <v>0.8</v>
      </c>
      <c r="E39" s="899">
        <f t="shared" si="39"/>
        <v>0.19892488097366726</v>
      </c>
      <c r="F39" s="899">
        <f t="shared" si="40"/>
        <v>0.26585903447659598</v>
      </c>
      <c r="G39" s="899">
        <f t="shared" si="41"/>
        <v>8.9228108703258049E-2</v>
      </c>
      <c r="H39" s="899">
        <f t="shared" si="42"/>
        <v>0</v>
      </c>
      <c r="I39" s="899">
        <f t="shared" si="43"/>
        <v>0</v>
      </c>
      <c r="J39" s="899">
        <f t="shared" si="44"/>
        <v>0</v>
      </c>
      <c r="K39" s="899">
        <f t="shared" si="45"/>
        <v>0.4459879758464787</v>
      </c>
      <c r="L39" s="996">
        <f t="shared" si="46"/>
        <v>1</v>
      </c>
      <c r="N39" s="317">
        <f t="shared" si="1"/>
        <v>4550.6112148224001</v>
      </c>
      <c r="O39" s="1031">
        <f>Parameters!R141</f>
        <v>0.73</v>
      </c>
      <c r="P39" s="1031">
        <f>E39*'MSW characteristics'!$B$28+'MSW characteristics'!$B$29*'4A SWD Case 1'!F39+'4A SWD Case 1'!G39*'MSW characteristics'!$B$30+'MSW characteristics'!$B$31*'4A SWD Case 1'!H39+'4A SWD Case 1'!I39*'MSW characteristics'!$B$32+'MSW characteristics'!$B$33*'4A SWD Case 1'!J39+'4A SWD Case 1'!K39*'MSW characteristics'!$B$35</f>
        <v>0.11870178252267252</v>
      </c>
      <c r="Q39" s="1029">
        <f t="shared" si="2"/>
        <v>197.16046690998536</v>
      </c>
      <c r="R39" s="1029">
        <f t="shared" si="3"/>
        <v>197.16046690998536</v>
      </c>
      <c r="S39" s="303">
        <f t="shared" si="4"/>
        <v>0</v>
      </c>
      <c r="T39" s="1029">
        <f t="shared" si="5"/>
        <v>2094.428191006808</v>
      </c>
      <c r="U39" s="1029">
        <f t="shared" si="6"/>
        <v>97.274996333287959</v>
      </c>
      <c r="V39" s="1202">
        <f t="shared" si="7"/>
        <v>64.849997555525306</v>
      </c>
      <c r="X39" s="1037">
        <f>'Baseline data (from input)'!AS26*'4A SWD Case 1'!$D$12</f>
        <v>2593.9793227699874</v>
      </c>
      <c r="Y39" s="1030">
        <f>Parameters!S141</f>
        <v>0.71500000000000008</v>
      </c>
      <c r="Z39" s="1030">
        <f t="shared" si="8"/>
        <v>0.2</v>
      </c>
      <c r="AA39" s="1029">
        <f t="shared" si="9"/>
        <v>185.46952157805413</v>
      </c>
      <c r="AB39" s="1029">
        <f t="shared" si="10"/>
        <v>185.46952157805413</v>
      </c>
      <c r="AC39" s="303">
        <f t="shared" si="11"/>
        <v>0</v>
      </c>
      <c r="AD39" s="1029">
        <f t="shared" si="12"/>
        <v>1218.8854837017111</v>
      </c>
      <c r="AE39" s="1029">
        <f t="shared" si="13"/>
        <v>52.984369390563621</v>
      </c>
      <c r="AF39" s="1202">
        <f t="shared" si="14"/>
        <v>35.322912927042417</v>
      </c>
      <c r="AH39" s="1037">
        <f>'Baseline data (from input)'!AS26*'4A SWD Case 1'!$D$12</f>
        <v>2593.9793227699874</v>
      </c>
      <c r="AI39" s="1030">
        <f>Parameters!S141</f>
        <v>0.71500000000000008</v>
      </c>
      <c r="AJ39" s="1030">
        <f t="shared" si="15"/>
        <v>0.2</v>
      </c>
      <c r="AK39" s="1029">
        <f t="shared" si="16"/>
        <v>185.46952157805413</v>
      </c>
      <c r="AL39" s="1029">
        <f t="shared" si="17"/>
        <v>185.46952157805413</v>
      </c>
      <c r="AM39" s="303">
        <f t="shared" si="18"/>
        <v>0</v>
      </c>
      <c r="AN39" s="1029">
        <f t="shared" si="19"/>
        <v>1218.8854837017111</v>
      </c>
      <c r="AO39" s="1029">
        <f t="shared" si="20"/>
        <v>52.984369390563621</v>
      </c>
      <c r="AP39" s="1202">
        <f t="shared" si="21"/>
        <v>35.322912927042417</v>
      </c>
      <c r="AR39" s="1037">
        <v>0</v>
      </c>
      <c r="AS39" s="1030">
        <v>1</v>
      </c>
      <c r="AT39" s="1030">
        <f t="shared" si="22"/>
        <v>0.05</v>
      </c>
      <c r="AU39" s="1029">
        <f t="shared" si="23"/>
        <v>0</v>
      </c>
      <c r="AV39" s="1029">
        <f t="shared" si="24"/>
        <v>0</v>
      </c>
      <c r="AW39" s="303">
        <f t="shared" si="25"/>
        <v>0</v>
      </c>
      <c r="AX39" s="1045">
        <f t="shared" si="26"/>
        <v>0</v>
      </c>
      <c r="AY39" s="1045">
        <f t="shared" si="27"/>
        <v>0</v>
      </c>
      <c r="AZ39" s="1202">
        <f t="shared" si="28"/>
        <v>0</v>
      </c>
      <c r="BB39" s="317">
        <f t="shared" si="29"/>
        <v>64.849997555525306</v>
      </c>
      <c r="BC39" s="318">
        <f t="shared" si="30"/>
        <v>35.322912927042417</v>
      </c>
      <c r="BD39" s="1214">
        <f t="shared" si="31"/>
        <v>0</v>
      </c>
      <c r="BE39" s="318">
        <f t="shared" si="32"/>
        <v>100.17291048256772</v>
      </c>
      <c r="BF39" s="104">
        <v>0</v>
      </c>
      <c r="BG39" s="319">
        <f t="shared" si="33"/>
        <v>100.17291048256772</v>
      </c>
      <c r="BI39" s="317">
        <f t="shared" si="34"/>
        <v>64.849997555525306</v>
      </c>
      <c r="BJ39" s="318">
        <f t="shared" si="35"/>
        <v>35.322912927042417</v>
      </c>
      <c r="BK39" s="1214">
        <f t="shared" si="36"/>
        <v>0</v>
      </c>
      <c r="BL39" s="318">
        <f t="shared" si="37"/>
        <v>100.17291048256772</v>
      </c>
      <c r="BM39" s="104">
        <v>0</v>
      </c>
      <c r="BN39" s="319">
        <f t="shared" si="38"/>
        <v>100.17291048256772</v>
      </c>
    </row>
    <row r="40" spans="1:66">
      <c r="A40" s="127">
        <f>'Input data'!A71</f>
        <v>1971</v>
      </c>
      <c r="B40" s="988">
        <f>'Input data'!B71</f>
        <v>20.567820000000001</v>
      </c>
      <c r="C40" s="902">
        <f>'Baseline data (from input)'!B27</f>
        <v>578.73</v>
      </c>
      <c r="D40" s="899">
        <f>'Baseline data (from input)'!T27</f>
        <v>0.8</v>
      </c>
      <c r="E40" s="899">
        <f t="shared" si="39"/>
        <v>0.19892488097366726</v>
      </c>
      <c r="F40" s="899">
        <f t="shared" si="40"/>
        <v>0.26585903447659598</v>
      </c>
      <c r="G40" s="899">
        <f t="shared" si="41"/>
        <v>8.9228108703258049E-2</v>
      </c>
      <c r="H40" s="899">
        <f t="shared" si="42"/>
        <v>0</v>
      </c>
      <c r="I40" s="899">
        <f t="shared" si="43"/>
        <v>0</v>
      </c>
      <c r="J40" s="899">
        <f t="shared" si="44"/>
        <v>0</v>
      </c>
      <c r="K40" s="899">
        <f t="shared" si="45"/>
        <v>0.4459879758464787</v>
      </c>
      <c r="L40" s="996">
        <f t="shared" si="46"/>
        <v>1</v>
      </c>
      <c r="N40" s="317">
        <f t="shared" si="1"/>
        <v>9522.5715748800012</v>
      </c>
      <c r="O40" s="1031">
        <f>Parameters!R142</f>
        <v>0.73</v>
      </c>
      <c r="P40" s="1031">
        <f>E40*'MSW characteristics'!$B$28+'MSW characteristics'!$B$29*'4A SWD Case 1'!F40+'4A SWD Case 1'!G40*'MSW characteristics'!$B$30+'MSW characteristics'!$B$31*'4A SWD Case 1'!H40+'4A SWD Case 1'!I40*'MSW characteristics'!$B$32+'MSW characteristics'!$B$33*'4A SWD Case 1'!J40+'4A SWD Case 1'!K40*'MSW characteristics'!$B$35</f>
        <v>0.11870178252267252</v>
      </c>
      <c r="Q40" s="1029">
        <f t="shared" si="2"/>
        <v>412.57637035036601</v>
      </c>
      <c r="R40" s="1029">
        <f t="shared" si="3"/>
        <v>412.57637035036601</v>
      </c>
      <c r="S40" s="303">
        <f t="shared" si="4"/>
        <v>0</v>
      </c>
      <c r="T40" s="1029">
        <f t="shared" si="5"/>
        <v>2404.8580931398437</v>
      </c>
      <c r="U40" s="1029">
        <f t="shared" si="6"/>
        <v>102.14646821733049</v>
      </c>
      <c r="V40" s="1202">
        <f t="shared" si="7"/>
        <v>68.097645478220329</v>
      </c>
      <c r="X40" s="1037">
        <f>'Baseline data (from input)'!AS27*'4A SWD Case 1'!$D$12</f>
        <v>2704.9749309256895</v>
      </c>
      <c r="Y40" s="1030">
        <f>Parameters!S142</f>
        <v>0.71500000000000008</v>
      </c>
      <c r="Z40" s="1030">
        <f t="shared" si="8"/>
        <v>0.2</v>
      </c>
      <c r="AA40" s="1029">
        <f t="shared" si="9"/>
        <v>193.40570756118683</v>
      </c>
      <c r="AB40" s="1029">
        <f t="shared" si="10"/>
        <v>193.40570756118683</v>
      </c>
      <c r="AC40" s="303">
        <f t="shared" si="11"/>
        <v>0</v>
      </c>
      <c r="AD40" s="1029">
        <f t="shared" si="12"/>
        <v>1352.8454447550398</v>
      </c>
      <c r="AE40" s="1029">
        <f t="shared" si="13"/>
        <v>59.445746507858019</v>
      </c>
      <c r="AF40" s="1202">
        <f t="shared" si="14"/>
        <v>39.630497671905346</v>
      </c>
      <c r="AH40" s="1037">
        <f>'Baseline data (from input)'!AS27*'4A SWD Case 1'!$D$12</f>
        <v>2704.9749309256895</v>
      </c>
      <c r="AI40" s="1030">
        <f>Parameters!S142</f>
        <v>0.71500000000000008</v>
      </c>
      <c r="AJ40" s="1030">
        <f t="shared" si="15"/>
        <v>0.2</v>
      </c>
      <c r="AK40" s="1029">
        <f t="shared" si="16"/>
        <v>193.40570756118683</v>
      </c>
      <c r="AL40" s="1029">
        <f t="shared" si="17"/>
        <v>193.40570756118683</v>
      </c>
      <c r="AM40" s="303">
        <f t="shared" si="18"/>
        <v>0</v>
      </c>
      <c r="AN40" s="1029">
        <f t="shared" si="19"/>
        <v>1352.8454447550398</v>
      </c>
      <c r="AO40" s="1029">
        <f t="shared" si="20"/>
        <v>59.445746507858019</v>
      </c>
      <c r="AP40" s="1202">
        <f t="shared" si="21"/>
        <v>39.630497671905346</v>
      </c>
      <c r="AR40" s="1037">
        <v>0</v>
      </c>
      <c r="AS40" s="1030">
        <v>1</v>
      </c>
      <c r="AT40" s="1030">
        <f t="shared" si="22"/>
        <v>0.05</v>
      </c>
      <c r="AU40" s="1029">
        <f t="shared" si="23"/>
        <v>0</v>
      </c>
      <c r="AV40" s="1029">
        <f t="shared" si="24"/>
        <v>0</v>
      </c>
      <c r="AW40" s="303">
        <f t="shared" si="25"/>
        <v>0</v>
      </c>
      <c r="AX40" s="1045">
        <f t="shared" si="26"/>
        <v>0</v>
      </c>
      <c r="AY40" s="1045">
        <f t="shared" si="27"/>
        <v>0</v>
      </c>
      <c r="AZ40" s="1202">
        <f t="shared" si="28"/>
        <v>0</v>
      </c>
      <c r="BB40" s="317">
        <f t="shared" si="29"/>
        <v>68.097645478220329</v>
      </c>
      <c r="BC40" s="318">
        <f t="shared" si="30"/>
        <v>39.630497671905346</v>
      </c>
      <c r="BD40" s="1214">
        <f t="shared" si="31"/>
        <v>0</v>
      </c>
      <c r="BE40" s="318">
        <f t="shared" si="32"/>
        <v>107.72814315012567</v>
      </c>
      <c r="BF40" s="104">
        <v>0</v>
      </c>
      <c r="BG40" s="319">
        <f t="shared" si="33"/>
        <v>107.72814315012567</v>
      </c>
      <c r="BI40" s="317">
        <f t="shared" si="34"/>
        <v>68.097645478220329</v>
      </c>
      <c r="BJ40" s="318">
        <f t="shared" si="35"/>
        <v>39.630497671905346</v>
      </c>
      <c r="BK40" s="1214">
        <f t="shared" si="36"/>
        <v>0</v>
      </c>
      <c r="BL40" s="318">
        <f t="shared" si="37"/>
        <v>107.72814315012567</v>
      </c>
      <c r="BM40" s="104">
        <v>0</v>
      </c>
      <c r="BN40" s="319">
        <f t="shared" si="38"/>
        <v>107.72814315012567</v>
      </c>
    </row>
    <row r="41" spans="1:66">
      <c r="A41" s="127">
        <f>'Input data'!A72</f>
        <v>1972</v>
      </c>
      <c r="B41" s="988">
        <f>'Input data'!B72</f>
        <v>21.04466</v>
      </c>
      <c r="C41" s="902">
        <f>'Baseline data (from input)'!B28</f>
        <v>578.73</v>
      </c>
      <c r="D41" s="899">
        <f>'Baseline data (from input)'!T28</f>
        <v>0.8</v>
      </c>
      <c r="E41" s="899">
        <f t="shared" si="39"/>
        <v>0.19892488097366726</v>
      </c>
      <c r="F41" s="899">
        <f t="shared" si="40"/>
        <v>0.26585903447659598</v>
      </c>
      <c r="G41" s="899">
        <f t="shared" si="41"/>
        <v>8.9228108703258049E-2</v>
      </c>
      <c r="H41" s="899">
        <f t="shared" si="42"/>
        <v>0</v>
      </c>
      <c r="I41" s="899">
        <f t="shared" si="43"/>
        <v>0</v>
      </c>
      <c r="J41" s="899">
        <f t="shared" si="44"/>
        <v>0</v>
      </c>
      <c r="K41" s="899">
        <f t="shared" si="45"/>
        <v>0.4459879758464787</v>
      </c>
      <c r="L41" s="996">
        <f t="shared" si="46"/>
        <v>1</v>
      </c>
      <c r="N41" s="317">
        <f t="shared" si="1"/>
        <v>9743.3408654400009</v>
      </c>
      <c r="O41" s="1031">
        <f>Parameters!R143</f>
        <v>0.73</v>
      </c>
      <c r="P41" s="1031">
        <f>E41*'MSW characteristics'!$B$28+'MSW characteristics'!$B$29*'4A SWD Case 1'!F41+'4A SWD Case 1'!G41*'MSW characteristics'!$B$30+'MSW characteristics'!$B$31*'4A SWD Case 1'!H41+'4A SWD Case 1'!I41*'MSW characteristics'!$B$32+'MSW characteristics'!$B$33*'4A SWD Case 1'!J41+'4A SWD Case 1'!K41*'MSW characteristics'!$B$35</f>
        <v>0.11870178252267252</v>
      </c>
      <c r="Q41" s="1029">
        <f t="shared" si="2"/>
        <v>422.14145388561025</v>
      </c>
      <c r="R41" s="1029">
        <f t="shared" si="3"/>
        <v>422.14145388561025</v>
      </c>
      <c r="S41" s="303">
        <f t="shared" si="4"/>
        <v>0</v>
      </c>
      <c r="T41" s="1029">
        <f t="shared" si="5"/>
        <v>2709.7132338289084</v>
      </c>
      <c r="U41" s="1029">
        <f t="shared" si="6"/>
        <v>117.28631319654568</v>
      </c>
      <c r="V41" s="1202">
        <f t="shared" si="7"/>
        <v>78.190875464363785</v>
      </c>
      <c r="X41" s="1037">
        <f>'Baseline data (from input)'!AS28*'4A SWD Case 1'!$D$12</f>
        <v>2749.7358293012139</v>
      </c>
      <c r="Y41" s="1030">
        <f>Parameters!S143</f>
        <v>0.71500000000000008</v>
      </c>
      <c r="Z41" s="1030">
        <f t="shared" si="8"/>
        <v>0.2</v>
      </c>
      <c r="AA41" s="1029">
        <f t="shared" si="9"/>
        <v>196.60611179503681</v>
      </c>
      <c r="AB41" s="1029">
        <f t="shared" si="10"/>
        <v>196.60611179503681</v>
      </c>
      <c r="AC41" s="303">
        <f t="shared" si="11"/>
        <v>0</v>
      </c>
      <c r="AD41" s="1029">
        <f t="shared" si="12"/>
        <v>1483.472505647786</v>
      </c>
      <c r="AE41" s="1029">
        <f t="shared" si="13"/>
        <v>65.979050902290794</v>
      </c>
      <c r="AF41" s="1202">
        <f t="shared" si="14"/>
        <v>43.986033934860529</v>
      </c>
      <c r="AH41" s="1037">
        <f>'Baseline data (from input)'!AS28*'4A SWD Case 1'!$D$12</f>
        <v>2749.7358293012139</v>
      </c>
      <c r="AI41" s="1030">
        <f>Parameters!S143</f>
        <v>0.71500000000000008</v>
      </c>
      <c r="AJ41" s="1030">
        <f t="shared" si="15"/>
        <v>0.2</v>
      </c>
      <c r="AK41" s="1029">
        <f t="shared" si="16"/>
        <v>196.60611179503681</v>
      </c>
      <c r="AL41" s="1029">
        <f t="shared" si="17"/>
        <v>196.60611179503681</v>
      </c>
      <c r="AM41" s="303">
        <f t="shared" si="18"/>
        <v>0</v>
      </c>
      <c r="AN41" s="1029">
        <f t="shared" si="19"/>
        <v>1483.472505647786</v>
      </c>
      <c r="AO41" s="1029">
        <f t="shared" si="20"/>
        <v>65.979050902290794</v>
      </c>
      <c r="AP41" s="1202">
        <f t="shared" si="21"/>
        <v>43.986033934860529</v>
      </c>
      <c r="AR41" s="1037">
        <v>0</v>
      </c>
      <c r="AS41" s="1030">
        <v>1</v>
      </c>
      <c r="AT41" s="1030">
        <f t="shared" si="22"/>
        <v>0.05</v>
      </c>
      <c r="AU41" s="1029">
        <f t="shared" si="23"/>
        <v>0</v>
      </c>
      <c r="AV41" s="1029">
        <f t="shared" si="24"/>
        <v>0</v>
      </c>
      <c r="AW41" s="303">
        <f t="shared" si="25"/>
        <v>0</v>
      </c>
      <c r="AX41" s="1045">
        <f t="shared" si="26"/>
        <v>0</v>
      </c>
      <c r="AY41" s="1045">
        <f t="shared" si="27"/>
        <v>0</v>
      </c>
      <c r="AZ41" s="1202">
        <f t="shared" si="28"/>
        <v>0</v>
      </c>
      <c r="BB41" s="317">
        <f t="shared" si="29"/>
        <v>78.190875464363785</v>
      </c>
      <c r="BC41" s="318">
        <f t="shared" si="30"/>
        <v>43.986033934860529</v>
      </c>
      <c r="BD41" s="1214">
        <f t="shared" si="31"/>
        <v>0</v>
      </c>
      <c r="BE41" s="318">
        <f t="shared" si="32"/>
        <v>122.17690939922431</v>
      </c>
      <c r="BF41" s="104">
        <v>0</v>
      </c>
      <c r="BG41" s="319">
        <f t="shared" si="33"/>
        <v>122.17690939922431</v>
      </c>
      <c r="BI41" s="317">
        <f t="shared" si="34"/>
        <v>78.190875464363785</v>
      </c>
      <c r="BJ41" s="318">
        <f t="shared" si="35"/>
        <v>43.986033934860529</v>
      </c>
      <c r="BK41" s="1214">
        <f t="shared" si="36"/>
        <v>0</v>
      </c>
      <c r="BL41" s="318">
        <f t="shared" si="37"/>
        <v>122.17690939922431</v>
      </c>
      <c r="BM41" s="104">
        <v>0</v>
      </c>
      <c r="BN41" s="319">
        <f t="shared" si="38"/>
        <v>122.17690939922431</v>
      </c>
    </row>
    <row r="42" spans="1:66">
      <c r="A42" s="127">
        <f>'Input data'!A73</f>
        <v>1973</v>
      </c>
      <c r="B42" s="988">
        <f>'Input data'!B73</f>
        <v>21.526959999999999</v>
      </c>
      <c r="C42" s="902">
        <f>'Baseline data (from input)'!B29</f>
        <v>578.73</v>
      </c>
      <c r="D42" s="899">
        <f>'Baseline data (from input)'!T29</f>
        <v>0.8</v>
      </c>
      <c r="E42" s="899">
        <f t="shared" si="39"/>
        <v>0.19892488097366726</v>
      </c>
      <c r="F42" s="899">
        <f t="shared" si="40"/>
        <v>0.26585903447659598</v>
      </c>
      <c r="G42" s="899">
        <f t="shared" si="41"/>
        <v>8.9228108703258049E-2</v>
      </c>
      <c r="H42" s="899">
        <f t="shared" si="42"/>
        <v>0</v>
      </c>
      <c r="I42" s="899">
        <f t="shared" si="43"/>
        <v>0</v>
      </c>
      <c r="J42" s="899">
        <f t="shared" si="44"/>
        <v>0</v>
      </c>
      <c r="K42" s="899">
        <f t="shared" si="45"/>
        <v>0.4459879758464787</v>
      </c>
      <c r="L42" s="996">
        <f t="shared" si="46"/>
        <v>1</v>
      </c>
      <c r="N42" s="317">
        <f t="shared" si="1"/>
        <v>9966.6380486400012</v>
      </c>
      <c r="O42" s="1031">
        <f>Parameters!R144</f>
        <v>0.73</v>
      </c>
      <c r="P42" s="1031">
        <f>E42*'MSW characteristics'!$B$28+'MSW characteristics'!$B$29*'4A SWD Case 1'!F42+'4A SWD Case 1'!G42*'MSW characteristics'!$B$30+'MSW characteristics'!$B$31*'4A SWD Case 1'!H42+'4A SWD Case 1'!I42*'MSW characteristics'!$B$32+'MSW characteristics'!$B$33*'4A SWD Case 1'!J42+'4A SWD Case 1'!K42*'MSW characteristics'!$B$35</f>
        <v>0.11870178252267252</v>
      </c>
      <c r="Q42" s="1029">
        <f t="shared" si="2"/>
        <v>431.81606127812836</v>
      </c>
      <c r="R42" s="1029">
        <f t="shared" si="3"/>
        <v>431.81606127812836</v>
      </c>
      <c r="S42" s="303">
        <f t="shared" si="4"/>
        <v>0</v>
      </c>
      <c r="T42" s="1029">
        <f t="shared" si="5"/>
        <v>3009.3750212551699</v>
      </c>
      <c r="U42" s="1029">
        <f t="shared" si="6"/>
        <v>132.15427385186715</v>
      </c>
      <c r="V42" s="1202">
        <f t="shared" si="7"/>
        <v>88.102849234578102</v>
      </c>
      <c r="X42" s="1037">
        <f>'Baseline data (from input)'!AS29*'4A SWD Case 1'!$D$12</f>
        <v>2875.4536912251474</v>
      </c>
      <c r="Y42" s="1030">
        <f>Parameters!S144</f>
        <v>0.71500000000000008</v>
      </c>
      <c r="Z42" s="1030">
        <f t="shared" si="8"/>
        <v>0.2</v>
      </c>
      <c r="AA42" s="1029">
        <f t="shared" si="9"/>
        <v>205.59493892259806</v>
      </c>
      <c r="AB42" s="1029">
        <f t="shared" si="10"/>
        <v>205.59493892259806</v>
      </c>
      <c r="AC42" s="303">
        <f t="shared" si="11"/>
        <v>0</v>
      </c>
      <c r="AD42" s="1029">
        <f t="shared" si="12"/>
        <v>1616.7176367325737</v>
      </c>
      <c r="AE42" s="1029">
        <f t="shared" si="13"/>
        <v>72.349807837810303</v>
      </c>
      <c r="AF42" s="1202">
        <f t="shared" si="14"/>
        <v>48.233205225206866</v>
      </c>
      <c r="AH42" s="1037">
        <f>'Baseline data (from input)'!AS29*'4A SWD Case 1'!$D$12</f>
        <v>2875.4536912251474</v>
      </c>
      <c r="AI42" s="1030">
        <f>Parameters!S144</f>
        <v>0.71500000000000008</v>
      </c>
      <c r="AJ42" s="1030">
        <f t="shared" si="15"/>
        <v>0.2</v>
      </c>
      <c r="AK42" s="1029">
        <f t="shared" si="16"/>
        <v>205.59493892259806</v>
      </c>
      <c r="AL42" s="1029">
        <f t="shared" si="17"/>
        <v>205.59493892259806</v>
      </c>
      <c r="AM42" s="303">
        <f t="shared" si="18"/>
        <v>0</v>
      </c>
      <c r="AN42" s="1029">
        <f t="shared" si="19"/>
        <v>1616.7176367325737</v>
      </c>
      <c r="AO42" s="1029">
        <f t="shared" si="20"/>
        <v>72.349807837810303</v>
      </c>
      <c r="AP42" s="1202">
        <f t="shared" si="21"/>
        <v>48.233205225206866</v>
      </c>
      <c r="AR42" s="1037">
        <v>0</v>
      </c>
      <c r="AS42" s="1030">
        <v>1</v>
      </c>
      <c r="AT42" s="1030">
        <f t="shared" si="22"/>
        <v>0.05</v>
      </c>
      <c r="AU42" s="1029">
        <f t="shared" si="23"/>
        <v>0</v>
      </c>
      <c r="AV42" s="1029">
        <f t="shared" si="24"/>
        <v>0</v>
      </c>
      <c r="AW42" s="303">
        <f t="shared" si="25"/>
        <v>0</v>
      </c>
      <c r="AX42" s="1045">
        <f t="shared" si="26"/>
        <v>0</v>
      </c>
      <c r="AY42" s="1045">
        <f t="shared" si="27"/>
        <v>0</v>
      </c>
      <c r="AZ42" s="1202">
        <f t="shared" si="28"/>
        <v>0</v>
      </c>
      <c r="BB42" s="317">
        <f t="shared" si="29"/>
        <v>88.102849234578102</v>
      </c>
      <c r="BC42" s="318">
        <f t="shared" si="30"/>
        <v>48.233205225206866</v>
      </c>
      <c r="BD42" s="1214">
        <f t="shared" si="31"/>
        <v>0</v>
      </c>
      <c r="BE42" s="318">
        <f t="shared" si="32"/>
        <v>136.33605445978498</v>
      </c>
      <c r="BF42" s="104">
        <v>0</v>
      </c>
      <c r="BG42" s="319">
        <f t="shared" si="33"/>
        <v>136.33605445978498</v>
      </c>
      <c r="BI42" s="317">
        <f t="shared" si="34"/>
        <v>88.102849234578102</v>
      </c>
      <c r="BJ42" s="318">
        <f t="shared" si="35"/>
        <v>48.233205225206866</v>
      </c>
      <c r="BK42" s="1214">
        <f t="shared" si="36"/>
        <v>0</v>
      </c>
      <c r="BL42" s="318">
        <f t="shared" si="37"/>
        <v>136.33605445978498</v>
      </c>
      <c r="BM42" s="104">
        <v>0</v>
      </c>
      <c r="BN42" s="319">
        <f t="shared" si="38"/>
        <v>136.33605445978498</v>
      </c>
    </row>
    <row r="43" spans="1:66">
      <c r="A43" s="127">
        <f>'Input data'!A74</f>
        <v>1974</v>
      </c>
      <c r="B43" s="988">
        <f>'Input data'!B74</f>
        <v>22.012900000000002</v>
      </c>
      <c r="C43" s="902">
        <f>'Baseline data (from input)'!B30</f>
        <v>578.73</v>
      </c>
      <c r="D43" s="899">
        <f>'Baseline data (from input)'!T30</f>
        <v>0.8</v>
      </c>
      <c r="E43" s="899">
        <f t="shared" si="39"/>
        <v>0.19892488097366726</v>
      </c>
      <c r="F43" s="899">
        <f t="shared" si="40"/>
        <v>0.26585903447659598</v>
      </c>
      <c r="G43" s="899">
        <f t="shared" si="41"/>
        <v>8.9228108703258049E-2</v>
      </c>
      <c r="H43" s="899">
        <f t="shared" si="42"/>
        <v>0</v>
      </c>
      <c r="I43" s="899">
        <f t="shared" si="43"/>
        <v>0</v>
      </c>
      <c r="J43" s="899">
        <f t="shared" si="44"/>
        <v>0</v>
      </c>
      <c r="K43" s="899">
        <f t="shared" si="45"/>
        <v>0.4459879758464787</v>
      </c>
      <c r="L43" s="996">
        <f t="shared" si="46"/>
        <v>1</v>
      </c>
      <c r="N43" s="317">
        <f t="shared" si="1"/>
        <v>10191.620493600001</v>
      </c>
      <c r="O43" s="1031">
        <f>Parameters!R145</f>
        <v>0.73</v>
      </c>
      <c r="P43" s="1031">
        <f>E43*'MSW characteristics'!$B$28+'MSW characteristics'!$B$29*'4A SWD Case 1'!F43+'4A SWD Case 1'!G43*'MSW characteristics'!$B$30+'MSW characteristics'!$B$31*'4A SWD Case 1'!H43+'4A SWD Case 1'!I43*'MSW characteristics'!$B$32+'MSW characteristics'!$B$33*'4A SWD Case 1'!J43+'4A SWD Case 1'!K43*'MSW characteristics'!$B$35</f>
        <v>0.11870178252267252</v>
      </c>
      <c r="Q43" s="1029">
        <f t="shared" si="2"/>
        <v>441.56368457549576</v>
      </c>
      <c r="R43" s="1029">
        <f t="shared" si="3"/>
        <v>441.56368457549576</v>
      </c>
      <c r="S43" s="303">
        <f t="shared" si="4"/>
        <v>0</v>
      </c>
      <c r="T43" s="1029">
        <f t="shared" si="5"/>
        <v>3304.1697541508752</v>
      </c>
      <c r="U43" s="1029">
        <f t="shared" si="6"/>
        <v>146.76895167979063</v>
      </c>
      <c r="V43" s="1202">
        <f t="shared" si="7"/>
        <v>97.845967786527083</v>
      </c>
      <c r="X43" s="1037">
        <f>'Baseline data (from input)'!AS30*'4A SWD Case 1'!$D$12</f>
        <v>3051.1742322967516</v>
      </c>
      <c r="Y43" s="1030">
        <f>Parameters!S145</f>
        <v>0.71500000000000008</v>
      </c>
      <c r="Z43" s="1030">
        <f t="shared" si="8"/>
        <v>0.2</v>
      </c>
      <c r="AA43" s="1029">
        <f t="shared" si="9"/>
        <v>218.15895760921779</v>
      </c>
      <c r="AB43" s="1029">
        <f t="shared" si="10"/>
        <v>218.15895760921779</v>
      </c>
      <c r="AC43" s="303">
        <f t="shared" si="11"/>
        <v>0</v>
      </c>
      <c r="AD43" s="1029">
        <f t="shared" si="12"/>
        <v>1756.0283447784984</v>
      </c>
      <c r="AE43" s="1029">
        <f t="shared" si="13"/>
        <v>78.848249563293194</v>
      </c>
      <c r="AF43" s="1202">
        <f t="shared" si="14"/>
        <v>52.565499708862127</v>
      </c>
      <c r="AH43" s="1037">
        <f>'Baseline data (from input)'!AS30*'4A SWD Case 1'!$D$12</f>
        <v>3051.1742322967516</v>
      </c>
      <c r="AI43" s="1030">
        <f>Parameters!S145</f>
        <v>0.71500000000000008</v>
      </c>
      <c r="AJ43" s="1030">
        <f t="shared" si="15"/>
        <v>0.2</v>
      </c>
      <c r="AK43" s="1029">
        <f t="shared" si="16"/>
        <v>218.15895760921779</v>
      </c>
      <c r="AL43" s="1029">
        <f t="shared" si="17"/>
        <v>218.15895760921779</v>
      </c>
      <c r="AM43" s="303">
        <f t="shared" si="18"/>
        <v>0</v>
      </c>
      <c r="AN43" s="1029">
        <f t="shared" si="19"/>
        <v>1756.0283447784984</v>
      </c>
      <c r="AO43" s="1029">
        <f t="shared" si="20"/>
        <v>78.848249563293194</v>
      </c>
      <c r="AP43" s="1202">
        <f t="shared" si="21"/>
        <v>52.565499708862127</v>
      </c>
      <c r="AR43" s="1037">
        <v>0</v>
      </c>
      <c r="AS43" s="1030">
        <v>1</v>
      </c>
      <c r="AT43" s="1030">
        <f t="shared" si="22"/>
        <v>0.05</v>
      </c>
      <c r="AU43" s="1029">
        <f t="shared" si="23"/>
        <v>0</v>
      </c>
      <c r="AV43" s="1029">
        <f t="shared" si="24"/>
        <v>0</v>
      </c>
      <c r="AW43" s="303">
        <f t="shared" si="25"/>
        <v>0</v>
      </c>
      <c r="AX43" s="1045">
        <f t="shared" si="26"/>
        <v>0</v>
      </c>
      <c r="AY43" s="1045">
        <f t="shared" si="27"/>
        <v>0</v>
      </c>
      <c r="AZ43" s="1202">
        <f t="shared" si="28"/>
        <v>0</v>
      </c>
      <c r="BB43" s="317">
        <f t="shared" si="29"/>
        <v>97.845967786527083</v>
      </c>
      <c r="BC43" s="318">
        <f t="shared" si="30"/>
        <v>52.565499708862127</v>
      </c>
      <c r="BD43" s="1214">
        <f t="shared" si="31"/>
        <v>0</v>
      </c>
      <c r="BE43" s="318">
        <f t="shared" si="32"/>
        <v>150.41146749538922</v>
      </c>
      <c r="BF43" s="104">
        <v>0</v>
      </c>
      <c r="BG43" s="319">
        <f t="shared" si="33"/>
        <v>150.41146749538922</v>
      </c>
      <c r="BI43" s="317">
        <f t="shared" si="34"/>
        <v>97.845967786527083</v>
      </c>
      <c r="BJ43" s="318">
        <f t="shared" si="35"/>
        <v>52.565499708862127</v>
      </c>
      <c r="BK43" s="1214">
        <f t="shared" si="36"/>
        <v>0</v>
      </c>
      <c r="BL43" s="318">
        <f t="shared" si="37"/>
        <v>150.41146749538922</v>
      </c>
      <c r="BM43" s="104">
        <v>0</v>
      </c>
      <c r="BN43" s="319">
        <f t="shared" si="38"/>
        <v>150.41146749538922</v>
      </c>
    </row>
    <row r="44" spans="1:66">
      <c r="A44" s="127">
        <f>'Input data'!A75</f>
        <v>1975</v>
      </c>
      <c r="B44" s="988">
        <f>'Input data'!B75</f>
        <v>22.502480000000002</v>
      </c>
      <c r="C44" s="902">
        <f>'Baseline data (from input)'!B31</f>
        <v>578.73</v>
      </c>
      <c r="D44" s="899">
        <f>'Baseline data (from input)'!T31</f>
        <v>0.8</v>
      </c>
      <c r="E44" s="899">
        <f t="shared" si="39"/>
        <v>0.19892488097366726</v>
      </c>
      <c r="F44" s="899">
        <f t="shared" si="40"/>
        <v>0.26585903447659598</v>
      </c>
      <c r="G44" s="899">
        <f t="shared" si="41"/>
        <v>8.9228108703258049E-2</v>
      </c>
      <c r="H44" s="899">
        <f t="shared" si="42"/>
        <v>0</v>
      </c>
      <c r="I44" s="899">
        <f t="shared" si="43"/>
        <v>0</v>
      </c>
      <c r="J44" s="899">
        <f t="shared" si="44"/>
        <v>0</v>
      </c>
      <c r="K44" s="899">
        <f t="shared" si="45"/>
        <v>0.4459879758464787</v>
      </c>
      <c r="L44" s="996">
        <f t="shared" si="46"/>
        <v>1</v>
      </c>
      <c r="N44" s="317">
        <f t="shared" si="1"/>
        <v>10418.288200320001</v>
      </c>
      <c r="O44" s="1031">
        <f>Parameters!R146</f>
        <v>0.73</v>
      </c>
      <c r="P44" s="1031">
        <f>E44*'MSW characteristics'!$B$28+'MSW characteristics'!$B$29*'4A SWD Case 1'!F44+'4A SWD Case 1'!G44*'MSW characteristics'!$B$30+'MSW characteristics'!$B$31*'4A SWD Case 1'!H44+'4A SWD Case 1'!I44*'MSW characteristics'!$B$32+'MSW characteristics'!$B$33*'4A SWD Case 1'!J44+'4A SWD Case 1'!K44*'MSW characteristics'!$B$35</f>
        <v>0.11870178252267252</v>
      </c>
      <c r="Q44" s="1029">
        <f t="shared" si="2"/>
        <v>451.38432377771215</v>
      </c>
      <c r="R44" s="1029">
        <f t="shared" si="3"/>
        <v>451.38432377771215</v>
      </c>
      <c r="S44" s="303">
        <f t="shared" si="4"/>
        <v>0</v>
      </c>
      <c r="T44" s="1029">
        <f t="shared" si="5"/>
        <v>3594.407817471315</v>
      </c>
      <c r="U44" s="1029">
        <f t="shared" si="6"/>
        <v>161.14626045727246</v>
      </c>
      <c r="V44" s="1202">
        <f t="shared" si="7"/>
        <v>107.4308403048483</v>
      </c>
      <c r="X44" s="1037">
        <f>'Baseline data (from input)'!AS31*'4A SWD Case 1'!$D$12</f>
        <v>3102.9053101953209</v>
      </c>
      <c r="Y44" s="1030">
        <f>Parameters!S146</f>
        <v>0.71500000000000008</v>
      </c>
      <c r="Z44" s="1030">
        <f t="shared" si="8"/>
        <v>0.2</v>
      </c>
      <c r="AA44" s="1029">
        <f t="shared" si="9"/>
        <v>221.85772967896548</v>
      </c>
      <c r="AB44" s="1029">
        <f t="shared" si="10"/>
        <v>221.85772967896548</v>
      </c>
      <c r="AC44" s="303">
        <f t="shared" si="11"/>
        <v>0</v>
      </c>
      <c r="AD44" s="1029">
        <f t="shared" si="12"/>
        <v>1892.243561489558</v>
      </c>
      <c r="AE44" s="1029">
        <f t="shared" si="13"/>
        <v>85.642512967905958</v>
      </c>
      <c r="AF44" s="1202">
        <f t="shared" si="14"/>
        <v>57.095008645270639</v>
      </c>
      <c r="AH44" s="1037">
        <f>'Baseline data (from input)'!AS31*'4A SWD Case 1'!$D$12</f>
        <v>3102.9053101953209</v>
      </c>
      <c r="AI44" s="1030">
        <f>Parameters!S146</f>
        <v>0.71500000000000008</v>
      </c>
      <c r="AJ44" s="1030">
        <f t="shared" si="15"/>
        <v>0.2</v>
      </c>
      <c r="AK44" s="1029">
        <f t="shared" si="16"/>
        <v>221.85772967896548</v>
      </c>
      <c r="AL44" s="1029">
        <f t="shared" si="17"/>
        <v>221.85772967896548</v>
      </c>
      <c r="AM44" s="303">
        <f t="shared" si="18"/>
        <v>0</v>
      </c>
      <c r="AN44" s="1029">
        <f t="shared" si="19"/>
        <v>1892.243561489558</v>
      </c>
      <c r="AO44" s="1029">
        <f t="shared" si="20"/>
        <v>85.642512967905958</v>
      </c>
      <c r="AP44" s="1202">
        <f t="shared" si="21"/>
        <v>57.095008645270639</v>
      </c>
      <c r="AR44" s="1037">
        <v>0</v>
      </c>
      <c r="AS44" s="1030">
        <v>1</v>
      </c>
      <c r="AT44" s="1030">
        <f t="shared" si="22"/>
        <v>0.05</v>
      </c>
      <c r="AU44" s="1029">
        <f t="shared" si="23"/>
        <v>0</v>
      </c>
      <c r="AV44" s="1029">
        <f t="shared" si="24"/>
        <v>0</v>
      </c>
      <c r="AW44" s="303">
        <f t="shared" si="25"/>
        <v>0</v>
      </c>
      <c r="AX44" s="1045">
        <f t="shared" si="26"/>
        <v>0</v>
      </c>
      <c r="AY44" s="1045">
        <f t="shared" si="27"/>
        <v>0</v>
      </c>
      <c r="AZ44" s="1202">
        <f t="shared" si="28"/>
        <v>0</v>
      </c>
      <c r="BB44" s="317">
        <f t="shared" si="29"/>
        <v>107.4308403048483</v>
      </c>
      <c r="BC44" s="318">
        <f t="shared" si="30"/>
        <v>57.095008645270639</v>
      </c>
      <c r="BD44" s="1214">
        <f t="shared" si="31"/>
        <v>0</v>
      </c>
      <c r="BE44" s="318">
        <f t="shared" si="32"/>
        <v>164.52584895011893</v>
      </c>
      <c r="BF44" s="104">
        <v>0</v>
      </c>
      <c r="BG44" s="319">
        <f t="shared" si="33"/>
        <v>164.52584895011893</v>
      </c>
      <c r="BI44" s="317">
        <f t="shared" si="34"/>
        <v>107.4308403048483</v>
      </c>
      <c r="BJ44" s="318">
        <f t="shared" si="35"/>
        <v>57.095008645270639</v>
      </c>
      <c r="BK44" s="1214">
        <f t="shared" si="36"/>
        <v>0</v>
      </c>
      <c r="BL44" s="318">
        <f t="shared" si="37"/>
        <v>164.52584895011893</v>
      </c>
      <c r="BM44" s="104">
        <v>0</v>
      </c>
      <c r="BN44" s="319">
        <f t="shared" si="38"/>
        <v>164.52584895011893</v>
      </c>
    </row>
    <row r="45" spans="1:66">
      <c r="A45" s="127">
        <f>'Input data'!A76</f>
        <v>1976</v>
      </c>
      <c r="B45" s="988">
        <f>'Input data'!B76</f>
        <v>22.993880000000001</v>
      </c>
      <c r="C45" s="902">
        <f>'Baseline data (from input)'!B32</f>
        <v>578.73</v>
      </c>
      <c r="D45" s="899">
        <f>'Baseline data (from input)'!T32</f>
        <v>0.8</v>
      </c>
      <c r="E45" s="899">
        <f t="shared" si="39"/>
        <v>0.19892488097366726</v>
      </c>
      <c r="F45" s="899">
        <f t="shared" si="40"/>
        <v>0.26585903447659598</v>
      </c>
      <c r="G45" s="899">
        <f t="shared" si="41"/>
        <v>8.9228108703258049E-2</v>
      </c>
      <c r="H45" s="899">
        <f t="shared" si="42"/>
        <v>0</v>
      </c>
      <c r="I45" s="899">
        <f t="shared" si="43"/>
        <v>0</v>
      </c>
      <c r="J45" s="899">
        <f t="shared" si="44"/>
        <v>0</v>
      </c>
      <c r="K45" s="899">
        <f t="shared" si="45"/>
        <v>0.4459879758464787</v>
      </c>
      <c r="L45" s="996">
        <f t="shared" si="46"/>
        <v>1</v>
      </c>
      <c r="N45" s="317">
        <f t="shared" si="1"/>
        <v>10645.798537920002</v>
      </c>
      <c r="O45" s="1031">
        <f>Parameters!R147</f>
        <v>0.73</v>
      </c>
      <c r="P45" s="1031">
        <f>E45*'MSW characteristics'!$B$28+'MSW characteristics'!$B$29*'4A SWD Case 1'!F45+'4A SWD Case 1'!G45*'MSW characteristics'!$B$30+'MSW characteristics'!$B$31*'4A SWD Case 1'!H45+'4A SWD Case 1'!I45*'MSW characteristics'!$B$32+'MSW characteristics'!$B$33*'4A SWD Case 1'!J45+'4A SWD Case 1'!K45*'MSW characteristics'!$B$35</f>
        <v>0.11870178252267252</v>
      </c>
      <c r="Q45" s="1029">
        <f t="shared" si="2"/>
        <v>461.24147093235331</v>
      </c>
      <c r="R45" s="1029">
        <f t="shared" si="3"/>
        <v>461.24147093235331</v>
      </c>
      <c r="S45" s="303">
        <f t="shared" si="4"/>
        <v>0</v>
      </c>
      <c r="T45" s="1029">
        <f t="shared" si="5"/>
        <v>3880.34795056646</v>
      </c>
      <c r="U45" s="1029">
        <f t="shared" si="6"/>
        <v>175.30133783720851</v>
      </c>
      <c r="V45" s="1202">
        <f t="shared" si="7"/>
        <v>116.86755855813901</v>
      </c>
      <c r="X45" s="1037">
        <f>'Baseline data (from input)'!AS32*'4A SWD Case 1'!$D$12</f>
        <v>3172.7177025611873</v>
      </c>
      <c r="Y45" s="1030">
        <f>Parameters!S147</f>
        <v>0.71500000000000008</v>
      </c>
      <c r="Z45" s="1030">
        <f t="shared" si="8"/>
        <v>0.2</v>
      </c>
      <c r="AA45" s="1029">
        <f t="shared" si="9"/>
        <v>226.84931573312494</v>
      </c>
      <c r="AB45" s="1029">
        <f t="shared" si="10"/>
        <v>226.84931573312494</v>
      </c>
      <c r="AC45" s="303">
        <f t="shared" si="11"/>
        <v>0</v>
      </c>
      <c r="AD45" s="1029">
        <f t="shared" si="12"/>
        <v>2026.8070697440187</v>
      </c>
      <c r="AE45" s="1029">
        <f t="shared" si="13"/>
        <v>92.285807478664296</v>
      </c>
      <c r="AF45" s="1202">
        <f t="shared" si="14"/>
        <v>61.523871652442864</v>
      </c>
      <c r="AH45" s="1037">
        <f>'Baseline data (from input)'!AS32*'4A SWD Case 1'!$D$12</f>
        <v>3172.7177025611873</v>
      </c>
      <c r="AI45" s="1030">
        <f>Parameters!S147</f>
        <v>0.71500000000000008</v>
      </c>
      <c r="AJ45" s="1030">
        <f t="shared" si="15"/>
        <v>0.2</v>
      </c>
      <c r="AK45" s="1029">
        <f t="shared" si="16"/>
        <v>226.84931573312494</v>
      </c>
      <c r="AL45" s="1029">
        <f t="shared" si="17"/>
        <v>226.84931573312494</v>
      </c>
      <c r="AM45" s="303">
        <f t="shared" si="18"/>
        <v>0</v>
      </c>
      <c r="AN45" s="1029">
        <f t="shared" si="19"/>
        <v>2026.8070697440187</v>
      </c>
      <c r="AO45" s="1029">
        <f t="shared" si="20"/>
        <v>92.285807478664296</v>
      </c>
      <c r="AP45" s="1202">
        <f t="shared" si="21"/>
        <v>61.523871652442864</v>
      </c>
      <c r="AR45" s="1037">
        <v>0</v>
      </c>
      <c r="AS45" s="1030">
        <v>1</v>
      </c>
      <c r="AT45" s="1030">
        <f t="shared" si="22"/>
        <v>0.05</v>
      </c>
      <c r="AU45" s="1029">
        <f t="shared" si="23"/>
        <v>0</v>
      </c>
      <c r="AV45" s="1029">
        <f t="shared" si="24"/>
        <v>0</v>
      </c>
      <c r="AW45" s="303">
        <f t="shared" si="25"/>
        <v>0</v>
      </c>
      <c r="AX45" s="1045">
        <f t="shared" si="26"/>
        <v>0</v>
      </c>
      <c r="AY45" s="1045">
        <f t="shared" si="27"/>
        <v>0</v>
      </c>
      <c r="AZ45" s="1202">
        <f t="shared" si="28"/>
        <v>0</v>
      </c>
      <c r="BB45" s="317">
        <f t="shared" si="29"/>
        <v>116.86755855813901</v>
      </c>
      <c r="BC45" s="318">
        <f t="shared" si="30"/>
        <v>61.523871652442864</v>
      </c>
      <c r="BD45" s="1214">
        <f t="shared" si="31"/>
        <v>0</v>
      </c>
      <c r="BE45" s="318">
        <f t="shared" si="32"/>
        <v>178.39143021058186</v>
      </c>
      <c r="BF45" s="104">
        <v>0</v>
      </c>
      <c r="BG45" s="319">
        <f t="shared" si="33"/>
        <v>178.39143021058186</v>
      </c>
      <c r="BI45" s="317">
        <f t="shared" si="34"/>
        <v>116.86755855813901</v>
      </c>
      <c r="BJ45" s="318">
        <f t="shared" si="35"/>
        <v>61.523871652442864</v>
      </c>
      <c r="BK45" s="1214">
        <f t="shared" si="36"/>
        <v>0</v>
      </c>
      <c r="BL45" s="318">
        <f t="shared" si="37"/>
        <v>178.39143021058186</v>
      </c>
      <c r="BM45" s="104">
        <v>0</v>
      </c>
      <c r="BN45" s="319">
        <f t="shared" si="38"/>
        <v>178.39143021058186</v>
      </c>
    </row>
    <row r="46" spans="1:66">
      <c r="A46" s="127">
        <f>'Input data'!A77</f>
        <v>1977</v>
      </c>
      <c r="B46" s="988">
        <f>'Input data'!B77</f>
        <v>23.483460000000001</v>
      </c>
      <c r="C46" s="902">
        <f>'Baseline data (from input)'!B33</f>
        <v>578.73</v>
      </c>
      <c r="D46" s="899">
        <f>'Baseline data (from input)'!T33</f>
        <v>0.8</v>
      </c>
      <c r="E46" s="899">
        <f t="shared" si="39"/>
        <v>0.19892488097366726</v>
      </c>
      <c r="F46" s="899">
        <f t="shared" si="40"/>
        <v>0.26585903447659598</v>
      </c>
      <c r="G46" s="899">
        <f t="shared" si="41"/>
        <v>8.9228108703258049E-2</v>
      </c>
      <c r="H46" s="899">
        <f t="shared" si="42"/>
        <v>0</v>
      </c>
      <c r="I46" s="899">
        <f t="shared" si="43"/>
        <v>0</v>
      </c>
      <c r="J46" s="899">
        <f t="shared" si="44"/>
        <v>0</v>
      </c>
      <c r="K46" s="899">
        <f t="shared" si="45"/>
        <v>0.4459879758464787</v>
      </c>
      <c r="L46" s="996">
        <f t="shared" si="46"/>
        <v>1</v>
      </c>
      <c r="N46" s="317">
        <f t="shared" si="1"/>
        <v>10872.466244640002</v>
      </c>
      <c r="O46" s="1031">
        <f>Parameters!R148</f>
        <v>0.73</v>
      </c>
      <c r="P46" s="1031">
        <f>E46*'MSW characteristics'!$B$28+'MSW characteristics'!$B$29*'4A SWD Case 1'!F46+'4A SWD Case 1'!G46*'MSW characteristics'!$B$30+'MSW characteristics'!$B$31*'4A SWD Case 1'!H46+'4A SWD Case 1'!I46*'MSW characteristics'!$B$32+'MSW characteristics'!$B$33*'4A SWD Case 1'!J46+'4A SWD Case 1'!K46*'MSW characteristics'!$B$35</f>
        <v>0.11870178252267252</v>
      </c>
      <c r="Q46" s="1029">
        <f t="shared" si="2"/>
        <v>471.06211013456971</v>
      </c>
      <c r="R46" s="1029">
        <f t="shared" si="3"/>
        <v>471.06211013456971</v>
      </c>
      <c r="S46" s="303">
        <f t="shared" si="4"/>
        <v>0</v>
      </c>
      <c r="T46" s="1029">
        <f t="shared" si="5"/>
        <v>4162.1632580144287</v>
      </c>
      <c r="U46" s="1029">
        <f t="shared" si="6"/>
        <v>189.24680268660117</v>
      </c>
      <c r="V46" s="1202">
        <f t="shared" si="7"/>
        <v>126.16453512440079</v>
      </c>
      <c r="X46" s="1037">
        <f>'Baseline data (from input)'!AS33*'4A SWD Case 1'!$D$12</f>
        <v>3169.7341570729163</v>
      </c>
      <c r="Y46" s="1030">
        <f>Parameters!S148</f>
        <v>0.71500000000000008</v>
      </c>
      <c r="Z46" s="1030">
        <f t="shared" si="8"/>
        <v>0.2</v>
      </c>
      <c r="AA46" s="1029">
        <f t="shared" si="9"/>
        <v>226.63599223071358</v>
      </c>
      <c r="AB46" s="1029">
        <f t="shared" si="10"/>
        <v>226.63599223071358</v>
      </c>
      <c r="AC46" s="303">
        <f t="shared" si="11"/>
        <v>0</v>
      </c>
      <c r="AD46" s="1029">
        <f t="shared" si="12"/>
        <v>2154.5945147572952</v>
      </c>
      <c r="AE46" s="1029">
        <f t="shared" si="13"/>
        <v>98.848547217437257</v>
      </c>
      <c r="AF46" s="1202">
        <f t="shared" si="14"/>
        <v>65.899031478291505</v>
      </c>
      <c r="AH46" s="1037">
        <f>'Baseline data (from input)'!AS33*'4A SWD Case 1'!$D$12</f>
        <v>3169.7341570729163</v>
      </c>
      <c r="AI46" s="1030">
        <f>Parameters!S148</f>
        <v>0.71500000000000008</v>
      </c>
      <c r="AJ46" s="1030">
        <f t="shared" si="15"/>
        <v>0.2</v>
      </c>
      <c r="AK46" s="1029">
        <f t="shared" si="16"/>
        <v>226.63599223071358</v>
      </c>
      <c r="AL46" s="1029">
        <f t="shared" si="17"/>
        <v>226.63599223071358</v>
      </c>
      <c r="AM46" s="303">
        <f t="shared" si="18"/>
        <v>0</v>
      </c>
      <c r="AN46" s="1029">
        <f t="shared" si="19"/>
        <v>2154.5945147572952</v>
      </c>
      <c r="AO46" s="1029">
        <f t="shared" si="20"/>
        <v>98.848547217437257</v>
      </c>
      <c r="AP46" s="1202">
        <f t="shared" si="21"/>
        <v>65.899031478291505</v>
      </c>
      <c r="AR46" s="1037">
        <v>0</v>
      </c>
      <c r="AS46" s="1030">
        <v>1</v>
      </c>
      <c r="AT46" s="1030">
        <f t="shared" si="22"/>
        <v>0.05</v>
      </c>
      <c r="AU46" s="1029">
        <f t="shared" si="23"/>
        <v>0</v>
      </c>
      <c r="AV46" s="1029">
        <f t="shared" si="24"/>
        <v>0</v>
      </c>
      <c r="AW46" s="303">
        <f t="shared" si="25"/>
        <v>0</v>
      </c>
      <c r="AX46" s="1045">
        <f t="shared" si="26"/>
        <v>0</v>
      </c>
      <c r="AY46" s="1045">
        <f t="shared" si="27"/>
        <v>0</v>
      </c>
      <c r="AZ46" s="1202">
        <f t="shared" si="28"/>
        <v>0</v>
      </c>
      <c r="BB46" s="317">
        <f t="shared" si="29"/>
        <v>126.16453512440079</v>
      </c>
      <c r="BC46" s="318">
        <f t="shared" si="30"/>
        <v>65.899031478291505</v>
      </c>
      <c r="BD46" s="1214">
        <f t="shared" si="31"/>
        <v>0</v>
      </c>
      <c r="BE46" s="318">
        <f t="shared" si="32"/>
        <v>192.06356660269228</v>
      </c>
      <c r="BF46" s="104">
        <v>0</v>
      </c>
      <c r="BG46" s="319">
        <f t="shared" si="33"/>
        <v>192.06356660269228</v>
      </c>
      <c r="BI46" s="317">
        <f t="shared" si="34"/>
        <v>126.16453512440079</v>
      </c>
      <c r="BJ46" s="318">
        <f t="shared" si="35"/>
        <v>65.899031478291505</v>
      </c>
      <c r="BK46" s="1214">
        <f t="shared" si="36"/>
        <v>0</v>
      </c>
      <c r="BL46" s="318">
        <f t="shared" si="37"/>
        <v>192.06356660269228</v>
      </c>
      <c r="BM46" s="104">
        <v>0</v>
      </c>
      <c r="BN46" s="319">
        <f t="shared" si="38"/>
        <v>192.06356660269228</v>
      </c>
    </row>
    <row r="47" spans="1:66">
      <c r="A47" s="127">
        <f>'Input data'!A78</f>
        <v>1978</v>
      </c>
      <c r="B47" s="988">
        <f>'Input data'!B78</f>
        <v>23.983049999999999</v>
      </c>
      <c r="C47" s="902">
        <f>'Baseline data (from input)'!B34</f>
        <v>578.73</v>
      </c>
      <c r="D47" s="899">
        <f>'Baseline data (from input)'!T34</f>
        <v>0.8</v>
      </c>
      <c r="E47" s="899">
        <f t="shared" si="39"/>
        <v>0.19892488097366726</v>
      </c>
      <c r="F47" s="899">
        <f t="shared" si="40"/>
        <v>0.26585903447659598</v>
      </c>
      <c r="G47" s="899">
        <f t="shared" si="41"/>
        <v>8.9228108703258049E-2</v>
      </c>
      <c r="H47" s="899">
        <f t="shared" si="42"/>
        <v>0</v>
      </c>
      <c r="I47" s="899">
        <f t="shared" si="43"/>
        <v>0</v>
      </c>
      <c r="J47" s="899">
        <f t="shared" si="44"/>
        <v>0</v>
      </c>
      <c r="K47" s="899">
        <f t="shared" si="45"/>
        <v>0.4459879758464787</v>
      </c>
      <c r="L47" s="996">
        <f t="shared" si="46"/>
        <v>1</v>
      </c>
      <c r="N47" s="317">
        <f t="shared" si="1"/>
        <v>11103.7684212</v>
      </c>
      <c r="O47" s="1031">
        <f>Parameters!R149</f>
        <v>0.73</v>
      </c>
      <c r="P47" s="1031">
        <f>E47*'MSW characteristics'!$B$28+'MSW characteristics'!$B$29*'4A SWD Case 1'!F47+'4A SWD Case 1'!G47*'MSW characteristics'!$B$30+'MSW characteristics'!$B$31*'4A SWD Case 1'!H47+'4A SWD Case 1'!I47*'MSW characteristics'!$B$32+'MSW characteristics'!$B$33*'4A SWD Case 1'!J47+'4A SWD Case 1'!K47*'MSW characteristics'!$B$35</f>
        <v>0.11870178252267252</v>
      </c>
      <c r="Q47" s="1029">
        <f t="shared" si="2"/>
        <v>481.08354307512144</v>
      </c>
      <c r="R47" s="1029">
        <f t="shared" si="3"/>
        <v>481.08354307512144</v>
      </c>
      <c r="S47" s="303">
        <f t="shared" si="4"/>
        <v>0</v>
      </c>
      <c r="T47" s="1029">
        <f t="shared" si="5"/>
        <v>4440.2557036742037</v>
      </c>
      <c r="U47" s="1029">
        <f t="shared" si="6"/>
        <v>202.99109741534681</v>
      </c>
      <c r="V47" s="1202">
        <f t="shared" si="7"/>
        <v>135.32739827689787</v>
      </c>
      <c r="X47" s="1037">
        <f>'Baseline data (from input)'!AS34*'4A SWD Case 1'!$D$12</f>
        <v>3265.2873453299067</v>
      </c>
      <c r="Y47" s="1030">
        <f>Parameters!S149</f>
        <v>0.71500000000000008</v>
      </c>
      <c r="Z47" s="1030">
        <f t="shared" si="8"/>
        <v>0.2</v>
      </c>
      <c r="AA47" s="1029">
        <f t="shared" si="9"/>
        <v>233.46804519108838</v>
      </c>
      <c r="AB47" s="1029">
        <f t="shared" si="10"/>
        <v>233.46804519108838</v>
      </c>
      <c r="AC47" s="303">
        <f t="shared" si="11"/>
        <v>0</v>
      </c>
      <c r="AD47" s="1029">
        <f t="shared" si="12"/>
        <v>2282.9817454960657</v>
      </c>
      <c r="AE47" s="1029">
        <f t="shared" si="13"/>
        <v>105.08081445231811</v>
      </c>
      <c r="AF47" s="1202">
        <f t="shared" si="14"/>
        <v>70.053876301545401</v>
      </c>
      <c r="AH47" s="1037">
        <f>'Baseline data (from input)'!AS34*'4A SWD Case 1'!$D$12</f>
        <v>3265.2873453299067</v>
      </c>
      <c r="AI47" s="1030">
        <f>Parameters!S149</f>
        <v>0.71500000000000008</v>
      </c>
      <c r="AJ47" s="1030">
        <f t="shared" si="15"/>
        <v>0.2</v>
      </c>
      <c r="AK47" s="1029">
        <f t="shared" si="16"/>
        <v>233.46804519108838</v>
      </c>
      <c r="AL47" s="1029">
        <f t="shared" si="17"/>
        <v>233.46804519108838</v>
      </c>
      <c r="AM47" s="303">
        <f t="shared" si="18"/>
        <v>0</v>
      </c>
      <c r="AN47" s="1029">
        <f t="shared" si="19"/>
        <v>2282.9817454960657</v>
      </c>
      <c r="AO47" s="1029">
        <f t="shared" si="20"/>
        <v>105.08081445231811</v>
      </c>
      <c r="AP47" s="1202">
        <f t="shared" si="21"/>
        <v>70.053876301545401</v>
      </c>
      <c r="AR47" s="1037">
        <v>0</v>
      </c>
      <c r="AS47" s="1030">
        <v>1</v>
      </c>
      <c r="AT47" s="1030">
        <f t="shared" si="22"/>
        <v>0.05</v>
      </c>
      <c r="AU47" s="1029">
        <f t="shared" si="23"/>
        <v>0</v>
      </c>
      <c r="AV47" s="1029">
        <f t="shared" si="24"/>
        <v>0</v>
      </c>
      <c r="AW47" s="303">
        <f t="shared" si="25"/>
        <v>0</v>
      </c>
      <c r="AX47" s="1045">
        <f t="shared" si="26"/>
        <v>0</v>
      </c>
      <c r="AY47" s="1045">
        <f t="shared" si="27"/>
        <v>0</v>
      </c>
      <c r="AZ47" s="1202">
        <f t="shared" si="28"/>
        <v>0</v>
      </c>
      <c r="BB47" s="317">
        <f t="shared" si="29"/>
        <v>135.32739827689787</v>
      </c>
      <c r="BC47" s="318">
        <f t="shared" si="30"/>
        <v>70.053876301545401</v>
      </c>
      <c r="BD47" s="1214">
        <f t="shared" si="31"/>
        <v>0</v>
      </c>
      <c r="BE47" s="318">
        <f t="shared" si="32"/>
        <v>205.38127457844325</v>
      </c>
      <c r="BF47" s="104">
        <v>0</v>
      </c>
      <c r="BG47" s="319">
        <f t="shared" si="33"/>
        <v>205.38127457844325</v>
      </c>
      <c r="BI47" s="317">
        <f t="shared" si="34"/>
        <v>135.32739827689787</v>
      </c>
      <c r="BJ47" s="318">
        <f t="shared" si="35"/>
        <v>70.053876301545401</v>
      </c>
      <c r="BK47" s="1214">
        <f t="shared" si="36"/>
        <v>0</v>
      </c>
      <c r="BL47" s="318">
        <f t="shared" si="37"/>
        <v>205.38127457844325</v>
      </c>
      <c r="BM47" s="104">
        <v>0</v>
      </c>
      <c r="BN47" s="319">
        <f t="shared" si="38"/>
        <v>205.38127457844325</v>
      </c>
    </row>
    <row r="48" spans="1:66">
      <c r="A48" s="127">
        <f>'Input data'!A79</f>
        <v>1979</v>
      </c>
      <c r="B48" s="988">
        <f>'Input data'!B79</f>
        <v>24.516309999999997</v>
      </c>
      <c r="C48" s="902">
        <f>'Baseline data (from input)'!B35</f>
        <v>578.73</v>
      </c>
      <c r="D48" s="899">
        <f>'Baseline data (from input)'!T35</f>
        <v>0.8</v>
      </c>
      <c r="E48" s="899">
        <f t="shared" si="39"/>
        <v>0.19892488097366726</v>
      </c>
      <c r="F48" s="899">
        <f t="shared" si="40"/>
        <v>0.26585903447659598</v>
      </c>
      <c r="G48" s="899">
        <f t="shared" si="41"/>
        <v>8.9228108703258049E-2</v>
      </c>
      <c r="H48" s="899">
        <f t="shared" si="42"/>
        <v>0</v>
      </c>
      <c r="I48" s="899">
        <f t="shared" si="43"/>
        <v>0</v>
      </c>
      <c r="J48" s="899">
        <f t="shared" si="44"/>
        <v>0</v>
      </c>
      <c r="K48" s="899">
        <f t="shared" si="45"/>
        <v>0.4459879758464787</v>
      </c>
      <c r="L48" s="996">
        <f t="shared" si="46"/>
        <v>1</v>
      </c>
      <c r="N48" s="317">
        <f t="shared" si="1"/>
        <v>11350.659269039999</v>
      </c>
      <c r="O48" s="1031">
        <f>Parameters!R150</f>
        <v>0.73</v>
      </c>
      <c r="P48" s="1031">
        <f>E48*'MSW characteristics'!$B$28+'MSW characteristics'!$B$29*'4A SWD Case 1'!F48+'4A SWD Case 1'!G48*'MSW characteristics'!$B$30+'MSW characteristics'!$B$31*'4A SWD Case 1'!H48+'4A SWD Case 1'!I48*'MSW characteristics'!$B$32+'MSW characteristics'!$B$33*'4A SWD Case 1'!J48+'4A SWD Case 1'!K48*'MSW characteristics'!$B$35</f>
        <v>0.11870178252267252</v>
      </c>
      <c r="Q48" s="1029">
        <f t="shared" si="2"/>
        <v>491.78037313552818</v>
      </c>
      <c r="R48" s="1029">
        <f t="shared" si="3"/>
        <v>491.78037313552818</v>
      </c>
      <c r="S48" s="303">
        <f t="shared" si="4"/>
        <v>0</v>
      </c>
      <c r="T48" s="1029">
        <f t="shared" si="5"/>
        <v>4715.4822507775534</v>
      </c>
      <c r="U48" s="1029">
        <f t="shared" si="6"/>
        <v>216.55382603217797</v>
      </c>
      <c r="V48" s="1202">
        <f t="shared" si="7"/>
        <v>144.36921735478532</v>
      </c>
      <c r="X48" s="1037">
        <f>'Baseline data (from input)'!AS35*'4A SWD Case 1'!$D$12</f>
        <v>3389.0581866273906</v>
      </c>
      <c r="Y48" s="1030">
        <f>Parameters!S150</f>
        <v>0.71500000000000008</v>
      </c>
      <c r="Z48" s="1030">
        <f t="shared" si="8"/>
        <v>0.2</v>
      </c>
      <c r="AA48" s="1029">
        <f t="shared" si="9"/>
        <v>242.31766034385848</v>
      </c>
      <c r="AB48" s="1029">
        <f t="shared" si="10"/>
        <v>242.31766034385848</v>
      </c>
      <c r="AC48" s="303">
        <f t="shared" si="11"/>
        <v>0</v>
      </c>
      <c r="AD48" s="1029">
        <f t="shared" si="12"/>
        <v>2413.9570722577164</v>
      </c>
      <c r="AE48" s="1029">
        <f t="shared" si="13"/>
        <v>111.34233358220757</v>
      </c>
      <c r="AF48" s="1202">
        <f t="shared" si="14"/>
        <v>74.228222388138377</v>
      </c>
      <c r="AH48" s="1037">
        <f>'Baseline data (from input)'!AS35*'4A SWD Case 1'!$D$12</f>
        <v>3389.0581866273906</v>
      </c>
      <c r="AI48" s="1030">
        <f>Parameters!S150</f>
        <v>0.71500000000000008</v>
      </c>
      <c r="AJ48" s="1030">
        <f t="shared" si="15"/>
        <v>0.2</v>
      </c>
      <c r="AK48" s="1029">
        <f t="shared" si="16"/>
        <v>242.31766034385848</v>
      </c>
      <c r="AL48" s="1029">
        <f t="shared" si="17"/>
        <v>242.31766034385848</v>
      </c>
      <c r="AM48" s="303">
        <f t="shared" si="18"/>
        <v>0</v>
      </c>
      <c r="AN48" s="1029">
        <f t="shared" si="19"/>
        <v>2413.9570722577164</v>
      </c>
      <c r="AO48" s="1029">
        <f t="shared" si="20"/>
        <v>111.34233358220757</v>
      </c>
      <c r="AP48" s="1202">
        <f t="shared" si="21"/>
        <v>74.228222388138377</v>
      </c>
      <c r="AR48" s="1037">
        <v>0</v>
      </c>
      <c r="AS48" s="1030">
        <v>1</v>
      </c>
      <c r="AT48" s="1030">
        <f t="shared" si="22"/>
        <v>0.05</v>
      </c>
      <c r="AU48" s="1029">
        <f t="shared" si="23"/>
        <v>0</v>
      </c>
      <c r="AV48" s="1029">
        <f t="shared" si="24"/>
        <v>0</v>
      </c>
      <c r="AW48" s="198">
        <f t="shared" si="25"/>
        <v>0</v>
      </c>
      <c r="AX48" s="1045">
        <f t="shared" si="26"/>
        <v>0</v>
      </c>
      <c r="AY48" s="1045">
        <f t="shared" si="27"/>
        <v>0</v>
      </c>
      <c r="AZ48" s="1202">
        <f t="shared" si="28"/>
        <v>0</v>
      </c>
      <c r="BB48" s="317">
        <f t="shared" si="29"/>
        <v>144.36921735478532</v>
      </c>
      <c r="BC48" s="318">
        <f t="shared" si="30"/>
        <v>74.228222388138377</v>
      </c>
      <c r="BD48" s="1214">
        <f t="shared" si="31"/>
        <v>0</v>
      </c>
      <c r="BE48" s="318">
        <f t="shared" si="32"/>
        <v>218.59743974292371</v>
      </c>
      <c r="BF48" s="104">
        <v>0</v>
      </c>
      <c r="BG48" s="319">
        <f t="shared" si="33"/>
        <v>218.59743974292371</v>
      </c>
      <c r="BI48" s="317">
        <f t="shared" si="34"/>
        <v>144.36921735478532</v>
      </c>
      <c r="BJ48" s="318">
        <f t="shared" si="35"/>
        <v>74.228222388138377</v>
      </c>
      <c r="BK48" s="1214">
        <f t="shared" si="36"/>
        <v>0</v>
      </c>
      <c r="BL48" s="318">
        <f t="shared" si="37"/>
        <v>218.59743974292371</v>
      </c>
      <c r="BM48" s="104">
        <v>0</v>
      </c>
      <c r="BN48" s="319">
        <f t="shared" si="38"/>
        <v>218.59743974292371</v>
      </c>
    </row>
    <row r="49" spans="1:66">
      <c r="A49" s="127">
        <f>'Input data'!A80</f>
        <v>1980</v>
      </c>
      <c r="B49" s="988">
        <f>'Input data'!B80</f>
        <v>25.094160000000002</v>
      </c>
      <c r="C49" s="902">
        <f>'Baseline data (from input)'!B36</f>
        <v>578.73</v>
      </c>
      <c r="D49" s="899">
        <f>'Baseline data (from input)'!T36</f>
        <v>0.8</v>
      </c>
      <c r="E49" s="899">
        <f t="shared" si="39"/>
        <v>0.19892488097366726</v>
      </c>
      <c r="F49" s="899">
        <f t="shared" si="40"/>
        <v>0.26585903447659598</v>
      </c>
      <c r="G49" s="899">
        <f t="shared" si="41"/>
        <v>8.9228108703258049E-2</v>
      </c>
      <c r="H49" s="899">
        <f t="shared" si="42"/>
        <v>0</v>
      </c>
      <c r="I49" s="899">
        <f t="shared" si="43"/>
        <v>0</v>
      </c>
      <c r="J49" s="899">
        <f t="shared" si="44"/>
        <v>0</v>
      </c>
      <c r="K49" s="899">
        <f t="shared" si="45"/>
        <v>0.4459879758464787</v>
      </c>
      <c r="L49" s="996">
        <f t="shared" si="46"/>
        <v>1</v>
      </c>
      <c r="N49" s="317">
        <f t="shared" si="1"/>
        <v>11618.194573440001</v>
      </c>
      <c r="O49" s="1031">
        <f>Parameters!R151</f>
        <v>0.73</v>
      </c>
      <c r="P49" s="1031">
        <f>E49*'MSW characteristics'!$B$28+'MSW characteristics'!$B$29*'4A SWD Case 1'!F49+'4A SWD Case 1'!G49*'MSW characteristics'!$B$30+'MSW characteristics'!$B$31*'4A SWD Case 1'!H49+'4A SWD Case 1'!I49*'MSW characteristics'!$B$32+'MSW characteristics'!$B$33*'4A SWD Case 1'!J49+'4A SWD Case 1'!K49*'MSW characteristics'!$B$35</f>
        <v>0.11870178252267252</v>
      </c>
      <c r="Q49" s="1029">
        <f t="shared" si="2"/>
        <v>503.37164803033767</v>
      </c>
      <c r="R49" s="1029">
        <f t="shared" si="3"/>
        <v>503.37164803033767</v>
      </c>
      <c r="S49" s="303">
        <f t="shared" si="4"/>
        <v>0</v>
      </c>
      <c r="T49" s="1029">
        <f t="shared" si="5"/>
        <v>4988.8771156808016</v>
      </c>
      <c r="U49" s="1029">
        <f t="shared" si="6"/>
        <v>229.97678312708967</v>
      </c>
      <c r="V49" s="1202">
        <f t="shared" si="7"/>
        <v>153.31785541805979</v>
      </c>
      <c r="X49" s="1037">
        <f>'Baseline data (from input)'!AS36*'4A SWD Case 1'!$D$12</f>
        <v>3613.4336673176531</v>
      </c>
      <c r="Y49" s="1030">
        <f>Parameters!S151</f>
        <v>0.71500000000000008</v>
      </c>
      <c r="Z49" s="1030">
        <f t="shared" si="8"/>
        <v>0.2</v>
      </c>
      <c r="AA49" s="1029">
        <f t="shared" si="9"/>
        <v>258.36050721321226</v>
      </c>
      <c r="AB49" s="1029">
        <f t="shared" si="10"/>
        <v>258.36050721321226</v>
      </c>
      <c r="AC49" s="303">
        <f t="shared" si="11"/>
        <v>0</v>
      </c>
      <c r="AD49" s="1029">
        <f t="shared" si="12"/>
        <v>2554.5875038263484</v>
      </c>
      <c r="AE49" s="1029">
        <f t="shared" si="13"/>
        <v>117.73007564458031</v>
      </c>
      <c r="AF49" s="1202">
        <f t="shared" si="14"/>
        <v>78.486717096386869</v>
      </c>
      <c r="AH49" s="1037">
        <f>'Baseline data (from input)'!AS36*'4A SWD Case 1'!$D$12</f>
        <v>3613.4336673176531</v>
      </c>
      <c r="AI49" s="1030">
        <f>Parameters!S151</f>
        <v>0.71500000000000008</v>
      </c>
      <c r="AJ49" s="1030">
        <f t="shared" si="15"/>
        <v>0.2</v>
      </c>
      <c r="AK49" s="1029">
        <f t="shared" si="16"/>
        <v>258.36050721321226</v>
      </c>
      <c r="AL49" s="1029">
        <f t="shared" si="17"/>
        <v>258.36050721321226</v>
      </c>
      <c r="AM49" s="303">
        <f t="shared" si="18"/>
        <v>0</v>
      </c>
      <c r="AN49" s="1029">
        <f t="shared" si="19"/>
        <v>2554.5875038263484</v>
      </c>
      <c r="AO49" s="1029">
        <f t="shared" si="20"/>
        <v>117.73007564458031</v>
      </c>
      <c r="AP49" s="1202">
        <f t="shared" si="21"/>
        <v>78.486717096386869</v>
      </c>
      <c r="AR49" s="1037">
        <v>0</v>
      </c>
      <c r="AS49" s="1030">
        <v>1</v>
      </c>
      <c r="AT49" s="1030">
        <f t="shared" si="22"/>
        <v>0.05</v>
      </c>
      <c r="AU49" s="1029">
        <f t="shared" si="23"/>
        <v>0</v>
      </c>
      <c r="AV49" s="1029">
        <f t="shared" si="24"/>
        <v>0</v>
      </c>
      <c r="AW49" s="198">
        <f t="shared" si="25"/>
        <v>0</v>
      </c>
      <c r="AX49" s="1045">
        <f t="shared" ref="AX49:AX69" si="47">AV49+(AX48*$E$8)</f>
        <v>0</v>
      </c>
      <c r="AY49" s="1045">
        <f t="shared" si="27"/>
        <v>0</v>
      </c>
      <c r="AZ49" s="1202">
        <f t="shared" si="28"/>
        <v>0</v>
      </c>
      <c r="BB49" s="317">
        <f t="shared" si="29"/>
        <v>153.31785541805979</v>
      </c>
      <c r="BC49" s="318">
        <f t="shared" si="30"/>
        <v>78.486717096386869</v>
      </c>
      <c r="BD49" s="1214">
        <f t="shared" si="31"/>
        <v>0</v>
      </c>
      <c r="BE49" s="318">
        <f t="shared" si="32"/>
        <v>231.80457251444665</v>
      </c>
      <c r="BF49" s="104">
        <v>0</v>
      </c>
      <c r="BG49" s="319">
        <f t="shared" si="33"/>
        <v>231.80457251444665</v>
      </c>
      <c r="BI49" s="317">
        <f t="shared" si="34"/>
        <v>153.31785541805979</v>
      </c>
      <c r="BJ49" s="318">
        <f t="shared" si="35"/>
        <v>78.486717096386869</v>
      </c>
      <c r="BK49" s="1214">
        <f t="shared" si="36"/>
        <v>0</v>
      </c>
      <c r="BL49" s="318">
        <f t="shared" si="37"/>
        <v>231.80457251444665</v>
      </c>
      <c r="BM49" s="104">
        <v>0</v>
      </c>
      <c r="BN49" s="319">
        <f t="shared" si="38"/>
        <v>231.80457251444665</v>
      </c>
    </row>
    <row r="50" spans="1:66">
      <c r="A50" s="127">
        <f>'Input data'!A81</f>
        <v>1981</v>
      </c>
      <c r="B50" s="988">
        <f>'Input data'!B81</f>
        <v>25.712049999999998</v>
      </c>
      <c r="C50" s="902">
        <f>'Baseline data (from input)'!B37</f>
        <v>578.73</v>
      </c>
      <c r="D50" s="899">
        <f>'Baseline data (from input)'!T37</f>
        <v>0.8</v>
      </c>
      <c r="E50" s="899">
        <f t="shared" si="39"/>
        <v>0.19892488097366726</v>
      </c>
      <c r="F50" s="899">
        <f t="shared" si="40"/>
        <v>0.26585903447659598</v>
      </c>
      <c r="G50" s="899">
        <f t="shared" si="41"/>
        <v>8.9228108703258049E-2</v>
      </c>
      <c r="H50" s="899">
        <f t="shared" si="42"/>
        <v>0</v>
      </c>
      <c r="I50" s="899">
        <f t="shared" si="43"/>
        <v>0</v>
      </c>
      <c r="J50" s="899">
        <f t="shared" si="44"/>
        <v>0</v>
      </c>
      <c r="K50" s="899">
        <f t="shared" si="45"/>
        <v>0.4459879758464787</v>
      </c>
      <c r="L50" s="996">
        <f t="shared" si="46"/>
        <v>1</v>
      </c>
      <c r="N50" s="317">
        <f t="shared" si="1"/>
        <v>11904.267757200001</v>
      </c>
      <c r="O50" s="1031">
        <f>Parameters!R152</f>
        <v>0.73</v>
      </c>
      <c r="P50" s="1031">
        <f>E50*'MSW characteristics'!$B$28+'MSW characteristics'!$B$29*'4A SWD Case 1'!F50+'4A SWD Case 1'!G50*'MSW characteristics'!$B$30+'MSW characteristics'!$B$31*'4A SWD Case 1'!H50+'4A SWD Case 1'!I50*'MSW characteristics'!$B$32+'MSW characteristics'!$B$33*'4A SWD Case 1'!J50+'4A SWD Case 1'!K50*'MSW characteristics'!$B$35</f>
        <v>0.11870178252267252</v>
      </c>
      <c r="Q50" s="1029">
        <f t="shared" si="2"/>
        <v>515.76609787848815</v>
      </c>
      <c r="R50" s="1029">
        <f t="shared" si="3"/>
        <v>515.76609787848815</v>
      </c>
      <c r="S50" s="303">
        <f t="shared" si="4"/>
        <v>0</v>
      </c>
      <c r="T50" s="1029">
        <f t="shared" si="5"/>
        <v>5261.3328055323191</v>
      </c>
      <c r="U50" s="1029">
        <f t="shared" si="6"/>
        <v>243.31040802697063</v>
      </c>
      <c r="V50" s="1202">
        <f t="shared" si="7"/>
        <v>162.2069386846471</v>
      </c>
      <c r="X50" s="1037">
        <f>'Baseline data (from input)'!AS37*'4A SWD Case 1'!$D$12</f>
        <v>3807.1403580322944</v>
      </c>
      <c r="Y50" s="1030">
        <f>Parameters!S152</f>
        <v>0.71500000000000008</v>
      </c>
      <c r="Z50" s="1030">
        <f t="shared" si="8"/>
        <v>0.2</v>
      </c>
      <c r="AA50" s="1029">
        <f t="shared" si="9"/>
        <v>272.21053559930908</v>
      </c>
      <c r="AB50" s="1029">
        <f t="shared" si="10"/>
        <v>272.21053559930908</v>
      </c>
      <c r="AC50" s="303">
        <f t="shared" si="11"/>
        <v>0</v>
      </c>
      <c r="AD50" s="1029">
        <f t="shared" si="12"/>
        <v>2702.2093367007619</v>
      </c>
      <c r="AE50" s="1029">
        <f t="shared" si="13"/>
        <v>124.58870272489546</v>
      </c>
      <c r="AF50" s="1202">
        <f t="shared" si="14"/>
        <v>83.059135149930299</v>
      </c>
      <c r="AH50" s="1037">
        <f>'Baseline data (from input)'!AS37*'4A SWD Case 1'!$D$12</f>
        <v>3807.1403580322944</v>
      </c>
      <c r="AI50" s="1030">
        <f>Parameters!S152</f>
        <v>0.71500000000000008</v>
      </c>
      <c r="AJ50" s="1030">
        <f t="shared" si="15"/>
        <v>0.2</v>
      </c>
      <c r="AK50" s="1029">
        <f t="shared" si="16"/>
        <v>272.21053559930908</v>
      </c>
      <c r="AL50" s="1029">
        <f t="shared" si="17"/>
        <v>272.21053559930908</v>
      </c>
      <c r="AM50" s="303">
        <f t="shared" si="18"/>
        <v>0</v>
      </c>
      <c r="AN50" s="1029">
        <f t="shared" si="19"/>
        <v>2702.2093367007619</v>
      </c>
      <c r="AO50" s="1029">
        <f t="shared" si="20"/>
        <v>124.58870272489546</v>
      </c>
      <c r="AP50" s="1202">
        <f t="shared" si="21"/>
        <v>83.059135149930299</v>
      </c>
      <c r="AR50" s="1037">
        <v>0</v>
      </c>
      <c r="AS50" s="1030">
        <v>1</v>
      </c>
      <c r="AT50" s="1030">
        <f t="shared" si="22"/>
        <v>0.05</v>
      </c>
      <c r="AU50" s="1029">
        <f t="shared" si="23"/>
        <v>0</v>
      </c>
      <c r="AV50" s="1029">
        <f t="shared" si="24"/>
        <v>0</v>
      </c>
      <c r="AW50" s="198">
        <f t="shared" si="25"/>
        <v>0</v>
      </c>
      <c r="AX50" s="1045">
        <f t="shared" si="47"/>
        <v>0</v>
      </c>
      <c r="AY50" s="1045">
        <f t="shared" si="27"/>
        <v>0</v>
      </c>
      <c r="AZ50" s="1202">
        <f t="shared" si="28"/>
        <v>0</v>
      </c>
      <c r="BB50" s="317">
        <f t="shared" si="29"/>
        <v>162.2069386846471</v>
      </c>
      <c r="BC50" s="318">
        <f t="shared" si="30"/>
        <v>83.059135149930299</v>
      </c>
      <c r="BD50" s="1214">
        <f t="shared" si="31"/>
        <v>0</v>
      </c>
      <c r="BE50" s="318">
        <f t="shared" si="32"/>
        <v>245.26607383457741</v>
      </c>
      <c r="BF50" s="104">
        <v>0</v>
      </c>
      <c r="BG50" s="319">
        <f t="shared" si="33"/>
        <v>245.26607383457741</v>
      </c>
      <c r="BI50" s="317">
        <f t="shared" si="34"/>
        <v>162.2069386846471</v>
      </c>
      <c r="BJ50" s="318">
        <f t="shared" si="35"/>
        <v>83.059135149930299</v>
      </c>
      <c r="BK50" s="1214">
        <f t="shared" si="36"/>
        <v>0</v>
      </c>
      <c r="BL50" s="318">
        <f t="shared" si="37"/>
        <v>245.26607383457741</v>
      </c>
      <c r="BM50" s="104">
        <v>0</v>
      </c>
      <c r="BN50" s="319">
        <f t="shared" si="38"/>
        <v>245.26607383457741</v>
      </c>
    </row>
    <row r="51" spans="1:66">
      <c r="A51" s="127">
        <f>'Input data'!A82</f>
        <v>1982</v>
      </c>
      <c r="B51" s="988">
        <f>'Input data'!B82</f>
        <v>26.364520000000002</v>
      </c>
      <c r="C51" s="902">
        <f>'Baseline data (from input)'!B38</f>
        <v>578.73</v>
      </c>
      <c r="D51" s="899">
        <f>'Baseline data (from input)'!T38</f>
        <v>0.8</v>
      </c>
      <c r="E51" s="899">
        <f t="shared" si="39"/>
        <v>0.19892488097366726</v>
      </c>
      <c r="F51" s="899">
        <f t="shared" si="40"/>
        <v>0.26585903447659598</v>
      </c>
      <c r="G51" s="899">
        <f t="shared" si="41"/>
        <v>8.9228108703258049E-2</v>
      </c>
      <c r="H51" s="899">
        <f t="shared" si="42"/>
        <v>0</v>
      </c>
      <c r="I51" s="899">
        <f t="shared" si="43"/>
        <v>0</v>
      </c>
      <c r="J51" s="899">
        <f t="shared" si="44"/>
        <v>0</v>
      </c>
      <c r="K51" s="899">
        <f t="shared" si="45"/>
        <v>0.4459879758464787</v>
      </c>
      <c r="L51" s="996">
        <f t="shared" si="46"/>
        <v>1</v>
      </c>
      <c r="N51" s="317">
        <f t="shared" ref="N51:N82" si="48">B51*C51*D51</f>
        <v>12206.350927680003</v>
      </c>
      <c r="O51" s="1031">
        <f>Parameters!R153</f>
        <v>0.73</v>
      </c>
      <c r="P51" s="1031">
        <f>E51*'MSW characteristics'!$B$28+'MSW characteristics'!$B$29*'4A SWD Case 1'!F51+'4A SWD Case 1'!G51*'MSW characteristics'!$B$30+'MSW characteristics'!$B$31*'4A SWD Case 1'!H51+'4A SWD Case 1'!I51*'MSW characteristics'!$B$32+'MSW characteristics'!$B$33*'4A SWD Case 1'!J51+'4A SWD Case 1'!K51*'MSW characteristics'!$B$35</f>
        <v>0.11870178252267252</v>
      </c>
      <c r="Q51" s="1029">
        <f t="shared" si="2"/>
        <v>528.85419882270617</v>
      </c>
      <c r="R51" s="1029">
        <f t="shared" si="3"/>
        <v>528.85419882270617</v>
      </c>
      <c r="S51" s="303">
        <f t="shared" si="4"/>
        <v>0</v>
      </c>
      <c r="T51" s="1029">
        <f t="shared" si="5"/>
        <v>5533.5887755359408</v>
      </c>
      <c r="U51" s="1029">
        <f t="shared" si="6"/>
        <v>256.59822881908411</v>
      </c>
      <c r="V51" s="1202">
        <f t="shared" si="7"/>
        <v>171.0654858793894</v>
      </c>
      <c r="X51" s="1037">
        <f>'Baseline data (from input)'!AS38*'4A SWD Case 1'!$D$12</f>
        <v>3792.5441333367248</v>
      </c>
      <c r="Y51" s="1030">
        <f>Parameters!S153</f>
        <v>0.71500000000000008</v>
      </c>
      <c r="Z51" s="1030">
        <f t="shared" si="8"/>
        <v>0.2</v>
      </c>
      <c r="AA51" s="1029">
        <f t="shared" si="9"/>
        <v>271.16690553357586</v>
      </c>
      <c r="AB51" s="1029">
        <f t="shared" si="10"/>
        <v>271.16690553357586</v>
      </c>
      <c r="AC51" s="303">
        <f t="shared" si="11"/>
        <v>0</v>
      </c>
      <c r="AD51" s="1029">
        <f t="shared" si="12"/>
        <v>2841.587937763898</v>
      </c>
      <c r="AE51" s="1029">
        <f t="shared" si="13"/>
        <v>131.78830447044001</v>
      </c>
      <c r="AF51" s="1202">
        <f t="shared" si="14"/>
        <v>87.858869646960002</v>
      </c>
      <c r="AH51" s="1037">
        <f>'Baseline data (from input)'!AS38*'4A SWD Case 1'!$D$12</f>
        <v>3792.5441333367248</v>
      </c>
      <c r="AI51" s="1030">
        <f>Parameters!S153</f>
        <v>0.71500000000000008</v>
      </c>
      <c r="AJ51" s="1030">
        <f t="shared" si="15"/>
        <v>0.2</v>
      </c>
      <c r="AK51" s="1029">
        <f t="shared" si="16"/>
        <v>271.16690553357586</v>
      </c>
      <c r="AL51" s="1029">
        <f t="shared" si="17"/>
        <v>271.16690553357586</v>
      </c>
      <c r="AM51" s="303">
        <f t="shared" si="18"/>
        <v>0</v>
      </c>
      <c r="AN51" s="1029">
        <f t="shared" si="19"/>
        <v>2841.587937763898</v>
      </c>
      <c r="AO51" s="1029">
        <f t="shared" si="20"/>
        <v>131.78830447044001</v>
      </c>
      <c r="AP51" s="1202">
        <f t="shared" si="21"/>
        <v>87.858869646960002</v>
      </c>
      <c r="AR51" s="1037">
        <v>0</v>
      </c>
      <c r="AS51" s="1030">
        <v>1</v>
      </c>
      <c r="AT51" s="1030">
        <f t="shared" si="22"/>
        <v>0.05</v>
      </c>
      <c r="AU51" s="1029">
        <f t="shared" si="23"/>
        <v>0</v>
      </c>
      <c r="AV51" s="1029">
        <f t="shared" si="24"/>
        <v>0</v>
      </c>
      <c r="AW51" s="198">
        <f t="shared" si="25"/>
        <v>0</v>
      </c>
      <c r="AX51" s="1045">
        <f t="shared" si="47"/>
        <v>0</v>
      </c>
      <c r="AY51" s="1045">
        <f t="shared" si="27"/>
        <v>0</v>
      </c>
      <c r="AZ51" s="1202">
        <f t="shared" si="28"/>
        <v>0</v>
      </c>
      <c r="BB51" s="317">
        <f t="shared" si="29"/>
        <v>171.0654858793894</v>
      </c>
      <c r="BC51" s="318">
        <f t="shared" si="30"/>
        <v>87.858869646960002</v>
      </c>
      <c r="BD51" s="1214">
        <f t="shared" si="31"/>
        <v>0</v>
      </c>
      <c r="BE51" s="318">
        <f t="shared" si="32"/>
        <v>258.92435552634942</v>
      </c>
      <c r="BF51" s="104">
        <v>0</v>
      </c>
      <c r="BG51" s="319">
        <f t="shared" si="33"/>
        <v>258.92435552634942</v>
      </c>
      <c r="BI51" s="317">
        <f t="shared" si="34"/>
        <v>171.0654858793894</v>
      </c>
      <c r="BJ51" s="318">
        <f t="shared" si="35"/>
        <v>87.858869646960002</v>
      </c>
      <c r="BK51" s="1214">
        <f t="shared" si="36"/>
        <v>0</v>
      </c>
      <c r="BL51" s="318">
        <f t="shared" si="37"/>
        <v>258.92435552634942</v>
      </c>
      <c r="BM51" s="104">
        <v>0</v>
      </c>
      <c r="BN51" s="319">
        <f t="shared" si="38"/>
        <v>258.92435552634942</v>
      </c>
    </row>
    <row r="52" spans="1:66">
      <c r="A52" s="127">
        <f>'Input data'!A83</f>
        <v>1983</v>
      </c>
      <c r="B52" s="988">
        <f>'Input data'!B83</f>
        <v>27.048839999999998</v>
      </c>
      <c r="C52" s="902">
        <f>'Baseline data (from input)'!B39</f>
        <v>578.73</v>
      </c>
      <c r="D52" s="899">
        <f>'Baseline data (from input)'!T39</f>
        <v>0.8</v>
      </c>
      <c r="E52" s="899">
        <f t="shared" si="39"/>
        <v>0.19892488097366726</v>
      </c>
      <c r="F52" s="899">
        <f t="shared" si="40"/>
        <v>0.26585903447659598</v>
      </c>
      <c r="G52" s="899">
        <f t="shared" si="41"/>
        <v>8.9228108703258049E-2</v>
      </c>
      <c r="H52" s="899">
        <f t="shared" si="42"/>
        <v>0</v>
      </c>
      <c r="I52" s="899">
        <f t="shared" si="43"/>
        <v>0</v>
      </c>
      <c r="J52" s="899">
        <f t="shared" si="44"/>
        <v>0</v>
      </c>
      <c r="K52" s="899">
        <f t="shared" si="45"/>
        <v>0.4459879758464787</v>
      </c>
      <c r="L52" s="996">
        <f t="shared" si="46"/>
        <v>1</v>
      </c>
      <c r="N52" s="317">
        <f t="shared" si="48"/>
        <v>12523.180138560001</v>
      </c>
      <c r="O52" s="1031">
        <f>Parameters!R154</f>
        <v>0.73</v>
      </c>
      <c r="P52" s="1031">
        <f>E52*'MSW characteristics'!$B$28+'MSW characteristics'!$B$29*'4A SWD Case 1'!F52+'4A SWD Case 1'!G52*'MSW characteristics'!$B$30+'MSW characteristics'!$B$31*'4A SWD Case 1'!H52+'4A SWD Case 1'!I52*'MSW characteristics'!$B$32+'MSW characteristics'!$B$33*'4A SWD Case 1'!J52+'4A SWD Case 1'!K52*'MSW characteristics'!$B$35</f>
        <v>0.11870178252267252</v>
      </c>
      <c r="Q52" s="1029">
        <f t="shared" si="2"/>
        <v>542.58118893435449</v>
      </c>
      <c r="R52" s="1029">
        <f t="shared" si="3"/>
        <v>542.58118893435449</v>
      </c>
      <c r="S52" s="303">
        <f t="shared" si="4"/>
        <v>0</v>
      </c>
      <c r="T52" s="1029">
        <f t="shared" si="5"/>
        <v>5806.2936553110176</v>
      </c>
      <c r="U52" s="1029">
        <f t="shared" si="6"/>
        <v>269.87630915927707</v>
      </c>
      <c r="V52" s="1202">
        <f t="shared" si="7"/>
        <v>179.91753943951804</v>
      </c>
      <c r="X52" s="1037">
        <f>'Baseline data (from input)'!AS39*'4A SWD Case 1'!$D$12</f>
        <v>3722.5131191048081</v>
      </c>
      <c r="Y52" s="1030">
        <f>Parameters!S154</f>
        <v>0.71500000000000008</v>
      </c>
      <c r="Z52" s="1030">
        <f t="shared" si="8"/>
        <v>0.2</v>
      </c>
      <c r="AA52" s="1029">
        <f t="shared" si="9"/>
        <v>266.15968801599382</v>
      </c>
      <c r="AB52" s="1029">
        <f t="shared" si="10"/>
        <v>266.15968801599382</v>
      </c>
      <c r="AC52" s="303">
        <f t="shared" si="11"/>
        <v>0</v>
      </c>
      <c r="AD52" s="1029">
        <f t="shared" si="12"/>
        <v>2969.1617467233173</v>
      </c>
      <c r="AE52" s="1029">
        <f t="shared" si="13"/>
        <v>138.58587905657456</v>
      </c>
      <c r="AF52" s="1202">
        <f t="shared" si="14"/>
        <v>92.390586037716375</v>
      </c>
      <c r="AH52" s="1037">
        <f>'Baseline data (from input)'!AS39*'4A SWD Case 1'!$D$12</f>
        <v>3722.5131191048081</v>
      </c>
      <c r="AI52" s="1030">
        <f>Parameters!S154</f>
        <v>0.71500000000000008</v>
      </c>
      <c r="AJ52" s="1030">
        <f t="shared" si="15"/>
        <v>0.2</v>
      </c>
      <c r="AK52" s="1029">
        <f t="shared" si="16"/>
        <v>266.15968801599382</v>
      </c>
      <c r="AL52" s="1029">
        <f t="shared" si="17"/>
        <v>266.15968801599382</v>
      </c>
      <c r="AM52" s="303">
        <f t="shared" si="18"/>
        <v>0</v>
      </c>
      <c r="AN52" s="1029">
        <f t="shared" si="19"/>
        <v>2969.1617467233173</v>
      </c>
      <c r="AO52" s="1029">
        <f t="shared" si="20"/>
        <v>138.58587905657456</v>
      </c>
      <c r="AP52" s="1202">
        <f t="shared" si="21"/>
        <v>92.390586037716375</v>
      </c>
      <c r="AR52" s="1037">
        <v>0</v>
      </c>
      <c r="AS52" s="1030">
        <v>1</v>
      </c>
      <c r="AT52" s="1030">
        <f t="shared" si="22"/>
        <v>0.05</v>
      </c>
      <c r="AU52" s="1029">
        <f t="shared" si="23"/>
        <v>0</v>
      </c>
      <c r="AV52" s="1029">
        <f t="shared" si="24"/>
        <v>0</v>
      </c>
      <c r="AW52" s="198">
        <f t="shared" si="25"/>
        <v>0</v>
      </c>
      <c r="AX52" s="1045">
        <f t="shared" si="47"/>
        <v>0</v>
      </c>
      <c r="AY52" s="1045">
        <f t="shared" si="27"/>
        <v>0</v>
      </c>
      <c r="AZ52" s="1202">
        <f t="shared" si="28"/>
        <v>0</v>
      </c>
      <c r="BB52" s="317">
        <f t="shared" si="29"/>
        <v>179.91753943951804</v>
      </c>
      <c r="BC52" s="318">
        <f t="shared" si="30"/>
        <v>92.390586037716375</v>
      </c>
      <c r="BD52" s="1214">
        <f t="shared" si="31"/>
        <v>0</v>
      </c>
      <c r="BE52" s="318">
        <f t="shared" si="32"/>
        <v>272.3081254772344</v>
      </c>
      <c r="BF52" s="104">
        <v>0</v>
      </c>
      <c r="BG52" s="319">
        <f t="shared" si="33"/>
        <v>272.3081254772344</v>
      </c>
      <c r="BI52" s="317">
        <f t="shared" si="34"/>
        <v>179.91753943951804</v>
      </c>
      <c r="BJ52" s="318">
        <f t="shared" si="35"/>
        <v>92.390586037716375</v>
      </c>
      <c r="BK52" s="1214">
        <f t="shared" si="36"/>
        <v>0</v>
      </c>
      <c r="BL52" s="318">
        <f t="shared" si="37"/>
        <v>272.3081254772344</v>
      </c>
      <c r="BM52" s="104">
        <v>0</v>
      </c>
      <c r="BN52" s="319">
        <f t="shared" si="38"/>
        <v>272.3081254772344</v>
      </c>
    </row>
    <row r="53" spans="1:66">
      <c r="A53" s="127">
        <f>'Input data'!A84</f>
        <v>1984</v>
      </c>
      <c r="B53" s="988">
        <f>'Input data'!B84</f>
        <v>27.759549999999997</v>
      </c>
      <c r="C53" s="902">
        <f>'Baseline data (from input)'!B40</f>
        <v>578.73</v>
      </c>
      <c r="D53" s="899">
        <f>'Baseline data (from input)'!T40</f>
        <v>0.8</v>
      </c>
      <c r="E53" s="899">
        <f t="shared" si="39"/>
        <v>0.19892488097366726</v>
      </c>
      <c r="F53" s="899">
        <f t="shared" si="40"/>
        <v>0.26585903447659598</v>
      </c>
      <c r="G53" s="899">
        <f t="shared" si="41"/>
        <v>8.9228108703258049E-2</v>
      </c>
      <c r="H53" s="899">
        <f t="shared" si="42"/>
        <v>0</v>
      </c>
      <c r="I53" s="899">
        <f t="shared" si="43"/>
        <v>0</v>
      </c>
      <c r="J53" s="899">
        <f t="shared" si="44"/>
        <v>0</v>
      </c>
      <c r="K53" s="899">
        <f t="shared" si="45"/>
        <v>0.4459879758464787</v>
      </c>
      <c r="L53" s="996">
        <f t="shared" si="46"/>
        <v>1</v>
      </c>
      <c r="N53" s="317">
        <f t="shared" si="48"/>
        <v>12852.2274972</v>
      </c>
      <c r="O53" s="1031">
        <f>Parameters!R155</f>
        <v>0.73</v>
      </c>
      <c r="P53" s="1031">
        <f>E53*'MSW characteristics'!$B$28+'MSW characteristics'!$B$29*'4A SWD Case 1'!F53+'4A SWD Case 1'!G53*'MSW characteristics'!$B$30+'MSW characteristics'!$B$31*'4A SWD Case 1'!H53+'4A SWD Case 1'!I53*'MSW characteristics'!$B$32+'MSW characteristics'!$B$33*'4A SWD Case 1'!J53+'4A SWD Case 1'!K53*'MSW characteristics'!$B$35</f>
        <v>0.11870178252267252</v>
      </c>
      <c r="Q53" s="1029">
        <f t="shared" si="2"/>
        <v>556.83754435615924</v>
      </c>
      <c r="R53" s="1029">
        <f t="shared" si="3"/>
        <v>556.83754435615924</v>
      </c>
      <c r="S53" s="303">
        <f t="shared" si="4"/>
        <v>0</v>
      </c>
      <c r="T53" s="1029">
        <f t="shared" si="5"/>
        <v>6079.9549165798053</v>
      </c>
      <c r="U53" s="1029">
        <f t="shared" si="6"/>
        <v>283.17628308737119</v>
      </c>
      <c r="V53" s="1202">
        <f t="shared" si="7"/>
        <v>188.78418872491412</v>
      </c>
      <c r="X53" s="1037">
        <f>'Baseline data (from input)'!AS40*'4A SWD Case 1'!$D$12</f>
        <v>3912.3283405877869</v>
      </c>
      <c r="Y53" s="1030">
        <f>Parameters!S155</f>
        <v>0.71500000000000008</v>
      </c>
      <c r="Z53" s="1030">
        <f t="shared" si="8"/>
        <v>0.2</v>
      </c>
      <c r="AA53" s="1029">
        <f t="shared" si="9"/>
        <v>279.73147635202685</v>
      </c>
      <c r="AB53" s="1029">
        <f t="shared" si="10"/>
        <v>279.73147635202685</v>
      </c>
      <c r="AC53" s="303">
        <f t="shared" si="11"/>
        <v>0</v>
      </c>
      <c r="AD53" s="1029">
        <f t="shared" si="12"/>
        <v>3104.0854959371827</v>
      </c>
      <c r="AE53" s="1029">
        <f t="shared" si="13"/>
        <v>144.8077271381614</v>
      </c>
      <c r="AF53" s="1202">
        <f t="shared" si="14"/>
        <v>96.53848475877426</v>
      </c>
      <c r="AH53" s="1037">
        <f>'Baseline data (from input)'!AS40*'4A SWD Case 1'!$D$12</f>
        <v>3912.3283405877869</v>
      </c>
      <c r="AI53" s="1030">
        <f>Parameters!S155</f>
        <v>0.71500000000000008</v>
      </c>
      <c r="AJ53" s="1030">
        <f t="shared" si="15"/>
        <v>0.2</v>
      </c>
      <c r="AK53" s="1029">
        <f t="shared" si="16"/>
        <v>279.73147635202685</v>
      </c>
      <c r="AL53" s="1029">
        <f t="shared" si="17"/>
        <v>279.73147635202685</v>
      </c>
      <c r="AM53" s="303">
        <f t="shared" si="18"/>
        <v>0</v>
      </c>
      <c r="AN53" s="1029">
        <f t="shared" si="19"/>
        <v>3104.0854959371827</v>
      </c>
      <c r="AO53" s="1029">
        <f t="shared" si="20"/>
        <v>144.8077271381614</v>
      </c>
      <c r="AP53" s="1202">
        <f t="shared" si="21"/>
        <v>96.53848475877426</v>
      </c>
      <c r="AR53" s="1037">
        <v>0</v>
      </c>
      <c r="AS53" s="1030">
        <v>1</v>
      </c>
      <c r="AT53" s="1030">
        <f t="shared" si="22"/>
        <v>0.05</v>
      </c>
      <c r="AU53" s="1029">
        <f t="shared" si="23"/>
        <v>0</v>
      </c>
      <c r="AV53" s="1029">
        <f t="shared" si="24"/>
        <v>0</v>
      </c>
      <c r="AW53" s="198">
        <f t="shared" si="25"/>
        <v>0</v>
      </c>
      <c r="AX53" s="1045">
        <f t="shared" si="47"/>
        <v>0</v>
      </c>
      <c r="AY53" s="1045">
        <f t="shared" si="27"/>
        <v>0</v>
      </c>
      <c r="AZ53" s="1202">
        <f t="shared" si="28"/>
        <v>0</v>
      </c>
      <c r="BB53" s="317">
        <f t="shared" si="29"/>
        <v>188.78418872491412</v>
      </c>
      <c r="BC53" s="318">
        <f t="shared" si="30"/>
        <v>96.53848475877426</v>
      </c>
      <c r="BD53" s="1214">
        <f t="shared" si="31"/>
        <v>0</v>
      </c>
      <c r="BE53" s="318">
        <f t="shared" si="32"/>
        <v>285.32267348368839</v>
      </c>
      <c r="BF53" s="104">
        <v>0</v>
      </c>
      <c r="BG53" s="319">
        <f t="shared" si="33"/>
        <v>285.32267348368839</v>
      </c>
      <c r="BI53" s="317">
        <f t="shared" si="34"/>
        <v>188.78418872491412</v>
      </c>
      <c r="BJ53" s="318">
        <f t="shared" si="35"/>
        <v>96.53848475877426</v>
      </c>
      <c r="BK53" s="1214">
        <f t="shared" si="36"/>
        <v>0</v>
      </c>
      <c r="BL53" s="318">
        <f t="shared" si="37"/>
        <v>285.32267348368839</v>
      </c>
      <c r="BM53" s="104">
        <v>0</v>
      </c>
      <c r="BN53" s="319">
        <f t="shared" si="38"/>
        <v>285.32267348368839</v>
      </c>
    </row>
    <row r="54" spans="1:66">
      <c r="A54" s="127">
        <f>'Input data'!A85</f>
        <v>1985</v>
      </c>
      <c r="B54" s="988">
        <f>'Input data'!B85</f>
        <v>28.490279999999998</v>
      </c>
      <c r="C54" s="902">
        <f>'Baseline data (from input)'!B41</f>
        <v>578.73</v>
      </c>
      <c r="D54" s="899">
        <f>'Baseline data (from input)'!T41</f>
        <v>0.8</v>
      </c>
      <c r="E54" s="899">
        <f t="shared" si="39"/>
        <v>0.19892488097366726</v>
      </c>
      <c r="F54" s="899">
        <f t="shared" si="40"/>
        <v>0.26585903447659598</v>
      </c>
      <c r="G54" s="899">
        <f t="shared" si="41"/>
        <v>8.9228108703258049E-2</v>
      </c>
      <c r="H54" s="899">
        <f t="shared" si="42"/>
        <v>0</v>
      </c>
      <c r="I54" s="899">
        <f t="shared" si="43"/>
        <v>0</v>
      </c>
      <c r="J54" s="899">
        <f t="shared" si="44"/>
        <v>0</v>
      </c>
      <c r="K54" s="899">
        <f t="shared" si="45"/>
        <v>0.4459879758464787</v>
      </c>
      <c r="L54" s="996">
        <f t="shared" si="46"/>
        <v>1</v>
      </c>
      <c r="N54" s="317">
        <f t="shared" si="48"/>
        <v>13190.543795520001</v>
      </c>
      <c r="O54" s="1031">
        <f>Parameters!R156</f>
        <v>0.73</v>
      </c>
      <c r="P54" s="1031">
        <f>E54*'MSW characteristics'!$B$28+'MSW characteristics'!$B$29*'4A SWD Case 1'!F54+'4A SWD Case 1'!G54*'MSW characteristics'!$B$30+'MSW characteristics'!$B$31*'4A SWD Case 1'!H54+'4A SWD Case 1'!I54*'MSW characteristics'!$B$32+'MSW characteristics'!$B$33*'4A SWD Case 1'!J54+'4A SWD Case 1'!K54*'MSW characteristics'!$B$35</f>
        <v>0.11870178252267252</v>
      </c>
      <c r="Q54" s="1029">
        <f t="shared" si="2"/>
        <v>571.4954872546349</v>
      </c>
      <c r="R54" s="1029">
        <f t="shared" si="3"/>
        <v>571.4954872546349</v>
      </c>
      <c r="S54" s="303">
        <f t="shared" si="4"/>
        <v>0</v>
      </c>
      <c r="T54" s="1029">
        <f t="shared" si="5"/>
        <v>6354.9275035431301</v>
      </c>
      <c r="U54" s="1029">
        <f t="shared" si="6"/>
        <v>296.52290029131041</v>
      </c>
      <c r="V54" s="1202">
        <f t="shared" si="7"/>
        <v>197.68193352754028</v>
      </c>
      <c r="X54" s="1037">
        <f>'Baseline data (from input)'!AS41*'4A SWD Case 1'!$D$12</f>
        <v>3864.9311197077423</v>
      </c>
      <c r="Y54" s="1030">
        <f>Parameters!S156</f>
        <v>0.71500000000000008</v>
      </c>
      <c r="Z54" s="1030">
        <f t="shared" si="8"/>
        <v>0.2</v>
      </c>
      <c r="AA54" s="1029">
        <f t="shared" si="9"/>
        <v>276.34257505910364</v>
      </c>
      <c r="AB54" s="1029">
        <f t="shared" si="10"/>
        <v>276.34257505910364</v>
      </c>
      <c r="AC54" s="303">
        <f t="shared" si="11"/>
        <v>0</v>
      </c>
      <c r="AD54" s="1029">
        <f t="shared" si="12"/>
        <v>3229.0400349604433</v>
      </c>
      <c r="AE54" s="1029">
        <f t="shared" si="13"/>
        <v>151.38803603584296</v>
      </c>
      <c r="AF54" s="1202">
        <f t="shared" si="14"/>
        <v>100.92535735722863</v>
      </c>
      <c r="AH54" s="1037">
        <f>'Baseline data (from input)'!AS41*'4A SWD Case 1'!$D$12</f>
        <v>3864.9311197077423</v>
      </c>
      <c r="AI54" s="1030">
        <f>Parameters!S156</f>
        <v>0.71500000000000008</v>
      </c>
      <c r="AJ54" s="1030">
        <f t="shared" si="15"/>
        <v>0.2</v>
      </c>
      <c r="AK54" s="1029">
        <f t="shared" si="16"/>
        <v>276.34257505910364</v>
      </c>
      <c r="AL54" s="1029">
        <f t="shared" si="17"/>
        <v>276.34257505910364</v>
      </c>
      <c r="AM54" s="303">
        <f t="shared" si="18"/>
        <v>0</v>
      </c>
      <c r="AN54" s="1029">
        <f t="shared" si="19"/>
        <v>3229.0400349604433</v>
      </c>
      <c r="AO54" s="1029">
        <f t="shared" si="20"/>
        <v>151.38803603584296</v>
      </c>
      <c r="AP54" s="1202">
        <f t="shared" si="21"/>
        <v>100.92535735722863</v>
      </c>
      <c r="AR54" s="1037">
        <v>0</v>
      </c>
      <c r="AS54" s="1030">
        <v>1</v>
      </c>
      <c r="AT54" s="1030">
        <f t="shared" si="22"/>
        <v>0.05</v>
      </c>
      <c r="AU54" s="1029">
        <f t="shared" si="23"/>
        <v>0</v>
      </c>
      <c r="AV54" s="1029">
        <f t="shared" si="24"/>
        <v>0</v>
      </c>
      <c r="AW54" s="198">
        <f t="shared" si="25"/>
        <v>0</v>
      </c>
      <c r="AX54" s="1045">
        <f t="shared" si="47"/>
        <v>0</v>
      </c>
      <c r="AY54" s="1045">
        <f t="shared" si="27"/>
        <v>0</v>
      </c>
      <c r="AZ54" s="1202">
        <f t="shared" si="28"/>
        <v>0</v>
      </c>
      <c r="BB54" s="317">
        <f t="shared" si="29"/>
        <v>197.68193352754028</v>
      </c>
      <c r="BC54" s="318">
        <f t="shared" si="30"/>
        <v>100.92535735722863</v>
      </c>
      <c r="BD54" s="1214">
        <f t="shared" si="31"/>
        <v>0</v>
      </c>
      <c r="BE54" s="318">
        <f t="shared" si="32"/>
        <v>298.60729088476893</v>
      </c>
      <c r="BF54" s="104">
        <v>0</v>
      </c>
      <c r="BG54" s="319">
        <f t="shared" si="33"/>
        <v>298.60729088476893</v>
      </c>
      <c r="BI54" s="317">
        <f t="shared" si="34"/>
        <v>197.68193352754028</v>
      </c>
      <c r="BJ54" s="318">
        <f t="shared" si="35"/>
        <v>100.92535735722863</v>
      </c>
      <c r="BK54" s="1214">
        <f t="shared" si="36"/>
        <v>0</v>
      </c>
      <c r="BL54" s="318">
        <f t="shared" si="37"/>
        <v>298.60729088476893</v>
      </c>
      <c r="BM54" s="104">
        <v>0</v>
      </c>
      <c r="BN54" s="319">
        <f t="shared" si="38"/>
        <v>298.60729088476893</v>
      </c>
    </row>
    <row r="55" spans="1:66">
      <c r="A55" s="127">
        <f>'Input data'!A86</f>
        <v>1986</v>
      </c>
      <c r="B55" s="988">
        <f>'Input data'!B86</f>
        <v>29.230110000000003</v>
      </c>
      <c r="C55" s="902">
        <f>'Baseline data (from input)'!B42</f>
        <v>578.73</v>
      </c>
      <c r="D55" s="899">
        <f>'Baseline data (from input)'!T42</f>
        <v>0.8</v>
      </c>
      <c r="E55" s="899">
        <f t="shared" si="39"/>
        <v>0.19892488097366726</v>
      </c>
      <c r="F55" s="899">
        <f t="shared" si="40"/>
        <v>0.26585903447659598</v>
      </c>
      <c r="G55" s="899">
        <f t="shared" si="41"/>
        <v>8.9228108703258049E-2</v>
      </c>
      <c r="H55" s="899">
        <f t="shared" si="42"/>
        <v>0</v>
      </c>
      <c r="I55" s="899">
        <f t="shared" si="43"/>
        <v>0</v>
      </c>
      <c r="J55" s="899">
        <f t="shared" si="44"/>
        <v>0</v>
      </c>
      <c r="K55" s="899">
        <f t="shared" si="45"/>
        <v>0.4459879758464787</v>
      </c>
      <c r="L55" s="996">
        <f t="shared" si="46"/>
        <v>1</v>
      </c>
      <c r="N55" s="317">
        <f t="shared" si="48"/>
        <v>13533.073248240004</v>
      </c>
      <c r="O55" s="1031">
        <f>Parameters!R157</f>
        <v>0.73</v>
      </c>
      <c r="P55" s="1031">
        <f>E55*'MSW characteristics'!$B$28+'MSW characteristics'!$B$29*'4A SWD Case 1'!F55+'4A SWD Case 1'!G55*'MSW characteristics'!$B$30+'MSW characteristics'!$B$31*'4A SWD Case 1'!H55+'4A SWD Case 1'!I55*'MSW characteristics'!$B$32+'MSW characteristics'!$B$33*'4A SWD Case 1'!J55+'4A SWD Case 1'!K55*'MSW characteristics'!$B$35</f>
        <v>0.11870178252267252</v>
      </c>
      <c r="Q55" s="1029">
        <f t="shared" si="2"/>
        <v>586.33596991523348</v>
      </c>
      <c r="R55" s="1029">
        <f t="shared" si="3"/>
        <v>586.33596991523348</v>
      </c>
      <c r="S55" s="303">
        <f t="shared" si="4"/>
        <v>0</v>
      </c>
      <c r="T55" s="1029">
        <f t="shared" si="5"/>
        <v>6631.3300018543241</v>
      </c>
      <c r="U55" s="1029">
        <f t="shared" si="6"/>
        <v>309.9334716040392</v>
      </c>
      <c r="V55" s="1202">
        <f t="shared" si="7"/>
        <v>206.62231440269281</v>
      </c>
      <c r="X55" s="1037">
        <f>'Baseline data (from input)'!AS42*'4A SWD Case 1'!$D$12</f>
        <v>3865.6204215927955</v>
      </c>
      <c r="Y55" s="1030">
        <f>Parameters!S157</f>
        <v>0.71500000000000008</v>
      </c>
      <c r="Z55" s="1030">
        <f t="shared" si="8"/>
        <v>0.2</v>
      </c>
      <c r="AA55" s="1029">
        <f t="shared" si="9"/>
        <v>276.39186014388497</v>
      </c>
      <c r="AB55" s="1029">
        <f t="shared" si="10"/>
        <v>276.39186014388497</v>
      </c>
      <c r="AC55" s="303">
        <f t="shared" si="11"/>
        <v>0</v>
      </c>
      <c r="AD55" s="1029">
        <f t="shared" si="12"/>
        <v>3347.9497542890731</v>
      </c>
      <c r="AE55" s="1029">
        <f t="shared" si="13"/>
        <v>157.48214081525535</v>
      </c>
      <c r="AF55" s="1202">
        <f t="shared" si="14"/>
        <v>104.9880938768369</v>
      </c>
      <c r="AH55" s="1037">
        <f>'Baseline data (from input)'!AS42*'4A SWD Case 1'!$D$12</f>
        <v>3865.6204215927955</v>
      </c>
      <c r="AI55" s="1030">
        <f>Parameters!S157</f>
        <v>0.71500000000000008</v>
      </c>
      <c r="AJ55" s="1030">
        <f t="shared" si="15"/>
        <v>0.2</v>
      </c>
      <c r="AK55" s="1029">
        <f t="shared" si="16"/>
        <v>276.39186014388497</v>
      </c>
      <c r="AL55" s="1029">
        <f t="shared" si="17"/>
        <v>276.39186014388497</v>
      </c>
      <c r="AM55" s="303">
        <f t="shared" si="18"/>
        <v>0</v>
      </c>
      <c r="AN55" s="1029">
        <f t="shared" si="19"/>
        <v>3347.9497542890731</v>
      </c>
      <c r="AO55" s="1029">
        <f t="shared" si="20"/>
        <v>157.48214081525535</v>
      </c>
      <c r="AP55" s="1202">
        <f t="shared" si="21"/>
        <v>104.9880938768369</v>
      </c>
      <c r="AR55" s="1037">
        <v>0</v>
      </c>
      <c r="AS55" s="1030">
        <v>1</v>
      </c>
      <c r="AT55" s="1030">
        <f t="shared" si="22"/>
        <v>0.05</v>
      </c>
      <c r="AU55" s="1029">
        <f t="shared" si="23"/>
        <v>0</v>
      </c>
      <c r="AV55" s="1029">
        <f t="shared" si="24"/>
        <v>0</v>
      </c>
      <c r="AW55" s="198">
        <f t="shared" si="25"/>
        <v>0</v>
      </c>
      <c r="AX55" s="1045">
        <f t="shared" si="47"/>
        <v>0</v>
      </c>
      <c r="AY55" s="1045">
        <f t="shared" si="27"/>
        <v>0</v>
      </c>
      <c r="AZ55" s="1202">
        <f t="shared" si="28"/>
        <v>0</v>
      </c>
      <c r="BB55" s="317">
        <f t="shared" si="29"/>
        <v>206.62231440269281</v>
      </c>
      <c r="BC55" s="318">
        <f t="shared" si="30"/>
        <v>104.9880938768369</v>
      </c>
      <c r="BD55" s="1214">
        <f t="shared" si="31"/>
        <v>0</v>
      </c>
      <c r="BE55" s="318">
        <f t="shared" si="32"/>
        <v>311.61040827952968</v>
      </c>
      <c r="BF55" s="104">
        <v>0</v>
      </c>
      <c r="BG55" s="319">
        <f t="shared" si="33"/>
        <v>311.61040827952968</v>
      </c>
      <c r="BI55" s="317">
        <f t="shared" si="34"/>
        <v>206.62231440269281</v>
      </c>
      <c r="BJ55" s="318">
        <f t="shared" si="35"/>
        <v>104.9880938768369</v>
      </c>
      <c r="BK55" s="1214">
        <f t="shared" si="36"/>
        <v>0</v>
      </c>
      <c r="BL55" s="318">
        <f t="shared" si="37"/>
        <v>311.61040827952968</v>
      </c>
      <c r="BM55" s="104">
        <v>0</v>
      </c>
      <c r="BN55" s="319">
        <f t="shared" si="38"/>
        <v>311.61040827952968</v>
      </c>
    </row>
    <row r="56" spans="1:66">
      <c r="A56" s="127">
        <f>'Input data'!A87</f>
        <v>1987</v>
      </c>
      <c r="B56" s="988">
        <f>'Input data'!B87</f>
        <v>29.96903</v>
      </c>
      <c r="C56" s="902">
        <f>'Baseline data (from input)'!B43</f>
        <v>578.73</v>
      </c>
      <c r="D56" s="899">
        <f>'Baseline data (from input)'!T43</f>
        <v>0.8</v>
      </c>
      <c r="E56" s="899">
        <f t="shared" si="39"/>
        <v>0.19892488097366726</v>
      </c>
      <c r="F56" s="899">
        <f t="shared" si="40"/>
        <v>0.26585903447659598</v>
      </c>
      <c r="G56" s="899">
        <f t="shared" si="41"/>
        <v>8.9228108703258049E-2</v>
      </c>
      <c r="H56" s="899">
        <f t="shared" si="42"/>
        <v>0</v>
      </c>
      <c r="I56" s="899">
        <f t="shared" si="43"/>
        <v>0</v>
      </c>
      <c r="J56" s="899">
        <f t="shared" si="44"/>
        <v>0</v>
      </c>
      <c r="K56" s="899">
        <f t="shared" si="45"/>
        <v>0.4459879758464787</v>
      </c>
      <c r="L56" s="996">
        <f t="shared" si="46"/>
        <v>1</v>
      </c>
      <c r="N56" s="317">
        <f t="shared" si="48"/>
        <v>13875.181385520002</v>
      </c>
      <c r="O56" s="1031">
        <f>Parameters!R158</f>
        <v>0.73</v>
      </c>
      <c r="P56" s="1031">
        <f>E56*'MSW characteristics'!$B$28+'MSW characteristics'!$B$29*'4A SWD Case 1'!F56+'4A SWD Case 1'!G56*'MSW characteristics'!$B$30+'MSW characteristics'!$B$31*'4A SWD Case 1'!H56+'4A SWD Case 1'!I56*'MSW characteristics'!$B$32+'MSW characteristics'!$B$33*'4A SWD Case 1'!J56+'4A SWD Case 1'!K56*'MSW characteristics'!$B$35</f>
        <v>0.11870178252267252</v>
      </c>
      <c r="Q56" s="1029">
        <f t="shared" si="2"/>
        <v>601.15819859961971</v>
      </c>
      <c r="R56" s="1029">
        <f t="shared" si="3"/>
        <v>601.15819859961971</v>
      </c>
      <c r="S56" s="303">
        <f t="shared" si="4"/>
        <v>0</v>
      </c>
      <c r="T56" s="1029">
        <f t="shared" si="5"/>
        <v>6909.0744199378278</v>
      </c>
      <c r="U56" s="1029">
        <f t="shared" si="6"/>
        <v>323.41378051611656</v>
      </c>
      <c r="V56" s="1202">
        <f t="shared" si="7"/>
        <v>215.60918701074436</v>
      </c>
      <c r="X56" s="1037">
        <f>'Baseline data (from input)'!AS43*'4A SWD Case 1'!$D$12</f>
        <v>3946.8268712993636</v>
      </c>
      <c r="Y56" s="1030">
        <f>Parameters!S158</f>
        <v>0.71500000000000008</v>
      </c>
      <c r="Z56" s="1030">
        <f t="shared" si="8"/>
        <v>0.2</v>
      </c>
      <c r="AA56" s="1029">
        <f t="shared" si="9"/>
        <v>282.19812129790455</v>
      </c>
      <c r="AB56" s="1029">
        <f t="shared" si="10"/>
        <v>282.19812129790455</v>
      </c>
      <c r="AC56" s="303">
        <f t="shared" si="11"/>
        <v>0</v>
      </c>
      <c r="AD56" s="1029">
        <f t="shared" si="12"/>
        <v>3466.8664393276063</v>
      </c>
      <c r="AE56" s="1029">
        <f t="shared" si="13"/>
        <v>163.28143625937119</v>
      </c>
      <c r="AF56" s="1202">
        <f t="shared" si="14"/>
        <v>108.8542908395808</v>
      </c>
      <c r="AH56" s="1037">
        <f>'Baseline data (from input)'!AS43*'4A SWD Case 1'!$D$12</f>
        <v>3946.8268712993636</v>
      </c>
      <c r="AI56" s="1030">
        <f>Parameters!S158</f>
        <v>0.71500000000000008</v>
      </c>
      <c r="AJ56" s="1030">
        <f t="shared" si="15"/>
        <v>0.2</v>
      </c>
      <c r="AK56" s="1029">
        <f t="shared" si="16"/>
        <v>282.19812129790455</v>
      </c>
      <c r="AL56" s="1029">
        <f t="shared" si="17"/>
        <v>282.19812129790455</v>
      </c>
      <c r="AM56" s="303">
        <f t="shared" si="18"/>
        <v>0</v>
      </c>
      <c r="AN56" s="1029">
        <f t="shared" si="19"/>
        <v>3466.8664393276063</v>
      </c>
      <c r="AO56" s="1029">
        <f t="shared" si="20"/>
        <v>163.28143625937119</v>
      </c>
      <c r="AP56" s="1202">
        <f t="shared" si="21"/>
        <v>108.8542908395808</v>
      </c>
      <c r="AR56" s="1037">
        <v>0</v>
      </c>
      <c r="AS56" s="1030">
        <v>1</v>
      </c>
      <c r="AT56" s="1030">
        <f t="shared" si="22"/>
        <v>0.05</v>
      </c>
      <c r="AU56" s="1029">
        <f t="shared" si="23"/>
        <v>0</v>
      </c>
      <c r="AV56" s="1029">
        <f t="shared" si="24"/>
        <v>0</v>
      </c>
      <c r="AW56" s="198">
        <f t="shared" si="25"/>
        <v>0</v>
      </c>
      <c r="AX56" s="1045">
        <f t="shared" si="47"/>
        <v>0</v>
      </c>
      <c r="AY56" s="1045">
        <f t="shared" si="27"/>
        <v>0</v>
      </c>
      <c r="AZ56" s="1202">
        <f t="shared" si="28"/>
        <v>0</v>
      </c>
      <c r="BB56" s="317">
        <f t="shared" si="29"/>
        <v>215.60918701074436</v>
      </c>
      <c r="BC56" s="318">
        <f t="shared" si="30"/>
        <v>108.8542908395808</v>
      </c>
      <c r="BD56" s="1214">
        <f t="shared" si="31"/>
        <v>0</v>
      </c>
      <c r="BE56" s="318">
        <f t="shared" si="32"/>
        <v>324.46347785032515</v>
      </c>
      <c r="BF56" s="104">
        <v>0</v>
      </c>
      <c r="BG56" s="319">
        <f t="shared" si="33"/>
        <v>324.46347785032515</v>
      </c>
      <c r="BI56" s="317">
        <f t="shared" si="34"/>
        <v>215.60918701074436</v>
      </c>
      <c r="BJ56" s="318">
        <f t="shared" si="35"/>
        <v>108.8542908395808</v>
      </c>
      <c r="BK56" s="1214">
        <f t="shared" si="36"/>
        <v>0</v>
      </c>
      <c r="BL56" s="318">
        <f t="shared" si="37"/>
        <v>324.46347785032515</v>
      </c>
      <c r="BM56" s="104">
        <v>0</v>
      </c>
      <c r="BN56" s="319">
        <f t="shared" si="38"/>
        <v>324.46347785032515</v>
      </c>
    </row>
    <row r="57" spans="1:66">
      <c r="A57" s="127">
        <f>'Input data'!A88</f>
        <v>1988</v>
      </c>
      <c r="B57" s="988">
        <f>'Input data'!B88</f>
        <v>30.692480000000003</v>
      </c>
      <c r="C57" s="902">
        <f>'Baseline data (from input)'!B44</f>
        <v>578.73</v>
      </c>
      <c r="D57" s="899">
        <f>'Baseline data (from input)'!T44</f>
        <v>0.8</v>
      </c>
      <c r="E57" s="899">
        <f t="shared" si="39"/>
        <v>0.19892488097366726</v>
      </c>
      <c r="F57" s="899">
        <f t="shared" si="40"/>
        <v>0.26585903447659598</v>
      </c>
      <c r="G57" s="899">
        <f t="shared" si="41"/>
        <v>8.9228108703258049E-2</v>
      </c>
      <c r="H57" s="899">
        <f t="shared" si="42"/>
        <v>0</v>
      </c>
      <c r="I57" s="899">
        <f t="shared" si="43"/>
        <v>0</v>
      </c>
      <c r="J57" s="899">
        <f t="shared" si="44"/>
        <v>0</v>
      </c>
      <c r="K57" s="899">
        <f t="shared" si="45"/>
        <v>0.4459879758464787</v>
      </c>
      <c r="L57" s="996">
        <f t="shared" si="46"/>
        <v>1</v>
      </c>
      <c r="N57" s="317">
        <f t="shared" si="48"/>
        <v>14210.127160320004</v>
      </c>
      <c r="O57" s="1031">
        <f>Parameters!R159</f>
        <v>0.73</v>
      </c>
      <c r="P57" s="1031">
        <f>E57*'MSW characteristics'!$B$28+'MSW characteristics'!$B$29*'4A SWD Case 1'!F57+'4A SWD Case 1'!G57*'MSW characteristics'!$B$30+'MSW characteristics'!$B$31*'4A SWD Case 1'!H57+'4A SWD Case 1'!I57*'MSW characteristics'!$B$32+'MSW characteristics'!$B$33*'4A SWD Case 1'!J57+'4A SWD Case 1'!K57*'MSW characteristics'!$B$35</f>
        <v>0.11870178252267252</v>
      </c>
      <c r="Q57" s="1029">
        <f t="shared" si="2"/>
        <v>615.67010968839691</v>
      </c>
      <c r="R57" s="1029">
        <f t="shared" si="3"/>
        <v>615.67010968839691</v>
      </c>
      <c r="S57" s="303">
        <f t="shared" si="4"/>
        <v>0</v>
      </c>
      <c r="T57" s="1029">
        <f t="shared" si="5"/>
        <v>7187.7849939984617</v>
      </c>
      <c r="U57" s="1029">
        <f t="shared" si="6"/>
        <v>336.95953562776333</v>
      </c>
      <c r="V57" s="1202">
        <f t="shared" si="7"/>
        <v>224.63969041850888</v>
      </c>
      <c r="X57" s="1037">
        <f>'Baseline data (from input)'!AS44*'4A SWD Case 1'!$D$12</f>
        <v>4112.5988313734861</v>
      </c>
      <c r="Y57" s="1030">
        <f>Parameters!S159</f>
        <v>0.71500000000000008</v>
      </c>
      <c r="Z57" s="1030">
        <f t="shared" si="8"/>
        <v>0.2</v>
      </c>
      <c r="AA57" s="1029">
        <f t="shared" si="9"/>
        <v>294.05081644320433</v>
      </c>
      <c r="AB57" s="1029">
        <f t="shared" si="10"/>
        <v>294.05081644320433</v>
      </c>
      <c r="AC57" s="303">
        <f t="shared" si="11"/>
        <v>0</v>
      </c>
      <c r="AD57" s="1029">
        <f t="shared" si="12"/>
        <v>3591.8361843456428</v>
      </c>
      <c r="AE57" s="1029">
        <f t="shared" si="13"/>
        <v>169.08107142516781</v>
      </c>
      <c r="AF57" s="1202">
        <f t="shared" si="14"/>
        <v>112.7207142834452</v>
      </c>
      <c r="AH57" s="1037">
        <f>'Baseline data (from input)'!AS44*'4A SWD Case 1'!$D$12</f>
        <v>4112.5988313734861</v>
      </c>
      <c r="AI57" s="1030">
        <f>Parameters!S159</f>
        <v>0.71500000000000008</v>
      </c>
      <c r="AJ57" s="1030">
        <f t="shared" si="15"/>
        <v>0.2</v>
      </c>
      <c r="AK57" s="1029">
        <f t="shared" si="16"/>
        <v>294.05081644320433</v>
      </c>
      <c r="AL57" s="1029">
        <f t="shared" si="17"/>
        <v>294.05081644320433</v>
      </c>
      <c r="AM57" s="303">
        <f t="shared" si="18"/>
        <v>0</v>
      </c>
      <c r="AN57" s="1029">
        <f t="shared" si="19"/>
        <v>3591.8361843456428</v>
      </c>
      <c r="AO57" s="1029">
        <f t="shared" si="20"/>
        <v>169.08107142516781</v>
      </c>
      <c r="AP57" s="1202">
        <f t="shared" si="21"/>
        <v>112.7207142834452</v>
      </c>
      <c r="AR57" s="1037">
        <v>0</v>
      </c>
      <c r="AS57" s="1030">
        <v>1</v>
      </c>
      <c r="AT57" s="1030">
        <f t="shared" si="22"/>
        <v>0.05</v>
      </c>
      <c r="AU57" s="1029">
        <f t="shared" si="23"/>
        <v>0</v>
      </c>
      <c r="AV57" s="1029">
        <f t="shared" si="24"/>
        <v>0</v>
      </c>
      <c r="AW57" s="198">
        <f t="shared" si="25"/>
        <v>0</v>
      </c>
      <c r="AX57" s="1045">
        <f t="shared" si="47"/>
        <v>0</v>
      </c>
      <c r="AY57" s="1045">
        <f t="shared" si="27"/>
        <v>0</v>
      </c>
      <c r="AZ57" s="1202">
        <f t="shared" si="28"/>
        <v>0</v>
      </c>
      <c r="BB57" s="317">
        <f t="shared" si="29"/>
        <v>224.63969041850888</v>
      </c>
      <c r="BC57" s="318">
        <f t="shared" si="30"/>
        <v>112.7207142834452</v>
      </c>
      <c r="BD57" s="1214">
        <f t="shared" si="31"/>
        <v>0</v>
      </c>
      <c r="BE57" s="318">
        <f t="shared" si="32"/>
        <v>337.36040470195405</v>
      </c>
      <c r="BF57" s="104">
        <v>0</v>
      </c>
      <c r="BG57" s="319">
        <f t="shared" si="33"/>
        <v>337.36040470195405</v>
      </c>
      <c r="BI57" s="317">
        <f t="shared" si="34"/>
        <v>224.63969041850888</v>
      </c>
      <c r="BJ57" s="318">
        <f t="shared" si="35"/>
        <v>112.7207142834452</v>
      </c>
      <c r="BK57" s="1214">
        <f t="shared" si="36"/>
        <v>0</v>
      </c>
      <c r="BL57" s="318">
        <f t="shared" si="37"/>
        <v>337.36040470195405</v>
      </c>
      <c r="BM57" s="104">
        <v>0</v>
      </c>
      <c r="BN57" s="319">
        <f t="shared" si="38"/>
        <v>337.36040470195405</v>
      </c>
    </row>
    <row r="58" spans="1:66">
      <c r="A58" s="127">
        <f>'Input data'!A89</f>
        <v>1989</v>
      </c>
      <c r="B58" s="988">
        <f>'Input data'!B89</f>
        <v>31.386810000000001</v>
      </c>
      <c r="C58" s="902">
        <f>'Baseline data (from input)'!B45</f>
        <v>578.73</v>
      </c>
      <c r="D58" s="899">
        <f>'Baseline data (from input)'!T45</f>
        <v>0.8</v>
      </c>
      <c r="E58" s="899">
        <f t="shared" si="39"/>
        <v>0.19892488097366726</v>
      </c>
      <c r="F58" s="899">
        <f t="shared" si="40"/>
        <v>0.26585903447659598</v>
      </c>
      <c r="G58" s="899">
        <f t="shared" si="41"/>
        <v>8.9228108703258049E-2</v>
      </c>
      <c r="H58" s="899">
        <f t="shared" si="42"/>
        <v>0</v>
      </c>
      <c r="I58" s="899">
        <f t="shared" si="43"/>
        <v>0</v>
      </c>
      <c r="J58" s="899">
        <f t="shared" si="44"/>
        <v>0</v>
      </c>
      <c r="K58" s="899">
        <f t="shared" si="45"/>
        <v>0.4459879758464787</v>
      </c>
      <c r="L58" s="996">
        <f t="shared" si="46"/>
        <v>1</v>
      </c>
      <c r="N58" s="317">
        <f t="shared" si="48"/>
        <v>14531.590841040001</v>
      </c>
      <c r="O58" s="1031">
        <f>Parameters!R160</f>
        <v>0.73</v>
      </c>
      <c r="P58" s="1031">
        <f>E58*'MSW characteristics'!$B$28+'MSW characteristics'!$B$29*'4A SWD Case 1'!F58+'4A SWD Case 1'!G58*'MSW characteristics'!$B$30+'MSW characteristics'!$B$31*'4A SWD Case 1'!H58+'4A SWD Case 1'!I58*'MSW characteristics'!$B$32+'MSW characteristics'!$B$33*'4A SWD Case 1'!J58+'4A SWD Case 1'!K58*'MSW characteristics'!$B$35</f>
        <v>0.11870178252267252</v>
      </c>
      <c r="Q58" s="1029">
        <f t="shared" si="2"/>
        <v>629.59789353838028</v>
      </c>
      <c r="R58" s="1029">
        <f t="shared" si="3"/>
        <v>629.59789353838028</v>
      </c>
      <c r="S58" s="303">
        <f t="shared" si="4"/>
        <v>0</v>
      </c>
      <c r="T58" s="1029">
        <f t="shared" si="5"/>
        <v>7466.8304768144053</v>
      </c>
      <c r="U58" s="1029">
        <f t="shared" si="6"/>
        <v>350.55241072243683</v>
      </c>
      <c r="V58" s="1202">
        <f t="shared" si="7"/>
        <v>233.70160714829123</v>
      </c>
      <c r="X58" s="1037">
        <f>'Baseline data (from input)'!AS45*'4A SWD Case 1'!$D$12</f>
        <v>4211.0866967104384</v>
      </c>
      <c r="Y58" s="1030">
        <f>Parameters!S160</f>
        <v>0.71500000000000008</v>
      </c>
      <c r="Z58" s="1030">
        <f t="shared" si="8"/>
        <v>0.2</v>
      </c>
      <c r="AA58" s="1029">
        <f t="shared" si="9"/>
        <v>301.09269881479639</v>
      </c>
      <c r="AB58" s="1029">
        <f t="shared" si="10"/>
        <v>301.09269881479639</v>
      </c>
      <c r="AC58" s="303">
        <f t="shared" si="11"/>
        <v>0</v>
      </c>
      <c r="AD58" s="1029">
        <f t="shared" si="12"/>
        <v>3717.7529653507427</v>
      </c>
      <c r="AE58" s="1029">
        <f t="shared" si="13"/>
        <v>175.17591780969647</v>
      </c>
      <c r="AF58" s="1202">
        <f t="shared" si="14"/>
        <v>116.78394520646431</v>
      </c>
      <c r="AH58" s="1037">
        <f>'Baseline data (from input)'!AS45*'4A SWD Case 1'!$D$12</f>
        <v>4211.0866967104384</v>
      </c>
      <c r="AI58" s="1030">
        <f>Parameters!S160</f>
        <v>0.71500000000000008</v>
      </c>
      <c r="AJ58" s="1030">
        <f t="shared" si="15"/>
        <v>0.2</v>
      </c>
      <c r="AK58" s="1029">
        <f t="shared" si="16"/>
        <v>301.09269881479639</v>
      </c>
      <c r="AL58" s="1029">
        <f t="shared" si="17"/>
        <v>301.09269881479639</v>
      </c>
      <c r="AM58" s="303">
        <f t="shared" si="18"/>
        <v>0</v>
      </c>
      <c r="AN58" s="1029">
        <f t="shared" si="19"/>
        <v>3717.7529653507427</v>
      </c>
      <c r="AO58" s="1029">
        <f t="shared" si="20"/>
        <v>175.17591780969647</v>
      </c>
      <c r="AP58" s="1202">
        <f t="shared" si="21"/>
        <v>116.78394520646431</v>
      </c>
      <c r="AR58" s="1037">
        <v>0</v>
      </c>
      <c r="AS58" s="1030">
        <v>1</v>
      </c>
      <c r="AT58" s="1030">
        <f t="shared" si="22"/>
        <v>0.05</v>
      </c>
      <c r="AU58" s="1029">
        <f t="shared" si="23"/>
        <v>0</v>
      </c>
      <c r="AV58" s="1029">
        <f t="shared" si="24"/>
        <v>0</v>
      </c>
      <c r="AW58" s="198">
        <f t="shared" si="25"/>
        <v>0</v>
      </c>
      <c r="AX58" s="1045">
        <f t="shared" si="47"/>
        <v>0</v>
      </c>
      <c r="AY58" s="1045">
        <f t="shared" si="27"/>
        <v>0</v>
      </c>
      <c r="AZ58" s="1202">
        <f t="shared" si="28"/>
        <v>0</v>
      </c>
      <c r="BB58" s="317">
        <f t="shared" si="29"/>
        <v>233.70160714829123</v>
      </c>
      <c r="BC58" s="318">
        <f t="shared" si="30"/>
        <v>116.78394520646431</v>
      </c>
      <c r="BD58" s="1214">
        <f t="shared" si="31"/>
        <v>0</v>
      </c>
      <c r="BE58" s="318">
        <f t="shared" si="32"/>
        <v>350.48555235475555</v>
      </c>
      <c r="BF58" s="104">
        <v>0</v>
      </c>
      <c r="BG58" s="319">
        <f t="shared" si="33"/>
        <v>350.48555235475555</v>
      </c>
      <c r="BI58" s="317">
        <f t="shared" si="34"/>
        <v>233.70160714829123</v>
      </c>
      <c r="BJ58" s="318">
        <f t="shared" si="35"/>
        <v>116.78394520646431</v>
      </c>
      <c r="BK58" s="1214">
        <f t="shared" si="36"/>
        <v>0</v>
      </c>
      <c r="BL58" s="318">
        <f t="shared" si="37"/>
        <v>350.48555235475555</v>
      </c>
      <c r="BM58" s="104">
        <v>0</v>
      </c>
      <c r="BN58" s="319">
        <f t="shared" si="38"/>
        <v>350.48555235475555</v>
      </c>
    </row>
    <row r="59" spans="1:66">
      <c r="A59" s="127">
        <f>'Input data'!A90</f>
        <v>1990</v>
      </c>
      <c r="B59" s="988">
        <f>'Input data'!B90</f>
        <v>32.032000000000004</v>
      </c>
      <c r="C59" s="902">
        <f>'Baseline data (from input)'!B46</f>
        <v>578.73</v>
      </c>
      <c r="D59" s="899">
        <f>'Baseline data (from input)'!T46</f>
        <v>0.8</v>
      </c>
      <c r="E59" s="899">
        <f t="shared" si="39"/>
        <v>0.19892488097366726</v>
      </c>
      <c r="F59" s="899">
        <f t="shared" si="40"/>
        <v>0.26585903447659598</v>
      </c>
      <c r="G59" s="899">
        <f t="shared" si="41"/>
        <v>8.9228108703258049E-2</v>
      </c>
      <c r="H59" s="899">
        <f t="shared" si="42"/>
        <v>0</v>
      </c>
      <c r="I59" s="899">
        <f t="shared" si="43"/>
        <v>0</v>
      </c>
      <c r="J59" s="899">
        <f t="shared" si="44"/>
        <v>0</v>
      </c>
      <c r="K59" s="899">
        <f t="shared" si="45"/>
        <v>0.4459879758464787</v>
      </c>
      <c r="L59" s="996">
        <f t="shared" si="46"/>
        <v>1</v>
      </c>
      <c r="N59" s="317">
        <f t="shared" si="48"/>
        <v>14830.303488000003</v>
      </c>
      <c r="O59" s="1031">
        <f>Parameters!R161</f>
        <v>0.73</v>
      </c>
      <c r="P59" s="1031">
        <f>E59*'MSW characteristics'!$B$28+'MSW characteristics'!$B$29*'4A SWD Case 1'!F59+'4A SWD Case 1'!G59*'MSW characteristics'!$B$30+'MSW characteristics'!$B$31*'4A SWD Case 1'!H59+'4A SWD Case 1'!I59*'MSW characteristics'!$B$32+'MSW characteristics'!$B$33*'4A SWD Case 1'!J59+'4A SWD Case 1'!K59*'MSW characteristics'!$B$35</f>
        <v>0.11870178252267252</v>
      </c>
      <c r="Q59" s="1029">
        <f t="shared" si="2"/>
        <v>642.53996267289995</v>
      </c>
      <c r="R59" s="1029">
        <f t="shared" si="3"/>
        <v>642.53996267289995</v>
      </c>
      <c r="S59" s="303">
        <f t="shared" si="4"/>
        <v>0</v>
      </c>
      <c r="T59" s="1029">
        <f t="shared" si="5"/>
        <v>7745.2088199774589</v>
      </c>
      <c r="U59" s="1029">
        <f t="shared" si="6"/>
        <v>364.1616195098465</v>
      </c>
      <c r="V59" s="1202">
        <f t="shared" si="7"/>
        <v>242.77441300656434</v>
      </c>
      <c r="X59" s="1037">
        <f>'Baseline data (from input)'!AS46*'4A SWD Case 1'!$D$12</f>
        <v>4197.7044663843517</v>
      </c>
      <c r="Y59" s="1030">
        <f>Parameters!S161</f>
        <v>0.71500000000000008</v>
      </c>
      <c r="Z59" s="1030">
        <f t="shared" si="8"/>
        <v>0.2</v>
      </c>
      <c r="AA59" s="1029">
        <f t="shared" si="9"/>
        <v>300.13586934648123</v>
      </c>
      <c r="AB59" s="1029">
        <f t="shared" si="10"/>
        <v>300.13586934648123</v>
      </c>
      <c r="AC59" s="303">
        <f t="shared" si="11"/>
        <v>0</v>
      </c>
      <c r="AD59" s="1029">
        <f t="shared" si="12"/>
        <v>3836.5718830128912</v>
      </c>
      <c r="AE59" s="1029">
        <f t="shared" si="13"/>
        <v>181.31695168433274</v>
      </c>
      <c r="AF59" s="1202">
        <f t="shared" si="14"/>
        <v>120.87796778955516</v>
      </c>
      <c r="AH59" s="1037">
        <f>'Baseline data (from input)'!AS46*'4A SWD Case 1'!$D$12</f>
        <v>4197.7044663843517</v>
      </c>
      <c r="AI59" s="1030">
        <f>Parameters!S161</f>
        <v>0.71500000000000008</v>
      </c>
      <c r="AJ59" s="1030">
        <f t="shared" si="15"/>
        <v>0.2</v>
      </c>
      <c r="AK59" s="1029">
        <f t="shared" si="16"/>
        <v>300.13586934648123</v>
      </c>
      <c r="AL59" s="1029">
        <f t="shared" si="17"/>
        <v>300.13586934648123</v>
      </c>
      <c r="AM59" s="303">
        <f t="shared" si="18"/>
        <v>0</v>
      </c>
      <c r="AN59" s="1029">
        <f t="shared" si="19"/>
        <v>3836.5718830128912</v>
      </c>
      <c r="AO59" s="1029">
        <f t="shared" si="20"/>
        <v>181.31695168433274</v>
      </c>
      <c r="AP59" s="1202">
        <f t="shared" si="21"/>
        <v>120.87796778955516</v>
      </c>
      <c r="AR59" s="1037">
        <v>0</v>
      </c>
      <c r="AS59" s="1030">
        <v>1</v>
      </c>
      <c r="AT59" s="1030">
        <f t="shared" si="22"/>
        <v>0.05</v>
      </c>
      <c r="AU59" s="1029">
        <f t="shared" si="23"/>
        <v>0</v>
      </c>
      <c r="AV59" s="1029">
        <f t="shared" si="24"/>
        <v>0</v>
      </c>
      <c r="AW59" s="198">
        <f t="shared" si="25"/>
        <v>0</v>
      </c>
      <c r="AX59" s="1045">
        <f t="shared" si="47"/>
        <v>0</v>
      </c>
      <c r="AY59" s="1045">
        <f t="shared" si="27"/>
        <v>0</v>
      </c>
      <c r="AZ59" s="1202">
        <f t="shared" si="28"/>
        <v>0</v>
      </c>
      <c r="BB59" s="317">
        <f t="shared" si="29"/>
        <v>242.77441300656434</v>
      </c>
      <c r="BC59" s="318">
        <f t="shared" si="30"/>
        <v>120.87796778955516</v>
      </c>
      <c r="BD59" s="1214">
        <f t="shared" si="31"/>
        <v>0</v>
      </c>
      <c r="BE59" s="318">
        <f t="shared" si="32"/>
        <v>363.65238079611947</v>
      </c>
      <c r="BF59" s="104">
        <v>0</v>
      </c>
      <c r="BG59" s="319">
        <f t="shared" si="33"/>
        <v>363.65238079611947</v>
      </c>
      <c r="BI59" s="317">
        <f t="shared" si="34"/>
        <v>242.77441300656434</v>
      </c>
      <c r="BJ59" s="318">
        <f t="shared" si="35"/>
        <v>120.87796778955516</v>
      </c>
      <c r="BK59" s="1214">
        <f t="shared" si="36"/>
        <v>0</v>
      </c>
      <c r="BL59" s="318">
        <f t="shared" si="37"/>
        <v>363.65238079611947</v>
      </c>
      <c r="BM59" s="104">
        <v>0</v>
      </c>
      <c r="BN59" s="319">
        <f t="shared" si="38"/>
        <v>363.65238079611947</v>
      </c>
    </row>
    <row r="60" spans="1:66">
      <c r="A60" s="127">
        <f>'Input data'!A91</f>
        <v>1991</v>
      </c>
      <c r="B60" s="988">
        <f>'Input data'!B91</f>
        <v>32.69903</v>
      </c>
      <c r="C60" s="902">
        <f>'Baseline data (from input)'!B47</f>
        <v>578.73</v>
      </c>
      <c r="D60" s="899">
        <f>'Baseline data (from input)'!T47</f>
        <v>0.8</v>
      </c>
      <c r="E60" s="899">
        <f t="shared" si="39"/>
        <v>0.19892488097366726</v>
      </c>
      <c r="F60" s="899">
        <f t="shared" si="40"/>
        <v>0.26585903447659598</v>
      </c>
      <c r="G60" s="899">
        <f t="shared" si="41"/>
        <v>8.9228108703258049E-2</v>
      </c>
      <c r="H60" s="899">
        <f t="shared" si="42"/>
        <v>0</v>
      </c>
      <c r="I60" s="899">
        <f t="shared" si="43"/>
        <v>0</v>
      </c>
      <c r="J60" s="899">
        <f t="shared" si="44"/>
        <v>0</v>
      </c>
      <c r="K60" s="899">
        <f t="shared" si="45"/>
        <v>0.4459879758464787</v>
      </c>
      <c r="L60" s="996">
        <f t="shared" si="46"/>
        <v>1</v>
      </c>
      <c r="N60" s="317">
        <f t="shared" si="48"/>
        <v>15139.127705520003</v>
      </c>
      <c r="O60" s="1031">
        <f>Parameters!R162</f>
        <v>0.73</v>
      </c>
      <c r="P60" s="1031">
        <f>E60*'MSW characteristics'!$B$28+'MSW characteristics'!$B$29*'4A SWD Case 1'!F60+'4A SWD Case 1'!G60*'MSW characteristics'!$B$30+'MSW characteristics'!$B$31*'4A SWD Case 1'!H60+'4A SWD Case 1'!I60*'MSW characteristics'!$B$32+'MSW characteristics'!$B$33*'4A SWD Case 1'!J60+'4A SWD Case 1'!K60*'MSW characteristics'!$B$35</f>
        <v>0.11870178252267252</v>
      </c>
      <c r="Q60" s="1029">
        <f t="shared" si="2"/>
        <v>655.92012723651465</v>
      </c>
      <c r="R60" s="1029">
        <f t="shared" si="3"/>
        <v>655.92012723651465</v>
      </c>
      <c r="S60" s="303">
        <f t="shared" si="4"/>
        <v>0</v>
      </c>
      <c r="T60" s="1029">
        <f t="shared" si="5"/>
        <v>8023.3906557015271</v>
      </c>
      <c r="U60" s="1029">
        <f t="shared" si="6"/>
        <v>377.73829151244638</v>
      </c>
      <c r="V60" s="1202">
        <f t="shared" si="7"/>
        <v>251.82552767496426</v>
      </c>
      <c r="X60" s="1037">
        <f>'Baseline data (from input)'!AS47*'4A SWD Case 1'!$D$12</f>
        <v>4154.9626052978174</v>
      </c>
      <c r="Y60" s="1030">
        <f>Parameters!S162</f>
        <v>0.71500000000000008</v>
      </c>
      <c r="Z60" s="1030">
        <f t="shared" si="8"/>
        <v>0.2</v>
      </c>
      <c r="AA60" s="1029">
        <f t="shared" si="9"/>
        <v>297.07982627879397</v>
      </c>
      <c r="AB60" s="1029">
        <f t="shared" si="10"/>
        <v>297.07982627879397</v>
      </c>
      <c r="AC60" s="303">
        <f t="shared" si="11"/>
        <v>0</v>
      </c>
      <c r="AD60" s="1029">
        <f t="shared" si="12"/>
        <v>3946.5398906127671</v>
      </c>
      <c r="AE60" s="1029">
        <f t="shared" si="13"/>
        <v>187.11181867891801</v>
      </c>
      <c r="AF60" s="1202">
        <f t="shared" si="14"/>
        <v>124.741212452612</v>
      </c>
      <c r="AH60" s="1037">
        <f>'Baseline data (from input)'!AS47*'4A SWD Case 1'!$D$12</f>
        <v>4154.9626052978174</v>
      </c>
      <c r="AI60" s="1030">
        <f>Parameters!S162</f>
        <v>0.71500000000000008</v>
      </c>
      <c r="AJ60" s="1030">
        <f t="shared" si="15"/>
        <v>0.2</v>
      </c>
      <c r="AK60" s="1029">
        <f t="shared" si="16"/>
        <v>297.07982627879397</v>
      </c>
      <c r="AL60" s="1029">
        <f t="shared" si="17"/>
        <v>297.07982627879397</v>
      </c>
      <c r="AM60" s="303">
        <f t="shared" si="18"/>
        <v>0</v>
      </c>
      <c r="AN60" s="1029">
        <f t="shared" si="19"/>
        <v>3946.5398906127671</v>
      </c>
      <c r="AO60" s="1029">
        <f t="shared" si="20"/>
        <v>187.11181867891801</v>
      </c>
      <c r="AP60" s="1202">
        <f t="shared" si="21"/>
        <v>124.741212452612</v>
      </c>
      <c r="AR60" s="1037">
        <v>0</v>
      </c>
      <c r="AS60" s="1030">
        <v>1</v>
      </c>
      <c r="AT60" s="1030">
        <f t="shared" si="22"/>
        <v>0.05</v>
      </c>
      <c r="AU60" s="1029">
        <f t="shared" si="23"/>
        <v>0</v>
      </c>
      <c r="AV60" s="1029">
        <f t="shared" si="24"/>
        <v>0</v>
      </c>
      <c r="AW60" s="198">
        <f t="shared" si="25"/>
        <v>0</v>
      </c>
      <c r="AX60" s="1045">
        <f t="shared" si="47"/>
        <v>0</v>
      </c>
      <c r="AY60" s="1045">
        <f t="shared" si="27"/>
        <v>0</v>
      </c>
      <c r="AZ60" s="1202">
        <f t="shared" si="28"/>
        <v>0</v>
      </c>
      <c r="BB60" s="317">
        <f t="shared" si="29"/>
        <v>251.82552767496426</v>
      </c>
      <c r="BC60" s="318">
        <f t="shared" si="30"/>
        <v>124.741212452612</v>
      </c>
      <c r="BD60" s="1214">
        <f t="shared" si="31"/>
        <v>0</v>
      </c>
      <c r="BE60" s="318">
        <f t="shared" si="32"/>
        <v>376.56674012757628</v>
      </c>
      <c r="BF60" s="104">
        <v>0</v>
      </c>
      <c r="BG60" s="319">
        <f t="shared" si="33"/>
        <v>376.56674012757628</v>
      </c>
      <c r="BI60" s="317">
        <f t="shared" si="34"/>
        <v>251.82552767496426</v>
      </c>
      <c r="BJ60" s="318">
        <f t="shared" si="35"/>
        <v>124.741212452612</v>
      </c>
      <c r="BK60" s="1214">
        <f t="shared" si="36"/>
        <v>0</v>
      </c>
      <c r="BL60" s="318">
        <f t="shared" si="37"/>
        <v>376.56674012757628</v>
      </c>
      <c r="BM60" s="104">
        <v>0</v>
      </c>
      <c r="BN60" s="319">
        <f t="shared" si="38"/>
        <v>376.56674012757628</v>
      </c>
    </row>
    <row r="61" spans="1:66">
      <c r="A61" s="127">
        <f>'Input data'!A92</f>
        <v>1992</v>
      </c>
      <c r="B61" s="988">
        <f>'Input data'!B92</f>
        <v>33.388809999999999</v>
      </c>
      <c r="C61" s="902">
        <f>'Baseline data (from input)'!B48</f>
        <v>578.73</v>
      </c>
      <c r="D61" s="899">
        <f>'Baseline data (from input)'!T48</f>
        <v>0.8</v>
      </c>
      <c r="E61" s="899">
        <f t="shared" si="39"/>
        <v>0.19892488097366726</v>
      </c>
      <c r="F61" s="899">
        <f t="shared" si="40"/>
        <v>0.26585903447659598</v>
      </c>
      <c r="G61" s="899">
        <f t="shared" si="41"/>
        <v>8.9228108703258049E-2</v>
      </c>
      <c r="H61" s="899">
        <f t="shared" si="42"/>
        <v>0</v>
      </c>
      <c r="I61" s="899">
        <f t="shared" si="43"/>
        <v>0</v>
      </c>
      <c r="J61" s="899">
        <f t="shared" si="44"/>
        <v>0</v>
      </c>
      <c r="K61" s="899">
        <f t="shared" si="45"/>
        <v>0.4459879758464787</v>
      </c>
      <c r="L61" s="996">
        <f t="shared" si="46"/>
        <v>1</v>
      </c>
      <c r="N61" s="317">
        <f t="shared" si="48"/>
        <v>15458.484809039999</v>
      </c>
      <c r="O61" s="1031">
        <f>Parameters!R163</f>
        <v>0.73</v>
      </c>
      <c r="P61" s="1031">
        <f>E61*'MSW characteristics'!$B$28+'MSW characteristics'!$B$29*'4A SWD Case 1'!F61+'4A SWD Case 1'!G61*'MSW characteristics'!$B$30+'MSW characteristics'!$B$31*'4A SWD Case 1'!H61+'4A SWD Case 1'!I61*'MSW characteristics'!$B$32+'MSW characteristics'!$B$33*'4A SWD Case 1'!J61+'4A SWD Case 1'!K61*'MSW characteristics'!$B$35</f>
        <v>0.11870178252267252</v>
      </c>
      <c r="Q61" s="1029">
        <f t="shared" si="2"/>
        <v>669.75664120543661</v>
      </c>
      <c r="R61" s="1029">
        <f t="shared" si="3"/>
        <v>669.75664120543661</v>
      </c>
      <c r="S61" s="303">
        <f t="shared" si="4"/>
        <v>0</v>
      </c>
      <c r="T61" s="1029">
        <f t="shared" si="5"/>
        <v>8301.8419171728056</v>
      </c>
      <c r="U61" s="1029">
        <f t="shared" si="6"/>
        <v>391.30537973415699</v>
      </c>
      <c r="V61" s="1202">
        <f t="shared" si="7"/>
        <v>260.87025315610464</v>
      </c>
      <c r="X61" s="1037">
        <f>'Baseline data (from input)'!AS48*'4A SWD Case 1'!$D$12</f>
        <v>4066.1686907059261</v>
      </c>
      <c r="Y61" s="1030">
        <f>Parameters!S163</f>
        <v>0.71500000000000008</v>
      </c>
      <c r="Z61" s="1030">
        <f t="shared" si="8"/>
        <v>0.2</v>
      </c>
      <c r="AA61" s="1029">
        <f t="shared" si="9"/>
        <v>290.73106138547377</v>
      </c>
      <c r="AB61" s="1029">
        <f t="shared" si="10"/>
        <v>290.73106138547377</v>
      </c>
      <c r="AC61" s="303">
        <f t="shared" si="11"/>
        <v>0</v>
      </c>
      <c r="AD61" s="1029">
        <f t="shared" si="12"/>
        <v>4044.7959303021671</v>
      </c>
      <c r="AE61" s="1029">
        <f t="shared" si="13"/>
        <v>192.47502169607381</v>
      </c>
      <c r="AF61" s="1202">
        <f t="shared" si="14"/>
        <v>128.31668113071586</v>
      </c>
      <c r="AH61" s="1037">
        <f>'Baseline data (from input)'!AS48*'4A SWD Case 1'!$D$12</f>
        <v>4066.1686907059261</v>
      </c>
      <c r="AI61" s="1030">
        <f>Parameters!S163</f>
        <v>0.71500000000000008</v>
      </c>
      <c r="AJ61" s="1030">
        <f t="shared" si="15"/>
        <v>0.2</v>
      </c>
      <c r="AK61" s="1029">
        <f t="shared" si="16"/>
        <v>290.73106138547377</v>
      </c>
      <c r="AL61" s="1029">
        <f t="shared" si="17"/>
        <v>290.73106138547377</v>
      </c>
      <c r="AM61" s="303">
        <f t="shared" si="18"/>
        <v>0</v>
      </c>
      <c r="AN61" s="1029">
        <f t="shared" si="19"/>
        <v>4044.7959303021671</v>
      </c>
      <c r="AO61" s="1029">
        <f t="shared" si="20"/>
        <v>192.47502169607381</v>
      </c>
      <c r="AP61" s="1202">
        <f t="shared" si="21"/>
        <v>128.31668113071586</v>
      </c>
      <c r="AR61" s="1037">
        <v>0</v>
      </c>
      <c r="AS61" s="1030">
        <v>1</v>
      </c>
      <c r="AT61" s="1030">
        <f t="shared" si="22"/>
        <v>0.05</v>
      </c>
      <c r="AU61" s="1029">
        <f t="shared" si="23"/>
        <v>0</v>
      </c>
      <c r="AV61" s="1029">
        <f t="shared" si="24"/>
        <v>0</v>
      </c>
      <c r="AW61" s="198">
        <f t="shared" si="25"/>
        <v>0</v>
      </c>
      <c r="AX61" s="1045">
        <f t="shared" si="47"/>
        <v>0</v>
      </c>
      <c r="AY61" s="1045">
        <f t="shared" si="27"/>
        <v>0</v>
      </c>
      <c r="AZ61" s="1202">
        <f t="shared" si="28"/>
        <v>0</v>
      </c>
      <c r="BB61" s="317">
        <f t="shared" si="29"/>
        <v>260.87025315610464</v>
      </c>
      <c r="BC61" s="318">
        <f t="shared" si="30"/>
        <v>128.31668113071586</v>
      </c>
      <c r="BD61" s="1214">
        <f t="shared" si="31"/>
        <v>0</v>
      </c>
      <c r="BE61" s="318">
        <f t="shared" si="32"/>
        <v>389.18693428682047</v>
      </c>
      <c r="BF61" s="104">
        <v>0</v>
      </c>
      <c r="BG61" s="319">
        <f t="shared" si="33"/>
        <v>389.18693428682047</v>
      </c>
      <c r="BI61" s="317">
        <f t="shared" si="34"/>
        <v>260.87025315610464</v>
      </c>
      <c r="BJ61" s="318">
        <f t="shared" si="35"/>
        <v>128.31668113071586</v>
      </c>
      <c r="BK61" s="1214">
        <f t="shared" si="36"/>
        <v>0</v>
      </c>
      <c r="BL61" s="318">
        <f t="shared" si="37"/>
        <v>389.18693428682047</v>
      </c>
      <c r="BM61" s="104">
        <v>0</v>
      </c>
      <c r="BN61" s="319">
        <f t="shared" si="38"/>
        <v>389.18693428682047</v>
      </c>
    </row>
    <row r="62" spans="1:66">
      <c r="A62" s="127">
        <f>'Input data'!A93</f>
        <v>1993</v>
      </c>
      <c r="B62" s="988">
        <f>'Input data'!B93</f>
        <v>34.101339999999993</v>
      </c>
      <c r="C62" s="902">
        <f>'Baseline data (from input)'!B49</f>
        <v>578.73</v>
      </c>
      <c r="D62" s="899">
        <f>'Baseline data (from input)'!T49</f>
        <v>0.8</v>
      </c>
      <c r="E62" s="899">
        <f t="shared" si="39"/>
        <v>0.19892488097366726</v>
      </c>
      <c r="F62" s="899">
        <f t="shared" si="40"/>
        <v>0.26585903447659598</v>
      </c>
      <c r="G62" s="899">
        <f t="shared" si="41"/>
        <v>8.9228108703258049E-2</v>
      </c>
      <c r="H62" s="899">
        <f t="shared" si="42"/>
        <v>0</v>
      </c>
      <c r="I62" s="899">
        <f t="shared" si="43"/>
        <v>0</v>
      </c>
      <c r="J62" s="899">
        <f t="shared" si="44"/>
        <v>0</v>
      </c>
      <c r="K62" s="899">
        <f t="shared" si="45"/>
        <v>0.4459879758464787</v>
      </c>
      <c r="L62" s="996">
        <f t="shared" si="46"/>
        <v>1</v>
      </c>
      <c r="N62" s="317">
        <f t="shared" si="48"/>
        <v>15788.374798559998</v>
      </c>
      <c r="O62" s="1031">
        <f>Parameters!R164</f>
        <v>0.73</v>
      </c>
      <c r="P62" s="1031">
        <f>E62*'MSW characteristics'!$B$28+'MSW characteristics'!$B$29*'4A SWD Case 1'!F62+'4A SWD Case 1'!G62*'MSW characteristics'!$B$30+'MSW characteristics'!$B$31*'4A SWD Case 1'!H62+'4A SWD Case 1'!I62*'MSW characteristics'!$B$32+'MSW characteristics'!$B$33*'4A SWD Case 1'!J62+'4A SWD Case 1'!K62*'MSW characteristics'!$B$35</f>
        <v>0.11870178252267252</v>
      </c>
      <c r="Q62" s="1029">
        <f t="shared" si="2"/>
        <v>684.04950457966606</v>
      </c>
      <c r="R62" s="1029">
        <f t="shared" si="3"/>
        <v>684.04950457966606</v>
      </c>
      <c r="S62" s="303">
        <f t="shared" si="4"/>
        <v>0</v>
      </c>
      <c r="T62" s="1029">
        <f t="shared" si="5"/>
        <v>8581.0058137478591</v>
      </c>
      <c r="U62" s="1029">
        <f t="shared" si="6"/>
        <v>404.8856080046134</v>
      </c>
      <c r="V62" s="1202">
        <f t="shared" si="7"/>
        <v>269.92373866974225</v>
      </c>
      <c r="X62" s="1037">
        <f>'Baseline data (from input)'!AS49*'4A SWD Case 1'!$D$12</f>
        <v>4116.3256912019551</v>
      </c>
      <c r="Y62" s="1030">
        <f>Parameters!S164</f>
        <v>0.71500000000000008</v>
      </c>
      <c r="Z62" s="1030">
        <f t="shared" si="8"/>
        <v>0.2</v>
      </c>
      <c r="AA62" s="1029">
        <f t="shared" si="9"/>
        <v>294.31728692093981</v>
      </c>
      <c r="AB62" s="1029">
        <f t="shared" si="10"/>
        <v>294.31728692093981</v>
      </c>
      <c r="AC62" s="303">
        <f t="shared" si="11"/>
        <v>0</v>
      </c>
      <c r="AD62" s="1029">
        <f t="shared" si="12"/>
        <v>4141.8461919251004</v>
      </c>
      <c r="AE62" s="1029">
        <f t="shared" si="13"/>
        <v>197.26702529800653</v>
      </c>
      <c r="AF62" s="1202">
        <f t="shared" si="14"/>
        <v>131.51135019867101</v>
      </c>
      <c r="AH62" s="1037">
        <f>'Baseline data (from input)'!AS49*'4A SWD Case 1'!$D$12</f>
        <v>4116.3256912019551</v>
      </c>
      <c r="AI62" s="1030">
        <f>Parameters!S164</f>
        <v>0.71500000000000008</v>
      </c>
      <c r="AJ62" s="1030">
        <f t="shared" si="15"/>
        <v>0.2</v>
      </c>
      <c r="AK62" s="1029">
        <f t="shared" si="16"/>
        <v>294.31728692093981</v>
      </c>
      <c r="AL62" s="1029">
        <f t="shared" si="17"/>
        <v>294.31728692093981</v>
      </c>
      <c r="AM62" s="303">
        <f t="shared" si="18"/>
        <v>0</v>
      </c>
      <c r="AN62" s="1029">
        <f t="shared" si="19"/>
        <v>4141.8461919251004</v>
      </c>
      <c r="AO62" s="1029">
        <f t="shared" si="20"/>
        <v>197.26702529800653</v>
      </c>
      <c r="AP62" s="1202">
        <f t="shared" si="21"/>
        <v>131.51135019867101</v>
      </c>
      <c r="AR62" s="1037">
        <v>0</v>
      </c>
      <c r="AS62" s="1030">
        <v>1</v>
      </c>
      <c r="AT62" s="1030">
        <f t="shared" si="22"/>
        <v>0.05</v>
      </c>
      <c r="AU62" s="1029">
        <f t="shared" si="23"/>
        <v>0</v>
      </c>
      <c r="AV62" s="1029">
        <f t="shared" si="24"/>
        <v>0</v>
      </c>
      <c r="AW62" s="198">
        <f t="shared" si="25"/>
        <v>0</v>
      </c>
      <c r="AX62" s="1045">
        <f t="shared" si="47"/>
        <v>0</v>
      </c>
      <c r="AY62" s="1045">
        <f t="shared" si="27"/>
        <v>0</v>
      </c>
      <c r="AZ62" s="1202">
        <f t="shared" si="28"/>
        <v>0</v>
      </c>
      <c r="BB62" s="317">
        <f t="shared" si="29"/>
        <v>269.92373866974225</v>
      </c>
      <c r="BC62" s="318">
        <f t="shared" si="30"/>
        <v>131.51135019867101</v>
      </c>
      <c r="BD62" s="1214">
        <f t="shared" si="31"/>
        <v>0</v>
      </c>
      <c r="BE62" s="318">
        <f t="shared" si="32"/>
        <v>401.43508886841323</v>
      </c>
      <c r="BF62" s="104">
        <v>0</v>
      </c>
      <c r="BG62" s="319">
        <f t="shared" si="33"/>
        <v>401.43508886841323</v>
      </c>
      <c r="BI62" s="317">
        <f t="shared" si="34"/>
        <v>269.92373866974225</v>
      </c>
      <c r="BJ62" s="318">
        <f t="shared" si="35"/>
        <v>131.51135019867101</v>
      </c>
      <c r="BK62" s="1214">
        <f t="shared" si="36"/>
        <v>0</v>
      </c>
      <c r="BL62" s="318">
        <f t="shared" si="37"/>
        <v>401.43508886841323</v>
      </c>
      <c r="BM62" s="104">
        <v>0</v>
      </c>
      <c r="BN62" s="319">
        <f t="shared" si="38"/>
        <v>401.43508886841323</v>
      </c>
    </row>
    <row r="63" spans="1:66">
      <c r="A63" s="127">
        <f>'Input data'!A94</f>
        <v>1994</v>
      </c>
      <c r="B63" s="988">
        <f>'Input data'!B94</f>
        <v>34.837530000000001</v>
      </c>
      <c r="C63" s="902">
        <f>'Baseline data (from input)'!B50</f>
        <v>578.73</v>
      </c>
      <c r="D63" s="899">
        <f>'Baseline data (from input)'!T50</f>
        <v>0.8</v>
      </c>
      <c r="E63" s="899">
        <f t="shared" si="39"/>
        <v>0.19892488097366726</v>
      </c>
      <c r="F63" s="899">
        <f t="shared" si="40"/>
        <v>0.26585903447659598</v>
      </c>
      <c r="G63" s="899">
        <f t="shared" si="41"/>
        <v>8.9228108703258049E-2</v>
      </c>
      <c r="H63" s="899">
        <f t="shared" si="42"/>
        <v>0</v>
      </c>
      <c r="I63" s="899">
        <f t="shared" si="43"/>
        <v>0</v>
      </c>
      <c r="J63" s="899">
        <f t="shared" si="44"/>
        <v>0</v>
      </c>
      <c r="K63" s="899">
        <f t="shared" si="45"/>
        <v>0.4459879758464787</v>
      </c>
      <c r="L63" s="996">
        <f t="shared" si="46"/>
        <v>1</v>
      </c>
      <c r="N63" s="317">
        <f t="shared" si="48"/>
        <v>16129.218989520003</v>
      </c>
      <c r="O63" s="1031">
        <f>Parameters!R165</f>
        <v>0.73</v>
      </c>
      <c r="P63" s="1031">
        <f>E63*'MSW characteristics'!$B$28+'MSW characteristics'!$B$29*'4A SWD Case 1'!F63+'4A SWD Case 1'!G63*'MSW characteristics'!$B$30+'MSW characteristics'!$B$31*'4A SWD Case 1'!H63+'4A SWD Case 1'!I63*'MSW characteristics'!$B$32+'MSW characteristics'!$B$33*'4A SWD Case 1'!J63+'4A SWD Case 1'!K63*'MSW characteristics'!$B$35</f>
        <v>0.11870178252267252</v>
      </c>
      <c r="Q63" s="1029">
        <f t="shared" si="2"/>
        <v>698.81697133541559</v>
      </c>
      <c r="R63" s="1029">
        <f t="shared" si="3"/>
        <v>698.81697133541559</v>
      </c>
      <c r="S63" s="303">
        <f t="shared" si="4"/>
        <v>0</v>
      </c>
      <c r="T63" s="1029">
        <f t="shared" si="5"/>
        <v>8861.3221931840726</v>
      </c>
      <c r="U63" s="1029">
        <f t="shared" si="6"/>
        <v>418.50059189920194</v>
      </c>
      <c r="V63" s="1202">
        <f t="shared" si="7"/>
        <v>279.00039459946794</v>
      </c>
      <c r="X63" s="1037">
        <f>'Baseline data (from input)'!AS50*'4A SWD Case 1'!$D$12</f>
        <v>4248.0481565006739</v>
      </c>
      <c r="Y63" s="1030">
        <f>Parameters!S165</f>
        <v>0.71500000000000008</v>
      </c>
      <c r="Z63" s="1030">
        <f t="shared" si="8"/>
        <v>0.2</v>
      </c>
      <c r="AA63" s="1029">
        <f t="shared" si="9"/>
        <v>303.73544318979827</v>
      </c>
      <c r="AB63" s="1029">
        <f t="shared" si="10"/>
        <v>303.73544318979827</v>
      </c>
      <c r="AC63" s="303">
        <f t="shared" si="11"/>
        <v>0</v>
      </c>
      <c r="AD63" s="1029">
        <f t="shared" si="12"/>
        <v>4243.5814127051854</v>
      </c>
      <c r="AE63" s="1029">
        <f t="shared" si="13"/>
        <v>202.00022240971325</v>
      </c>
      <c r="AF63" s="1202">
        <f t="shared" si="14"/>
        <v>134.66681493980883</v>
      </c>
      <c r="AH63" s="1037">
        <f>'Baseline data (from input)'!AS50*'4A SWD Case 1'!$D$12</f>
        <v>4248.0481565006739</v>
      </c>
      <c r="AI63" s="1030">
        <f>Parameters!S165</f>
        <v>0.71500000000000008</v>
      </c>
      <c r="AJ63" s="1030">
        <f t="shared" si="15"/>
        <v>0.2</v>
      </c>
      <c r="AK63" s="1029">
        <f t="shared" si="16"/>
        <v>303.73544318979827</v>
      </c>
      <c r="AL63" s="1029">
        <f t="shared" si="17"/>
        <v>303.73544318979827</v>
      </c>
      <c r="AM63" s="303">
        <f t="shared" si="18"/>
        <v>0</v>
      </c>
      <c r="AN63" s="1029">
        <f t="shared" si="19"/>
        <v>4243.5814127051854</v>
      </c>
      <c r="AO63" s="1029">
        <f t="shared" si="20"/>
        <v>202.00022240971325</v>
      </c>
      <c r="AP63" s="1202">
        <f t="shared" si="21"/>
        <v>134.66681493980883</v>
      </c>
      <c r="AR63" s="1037">
        <v>0</v>
      </c>
      <c r="AS63" s="1030">
        <v>1</v>
      </c>
      <c r="AT63" s="1030">
        <f t="shared" si="22"/>
        <v>0.05</v>
      </c>
      <c r="AU63" s="1029">
        <f t="shared" si="23"/>
        <v>0</v>
      </c>
      <c r="AV63" s="1029">
        <f t="shared" si="24"/>
        <v>0</v>
      </c>
      <c r="AW63" s="198">
        <f t="shared" si="25"/>
        <v>0</v>
      </c>
      <c r="AX63" s="1045">
        <f t="shared" si="47"/>
        <v>0</v>
      </c>
      <c r="AY63" s="1045">
        <f t="shared" si="27"/>
        <v>0</v>
      </c>
      <c r="AZ63" s="1202">
        <f t="shared" si="28"/>
        <v>0</v>
      </c>
      <c r="BB63" s="317">
        <f t="shared" si="29"/>
        <v>279.00039459946794</v>
      </c>
      <c r="BC63" s="318">
        <f t="shared" si="30"/>
        <v>134.66681493980883</v>
      </c>
      <c r="BD63" s="1214">
        <f t="shared" si="31"/>
        <v>0</v>
      </c>
      <c r="BE63" s="318">
        <f t="shared" si="32"/>
        <v>413.66720953927677</v>
      </c>
      <c r="BF63" s="104">
        <v>0</v>
      </c>
      <c r="BG63" s="319">
        <f t="shared" si="33"/>
        <v>413.66720953927677</v>
      </c>
      <c r="BI63" s="317">
        <f t="shared" si="34"/>
        <v>279.00039459946794</v>
      </c>
      <c r="BJ63" s="318">
        <f t="shared" si="35"/>
        <v>134.66681493980883</v>
      </c>
      <c r="BK63" s="1214">
        <f t="shared" si="36"/>
        <v>0</v>
      </c>
      <c r="BL63" s="318">
        <f t="shared" si="37"/>
        <v>413.66720953927677</v>
      </c>
      <c r="BM63" s="104">
        <v>0</v>
      </c>
      <c r="BN63" s="319">
        <f t="shared" si="38"/>
        <v>413.66720953927677</v>
      </c>
    </row>
    <row r="64" spans="1:66">
      <c r="A64" s="127">
        <f>'Input data'!A95</f>
        <v>1995</v>
      </c>
      <c r="B64" s="988">
        <f>'Input data'!B95</f>
        <v>35.599199999999996</v>
      </c>
      <c r="C64" s="902">
        <f>'Baseline data (from input)'!B51</f>
        <v>578.73</v>
      </c>
      <c r="D64" s="899">
        <f>'Baseline data (from input)'!T51</f>
        <v>0.8</v>
      </c>
      <c r="E64" s="899">
        <f t="shared" si="39"/>
        <v>0.19892488097366726</v>
      </c>
      <c r="F64" s="899">
        <f t="shared" si="40"/>
        <v>0.26585903447659598</v>
      </c>
      <c r="G64" s="899">
        <f t="shared" si="41"/>
        <v>8.9228108703258049E-2</v>
      </c>
      <c r="H64" s="899">
        <f t="shared" si="42"/>
        <v>0</v>
      </c>
      <c r="I64" s="899">
        <f t="shared" si="43"/>
        <v>0</v>
      </c>
      <c r="J64" s="899">
        <f t="shared" si="44"/>
        <v>0</v>
      </c>
      <c r="K64" s="899">
        <f t="shared" si="45"/>
        <v>0.4459879758464787</v>
      </c>
      <c r="L64" s="996">
        <f t="shared" si="46"/>
        <v>1</v>
      </c>
      <c r="M64" s="4"/>
      <c r="N64" s="317">
        <f t="shared" si="48"/>
        <v>16481.8600128</v>
      </c>
      <c r="O64" s="1031">
        <f>Parameters!R166</f>
        <v>0.73</v>
      </c>
      <c r="P64" s="1031">
        <f>E64*'MSW characteristics'!$B$28+'MSW characteristics'!$B$29*'4A SWD Case 1'!F64+'4A SWD Case 1'!G64*'MSW characteristics'!$B$30+'MSW characteristics'!$B$31*'4A SWD Case 1'!H64+'4A SWD Case 1'!I64*'MSW characteristics'!$B$32+'MSW characteristics'!$B$33*'4A SWD Case 1'!J64+'4A SWD Case 1'!K64*'MSW characteristics'!$B$35</f>
        <v>0.11870178252267252</v>
      </c>
      <c r="Q64" s="1029">
        <f t="shared" si="2"/>
        <v>714.09554942510908</v>
      </c>
      <c r="R64" s="1029">
        <f t="shared" si="3"/>
        <v>714.09554942510908</v>
      </c>
      <c r="S64" s="303">
        <f t="shared" si="4"/>
        <v>0</v>
      </c>
      <c r="T64" s="1029">
        <f t="shared" si="5"/>
        <v>9143.2459595629989</v>
      </c>
      <c r="U64" s="1029">
        <f t="shared" si="6"/>
        <v>432.17178304618227</v>
      </c>
      <c r="V64" s="1202">
        <f t="shared" si="7"/>
        <v>288.11452203078818</v>
      </c>
      <c r="X64" s="1037">
        <f>'Baseline data (from input)'!AS51*'4A SWD Case 1'!$D$12</f>
        <v>4379.7374547066283</v>
      </c>
      <c r="Y64" s="1030">
        <f>Parameters!S166</f>
        <v>0.71500000000000008</v>
      </c>
      <c r="Z64" s="1030">
        <f t="shared" si="8"/>
        <v>0.2</v>
      </c>
      <c r="AA64" s="1029">
        <f t="shared" si="9"/>
        <v>313.15122801152398</v>
      </c>
      <c r="AB64" s="1029">
        <f t="shared" si="10"/>
        <v>313.15122801152398</v>
      </c>
      <c r="AC64" s="303">
        <f t="shared" si="11"/>
        <v>0</v>
      </c>
      <c r="AD64" s="1029">
        <f t="shared" si="12"/>
        <v>4349.7707330410049</v>
      </c>
      <c r="AE64" s="1029">
        <f t="shared" si="13"/>
        <v>206.96190767570491</v>
      </c>
      <c r="AF64" s="1202">
        <f t="shared" si="14"/>
        <v>137.9746051171366</v>
      </c>
      <c r="AH64" s="1037">
        <f>'Baseline data (from input)'!AS51*'4A SWD Case 1'!$D$12</f>
        <v>4379.7374547066283</v>
      </c>
      <c r="AI64" s="1030">
        <f>Parameters!S166</f>
        <v>0.71500000000000008</v>
      </c>
      <c r="AJ64" s="1030">
        <f t="shared" si="15"/>
        <v>0.2</v>
      </c>
      <c r="AK64" s="1029">
        <f t="shared" si="16"/>
        <v>313.15122801152398</v>
      </c>
      <c r="AL64" s="1029">
        <f t="shared" si="17"/>
        <v>313.15122801152398</v>
      </c>
      <c r="AM64" s="303">
        <f t="shared" si="18"/>
        <v>0</v>
      </c>
      <c r="AN64" s="1029">
        <f t="shared" si="19"/>
        <v>4349.7707330410049</v>
      </c>
      <c r="AO64" s="1029">
        <f t="shared" si="20"/>
        <v>206.96190767570491</v>
      </c>
      <c r="AP64" s="1202">
        <f t="shared" si="21"/>
        <v>137.9746051171366</v>
      </c>
      <c r="AR64" s="1037">
        <v>0</v>
      </c>
      <c r="AS64" s="1030">
        <v>1</v>
      </c>
      <c r="AT64" s="1030">
        <f t="shared" si="22"/>
        <v>0.05</v>
      </c>
      <c r="AU64" s="1029">
        <f t="shared" si="23"/>
        <v>0</v>
      </c>
      <c r="AV64" s="1029">
        <f t="shared" si="24"/>
        <v>0</v>
      </c>
      <c r="AW64" s="198">
        <f t="shared" si="25"/>
        <v>0</v>
      </c>
      <c r="AX64" s="1045">
        <f t="shared" si="47"/>
        <v>0</v>
      </c>
      <c r="AY64" s="1045">
        <f t="shared" si="27"/>
        <v>0</v>
      </c>
      <c r="AZ64" s="1202">
        <f t="shared" si="28"/>
        <v>0</v>
      </c>
      <c r="BB64" s="317">
        <f t="shared" si="29"/>
        <v>288.11452203078818</v>
      </c>
      <c r="BC64" s="318">
        <f t="shared" si="30"/>
        <v>137.9746051171366</v>
      </c>
      <c r="BD64" s="1214">
        <f t="shared" si="31"/>
        <v>0</v>
      </c>
      <c r="BE64" s="318">
        <f t="shared" si="32"/>
        <v>426.08912714792478</v>
      </c>
      <c r="BF64" s="104">
        <v>0</v>
      </c>
      <c r="BG64" s="319">
        <f t="shared" si="33"/>
        <v>426.08912714792478</v>
      </c>
      <c r="BI64" s="317">
        <f t="shared" si="34"/>
        <v>288.11452203078818</v>
      </c>
      <c r="BJ64" s="318">
        <f t="shared" si="35"/>
        <v>137.9746051171366</v>
      </c>
      <c r="BK64" s="1214">
        <f t="shared" si="36"/>
        <v>0</v>
      </c>
      <c r="BL64" s="318">
        <f t="shared" si="37"/>
        <v>426.08912714792478</v>
      </c>
      <c r="BM64" s="104">
        <v>0</v>
      </c>
      <c r="BN64" s="319">
        <f t="shared" si="38"/>
        <v>426.08912714792478</v>
      </c>
    </row>
    <row r="65" spans="1:69">
      <c r="A65" s="127">
        <f>'Input data'!A96</f>
        <v>1996</v>
      </c>
      <c r="B65" s="988">
        <f>'Input data'!B96</f>
        <v>36.4</v>
      </c>
      <c r="C65" s="902">
        <f>'Baseline data (from input)'!B52</f>
        <v>578.73</v>
      </c>
      <c r="D65" s="899">
        <f>'Baseline data (from input)'!T52</f>
        <v>0.8</v>
      </c>
      <c r="E65" s="899">
        <f t="shared" si="39"/>
        <v>0.19892488097366726</v>
      </c>
      <c r="F65" s="899">
        <f t="shared" si="40"/>
        <v>0.26585903447659598</v>
      </c>
      <c r="G65" s="899">
        <f t="shared" si="41"/>
        <v>8.9228108703258049E-2</v>
      </c>
      <c r="H65" s="899">
        <f t="shared" si="42"/>
        <v>0</v>
      </c>
      <c r="I65" s="899">
        <f t="shared" si="43"/>
        <v>0</v>
      </c>
      <c r="J65" s="899">
        <f t="shared" si="44"/>
        <v>0</v>
      </c>
      <c r="K65" s="899">
        <f t="shared" si="45"/>
        <v>0.4459879758464787</v>
      </c>
      <c r="L65" s="996">
        <f t="shared" si="46"/>
        <v>1</v>
      </c>
      <c r="M65" s="4"/>
      <c r="N65" s="317">
        <f t="shared" si="48"/>
        <v>16852.617600000001</v>
      </c>
      <c r="O65" s="1031">
        <f>Parameters!R167</f>
        <v>0.73</v>
      </c>
      <c r="P65" s="1031">
        <f>E65*'MSW characteristics'!$B$28+'MSW characteristics'!$B$29*'4A SWD Case 1'!F65+'4A SWD Case 1'!G65*'MSW characteristics'!$B$30+'MSW characteristics'!$B$31*'4A SWD Case 1'!H65+'4A SWD Case 1'!I65*'MSW characteristics'!$B$32+'MSW characteristics'!$B$33*'4A SWD Case 1'!J65+'4A SWD Case 1'!K65*'MSW characteristics'!$B$35</f>
        <v>0.11870178252267252</v>
      </c>
      <c r="Q65" s="1029">
        <f t="shared" si="2"/>
        <v>730.15904849193169</v>
      </c>
      <c r="R65" s="1029">
        <f t="shared" si="3"/>
        <v>730.15904849193169</v>
      </c>
      <c r="S65" s="303">
        <f t="shared" si="4"/>
        <v>0</v>
      </c>
      <c r="T65" s="1029">
        <f t="shared" si="5"/>
        <v>9427.4836406755221</v>
      </c>
      <c r="U65" s="1029">
        <f t="shared" si="6"/>
        <v>445.92136737940876</v>
      </c>
      <c r="V65" s="1202">
        <f t="shared" si="7"/>
        <v>297.28091158627251</v>
      </c>
      <c r="X65" s="1037">
        <f>'Baseline data (from input)'!AS52*'4A SWD Case 1'!$D$12</f>
        <v>4568.066119753541</v>
      </c>
      <c r="Y65" s="1030">
        <f>Parameters!S167</f>
        <v>0.71500000000000008</v>
      </c>
      <c r="Z65" s="1030">
        <f t="shared" si="8"/>
        <v>0.2</v>
      </c>
      <c r="AA65" s="1029">
        <f t="shared" si="9"/>
        <v>326.61672756237823</v>
      </c>
      <c r="AB65" s="1029">
        <f t="shared" si="10"/>
        <v>326.61672756237823</v>
      </c>
      <c r="AC65" s="303">
        <f t="shared" si="11"/>
        <v>0</v>
      </c>
      <c r="AD65" s="1029">
        <f t="shared" si="12"/>
        <v>4464.2466386630222</v>
      </c>
      <c r="AE65" s="1029">
        <f t="shared" si="13"/>
        <v>212.14082194036087</v>
      </c>
      <c r="AF65" s="1202">
        <f t="shared" si="14"/>
        <v>141.42721462690724</v>
      </c>
      <c r="AH65" s="1037">
        <f>'Baseline data (from input)'!AS52*'4A SWD Case 1'!$D$12</f>
        <v>4568.066119753541</v>
      </c>
      <c r="AI65" s="1030">
        <f>Parameters!S167</f>
        <v>0.71500000000000008</v>
      </c>
      <c r="AJ65" s="1030">
        <f t="shared" si="15"/>
        <v>0.2</v>
      </c>
      <c r="AK65" s="1029">
        <f t="shared" si="16"/>
        <v>326.61672756237823</v>
      </c>
      <c r="AL65" s="1029">
        <f t="shared" si="17"/>
        <v>326.61672756237823</v>
      </c>
      <c r="AM65" s="303">
        <f t="shared" si="18"/>
        <v>0</v>
      </c>
      <c r="AN65" s="1029">
        <f t="shared" si="19"/>
        <v>4464.2466386630222</v>
      </c>
      <c r="AO65" s="1029">
        <f t="shared" si="20"/>
        <v>212.14082194036087</v>
      </c>
      <c r="AP65" s="1202">
        <f t="shared" si="21"/>
        <v>141.42721462690724</v>
      </c>
      <c r="AR65" s="317">
        <f>V65*W65*X65</f>
        <v>0</v>
      </c>
      <c r="AS65" s="1030">
        <v>1</v>
      </c>
      <c r="AT65" s="1030">
        <f t="shared" si="22"/>
        <v>0.05</v>
      </c>
      <c r="AU65" s="1029">
        <f t="shared" si="23"/>
        <v>0</v>
      </c>
      <c r="AV65" s="1029">
        <f t="shared" si="24"/>
        <v>0</v>
      </c>
      <c r="AW65" s="198">
        <f t="shared" si="25"/>
        <v>0</v>
      </c>
      <c r="AX65" s="1045">
        <f t="shared" si="47"/>
        <v>0</v>
      </c>
      <c r="AY65" s="1045">
        <f t="shared" si="27"/>
        <v>0</v>
      </c>
      <c r="AZ65" s="1202">
        <f t="shared" si="28"/>
        <v>0</v>
      </c>
      <c r="BB65" s="317">
        <f t="shared" si="29"/>
        <v>297.28091158627251</v>
      </c>
      <c r="BC65" s="318">
        <f t="shared" si="30"/>
        <v>141.42721462690724</v>
      </c>
      <c r="BD65" s="1214">
        <f t="shared" si="31"/>
        <v>0</v>
      </c>
      <c r="BE65" s="318">
        <f t="shared" si="32"/>
        <v>438.70812621317975</v>
      </c>
      <c r="BF65" s="104">
        <v>0</v>
      </c>
      <c r="BG65" s="319">
        <f t="shared" si="33"/>
        <v>438.70812621317975</v>
      </c>
      <c r="BI65" s="317">
        <f t="shared" si="34"/>
        <v>297.28091158627251</v>
      </c>
      <c r="BJ65" s="318">
        <f t="shared" si="35"/>
        <v>141.42721462690724</v>
      </c>
      <c r="BK65" s="1214">
        <f t="shared" si="36"/>
        <v>0</v>
      </c>
      <c r="BL65" s="318">
        <f t="shared" si="37"/>
        <v>438.70812621317975</v>
      </c>
      <c r="BM65" s="104">
        <v>0</v>
      </c>
      <c r="BN65" s="319">
        <f t="shared" si="38"/>
        <v>438.70812621317975</v>
      </c>
    </row>
    <row r="66" spans="1:69">
      <c r="A66" s="127">
        <f>'Input data'!A97</f>
        <v>1997</v>
      </c>
      <c r="B66" s="988">
        <f>'Input data'!B97</f>
        <v>37.242660000000001</v>
      </c>
      <c r="C66" s="902">
        <f>'Baseline data (from input)'!B53</f>
        <v>578.73</v>
      </c>
      <c r="D66" s="899">
        <f>'Baseline data (from input)'!T53</f>
        <v>0.8</v>
      </c>
      <c r="E66" s="899">
        <f t="shared" si="39"/>
        <v>0.19892488097366726</v>
      </c>
      <c r="F66" s="899">
        <f t="shared" si="40"/>
        <v>0.26585903447659598</v>
      </c>
      <c r="G66" s="899">
        <f t="shared" si="41"/>
        <v>8.9228108703258049E-2</v>
      </c>
      <c r="H66" s="899">
        <f t="shared" si="42"/>
        <v>0</v>
      </c>
      <c r="I66" s="899">
        <f t="shared" si="43"/>
        <v>0</v>
      </c>
      <c r="J66" s="899">
        <f t="shared" si="44"/>
        <v>0</v>
      </c>
      <c r="K66" s="899">
        <f t="shared" si="45"/>
        <v>0.4459879758464787</v>
      </c>
      <c r="L66" s="996">
        <f t="shared" si="46"/>
        <v>1</v>
      </c>
      <c r="M66" s="4"/>
      <c r="N66" s="317">
        <f t="shared" si="48"/>
        <v>17242.755697440003</v>
      </c>
      <c r="O66" s="1031">
        <f>Parameters!R168</f>
        <v>0.73</v>
      </c>
      <c r="P66" s="1031">
        <f>E66*'MSW characteristics'!$B$28+'MSW characteristics'!$B$29*'4A SWD Case 1'!F66+'4A SWD Case 1'!G66*'MSW characteristics'!$B$30+'MSW characteristics'!$B$31*'4A SWD Case 1'!H66+'4A SWD Case 1'!I66*'MSW characteristics'!$B$32+'MSW characteristics'!$B$33*'4A SWD Case 1'!J66+'4A SWD Case 1'!K66*'MSW characteristics'!$B$35</f>
        <v>0.11870178252267252</v>
      </c>
      <c r="Q66" s="1029">
        <f t="shared" si="2"/>
        <v>747.06223046451998</v>
      </c>
      <c r="R66" s="1029">
        <f t="shared" si="3"/>
        <v>747.06223046451998</v>
      </c>
      <c r="S66" s="303">
        <f t="shared" si="4"/>
        <v>0</v>
      </c>
      <c r="T66" s="1029">
        <f t="shared" si="5"/>
        <v>9714.7620684741942</v>
      </c>
      <c r="U66" s="1029">
        <f t="shared" si="6"/>
        <v>459.78380266584907</v>
      </c>
      <c r="V66" s="1202">
        <f t="shared" si="7"/>
        <v>306.52253511056603</v>
      </c>
      <c r="X66" s="1037">
        <f>'Baseline data (from input)'!AS53*'4A SWD Case 1'!$D$12</f>
        <v>4686.8359355274115</v>
      </c>
      <c r="Y66" s="1030">
        <f>Parameters!S168</f>
        <v>0.71500000000000008</v>
      </c>
      <c r="Z66" s="1030">
        <f t="shared" si="8"/>
        <v>0.2</v>
      </c>
      <c r="AA66" s="1029">
        <f t="shared" si="9"/>
        <v>335.10876939021</v>
      </c>
      <c r="AB66" s="1029">
        <f t="shared" si="10"/>
        <v>335.10876939021</v>
      </c>
      <c r="AC66" s="303">
        <f t="shared" si="11"/>
        <v>0</v>
      </c>
      <c r="AD66" s="1029">
        <f t="shared" si="12"/>
        <v>4581.631530314884</v>
      </c>
      <c r="AE66" s="1029">
        <f t="shared" si="13"/>
        <v>217.72387773834859</v>
      </c>
      <c r="AF66" s="1202">
        <f t="shared" si="14"/>
        <v>145.14925182556573</v>
      </c>
      <c r="AG66" s="4"/>
      <c r="AH66" s="1037">
        <f>'Baseline data (from input)'!AS53*'4A SWD Case 1'!$D$12</f>
        <v>4686.8359355274115</v>
      </c>
      <c r="AI66" s="1030">
        <f>Parameters!S168</f>
        <v>0.71500000000000008</v>
      </c>
      <c r="AJ66" s="1030">
        <f t="shared" si="15"/>
        <v>0.2</v>
      </c>
      <c r="AK66" s="1029">
        <f t="shared" si="16"/>
        <v>335.10876939021</v>
      </c>
      <c r="AL66" s="1029">
        <f t="shared" si="17"/>
        <v>335.10876939021</v>
      </c>
      <c r="AM66" s="303">
        <f t="shared" si="18"/>
        <v>0</v>
      </c>
      <c r="AN66" s="1029">
        <f t="shared" si="19"/>
        <v>4581.631530314884</v>
      </c>
      <c r="AO66" s="1029">
        <f t="shared" si="20"/>
        <v>217.72387773834859</v>
      </c>
      <c r="AP66" s="1202">
        <f t="shared" si="21"/>
        <v>145.14925182556573</v>
      </c>
      <c r="AQ66" s="4"/>
      <c r="AR66" s="317">
        <f>V66*W66*X66</f>
        <v>0</v>
      </c>
      <c r="AS66" s="1030">
        <v>1</v>
      </c>
      <c r="AT66" s="1030">
        <f t="shared" si="22"/>
        <v>0.05</v>
      </c>
      <c r="AU66" s="1029">
        <f t="shared" si="23"/>
        <v>0</v>
      </c>
      <c r="AV66" s="1029">
        <f t="shared" si="24"/>
        <v>0</v>
      </c>
      <c r="AW66" s="198">
        <f t="shared" si="25"/>
        <v>0</v>
      </c>
      <c r="AX66" s="1045">
        <f t="shared" si="47"/>
        <v>0</v>
      </c>
      <c r="AY66" s="1045">
        <f t="shared" si="27"/>
        <v>0</v>
      </c>
      <c r="AZ66" s="1202">
        <f t="shared" si="28"/>
        <v>0</v>
      </c>
      <c r="BB66" s="317">
        <f t="shared" si="29"/>
        <v>306.52253511056603</v>
      </c>
      <c r="BC66" s="318">
        <f t="shared" si="30"/>
        <v>145.14925182556573</v>
      </c>
      <c r="BD66" s="1214">
        <f t="shared" si="31"/>
        <v>0</v>
      </c>
      <c r="BE66" s="318">
        <f t="shared" si="32"/>
        <v>451.67178693613175</v>
      </c>
      <c r="BF66" s="104">
        <v>0</v>
      </c>
      <c r="BG66" s="319">
        <f t="shared" si="33"/>
        <v>451.67178693613175</v>
      </c>
      <c r="BI66" s="317">
        <f t="shared" si="34"/>
        <v>306.52253511056603</v>
      </c>
      <c r="BJ66" s="318">
        <f t="shared" si="35"/>
        <v>145.14925182556573</v>
      </c>
      <c r="BK66" s="1214">
        <f t="shared" si="36"/>
        <v>0</v>
      </c>
      <c r="BL66" s="318">
        <f t="shared" si="37"/>
        <v>451.67178693613175</v>
      </c>
      <c r="BM66" s="104">
        <v>0</v>
      </c>
      <c r="BN66" s="319">
        <f t="shared" si="38"/>
        <v>451.67178693613175</v>
      </c>
    </row>
    <row r="67" spans="1:69">
      <c r="A67" s="127">
        <f>'Input data'!A98</f>
        <v>1998</v>
      </c>
      <c r="B67" s="988">
        <f>'Input data'!B98</f>
        <v>38.128999999999998</v>
      </c>
      <c r="C67" s="902">
        <f>'Baseline data (from input)'!B54</f>
        <v>578.73</v>
      </c>
      <c r="D67" s="899">
        <f>'Baseline data (from input)'!T54</f>
        <v>0.8</v>
      </c>
      <c r="E67" s="899">
        <f t="shared" si="39"/>
        <v>0.19892488097366726</v>
      </c>
      <c r="F67" s="899">
        <f t="shared" si="40"/>
        <v>0.26585903447659598</v>
      </c>
      <c r="G67" s="899">
        <f t="shared" si="41"/>
        <v>8.9228108703258049E-2</v>
      </c>
      <c r="H67" s="899">
        <f t="shared" si="42"/>
        <v>0</v>
      </c>
      <c r="I67" s="899">
        <f t="shared" si="43"/>
        <v>0</v>
      </c>
      <c r="J67" s="899">
        <f t="shared" si="44"/>
        <v>0</v>
      </c>
      <c r="K67" s="899">
        <f t="shared" si="45"/>
        <v>0.4459879758464787</v>
      </c>
      <c r="L67" s="996">
        <f t="shared" si="46"/>
        <v>1</v>
      </c>
      <c r="M67" s="4"/>
      <c r="N67" s="317">
        <f t="shared" si="48"/>
        <v>17653.116936000002</v>
      </c>
      <c r="O67" s="1031">
        <f>Parameters!R169</f>
        <v>0.73</v>
      </c>
      <c r="P67" s="1031">
        <f>E67*'MSW characteristics'!$B$28+'MSW characteristics'!$B$29*'4A SWD Case 1'!F67+'4A SWD Case 1'!G67*'MSW characteristics'!$B$30+'MSW characteristics'!$B$31*'4A SWD Case 1'!H67+'4A SWD Case 1'!I67*'MSW characteristics'!$B$32+'MSW characteristics'!$B$33*'4A SWD Case 1'!J67+'4A SWD Case 1'!K67*'MSW characteristics'!$B$35</f>
        <v>0.11870178252267252</v>
      </c>
      <c r="Q67" s="1029">
        <f t="shared" si="2"/>
        <v>764.84160329529846</v>
      </c>
      <c r="R67" s="1029">
        <f t="shared" si="3"/>
        <v>764.84160329529846</v>
      </c>
      <c r="S67" s="303">
        <f t="shared" si="4"/>
        <v>0</v>
      </c>
      <c r="T67" s="1029">
        <f t="shared" si="5"/>
        <v>10005.809134851374</v>
      </c>
      <c r="U67" s="1029">
        <f t="shared" si="6"/>
        <v>473.79453691812034</v>
      </c>
      <c r="V67" s="1202">
        <f t="shared" si="7"/>
        <v>315.86302461208021</v>
      </c>
      <c r="X67" s="1037">
        <f>'Baseline data (from input)'!AS54*'4A SWD Case 1'!$D$12</f>
        <v>4710.2701576209138</v>
      </c>
      <c r="Y67" s="1030">
        <f>Parameters!S169</f>
        <v>0.71500000000000008</v>
      </c>
      <c r="Z67" s="1030">
        <f t="shared" si="8"/>
        <v>0.2</v>
      </c>
      <c r="AA67" s="1029">
        <f t="shared" si="9"/>
        <v>336.78431626989538</v>
      </c>
      <c r="AB67" s="1029">
        <f t="shared" si="10"/>
        <v>336.78431626989538</v>
      </c>
      <c r="AC67" s="303">
        <f t="shared" si="11"/>
        <v>0</v>
      </c>
      <c r="AD67" s="1029">
        <f t="shared" si="12"/>
        <v>4694.9670401256481</v>
      </c>
      <c r="AE67" s="1029">
        <f t="shared" si="13"/>
        <v>223.44880645913122</v>
      </c>
      <c r="AF67" s="1202">
        <f t="shared" si="14"/>
        <v>148.96587097275415</v>
      </c>
      <c r="AG67" s="4"/>
      <c r="AH67" s="1037">
        <f>'Baseline data (from input)'!AS54*'4A SWD Case 1'!$D$12</f>
        <v>4710.2701576209138</v>
      </c>
      <c r="AI67" s="1030">
        <f>Parameters!S169</f>
        <v>0.71500000000000008</v>
      </c>
      <c r="AJ67" s="1030">
        <f t="shared" si="15"/>
        <v>0.2</v>
      </c>
      <c r="AK67" s="1029">
        <f t="shared" si="16"/>
        <v>336.78431626989538</v>
      </c>
      <c r="AL67" s="1029">
        <f t="shared" si="17"/>
        <v>336.78431626989538</v>
      </c>
      <c r="AM67" s="303">
        <f t="shared" si="18"/>
        <v>0</v>
      </c>
      <c r="AN67" s="1029">
        <f t="shared" si="19"/>
        <v>4694.9670401256481</v>
      </c>
      <c r="AO67" s="1029">
        <f t="shared" si="20"/>
        <v>223.44880645913122</v>
      </c>
      <c r="AP67" s="1202">
        <f t="shared" si="21"/>
        <v>148.96587097275415</v>
      </c>
      <c r="AQ67" s="4"/>
      <c r="AR67" s="317">
        <f>V67*W67*X67</f>
        <v>0</v>
      </c>
      <c r="AS67" s="1030">
        <v>1</v>
      </c>
      <c r="AT67" s="1030">
        <f t="shared" si="22"/>
        <v>0.05</v>
      </c>
      <c r="AU67" s="1029">
        <f t="shared" si="23"/>
        <v>0</v>
      </c>
      <c r="AV67" s="1029">
        <f t="shared" si="24"/>
        <v>0</v>
      </c>
      <c r="AW67" s="198">
        <f t="shared" si="25"/>
        <v>0</v>
      </c>
      <c r="AX67" s="1045">
        <f t="shared" si="47"/>
        <v>0</v>
      </c>
      <c r="AY67" s="1045">
        <f t="shared" si="27"/>
        <v>0</v>
      </c>
      <c r="AZ67" s="1202">
        <f t="shared" si="28"/>
        <v>0</v>
      </c>
      <c r="BB67" s="317">
        <f t="shared" si="29"/>
        <v>315.86302461208021</v>
      </c>
      <c r="BC67" s="318">
        <f t="shared" si="30"/>
        <v>148.96587097275415</v>
      </c>
      <c r="BD67" s="1214">
        <f t="shared" si="31"/>
        <v>0</v>
      </c>
      <c r="BE67" s="318">
        <f t="shared" si="32"/>
        <v>464.82889558483436</v>
      </c>
      <c r="BF67" s="104">
        <v>0</v>
      </c>
      <c r="BG67" s="319">
        <f t="shared" si="33"/>
        <v>464.82889558483436</v>
      </c>
      <c r="BI67" s="317">
        <f t="shared" si="34"/>
        <v>315.86302461208021</v>
      </c>
      <c r="BJ67" s="318">
        <f t="shared" si="35"/>
        <v>148.96587097275415</v>
      </c>
      <c r="BK67" s="1214">
        <f t="shared" si="36"/>
        <v>0</v>
      </c>
      <c r="BL67" s="318">
        <f t="shared" si="37"/>
        <v>464.82889558483436</v>
      </c>
      <c r="BM67" s="104">
        <v>0</v>
      </c>
      <c r="BN67" s="319">
        <f t="shared" si="38"/>
        <v>464.82889558483436</v>
      </c>
    </row>
    <row r="68" spans="1:69" ht="15" thickBot="1">
      <c r="A68" s="127">
        <f>'Input data'!A99</f>
        <v>1999</v>
      </c>
      <c r="B68" s="988">
        <f>'Input data'!B99</f>
        <v>39.059930000000001</v>
      </c>
      <c r="C68" s="902">
        <f>'Baseline data (from input)'!B55</f>
        <v>578.73</v>
      </c>
      <c r="D68" s="899">
        <f>'Baseline data (from input)'!T55</f>
        <v>0.8</v>
      </c>
      <c r="E68" s="899">
        <f t="shared" si="39"/>
        <v>0.19892488097366726</v>
      </c>
      <c r="F68" s="899">
        <f t="shared" si="40"/>
        <v>0.26585903447659598</v>
      </c>
      <c r="G68" s="899">
        <f t="shared" si="41"/>
        <v>8.9228108703258049E-2</v>
      </c>
      <c r="H68" s="899">
        <f t="shared" si="42"/>
        <v>0</v>
      </c>
      <c r="I68" s="899">
        <f t="shared" si="43"/>
        <v>0</v>
      </c>
      <c r="J68" s="899">
        <f t="shared" si="44"/>
        <v>0</v>
      </c>
      <c r="K68" s="899">
        <f t="shared" si="45"/>
        <v>0.4459879758464787</v>
      </c>
      <c r="L68" s="996">
        <f t="shared" si="46"/>
        <v>1</v>
      </c>
      <c r="M68" s="4"/>
      <c r="N68" s="317">
        <f t="shared" si="48"/>
        <v>18084.122631120001</v>
      </c>
      <c r="O68" s="1031">
        <f>Parameters!R170</f>
        <v>0.73</v>
      </c>
      <c r="P68" s="1031">
        <f>E68*'MSW characteristics'!$B$28+'MSW characteristics'!$B$29*'4A SWD Case 1'!F68+'4A SWD Case 1'!G68*'MSW characteristics'!$B$30+'MSW characteristics'!$B$31*'4A SWD Case 1'!H68+'4A SWD Case 1'!I68*'MSW characteristics'!$B$32+'MSW characteristics'!$B$33*'4A SWD Case 1'!J68+'4A SWD Case 1'!K68*'MSW characteristics'!$B$35</f>
        <v>0.11870178252267252</v>
      </c>
      <c r="Q68" s="1029">
        <f t="shared" si="2"/>
        <v>783.51542096047967</v>
      </c>
      <c r="R68" s="1029">
        <f t="shared" si="3"/>
        <v>783.51542096047967</v>
      </c>
      <c r="S68" s="303">
        <f t="shared" si="4"/>
        <v>0</v>
      </c>
      <c r="T68" s="1029">
        <f t="shared" si="5"/>
        <v>10301.335485969139</v>
      </c>
      <c r="U68" s="1029">
        <f t="shared" si="6"/>
        <v>487.98906984271429</v>
      </c>
      <c r="V68" s="1202">
        <f t="shared" si="7"/>
        <v>325.32604656180951</v>
      </c>
      <c r="W68" s="4"/>
      <c r="X68" s="1037">
        <f>'Baseline data (from input)'!AS55*'4A SWD Case 1'!$D$12</f>
        <v>4823.3164645331717</v>
      </c>
      <c r="Y68" s="1030">
        <f>Parameters!S170</f>
        <v>0.71500000000000008</v>
      </c>
      <c r="Z68" s="1030">
        <f t="shared" si="8"/>
        <v>0.2</v>
      </c>
      <c r="AA68" s="1029">
        <f t="shared" si="9"/>
        <v>344.86712721412187</v>
      </c>
      <c r="AB68" s="1029">
        <f t="shared" si="10"/>
        <v>344.86712721412187</v>
      </c>
      <c r="AC68" s="303">
        <f t="shared" si="11"/>
        <v>0</v>
      </c>
      <c r="AD68" s="1029">
        <f t="shared" si="12"/>
        <v>4810.8579228426624</v>
      </c>
      <c r="AE68" s="1029">
        <f t="shared" si="13"/>
        <v>228.97624449710716</v>
      </c>
      <c r="AF68" s="1202">
        <f t="shared" si="14"/>
        <v>152.6508296647381</v>
      </c>
      <c r="AG68" s="4"/>
      <c r="AH68" s="1037">
        <f>'Baseline data (from input)'!AS55*'4A SWD Case 1'!$D$12</f>
        <v>4823.3164645331717</v>
      </c>
      <c r="AI68" s="1030">
        <f>Parameters!S170</f>
        <v>0.71500000000000008</v>
      </c>
      <c r="AJ68" s="1030">
        <f t="shared" si="15"/>
        <v>0.2</v>
      </c>
      <c r="AK68" s="1029">
        <f t="shared" si="16"/>
        <v>344.86712721412187</v>
      </c>
      <c r="AL68" s="1029">
        <f t="shared" si="17"/>
        <v>344.86712721412187</v>
      </c>
      <c r="AM68" s="303">
        <f t="shared" si="18"/>
        <v>0</v>
      </c>
      <c r="AN68" s="1029">
        <f t="shared" si="19"/>
        <v>4810.8579228426624</v>
      </c>
      <c r="AO68" s="1029">
        <f t="shared" si="20"/>
        <v>228.97624449710716</v>
      </c>
      <c r="AP68" s="1202">
        <f t="shared" si="21"/>
        <v>152.6508296647381</v>
      </c>
      <c r="AQ68" s="4"/>
      <c r="AR68" s="317">
        <f>V68*W68*X68</f>
        <v>0</v>
      </c>
      <c r="AS68" s="1030">
        <v>1</v>
      </c>
      <c r="AT68" s="1030">
        <f t="shared" si="22"/>
        <v>0.05</v>
      </c>
      <c r="AU68" s="1029">
        <f t="shared" si="23"/>
        <v>0</v>
      </c>
      <c r="AV68" s="1029">
        <f t="shared" si="24"/>
        <v>0</v>
      </c>
      <c r="AW68" s="198">
        <f t="shared" si="25"/>
        <v>0</v>
      </c>
      <c r="AX68" s="1045">
        <f t="shared" si="47"/>
        <v>0</v>
      </c>
      <c r="AY68" s="1045">
        <f t="shared" si="27"/>
        <v>0</v>
      </c>
      <c r="AZ68" s="1202">
        <f t="shared" si="28"/>
        <v>0</v>
      </c>
      <c r="BB68" s="317">
        <f t="shared" si="29"/>
        <v>325.32604656180951</v>
      </c>
      <c r="BC68" s="318">
        <f t="shared" si="30"/>
        <v>152.6508296647381</v>
      </c>
      <c r="BD68" s="1214">
        <f t="shared" si="31"/>
        <v>0</v>
      </c>
      <c r="BE68" s="318">
        <f t="shared" si="32"/>
        <v>477.97687622654757</v>
      </c>
      <c r="BF68" s="104">
        <v>0</v>
      </c>
      <c r="BG68" s="319">
        <f t="shared" si="33"/>
        <v>477.97687622654757</v>
      </c>
      <c r="BI68" s="317">
        <f t="shared" si="34"/>
        <v>325.32604656180951</v>
      </c>
      <c r="BJ68" s="318">
        <f t="shared" si="35"/>
        <v>152.6508296647381</v>
      </c>
      <c r="BK68" s="1214">
        <f t="shared" si="36"/>
        <v>0</v>
      </c>
      <c r="BL68" s="318">
        <f t="shared" si="37"/>
        <v>477.97687622654757</v>
      </c>
      <c r="BM68" s="104">
        <v>0</v>
      </c>
      <c r="BN68" s="319">
        <f t="shared" si="38"/>
        <v>477.97687622654757</v>
      </c>
    </row>
    <row r="69" spans="1:69">
      <c r="A69" s="1002">
        <f>'Input data'!A100</f>
        <v>2000</v>
      </c>
      <c r="B69" s="1003">
        <f>'Input data'!B100</f>
        <v>44</v>
      </c>
      <c r="C69" s="1148">
        <f>'Baseline data (from input)'!B56</f>
        <v>578.73</v>
      </c>
      <c r="D69" s="1004">
        <f>'Baseline data (from input)'!T56</f>
        <v>0.8</v>
      </c>
      <c r="E69" s="1004">
        <f t="shared" si="39"/>
        <v>0.19892488097366726</v>
      </c>
      <c r="F69" s="1004">
        <f t="shared" si="40"/>
        <v>0.26585903447659598</v>
      </c>
      <c r="G69" s="1004">
        <f t="shared" si="41"/>
        <v>8.9228108703258049E-2</v>
      </c>
      <c r="H69" s="1004">
        <f t="shared" si="42"/>
        <v>0</v>
      </c>
      <c r="I69" s="1004">
        <f t="shared" si="43"/>
        <v>0</v>
      </c>
      <c r="J69" s="1004">
        <f t="shared" si="44"/>
        <v>0</v>
      </c>
      <c r="K69" s="1004">
        <f t="shared" si="45"/>
        <v>0.4459879758464787</v>
      </c>
      <c r="L69" s="1005">
        <f t="shared" si="46"/>
        <v>1</v>
      </c>
      <c r="M69" s="198"/>
      <c r="N69" s="1009">
        <f t="shared" si="48"/>
        <v>20371.296000000002</v>
      </c>
      <c r="O69" s="1010">
        <f>Parameters!R171</f>
        <v>0.73</v>
      </c>
      <c r="P69" s="1010">
        <f>E69*'MSW characteristics'!$B$28+'MSW characteristics'!$B$29*'4A SWD Case 1'!F69+'4A SWD Case 1'!G69*'MSW characteristics'!$B$30+'MSW characteristics'!$B$31*'4A SWD Case 1'!H69+'4A SWD Case 1'!I69*'MSW characteristics'!$B$32+'MSW characteristics'!$B$33*'4A SWD Case 1'!J69+'4A SWD Case 1'!K69*'MSW characteristics'!$B$35</f>
        <v>0.11870178252267252</v>
      </c>
      <c r="Q69" s="1011">
        <f t="shared" si="2"/>
        <v>882.60983883640097</v>
      </c>
      <c r="R69" s="1011">
        <f t="shared" si="3"/>
        <v>882.60983883640097</v>
      </c>
      <c r="S69" s="1012">
        <f t="shared" si="4"/>
        <v>0</v>
      </c>
      <c r="T69" s="1011">
        <f t="shared" si="5"/>
        <v>10681.543264743608</v>
      </c>
      <c r="U69" s="1011">
        <f t="shared" si="6"/>
        <v>502.40206006193176</v>
      </c>
      <c r="V69" s="1018">
        <f t="shared" si="7"/>
        <v>334.93470670795449</v>
      </c>
      <c r="W69" s="198"/>
      <c r="X69" s="1009">
        <f>'Baseline data (from input)'!AS56*'4A SWD Case 1'!$D$12</f>
        <v>5025.8959237020454</v>
      </c>
      <c r="Y69" s="1010">
        <f>Parameters!S171</f>
        <v>0.71500000000000008</v>
      </c>
      <c r="Z69" s="1010">
        <f t="shared" si="8"/>
        <v>0.2</v>
      </c>
      <c r="AA69" s="1011">
        <f t="shared" si="9"/>
        <v>359.35155854469633</v>
      </c>
      <c r="AB69" s="1011">
        <f t="shared" si="10"/>
        <v>359.35155854469633</v>
      </c>
      <c r="AC69" s="1012">
        <f t="shared" si="11"/>
        <v>0</v>
      </c>
      <c r="AD69" s="1011">
        <f t="shared" si="12"/>
        <v>4935.5811718450232</v>
      </c>
      <c r="AE69" s="1011">
        <f t="shared" si="13"/>
        <v>234.62830954233621</v>
      </c>
      <c r="AF69" s="1018">
        <f t="shared" si="14"/>
        <v>156.41887302822414</v>
      </c>
      <c r="AG69" s="99"/>
      <c r="AH69" s="1009">
        <f>'Baseline data (from input)'!AS56*'4A SWD Case 1'!$D$12</f>
        <v>5025.8959237020454</v>
      </c>
      <c r="AI69" s="1010">
        <f>Parameters!S171</f>
        <v>0.71500000000000008</v>
      </c>
      <c r="AJ69" s="1010">
        <f t="shared" si="15"/>
        <v>0.2</v>
      </c>
      <c r="AK69" s="1011">
        <f t="shared" si="16"/>
        <v>359.35155854469633</v>
      </c>
      <c r="AL69" s="1011">
        <f t="shared" si="17"/>
        <v>359.35155854469633</v>
      </c>
      <c r="AM69" s="1012">
        <f t="shared" si="18"/>
        <v>0</v>
      </c>
      <c r="AN69" s="1011">
        <f t="shared" si="19"/>
        <v>4935.5811718450232</v>
      </c>
      <c r="AO69" s="1011">
        <f t="shared" si="20"/>
        <v>234.62830954233621</v>
      </c>
      <c r="AP69" s="1018">
        <f t="shared" si="21"/>
        <v>156.41887302822414</v>
      </c>
      <c r="AQ69" s="99"/>
      <c r="AR69" s="1009">
        <v>501</v>
      </c>
      <c r="AS69" s="1010">
        <v>1</v>
      </c>
      <c r="AT69" s="1010">
        <f t="shared" si="22"/>
        <v>0.05</v>
      </c>
      <c r="AU69" s="1011">
        <f t="shared" si="23"/>
        <v>12.525</v>
      </c>
      <c r="AV69" s="1011">
        <f t="shared" si="24"/>
        <v>12.525</v>
      </c>
      <c r="AW69" s="1012">
        <f t="shared" si="25"/>
        <v>0</v>
      </c>
      <c r="AX69" s="1011">
        <f t="shared" si="47"/>
        <v>12.525</v>
      </c>
      <c r="AY69" s="1011">
        <f>AW69+AX68*(1-$E$8)</f>
        <v>0</v>
      </c>
      <c r="AZ69" s="1018">
        <f>AY69*16/12*$E$11</f>
        <v>0</v>
      </c>
      <c r="BB69" s="1211">
        <f t="shared" si="29"/>
        <v>334.93470670795449</v>
      </c>
      <c r="BC69" s="1025">
        <f t="shared" si="30"/>
        <v>156.41887302822414</v>
      </c>
      <c r="BD69" s="1215">
        <f>AZ69</f>
        <v>0</v>
      </c>
      <c r="BE69" s="1025">
        <f t="shared" si="32"/>
        <v>491.35357973617863</v>
      </c>
      <c r="BF69" s="115">
        <v>0</v>
      </c>
      <c r="BG69" s="1204">
        <f t="shared" si="33"/>
        <v>491.35357973617863</v>
      </c>
      <c r="BI69" s="1211">
        <f t="shared" si="34"/>
        <v>334.93470670795449</v>
      </c>
      <c r="BJ69" s="1025">
        <f t="shared" si="35"/>
        <v>156.41887302822414</v>
      </c>
      <c r="BK69" s="1215">
        <f t="shared" si="36"/>
        <v>0</v>
      </c>
      <c r="BL69" s="1025">
        <f t="shared" si="37"/>
        <v>491.35357973617863</v>
      </c>
      <c r="BM69" s="115">
        <v>0</v>
      </c>
      <c r="BN69" s="1204">
        <f t="shared" si="38"/>
        <v>491.35357973617863</v>
      </c>
    </row>
    <row r="70" spans="1:69">
      <c r="A70" s="941">
        <f>'Input data'!A101</f>
        <v>2001</v>
      </c>
      <c r="B70" s="989">
        <f>'Input data'!B101</f>
        <v>44.91</v>
      </c>
      <c r="C70" s="1147">
        <f>'Baseline data (from input)'!B57</f>
        <v>578.73</v>
      </c>
      <c r="D70" s="990">
        <f>'Baseline data (from input)'!T57</f>
        <v>0.8</v>
      </c>
      <c r="E70" s="990">
        <f t="shared" si="39"/>
        <v>0.19892488097366726</v>
      </c>
      <c r="F70" s="990">
        <f t="shared" si="40"/>
        <v>0.26585903447659598</v>
      </c>
      <c r="G70" s="990">
        <f t="shared" si="41"/>
        <v>8.9228108703258049E-2</v>
      </c>
      <c r="H70" s="990">
        <f t="shared" si="42"/>
        <v>0</v>
      </c>
      <c r="I70" s="990">
        <f t="shared" si="43"/>
        <v>0</v>
      </c>
      <c r="J70" s="990">
        <f t="shared" si="44"/>
        <v>0</v>
      </c>
      <c r="K70" s="990">
        <f t="shared" si="45"/>
        <v>0.4459879758464787</v>
      </c>
      <c r="L70" s="997">
        <f t="shared" si="46"/>
        <v>1</v>
      </c>
      <c r="M70" s="198"/>
      <c r="N70" s="1013">
        <f t="shared" si="48"/>
        <v>20792.611440000001</v>
      </c>
      <c r="O70" s="1007">
        <f>Parameters!R172</f>
        <v>0.73</v>
      </c>
      <c r="P70" s="1007">
        <f>E70*'MSW characteristics'!$B$28+'MSW characteristics'!$B$29*'4A SWD Case 1'!F70+'4A SWD Case 1'!G70*'MSW characteristics'!$B$30+'MSW characteristics'!$B$31*'4A SWD Case 1'!H70+'4A SWD Case 1'!I70*'MSW characteristics'!$B$32+'MSW characteristics'!$B$33*'4A SWD Case 1'!J70+'4A SWD Case 1'!K70*'MSW characteristics'!$B$35</f>
        <v>0.11870178252267252</v>
      </c>
      <c r="Q70" s="1006">
        <f t="shared" si="2"/>
        <v>900.86381504869917</v>
      </c>
      <c r="R70" s="1006">
        <f t="shared" si="3"/>
        <v>900.86381504869917</v>
      </c>
      <c r="S70" s="1008">
        <f t="shared" si="4"/>
        <v>0</v>
      </c>
      <c r="T70" s="1006">
        <f t="shared" si="5"/>
        <v>11061.462067550239</v>
      </c>
      <c r="U70" s="1006">
        <f t="shared" si="6"/>
        <v>520.94501224206783</v>
      </c>
      <c r="V70" s="1019">
        <f t="shared" si="7"/>
        <v>347.29667482804524</v>
      </c>
      <c r="W70" s="198"/>
      <c r="X70" s="1013">
        <f>'Baseline data (from input)'!AS57*'4A SWD Case 1'!$D$12</f>
        <v>5161.5948405850759</v>
      </c>
      <c r="Y70" s="1007">
        <f>Parameters!S172</f>
        <v>0.71500000000000008</v>
      </c>
      <c r="Z70" s="1007">
        <f t="shared" si="8"/>
        <v>0.2</v>
      </c>
      <c r="AA70" s="1006">
        <f t="shared" si="9"/>
        <v>369.05403110183295</v>
      </c>
      <c r="AB70" s="1006">
        <f t="shared" si="10"/>
        <v>369.05403110183295</v>
      </c>
      <c r="AC70" s="1008">
        <f t="shared" si="11"/>
        <v>0</v>
      </c>
      <c r="AD70" s="1006">
        <f t="shared" si="12"/>
        <v>5063.9240687725342</v>
      </c>
      <c r="AE70" s="1006">
        <f t="shared" si="13"/>
        <v>240.7111341743221</v>
      </c>
      <c r="AF70" s="1019">
        <f t="shared" si="14"/>
        <v>160.47408944954807</v>
      </c>
      <c r="AG70" s="99"/>
      <c r="AH70" s="1013">
        <f>'Baseline data (from input)'!AS57*'4A SWD Case 1'!$D$12</f>
        <v>5161.5948405850759</v>
      </c>
      <c r="AI70" s="1007">
        <f>Parameters!S172</f>
        <v>0.71500000000000008</v>
      </c>
      <c r="AJ70" s="1007">
        <f t="shared" si="15"/>
        <v>0.2</v>
      </c>
      <c r="AK70" s="1006">
        <f t="shared" si="16"/>
        <v>369.05403110183295</v>
      </c>
      <c r="AL70" s="1006">
        <f t="shared" si="17"/>
        <v>369.05403110183295</v>
      </c>
      <c r="AM70" s="1008">
        <f t="shared" si="18"/>
        <v>0</v>
      </c>
      <c r="AN70" s="1006">
        <f t="shared" si="19"/>
        <v>5063.9240687725342</v>
      </c>
      <c r="AO70" s="1006">
        <f t="shared" si="20"/>
        <v>240.7111341743221</v>
      </c>
      <c r="AP70" s="1019">
        <f t="shared" si="21"/>
        <v>160.47408944954807</v>
      </c>
      <c r="AQ70" s="99"/>
      <c r="AR70" s="1013">
        <v>501</v>
      </c>
      <c r="AS70" s="1007">
        <v>1</v>
      </c>
      <c r="AT70" s="1007">
        <f t="shared" si="22"/>
        <v>0.05</v>
      </c>
      <c r="AU70" s="1006">
        <f t="shared" si="23"/>
        <v>12.525</v>
      </c>
      <c r="AV70" s="1006">
        <f t="shared" si="24"/>
        <v>12.525</v>
      </c>
      <c r="AW70" s="1008">
        <f t="shared" si="25"/>
        <v>0</v>
      </c>
      <c r="AX70" s="1006">
        <f t="shared" ref="AX70:AX119" si="49">AV70+(AX69*$E$8)</f>
        <v>24.320600783142716</v>
      </c>
      <c r="AY70" s="1006">
        <f>AW70+AX69*(1-$E$8)</f>
        <v>0.72939921685728482</v>
      </c>
      <c r="AZ70" s="1019">
        <f t="shared" ref="AZ70:AZ119" si="50">AY70*16/12*$E$11</f>
        <v>0.48626614457152323</v>
      </c>
      <c r="BB70" s="317">
        <f t="shared" si="29"/>
        <v>347.29667482804524</v>
      </c>
      <c r="BC70" s="318">
        <f t="shared" si="30"/>
        <v>160.47408944954807</v>
      </c>
      <c r="BD70" s="1214">
        <f t="shared" ref="BD70:BD86" si="51">AZ70</f>
        <v>0.48626614457152323</v>
      </c>
      <c r="BE70" s="318">
        <f t="shared" si="32"/>
        <v>508.25703042216486</v>
      </c>
      <c r="BF70" s="104">
        <v>0</v>
      </c>
      <c r="BG70" s="1205">
        <f t="shared" si="33"/>
        <v>508.25703042216486</v>
      </c>
      <c r="BI70" s="317">
        <f t="shared" si="34"/>
        <v>347.29667482804524</v>
      </c>
      <c r="BJ70" s="318">
        <f t="shared" si="35"/>
        <v>160.47408944954807</v>
      </c>
      <c r="BK70" s="1214">
        <f t="shared" si="36"/>
        <v>0.48626614457152323</v>
      </c>
      <c r="BL70" s="318">
        <f t="shared" si="37"/>
        <v>508.25703042216486</v>
      </c>
      <c r="BM70" s="104">
        <v>0</v>
      </c>
      <c r="BN70" s="1205">
        <f t="shared" si="38"/>
        <v>508.25703042216486</v>
      </c>
    </row>
    <row r="71" spans="1:69">
      <c r="A71" s="941">
        <f>'Input data'!A102</f>
        <v>2002</v>
      </c>
      <c r="B71" s="989">
        <f>'Input data'!B102</f>
        <v>45.533000000000001</v>
      </c>
      <c r="C71" s="1147">
        <f>'Baseline data (from input)'!B58</f>
        <v>578.73</v>
      </c>
      <c r="D71" s="990">
        <f>'Baseline data (from input)'!T58</f>
        <v>0.8</v>
      </c>
      <c r="E71" s="990">
        <f t="shared" si="39"/>
        <v>0.19892488097366726</v>
      </c>
      <c r="F71" s="990">
        <f t="shared" si="40"/>
        <v>0.26585903447659598</v>
      </c>
      <c r="G71" s="990">
        <f t="shared" si="41"/>
        <v>8.9228108703258049E-2</v>
      </c>
      <c r="H71" s="990">
        <f t="shared" si="42"/>
        <v>0</v>
      </c>
      <c r="I71" s="990">
        <f t="shared" si="43"/>
        <v>0</v>
      </c>
      <c r="J71" s="990">
        <f t="shared" si="44"/>
        <v>0</v>
      </c>
      <c r="K71" s="990">
        <f t="shared" si="45"/>
        <v>0.4459879758464787</v>
      </c>
      <c r="L71" s="997">
        <f t="shared" si="46"/>
        <v>1</v>
      </c>
      <c r="M71" s="198"/>
      <c r="N71" s="1013">
        <f t="shared" si="48"/>
        <v>21081.050472000003</v>
      </c>
      <c r="O71" s="1007">
        <f>Parameters!R173</f>
        <v>0.73</v>
      </c>
      <c r="P71" s="1007">
        <f>E71*'MSW characteristics'!$B$28+'MSW characteristics'!$B$29*'4A SWD Case 1'!F71+'4A SWD Case 1'!G71*'MSW characteristics'!$B$30+'MSW characteristics'!$B$31*'4A SWD Case 1'!H71+'4A SWD Case 1'!I71*'MSW characteristics'!$B$32+'MSW characteristics'!$B$33*'4A SWD Case 1'!J71+'4A SWD Case 1'!K71*'MSW characteristics'!$B$35</f>
        <v>0.11870178252267252</v>
      </c>
      <c r="Q71" s="1006">
        <f t="shared" si="2"/>
        <v>913.36076799404191</v>
      </c>
      <c r="R71" s="1006">
        <f t="shared" si="3"/>
        <v>913.36076799404191</v>
      </c>
      <c r="S71" s="1008">
        <f t="shared" si="4"/>
        <v>0</v>
      </c>
      <c r="T71" s="1006">
        <f t="shared" si="5"/>
        <v>11435.348964646333</v>
      </c>
      <c r="U71" s="1006">
        <f t="shared" si="6"/>
        <v>539.47387089794699</v>
      </c>
      <c r="V71" s="1019">
        <f t="shared" si="7"/>
        <v>359.64924726529802</v>
      </c>
      <c r="W71" s="198"/>
      <c r="X71" s="1013">
        <f>'Baseline data (from input)'!AS58*'4A SWD Case 1'!$D$12</f>
        <v>5352.5935851478289</v>
      </c>
      <c r="Y71" s="1007">
        <f>Parameters!S173</f>
        <v>0.71500000000000008</v>
      </c>
      <c r="Z71" s="1007">
        <f t="shared" si="8"/>
        <v>0.2</v>
      </c>
      <c r="AA71" s="1006">
        <f t="shared" si="9"/>
        <v>382.71044133806981</v>
      </c>
      <c r="AB71" s="1006">
        <f t="shared" si="10"/>
        <v>382.71044133806981</v>
      </c>
      <c r="AC71" s="1008">
        <f t="shared" si="11"/>
        <v>0</v>
      </c>
      <c r="AD71" s="1006">
        <f t="shared" si="12"/>
        <v>5199.6640189918817</v>
      </c>
      <c r="AE71" s="1006">
        <f t="shared" si="13"/>
        <v>246.97049111872235</v>
      </c>
      <c r="AF71" s="1019">
        <f t="shared" si="14"/>
        <v>164.64699407914824</v>
      </c>
      <c r="AG71" s="99"/>
      <c r="AH71" s="1013">
        <f>'Baseline data (from input)'!AS58*'4A SWD Case 1'!$D$12</f>
        <v>5352.5935851478289</v>
      </c>
      <c r="AI71" s="1007">
        <f>Parameters!S173</f>
        <v>0.71500000000000008</v>
      </c>
      <c r="AJ71" s="1007">
        <f t="shared" si="15"/>
        <v>0.2</v>
      </c>
      <c r="AK71" s="1006">
        <f t="shared" si="16"/>
        <v>382.71044133806981</v>
      </c>
      <c r="AL71" s="1006">
        <f t="shared" si="17"/>
        <v>382.71044133806981</v>
      </c>
      <c r="AM71" s="1008">
        <f t="shared" si="18"/>
        <v>0</v>
      </c>
      <c r="AN71" s="1006">
        <f t="shared" si="19"/>
        <v>5199.6640189918817</v>
      </c>
      <c r="AO71" s="1006">
        <f t="shared" si="20"/>
        <v>246.97049111872235</v>
      </c>
      <c r="AP71" s="1019">
        <f t="shared" si="21"/>
        <v>164.64699407914824</v>
      </c>
      <c r="AQ71" s="99"/>
      <c r="AR71" s="1013">
        <v>501</v>
      </c>
      <c r="AS71" s="1007">
        <v>1</v>
      </c>
      <c r="AT71" s="1007">
        <f t="shared" si="22"/>
        <v>0.05</v>
      </c>
      <c r="AU71" s="1006">
        <f t="shared" si="23"/>
        <v>12.525</v>
      </c>
      <c r="AV71" s="1006">
        <f t="shared" si="24"/>
        <v>12.525</v>
      </c>
      <c r="AW71" s="1008">
        <f t="shared" si="25"/>
        <v>0</v>
      </c>
      <c r="AX71" s="1006">
        <f t="shared" si="49"/>
        <v>35.429279253025115</v>
      </c>
      <c r="AY71" s="1006">
        <f t="shared" ref="AY71:AY119" si="52">AW71+AX70*(1-$E$8)</f>
        <v>1.416321530117602</v>
      </c>
      <c r="AZ71" s="1019">
        <f t="shared" si="50"/>
        <v>0.94421435341173465</v>
      </c>
      <c r="BB71" s="317">
        <f t="shared" si="29"/>
        <v>359.64924726529802</v>
      </c>
      <c r="BC71" s="318">
        <f t="shared" si="30"/>
        <v>164.64699407914824</v>
      </c>
      <c r="BD71" s="1214">
        <f t="shared" si="51"/>
        <v>0.94421435341173465</v>
      </c>
      <c r="BE71" s="318">
        <f t="shared" si="32"/>
        <v>525.24045569785801</v>
      </c>
      <c r="BF71" s="104">
        <v>0</v>
      </c>
      <c r="BG71" s="1205">
        <f t="shared" si="33"/>
        <v>525.24045569785801</v>
      </c>
      <c r="BI71" s="317">
        <f t="shared" si="34"/>
        <v>359.64924726529802</v>
      </c>
      <c r="BJ71" s="318">
        <f t="shared" si="35"/>
        <v>164.64699407914824</v>
      </c>
      <c r="BK71" s="1214">
        <f t="shared" si="36"/>
        <v>0.94421435341173465</v>
      </c>
      <c r="BL71" s="318">
        <f t="shared" si="37"/>
        <v>525.24045569785801</v>
      </c>
      <c r="BM71" s="104">
        <v>0</v>
      </c>
      <c r="BN71" s="1205">
        <f t="shared" si="38"/>
        <v>525.24045569785801</v>
      </c>
    </row>
    <row r="72" spans="1:69">
      <c r="A72" s="941">
        <f>'Input data'!A103</f>
        <v>2003</v>
      </c>
      <c r="B72" s="989">
        <f>'Input data'!B103</f>
        <v>46.116</v>
      </c>
      <c r="C72" s="1147">
        <f>'Baseline data (from input)'!B59</f>
        <v>578.73</v>
      </c>
      <c r="D72" s="990">
        <f>'Baseline data (from input)'!T59</f>
        <v>0.8</v>
      </c>
      <c r="E72" s="990">
        <f t="shared" si="39"/>
        <v>0.19892488097366726</v>
      </c>
      <c r="F72" s="990">
        <f t="shared" si="40"/>
        <v>0.26585903447659598</v>
      </c>
      <c r="G72" s="990">
        <f t="shared" si="41"/>
        <v>8.9228108703258049E-2</v>
      </c>
      <c r="H72" s="990">
        <f t="shared" si="42"/>
        <v>0</v>
      </c>
      <c r="I72" s="990">
        <f t="shared" si="43"/>
        <v>0</v>
      </c>
      <c r="J72" s="990">
        <f t="shared" si="44"/>
        <v>0</v>
      </c>
      <c r="K72" s="990">
        <f t="shared" si="45"/>
        <v>0.4459879758464787</v>
      </c>
      <c r="L72" s="997">
        <f t="shared" si="46"/>
        <v>1</v>
      </c>
      <c r="M72" s="198"/>
      <c r="N72" s="1013">
        <f t="shared" si="48"/>
        <v>21350.970144000003</v>
      </c>
      <c r="O72" s="1007">
        <f>Parameters!R174</f>
        <v>0.73</v>
      </c>
      <c r="P72" s="1007">
        <f>E72*'MSW characteristics'!$B$28+'MSW characteristics'!$B$29*'4A SWD Case 1'!F72+'4A SWD Case 1'!G72*'MSW characteristics'!$B$30+'MSW characteristics'!$B$31*'4A SWD Case 1'!H72+'4A SWD Case 1'!I72*'MSW characteristics'!$B$32+'MSW characteristics'!$B$33*'4A SWD Case 1'!J72+'4A SWD Case 1'!K72*'MSW characteristics'!$B$35</f>
        <v>0.11870178252267252</v>
      </c>
      <c r="Q72" s="1006">
        <f t="shared" si="2"/>
        <v>925.0553483586242</v>
      </c>
      <c r="R72" s="1006">
        <f t="shared" si="3"/>
        <v>925.0553483586242</v>
      </c>
      <c r="S72" s="1008">
        <f t="shared" si="4"/>
        <v>0</v>
      </c>
      <c r="T72" s="1006">
        <f t="shared" si="5"/>
        <v>11802.695762963991</v>
      </c>
      <c r="U72" s="1006">
        <f t="shared" si="6"/>
        <v>557.70855004096575</v>
      </c>
      <c r="V72" s="1019">
        <f t="shared" si="7"/>
        <v>371.80570002731048</v>
      </c>
      <c r="W72" s="198"/>
      <c r="X72" s="1013">
        <f>'Baseline data (from input)'!AS59*'4A SWD Case 1'!$D$12</f>
        <v>5510.4458058558248</v>
      </c>
      <c r="Y72" s="1007">
        <f>Parameters!S174</f>
        <v>0.71500000000000008</v>
      </c>
      <c r="Z72" s="1007">
        <f t="shared" si="8"/>
        <v>0.2</v>
      </c>
      <c r="AA72" s="1006">
        <f t="shared" si="9"/>
        <v>393.99687511869149</v>
      </c>
      <c r="AB72" s="1006">
        <f t="shared" si="10"/>
        <v>393.99687511869149</v>
      </c>
      <c r="AC72" s="1008">
        <f t="shared" si="11"/>
        <v>0</v>
      </c>
      <c r="AD72" s="1006">
        <f t="shared" si="12"/>
        <v>5340.0702875014085</v>
      </c>
      <c r="AE72" s="1006">
        <f t="shared" si="13"/>
        <v>253.59060660916435</v>
      </c>
      <c r="AF72" s="1019">
        <f t="shared" si="14"/>
        <v>169.06040440610957</v>
      </c>
      <c r="AG72" s="99"/>
      <c r="AH72" s="1013">
        <f>'Baseline data (from input)'!AS59*'4A SWD Case 1'!$D$12</f>
        <v>5510.4458058558248</v>
      </c>
      <c r="AI72" s="1007">
        <f>Parameters!S174</f>
        <v>0.71500000000000008</v>
      </c>
      <c r="AJ72" s="1007">
        <f t="shared" si="15"/>
        <v>0.2</v>
      </c>
      <c r="AK72" s="1006">
        <f t="shared" si="16"/>
        <v>393.99687511869149</v>
      </c>
      <c r="AL72" s="1006">
        <f t="shared" si="17"/>
        <v>393.99687511869149</v>
      </c>
      <c r="AM72" s="1008">
        <f t="shared" si="18"/>
        <v>0</v>
      </c>
      <c r="AN72" s="1006">
        <f t="shared" si="19"/>
        <v>5340.0702875014085</v>
      </c>
      <c r="AO72" s="1006">
        <f t="shared" si="20"/>
        <v>253.59060660916435</v>
      </c>
      <c r="AP72" s="1019">
        <f t="shared" si="21"/>
        <v>169.06040440610957</v>
      </c>
      <c r="AQ72" s="99"/>
      <c r="AR72" s="1013">
        <v>501</v>
      </c>
      <c r="AS72" s="1007">
        <v>1</v>
      </c>
      <c r="AT72" s="1007">
        <f t="shared" si="22"/>
        <v>0.05</v>
      </c>
      <c r="AU72" s="1006">
        <f t="shared" si="23"/>
        <v>12.525</v>
      </c>
      <c r="AV72" s="1006">
        <f t="shared" si="24"/>
        <v>12.525</v>
      </c>
      <c r="AW72" s="1008">
        <f t="shared" si="25"/>
        <v>0</v>
      </c>
      <c r="AX72" s="1006">
        <f t="shared" si="49"/>
        <v>45.891038650951295</v>
      </c>
      <c r="AY72" s="1006">
        <f t="shared" si="52"/>
        <v>2.0632406020738179</v>
      </c>
      <c r="AZ72" s="1019">
        <f t="shared" si="50"/>
        <v>1.3754937347158787</v>
      </c>
      <c r="BB72" s="317">
        <f t="shared" si="29"/>
        <v>371.80570002731048</v>
      </c>
      <c r="BC72" s="318">
        <f t="shared" si="30"/>
        <v>169.06040440610957</v>
      </c>
      <c r="BD72" s="1214">
        <f t="shared" si="51"/>
        <v>1.3754937347158787</v>
      </c>
      <c r="BE72" s="318">
        <f t="shared" si="32"/>
        <v>542.24159816813597</v>
      </c>
      <c r="BF72" s="104">
        <v>0</v>
      </c>
      <c r="BG72" s="1205">
        <f t="shared" si="33"/>
        <v>542.24159816813597</v>
      </c>
      <c r="BI72" s="317">
        <f t="shared" si="34"/>
        <v>371.80570002731048</v>
      </c>
      <c r="BJ72" s="318">
        <f t="shared" si="35"/>
        <v>169.06040440610957</v>
      </c>
      <c r="BK72" s="1214">
        <f t="shared" si="36"/>
        <v>1.3754937347158787</v>
      </c>
      <c r="BL72" s="318">
        <f t="shared" si="37"/>
        <v>542.24159816813597</v>
      </c>
      <c r="BM72" s="104">
        <v>0</v>
      </c>
      <c r="BN72" s="1205">
        <f t="shared" si="38"/>
        <v>542.24159816813597</v>
      </c>
    </row>
    <row r="73" spans="1:69">
      <c r="A73" s="941">
        <f>'Input data'!A104</f>
        <v>2004</v>
      </c>
      <c r="B73" s="989">
        <f>'Input data'!B104</f>
        <v>46.664999999999999</v>
      </c>
      <c r="C73" s="1147">
        <f>'Baseline data (from input)'!B60</f>
        <v>578.73</v>
      </c>
      <c r="D73" s="990">
        <f>'Baseline data (from input)'!T60</f>
        <v>0.8</v>
      </c>
      <c r="E73" s="990">
        <f t="shared" si="39"/>
        <v>0.19892488097366726</v>
      </c>
      <c r="F73" s="990">
        <f t="shared" si="40"/>
        <v>0.26585903447659598</v>
      </c>
      <c r="G73" s="990">
        <f t="shared" si="41"/>
        <v>8.9228108703258049E-2</v>
      </c>
      <c r="H73" s="990">
        <f t="shared" si="42"/>
        <v>0</v>
      </c>
      <c r="I73" s="990">
        <f t="shared" si="43"/>
        <v>0</v>
      </c>
      <c r="J73" s="990">
        <f t="shared" si="44"/>
        <v>0</v>
      </c>
      <c r="K73" s="990">
        <f t="shared" si="45"/>
        <v>0.4459879758464787</v>
      </c>
      <c r="L73" s="997">
        <f t="shared" si="46"/>
        <v>1</v>
      </c>
      <c r="M73" s="198"/>
      <c r="N73" s="1013">
        <f t="shared" si="48"/>
        <v>21605.148360000003</v>
      </c>
      <c r="O73" s="1007">
        <f>Parameters!R175</f>
        <v>0.73</v>
      </c>
      <c r="P73" s="1007">
        <f>E73*'MSW characteristics'!$B$28+'MSW characteristics'!$B$29*'4A SWD Case 1'!F73+'4A SWD Case 1'!G73*'MSW characteristics'!$B$30+'MSW characteristics'!$B$31*'4A SWD Case 1'!H73+'4A SWD Case 1'!I73*'MSW characteristics'!$B$32+'MSW characteristics'!$B$33*'4A SWD Case 1'!J73+'4A SWD Case 1'!K73*'MSW characteristics'!$B$35</f>
        <v>0.11870178252267252</v>
      </c>
      <c r="Q73" s="1006">
        <f t="shared" si="2"/>
        <v>936.06791202956026</v>
      </c>
      <c r="R73" s="1006">
        <f t="shared" si="3"/>
        <v>936.06791202956026</v>
      </c>
      <c r="S73" s="1008">
        <f t="shared" si="4"/>
        <v>0</v>
      </c>
      <c r="T73" s="1006">
        <f t="shared" si="5"/>
        <v>12163.139410190814</v>
      </c>
      <c r="U73" s="1006">
        <f t="shared" si="6"/>
        <v>575.62426480273814</v>
      </c>
      <c r="V73" s="1019">
        <f t="shared" si="7"/>
        <v>383.74950986849211</v>
      </c>
      <c r="W73" s="198"/>
      <c r="X73" s="1013">
        <f>'Baseline data (from input)'!AS60*'4A SWD Case 1'!$D$12</f>
        <v>5761.4219665681694</v>
      </c>
      <c r="Y73" s="1007">
        <f>Parameters!S175</f>
        <v>0.71500000000000008</v>
      </c>
      <c r="Z73" s="1007">
        <f t="shared" si="8"/>
        <v>0.2</v>
      </c>
      <c r="AA73" s="1006">
        <f t="shared" si="9"/>
        <v>411.94167060962417</v>
      </c>
      <c r="AB73" s="1006">
        <f t="shared" si="10"/>
        <v>411.94167060962417</v>
      </c>
      <c r="AC73" s="1008">
        <f t="shared" si="11"/>
        <v>0</v>
      </c>
      <c r="AD73" s="1006">
        <f t="shared" si="12"/>
        <v>5491.5736569829514</v>
      </c>
      <c r="AE73" s="1006">
        <f t="shared" si="13"/>
        <v>260.43830112808126</v>
      </c>
      <c r="AF73" s="1019">
        <f t="shared" si="14"/>
        <v>173.6255340853875</v>
      </c>
      <c r="AG73" s="99"/>
      <c r="AH73" s="1013">
        <f>'Baseline data (from input)'!AS60*'4A SWD Case 1'!$D$12</f>
        <v>5761.4219665681694</v>
      </c>
      <c r="AI73" s="1007">
        <f>Parameters!S175</f>
        <v>0.71500000000000008</v>
      </c>
      <c r="AJ73" s="1007">
        <f t="shared" si="15"/>
        <v>0.2</v>
      </c>
      <c r="AK73" s="1006">
        <f t="shared" si="16"/>
        <v>411.94167060962417</v>
      </c>
      <c r="AL73" s="1006">
        <f t="shared" si="17"/>
        <v>411.94167060962417</v>
      </c>
      <c r="AM73" s="1008">
        <f t="shared" si="18"/>
        <v>0</v>
      </c>
      <c r="AN73" s="1006">
        <f t="shared" si="19"/>
        <v>5491.5736569829514</v>
      </c>
      <c r="AO73" s="1006">
        <f t="shared" si="20"/>
        <v>260.43830112808126</v>
      </c>
      <c r="AP73" s="1019">
        <f t="shared" si="21"/>
        <v>173.6255340853875</v>
      </c>
      <c r="AQ73" s="99"/>
      <c r="AR73" s="1013">
        <v>501</v>
      </c>
      <c r="AS73" s="1007">
        <v>1</v>
      </c>
      <c r="AT73" s="1007">
        <f t="shared" si="22"/>
        <v>0.05</v>
      </c>
      <c r="AU73" s="1006">
        <f t="shared" si="23"/>
        <v>12.525</v>
      </c>
      <c r="AV73" s="1006">
        <f t="shared" si="24"/>
        <v>12.525</v>
      </c>
      <c r="AW73" s="1008">
        <f t="shared" si="25"/>
        <v>0</v>
      </c>
      <c r="AX73" s="1006">
        <f t="shared" si="49"/>
        <v>55.743552610809878</v>
      </c>
      <c r="AY73" s="1006">
        <f t="shared" si="52"/>
        <v>2.6724860401414179</v>
      </c>
      <c r="AZ73" s="1019">
        <f t="shared" si="50"/>
        <v>1.7816573600942787</v>
      </c>
      <c r="BB73" s="317">
        <f t="shared" si="29"/>
        <v>383.74950986849211</v>
      </c>
      <c r="BC73" s="318">
        <f t="shared" si="30"/>
        <v>173.6255340853875</v>
      </c>
      <c r="BD73" s="1214">
        <f t="shared" si="51"/>
        <v>1.7816573600942787</v>
      </c>
      <c r="BE73" s="318">
        <f t="shared" si="32"/>
        <v>559.15670131397394</v>
      </c>
      <c r="BF73" s="104">
        <v>0</v>
      </c>
      <c r="BG73" s="1205">
        <f t="shared" si="33"/>
        <v>559.15670131397394</v>
      </c>
      <c r="BI73" s="317">
        <f t="shared" si="34"/>
        <v>383.74950986849211</v>
      </c>
      <c r="BJ73" s="318">
        <f t="shared" si="35"/>
        <v>173.6255340853875</v>
      </c>
      <c r="BK73" s="1214">
        <f t="shared" si="36"/>
        <v>1.7816573600942787</v>
      </c>
      <c r="BL73" s="318">
        <f t="shared" si="37"/>
        <v>559.15670131397394</v>
      </c>
      <c r="BM73" s="104">
        <v>0</v>
      </c>
      <c r="BN73" s="1205">
        <f t="shared" si="38"/>
        <v>559.15670131397394</v>
      </c>
    </row>
    <row r="74" spans="1:69">
      <c r="A74" s="941">
        <f>'Input data'!A105</f>
        <v>2005</v>
      </c>
      <c r="B74" s="989">
        <f>'Input data'!B105</f>
        <v>47.198</v>
      </c>
      <c r="C74" s="1147">
        <f>'Baseline data (from input)'!B61</f>
        <v>578.73</v>
      </c>
      <c r="D74" s="990">
        <f>'Baseline data (from input)'!T61</f>
        <v>0.8</v>
      </c>
      <c r="E74" s="990">
        <f t="shared" si="39"/>
        <v>0.19892488097366726</v>
      </c>
      <c r="F74" s="990">
        <f t="shared" si="40"/>
        <v>0.26585903447659598</v>
      </c>
      <c r="G74" s="990">
        <f t="shared" si="41"/>
        <v>8.9228108703258049E-2</v>
      </c>
      <c r="H74" s="990">
        <f t="shared" si="42"/>
        <v>0</v>
      </c>
      <c r="I74" s="990">
        <f t="shared" si="43"/>
        <v>0</v>
      </c>
      <c r="J74" s="990">
        <f t="shared" si="44"/>
        <v>0</v>
      </c>
      <c r="K74" s="990">
        <f t="shared" si="45"/>
        <v>0.4459879758464787</v>
      </c>
      <c r="L74" s="997">
        <f t="shared" si="46"/>
        <v>1</v>
      </c>
      <c r="M74" s="198"/>
      <c r="N74" s="1013">
        <f t="shared" si="48"/>
        <v>21851.918832000003</v>
      </c>
      <c r="O74" s="1007">
        <f>Parameters!R176</f>
        <v>0.73</v>
      </c>
      <c r="P74" s="1007">
        <f>E74*'MSW characteristics'!$B$28+'MSW characteristics'!$B$29*'4A SWD Case 1'!F74+'4A SWD Case 1'!G74*'MSW characteristics'!$B$30+'MSW characteristics'!$B$31*'4A SWD Case 1'!H74+'4A SWD Case 1'!I74*'MSW characteristics'!$B$32+'MSW characteristics'!$B$33*'4A SWD Case 1'!J74+'4A SWD Case 1'!K74*'MSW characteristics'!$B$35</f>
        <v>0.11870178252267252</v>
      </c>
      <c r="Q74" s="1006">
        <f t="shared" si="2"/>
        <v>946.75952666819205</v>
      </c>
      <c r="R74" s="1006">
        <f t="shared" si="3"/>
        <v>946.75952666819205</v>
      </c>
      <c r="S74" s="1008">
        <f t="shared" si="4"/>
        <v>0</v>
      </c>
      <c r="T74" s="1006">
        <f t="shared" si="5"/>
        <v>12516.695627945954</v>
      </c>
      <c r="U74" s="1006">
        <f t="shared" si="6"/>
        <v>593.20330891305184</v>
      </c>
      <c r="V74" s="1019">
        <f t="shared" si="7"/>
        <v>395.46887260870125</v>
      </c>
      <c r="W74" s="198"/>
      <c r="X74" s="1013">
        <f>'Baseline data (from input)'!AS61*'4A SWD Case 1'!$D$12</f>
        <v>6065.4554481159084</v>
      </c>
      <c r="Y74" s="1007">
        <f>Parameters!S176</f>
        <v>0.71500000000000008</v>
      </c>
      <c r="Z74" s="1007">
        <f t="shared" si="8"/>
        <v>0.2</v>
      </c>
      <c r="AA74" s="1006">
        <f t="shared" si="9"/>
        <v>433.6800645402875</v>
      </c>
      <c r="AB74" s="1006">
        <f t="shared" si="10"/>
        <v>433.6800645402875</v>
      </c>
      <c r="AC74" s="1008">
        <f t="shared" si="11"/>
        <v>0</v>
      </c>
      <c r="AD74" s="1006">
        <f t="shared" si="12"/>
        <v>5657.4265138754618</v>
      </c>
      <c r="AE74" s="1006">
        <f t="shared" si="13"/>
        <v>267.82720764777707</v>
      </c>
      <c r="AF74" s="1019">
        <f t="shared" si="14"/>
        <v>178.55147176518471</v>
      </c>
      <c r="AG74" s="99"/>
      <c r="AH74" s="1013">
        <f>'Baseline data (from input)'!AS61*'4A SWD Case 1'!$D$12</f>
        <v>6065.4554481159084</v>
      </c>
      <c r="AI74" s="1007">
        <f>Parameters!S176</f>
        <v>0.71500000000000008</v>
      </c>
      <c r="AJ74" s="1007">
        <f t="shared" si="15"/>
        <v>0.2</v>
      </c>
      <c r="AK74" s="1006">
        <f t="shared" si="16"/>
        <v>433.6800645402875</v>
      </c>
      <c r="AL74" s="1006">
        <f t="shared" si="17"/>
        <v>433.6800645402875</v>
      </c>
      <c r="AM74" s="1008">
        <f t="shared" si="18"/>
        <v>0</v>
      </c>
      <c r="AN74" s="1006">
        <f t="shared" si="19"/>
        <v>5657.4265138754618</v>
      </c>
      <c r="AO74" s="1006">
        <f t="shared" si="20"/>
        <v>267.82720764777707</v>
      </c>
      <c r="AP74" s="1019">
        <f t="shared" si="21"/>
        <v>178.55147176518471</v>
      </c>
      <c r="AQ74" s="99"/>
      <c r="AR74" s="1013">
        <v>501</v>
      </c>
      <c r="AS74" s="1007">
        <v>1</v>
      </c>
      <c r="AT74" s="1007">
        <f t="shared" si="22"/>
        <v>0.05</v>
      </c>
      <c r="AU74" s="1006">
        <f t="shared" si="23"/>
        <v>12.525</v>
      </c>
      <c r="AV74" s="1006">
        <f t="shared" si="24"/>
        <v>12.525</v>
      </c>
      <c r="AW74" s="1008">
        <f t="shared" si="25"/>
        <v>0</v>
      </c>
      <c r="AX74" s="1006">
        <f t="shared" si="49"/>
        <v>65.022300824848401</v>
      </c>
      <c r="AY74" s="1006">
        <f t="shared" si="52"/>
        <v>3.2462517859614834</v>
      </c>
      <c r="AZ74" s="1019">
        <f t="shared" si="50"/>
        <v>2.1641678573076555</v>
      </c>
      <c r="BB74" s="317">
        <f t="shared" si="29"/>
        <v>395.46887260870125</v>
      </c>
      <c r="BC74" s="318">
        <f t="shared" si="30"/>
        <v>178.55147176518471</v>
      </c>
      <c r="BD74" s="1214">
        <f t="shared" si="51"/>
        <v>2.1641678573076555</v>
      </c>
      <c r="BE74" s="318">
        <f t="shared" si="32"/>
        <v>576.18451223119371</v>
      </c>
      <c r="BF74" s="104">
        <v>0</v>
      </c>
      <c r="BG74" s="1205">
        <f t="shared" si="33"/>
        <v>576.18451223119371</v>
      </c>
      <c r="BI74" s="317">
        <f t="shared" si="34"/>
        <v>395.46887260870125</v>
      </c>
      <c r="BJ74" s="318">
        <f t="shared" si="35"/>
        <v>178.55147176518471</v>
      </c>
      <c r="BK74" s="1214">
        <f t="shared" si="36"/>
        <v>2.1641678573076555</v>
      </c>
      <c r="BL74" s="318">
        <f t="shared" si="37"/>
        <v>576.18451223119371</v>
      </c>
      <c r="BM74" s="104">
        <v>0</v>
      </c>
      <c r="BN74" s="1205">
        <f t="shared" si="38"/>
        <v>576.18451223119371</v>
      </c>
    </row>
    <row r="75" spans="1:69">
      <c r="A75" s="941">
        <f>'Input data'!A106</f>
        <v>2006</v>
      </c>
      <c r="B75" s="989">
        <f>'Input data'!B106</f>
        <v>47.731000000000002</v>
      </c>
      <c r="C75" s="1147">
        <f>'Baseline data (from input)'!B62</f>
        <v>578.73</v>
      </c>
      <c r="D75" s="990">
        <f>'Baseline data (from input)'!T62</f>
        <v>0.8</v>
      </c>
      <c r="E75" s="990">
        <f t="shared" si="39"/>
        <v>0.19892488097366726</v>
      </c>
      <c r="F75" s="990">
        <f t="shared" si="40"/>
        <v>0.26585903447659598</v>
      </c>
      <c r="G75" s="990">
        <f t="shared" si="41"/>
        <v>8.9228108703258049E-2</v>
      </c>
      <c r="H75" s="990">
        <f t="shared" si="42"/>
        <v>0</v>
      </c>
      <c r="I75" s="990">
        <f t="shared" si="43"/>
        <v>0</v>
      </c>
      <c r="J75" s="990">
        <f t="shared" si="44"/>
        <v>0</v>
      </c>
      <c r="K75" s="990">
        <f t="shared" si="45"/>
        <v>0.4459879758464787</v>
      </c>
      <c r="L75" s="997">
        <f t="shared" si="46"/>
        <v>1</v>
      </c>
      <c r="M75" s="198"/>
      <c r="N75" s="1013">
        <f t="shared" si="48"/>
        <v>22098.689304000003</v>
      </c>
      <c r="O75" s="1007">
        <f>Parameters!R177</f>
        <v>0.73</v>
      </c>
      <c r="P75" s="1007">
        <f>E75*'MSW characteristics'!$B$28+'MSW characteristics'!$B$29*'4A SWD Case 1'!F75+'4A SWD Case 1'!G75*'MSW characteristics'!$B$30+'MSW characteristics'!$B$31*'4A SWD Case 1'!H75+'4A SWD Case 1'!I75*'MSW characteristics'!$B$32+'MSW characteristics'!$B$33*'4A SWD Case 1'!J75+'4A SWD Case 1'!K75*'MSW characteristics'!$B$35</f>
        <v>0.11870178252267252</v>
      </c>
      <c r="Q75" s="1006">
        <f t="shared" si="2"/>
        <v>957.45114130682396</v>
      </c>
      <c r="R75" s="1006">
        <f t="shared" si="3"/>
        <v>957.45114130682396</v>
      </c>
      <c r="S75" s="1008">
        <f t="shared" si="4"/>
        <v>0</v>
      </c>
      <c r="T75" s="1006">
        <f t="shared" si="5"/>
        <v>12863.700320128457</v>
      </c>
      <c r="U75" s="1006">
        <f t="shared" si="6"/>
        <v>610.44644912432091</v>
      </c>
      <c r="V75" s="1019">
        <f t="shared" si="7"/>
        <v>406.96429941621392</v>
      </c>
      <c r="W75" s="198"/>
      <c r="X75" s="1013">
        <f>'Baseline data (from input)'!AS62*'4A SWD Case 1'!$D$12</f>
        <v>6405.351298403808</v>
      </c>
      <c r="Y75" s="1007">
        <f>Parameters!S177</f>
        <v>0.71500000000000008</v>
      </c>
      <c r="Z75" s="1007">
        <f t="shared" si="8"/>
        <v>0.2</v>
      </c>
      <c r="AA75" s="1006">
        <f t="shared" si="9"/>
        <v>457.98261783587236</v>
      </c>
      <c r="AB75" s="1006">
        <f t="shared" si="10"/>
        <v>457.98261783587236</v>
      </c>
      <c r="AC75" s="1008">
        <f t="shared" si="11"/>
        <v>0</v>
      </c>
      <c r="AD75" s="1006">
        <f t="shared" si="12"/>
        <v>5839.4931847847092</v>
      </c>
      <c r="AE75" s="1006">
        <f t="shared" si="13"/>
        <v>275.91594692662551</v>
      </c>
      <c r="AF75" s="1019">
        <f t="shared" si="14"/>
        <v>183.94396461775034</v>
      </c>
      <c r="AG75" s="99"/>
      <c r="AH75" s="1013">
        <f>'Baseline data (from input)'!AS62*'4A SWD Case 1'!$D$12</f>
        <v>6405.351298403808</v>
      </c>
      <c r="AI75" s="1007">
        <f>Parameters!S177</f>
        <v>0.71500000000000008</v>
      </c>
      <c r="AJ75" s="1007">
        <f t="shared" si="15"/>
        <v>0.2</v>
      </c>
      <c r="AK75" s="1006">
        <f t="shared" si="16"/>
        <v>457.98261783587236</v>
      </c>
      <c r="AL75" s="1006">
        <f t="shared" si="17"/>
        <v>457.98261783587236</v>
      </c>
      <c r="AM75" s="1008">
        <f t="shared" si="18"/>
        <v>0</v>
      </c>
      <c r="AN75" s="1006">
        <f t="shared" si="19"/>
        <v>5839.4931847847092</v>
      </c>
      <c r="AO75" s="1006">
        <f t="shared" si="20"/>
        <v>275.91594692662551</v>
      </c>
      <c r="AP75" s="1019">
        <f t="shared" si="21"/>
        <v>183.94396461775034</v>
      </c>
      <c r="AQ75" s="99"/>
      <c r="AR75" s="1013">
        <v>501</v>
      </c>
      <c r="AS75" s="1007">
        <v>1</v>
      </c>
      <c r="AT75" s="1007">
        <f t="shared" si="22"/>
        <v>0.05</v>
      </c>
      <c r="AU75" s="1006">
        <f t="shared" si="23"/>
        <v>12.525</v>
      </c>
      <c r="AV75" s="1006">
        <f t="shared" si="24"/>
        <v>12.525</v>
      </c>
      <c r="AW75" s="1008">
        <f t="shared" si="25"/>
        <v>0</v>
      </c>
      <c r="AX75" s="1006">
        <f t="shared" si="49"/>
        <v>73.760696808888071</v>
      </c>
      <c r="AY75" s="1006">
        <f t="shared" si="52"/>
        <v>3.7866040159603358</v>
      </c>
      <c r="AZ75" s="1019">
        <f t="shared" si="50"/>
        <v>2.5244026773068904</v>
      </c>
      <c r="BB75" s="317">
        <f t="shared" si="29"/>
        <v>406.96429941621392</v>
      </c>
      <c r="BC75" s="318">
        <f t="shared" si="30"/>
        <v>183.94396461775034</v>
      </c>
      <c r="BD75" s="1214">
        <f t="shared" si="51"/>
        <v>2.5244026773068904</v>
      </c>
      <c r="BE75" s="318">
        <f t="shared" si="32"/>
        <v>593.43266671127117</v>
      </c>
      <c r="BF75" s="104">
        <v>0</v>
      </c>
      <c r="BG75" s="1205">
        <f t="shared" si="33"/>
        <v>593.43266671127117</v>
      </c>
      <c r="BI75" s="317">
        <f t="shared" si="34"/>
        <v>406.96429941621392</v>
      </c>
      <c r="BJ75" s="318">
        <f t="shared" si="35"/>
        <v>183.94396461775034</v>
      </c>
      <c r="BK75" s="1214">
        <f t="shared" si="36"/>
        <v>2.5244026773068904</v>
      </c>
      <c r="BL75" s="318">
        <f t="shared" si="37"/>
        <v>593.43266671127117</v>
      </c>
      <c r="BM75" s="104">
        <v>0</v>
      </c>
      <c r="BN75" s="1205">
        <f t="shared" si="38"/>
        <v>593.43266671127117</v>
      </c>
    </row>
    <row r="76" spans="1:69">
      <c r="A76" s="941">
        <f>'Input data'!A107</f>
        <v>2007</v>
      </c>
      <c r="B76" s="989">
        <f>'Input data'!B107</f>
        <v>48.256999999999998</v>
      </c>
      <c r="C76" s="1147">
        <f>'Baseline data (from input)'!B63</f>
        <v>578.73</v>
      </c>
      <c r="D76" s="990">
        <f>'Baseline data (from input)'!T63</f>
        <v>0.8</v>
      </c>
      <c r="E76" s="990">
        <f t="shared" si="39"/>
        <v>0.19892488097366726</v>
      </c>
      <c r="F76" s="990">
        <f t="shared" si="40"/>
        <v>0.26585903447659598</v>
      </c>
      <c r="G76" s="990">
        <f t="shared" si="41"/>
        <v>8.9228108703258049E-2</v>
      </c>
      <c r="H76" s="990">
        <f t="shared" si="42"/>
        <v>0</v>
      </c>
      <c r="I76" s="990">
        <f t="shared" si="43"/>
        <v>0</v>
      </c>
      <c r="J76" s="990">
        <f t="shared" si="44"/>
        <v>0</v>
      </c>
      <c r="K76" s="990">
        <f t="shared" si="45"/>
        <v>0.4459879758464787</v>
      </c>
      <c r="L76" s="997">
        <f t="shared" si="46"/>
        <v>1</v>
      </c>
      <c r="M76" s="198"/>
      <c r="N76" s="1013">
        <f t="shared" si="48"/>
        <v>22342.218888000003</v>
      </c>
      <c r="O76" s="1007">
        <f>Parameters!R178</f>
        <v>0.73</v>
      </c>
      <c r="P76" s="1007">
        <f>E76*'MSW characteristics'!$B$28+'MSW characteristics'!$B$29*'4A SWD Case 1'!F76+'4A SWD Case 1'!G76*'MSW characteristics'!$B$30+'MSW characteristics'!$B$31*'4A SWD Case 1'!H76+'4A SWD Case 1'!I76*'MSW characteristics'!$B$32+'MSW characteristics'!$B$33*'4A SWD Case 1'!J76+'4A SWD Case 1'!K76*'MSW characteristics'!$B$35</f>
        <v>0.11870178252267252</v>
      </c>
      <c r="Q76" s="1006">
        <f t="shared" si="2"/>
        <v>968.00234074382274</v>
      </c>
      <c r="R76" s="1006">
        <f t="shared" si="3"/>
        <v>968.00234074382274</v>
      </c>
      <c r="S76" s="1008">
        <f t="shared" si="4"/>
        <v>0</v>
      </c>
      <c r="T76" s="1006">
        <f t="shared" si="5"/>
        <v>13204.332593209265</v>
      </c>
      <c r="U76" s="1006">
        <f t="shared" si="6"/>
        <v>627.3700676630142</v>
      </c>
      <c r="V76" s="1019">
        <f t="shared" si="7"/>
        <v>418.24671177534282</v>
      </c>
      <c r="W76" s="198"/>
      <c r="X76" s="1013">
        <f>'Baseline data (from input)'!AS63*'4A SWD Case 1'!$D$12</f>
        <v>6748.7086104885984</v>
      </c>
      <c r="Y76" s="1007">
        <f>Parameters!S178</f>
        <v>0.71500000000000008</v>
      </c>
      <c r="Z76" s="1007">
        <f t="shared" si="8"/>
        <v>0.2</v>
      </c>
      <c r="AA76" s="1006">
        <f t="shared" si="9"/>
        <v>482.53266564993487</v>
      </c>
      <c r="AB76" s="1006">
        <f t="shared" si="10"/>
        <v>482.53266564993487</v>
      </c>
      <c r="AC76" s="1008">
        <f t="shared" si="11"/>
        <v>0</v>
      </c>
      <c r="AD76" s="1006">
        <f t="shared" si="12"/>
        <v>6037.2304071885355</v>
      </c>
      <c r="AE76" s="1006">
        <f t="shared" si="13"/>
        <v>284.79544324610862</v>
      </c>
      <c r="AF76" s="1019">
        <f t="shared" si="14"/>
        <v>189.86362883073909</v>
      </c>
      <c r="AG76" s="99"/>
      <c r="AH76" s="1013">
        <f>'Baseline data (from input)'!AS63*'4A SWD Case 1'!$D$12</f>
        <v>6748.7086104885984</v>
      </c>
      <c r="AI76" s="1007">
        <f>Parameters!S178</f>
        <v>0.71500000000000008</v>
      </c>
      <c r="AJ76" s="1007">
        <f t="shared" si="15"/>
        <v>0.2</v>
      </c>
      <c r="AK76" s="1006">
        <f t="shared" si="16"/>
        <v>482.53266564993487</v>
      </c>
      <c r="AL76" s="1006">
        <f t="shared" si="17"/>
        <v>482.53266564993487</v>
      </c>
      <c r="AM76" s="1008">
        <f t="shared" si="18"/>
        <v>0</v>
      </c>
      <c r="AN76" s="1006">
        <f t="shared" si="19"/>
        <v>6037.2304071885355</v>
      </c>
      <c r="AO76" s="1006">
        <f t="shared" si="20"/>
        <v>284.79544324610862</v>
      </c>
      <c r="AP76" s="1019">
        <f t="shared" si="21"/>
        <v>189.86362883073909</v>
      </c>
      <c r="AQ76" s="99"/>
      <c r="AR76" s="1013">
        <v>501</v>
      </c>
      <c r="AS76" s="1007">
        <v>1</v>
      </c>
      <c r="AT76" s="1007">
        <f t="shared" si="22"/>
        <v>0.05</v>
      </c>
      <c r="AU76" s="1006">
        <f t="shared" si="23"/>
        <v>12.525</v>
      </c>
      <c r="AV76" s="1006">
        <f t="shared" si="24"/>
        <v>12.525</v>
      </c>
      <c r="AW76" s="1008">
        <f t="shared" si="25"/>
        <v>0</v>
      </c>
      <c r="AX76" s="1006">
        <f t="shared" si="49"/>
        <v>81.990208227071662</v>
      </c>
      <c r="AY76" s="1006">
        <f t="shared" si="52"/>
        <v>4.2954885818164135</v>
      </c>
      <c r="AZ76" s="1019">
        <f t="shared" si="50"/>
        <v>2.8636590545442755</v>
      </c>
      <c r="BB76" s="317">
        <f t="shared" si="29"/>
        <v>418.24671177534282</v>
      </c>
      <c r="BC76" s="318">
        <f t="shared" si="30"/>
        <v>189.86362883073909</v>
      </c>
      <c r="BD76" s="1214">
        <f t="shared" si="51"/>
        <v>2.8636590545442755</v>
      </c>
      <c r="BE76" s="318">
        <f t="shared" si="32"/>
        <v>610.97399966062619</v>
      </c>
      <c r="BF76" s="104">
        <v>0</v>
      </c>
      <c r="BG76" s="1205">
        <f t="shared" si="33"/>
        <v>610.97399966062619</v>
      </c>
      <c r="BI76" s="317">
        <f t="shared" si="34"/>
        <v>418.24671177534282</v>
      </c>
      <c r="BJ76" s="318">
        <f t="shared" si="35"/>
        <v>189.86362883073909</v>
      </c>
      <c r="BK76" s="1214">
        <f t="shared" si="36"/>
        <v>2.8636590545442755</v>
      </c>
      <c r="BL76" s="318">
        <f t="shared" si="37"/>
        <v>610.97399966062619</v>
      </c>
      <c r="BM76" s="104">
        <v>0</v>
      </c>
      <c r="BN76" s="1205">
        <f t="shared" si="38"/>
        <v>610.97399966062619</v>
      </c>
      <c r="BO76" s="1377"/>
      <c r="BP76" s="1377"/>
      <c r="BQ76" s="1378"/>
    </row>
    <row r="77" spans="1:69">
      <c r="A77" s="941">
        <f>'Input data'!A108</f>
        <v>2008</v>
      </c>
      <c r="B77" s="989">
        <f>'Input data'!B108</f>
        <v>48.792999999999999</v>
      </c>
      <c r="C77" s="1147">
        <f>'Baseline data (from input)'!B64</f>
        <v>578.73</v>
      </c>
      <c r="D77" s="990">
        <f>'Baseline data (from input)'!T64</f>
        <v>0.8</v>
      </c>
      <c r="E77" s="990">
        <f t="shared" si="39"/>
        <v>0.19892488097366726</v>
      </c>
      <c r="F77" s="990">
        <f t="shared" si="40"/>
        <v>0.26585903447659598</v>
      </c>
      <c r="G77" s="990">
        <f t="shared" si="41"/>
        <v>8.9228108703258049E-2</v>
      </c>
      <c r="H77" s="990">
        <f t="shared" si="42"/>
        <v>0</v>
      </c>
      <c r="I77" s="990">
        <f t="shared" si="43"/>
        <v>0</v>
      </c>
      <c r="J77" s="990">
        <f t="shared" si="44"/>
        <v>0</v>
      </c>
      <c r="K77" s="990">
        <f t="shared" si="45"/>
        <v>0.4459879758464787</v>
      </c>
      <c r="L77" s="997">
        <f t="shared" si="46"/>
        <v>1</v>
      </c>
      <c r="M77" s="198"/>
      <c r="N77" s="1013">
        <f t="shared" si="48"/>
        <v>22590.378312000001</v>
      </c>
      <c r="O77" s="1007">
        <f>Parameters!R179</f>
        <v>0.73</v>
      </c>
      <c r="P77" s="1007">
        <f>E77*'MSW characteristics'!$B$28+'MSW characteristics'!$B$29*'4A SWD Case 1'!F77+'4A SWD Case 1'!G77*'MSW characteristics'!$B$30+'MSW characteristics'!$B$31*'4A SWD Case 1'!H77+'4A SWD Case 1'!I77*'MSW characteristics'!$B$32+'MSW characteristics'!$B$33*'4A SWD Case 1'!J77+'4A SWD Case 1'!K77*'MSW characteristics'!$B$35</f>
        <v>0.11870178252267252</v>
      </c>
      <c r="Q77" s="1006">
        <f t="shared" si="2"/>
        <v>978.75413332601147</v>
      </c>
      <c r="R77" s="1006">
        <f t="shared" si="3"/>
        <v>978.75413332601147</v>
      </c>
      <c r="S77" s="1008">
        <f t="shared" si="4"/>
        <v>0</v>
      </c>
      <c r="T77" s="1006">
        <f t="shared" si="5"/>
        <v>13539.10382688048</v>
      </c>
      <c r="U77" s="1006">
        <f t="shared" si="6"/>
        <v>643.98289965479512</v>
      </c>
      <c r="V77" s="1019">
        <f t="shared" si="7"/>
        <v>429.32193310319673</v>
      </c>
      <c r="W77" s="198"/>
      <c r="X77" s="1013">
        <f>'Baseline data (from input)'!AS64*'4A SWD Case 1'!$D$12</f>
        <v>6964.0630566631799</v>
      </c>
      <c r="Y77" s="1007">
        <f>Parameters!S179</f>
        <v>0.71500000000000008</v>
      </c>
      <c r="Z77" s="1007">
        <f t="shared" si="8"/>
        <v>0.2</v>
      </c>
      <c r="AA77" s="1006">
        <f t="shared" si="9"/>
        <v>497.93050855141746</v>
      </c>
      <c r="AB77" s="1006">
        <f t="shared" si="10"/>
        <v>497.93050855141746</v>
      </c>
      <c r="AC77" s="1008">
        <f t="shared" si="11"/>
        <v>0</v>
      </c>
      <c r="AD77" s="1006">
        <f t="shared" si="12"/>
        <v>6240.721714359579</v>
      </c>
      <c r="AE77" s="1006">
        <f t="shared" si="13"/>
        <v>294.43920138037356</v>
      </c>
      <c r="AF77" s="1019">
        <f t="shared" si="14"/>
        <v>196.29280092024905</v>
      </c>
      <c r="AG77" s="99"/>
      <c r="AH77" s="1013">
        <f>'Baseline data (from input)'!AS64*'4A SWD Case 1'!$D$12</f>
        <v>6964.0630566631799</v>
      </c>
      <c r="AI77" s="1007">
        <f>Parameters!S179</f>
        <v>0.71500000000000008</v>
      </c>
      <c r="AJ77" s="1007">
        <f t="shared" si="15"/>
        <v>0.2</v>
      </c>
      <c r="AK77" s="1006">
        <f t="shared" si="16"/>
        <v>497.93050855141746</v>
      </c>
      <c r="AL77" s="1006">
        <f t="shared" si="17"/>
        <v>497.93050855141746</v>
      </c>
      <c r="AM77" s="1008">
        <f t="shared" si="18"/>
        <v>0</v>
      </c>
      <c r="AN77" s="1006">
        <f t="shared" si="19"/>
        <v>6240.721714359579</v>
      </c>
      <c r="AO77" s="1006">
        <f t="shared" si="20"/>
        <v>294.43920138037356</v>
      </c>
      <c r="AP77" s="1019">
        <f t="shared" si="21"/>
        <v>196.29280092024905</v>
      </c>
      <c r="AQ77" s="99"/>
      <c r="AR77" s="1013">
        <v>501</v>
      </c>
      <c r="AS77" s="1007">
        <v>1</v>
      </c>
      <c r="AT77" s="1007">
        <f t="shared" si="22"/>
        <v>0.05</v>
      </c>
      <c r="AU77" s="1006">
        <f t="shared" si="23"/>
        <v>12.525</v>
      </c>
      <c r="AV77" s="1006">
        <f t="shared" si="24"/>
        <v>12.525</v>
      </c>
      <c r="AW77" s="1008">
        <f t="shared" si="25"/>
        <v>0</v>
      </c>
      <c r="AX77" s="1006">
        <f t="shared" si="49"/>
        <v>89.740470209443586</v>
      </c>
      <c r="AY77" s="1006">
        <f t="shared" si="52"/>
        <v>4.7747380176280858</v>
      </c>
      <c r="AZ77" s="1019">
        <f t="shared" si="50"/>
        <v>3.183158678418724</v>
      </c>
      <c r="BB77" s="317">
        <f t="shared" si="29"/>
        <v>429.32193310319673</v>
      </c>
      <c r="BC77" s="318">
        <f t="shared" si="30"/>
        <v>196.29280092024905</v>
      </c>
      <c r="BD77" s="1214">
        <f t="shared" si="51"/>
        <v>3.183158678418724</v>
      </c>
      <c r="BE77" s="318">
        <f t="shared" si="32"/>
        <v>628.7978927018645</v>
      </c>
      <c r="BF77" s="104">
        <v>0</v>
      </c>
      <c r="BG77" s="1205">
        <f t="shared" si="33"/>
        <v>628.7978927018645</v>
      </c>
      <c r="BI77" s="317">
        <f t="shared" si="34"/>
        <v>429.32193310319673</v>
      </c>
      <c r="BJ77" s="318">
        <f t="shared" si="35"/>
        <v>196.29280092024905</v>
      </c>
      <c r="BK77" s="1214">
        <f t="shared" si="36"/>
        <v>3.183158678418724</v>
      </c>
      <c r="BL77" s="318">
        <f t="shared" si="37"/>
        <v>628.7978927018645</v>
      </c>
      <c r="BM77" s="104">
        <v>0</v>
      </c>
      <c r="BN77" s="1205">
        <f t="shared" si="38"/>
        <v>628.7978927018645</v>
      </c>
    </row>
    <row r="78" spans="1:69">
      <c r="A78" s="941">
        <f>'Input data'!A109</f>
        <v>2009</v>
      </c>
      <c r="B78" s="989">
        <f>'Input data'!B109</f>
        <v>49.32</v>
      </c>
      <c r="C78" s="1147">
        <f>'Baseline data (from input)'!B65</f>
        <v>578.73</v>
      </c>
      <c r="D78" s="990">
        <f>'Baseline data (from input)'!T65</f>
        <v>0.8</v>
      </c>
      <c r="E78" s="990">
        <f t="shared" si="39"/>
        <v>0.19892488097366726</v>
      </c>
      <c r="F78" s="990">
        <f t="shared" si="40"/>
        <v>0.26585903447659598</v>
      </c>
      <c r="G78" s="990">
        <f t="shared" si="41"/>
        <v>8.9228108703258049E-2</v>
      </c>
      <c r="H78" s="990">
        <f t="shared" si="42"/>
        <v>0</v>
      </c>
      <c r="I78" s="990">
        <f t="shared" si="43"/>
        <v>0</v>
      </c>
      <c r="J78" s="990">
        <f t="shared" si="44"/>
        <v>0</v>
      </c>
      <c r="K78" s="990">
        <f t="shared" si="45"/>
        <v>0.4459879758464787</v>
      </c>
      <c r="L78" s="997">
        <f t="shared" si="46"/>
        <v>1</v>
      </c>
      <c r="M78" s="198"/>
      <c r="N78" s="1013">
        <f t="shared" si="48"/>
        <v>22834.370880000002</v>
      </c>
      <c r="O78" s="1007">
        <f>Parameters!R180</f>
        <v>0.73</v>
      </c>
      <c r="P78" s="1007">
        <f>E78*'MSW characteristics'!$B$28+'MSW characteristics'!$B$29*'4A SWD Case 1'!F78+'4A SWD Case 1'!G78*'MSW characteristics'!$B$30+'MSW characteristics'!$B$31*'4A SWD Case 1'!H78+'4A SWD Case 1'!I78*'MSW characteristics'!$B$32+'MSW characteristics'!$B$33*'4A SWD Case 1'!J78+'4A SWD Case 1'!K78*'MSW characteristics'!$B$35</f>
        <v>0.11870178252267252</v>
      </c>
      <c r="Q78" s="1006">
        <f t="shared" si="2"/>
        <v>989.32539207752939</v>
      </c>
      <c r="R78" s="1006">
        <f t="shared" si="3"/>
        <v>989.32539207752939</v>
      </c>
      <c r="S78" s="1008">
        <f t="shared" si="4"/>
        <v>0</v>
      </c>
      <c r="T78" s="1006">
        <f t="shared" si="5"/>
        <v>13868.119333576464</v>
      </c>
      <c r="U78" s="1006">
        <f t="shared" si="6"/>
        <v>660.30988538154622</v>
      </c>
      <c r="V78" s="1019">
        <f t="shared" si="7"/>
        <v>440.20659025436413</v>
      </c>
      <c r="W78" s="198"/>
      <c r="X78" s="1013">
        <f>'Baseline data (from input)'!AS65*'4A SWD Case 1'!$D$12</f>
        <v>6856.9495455756096</v>
      </c>
      <c r="Y78" s="1007">
        <f>Parameters!S180</f>
        <v>0.71500000000000008</v>
      </c>
      <c r="Z78" s="1007">
        <f t="shared" si="8"/>
        <v>0.2</v>
      </c>
      <c r="AA78" s="1006">
        <f t="shared" si="9"/>
        <v>490.27189250865615</v>
      </c>
      <c r="AB78" s="1006">
        <f t="shared" si="10"/>
        <v>490.27189250865615</v>
      </c>
      <c r="AC78" s="1008">
        <f t="shared" si="11"/>
        <v>0</v>
      </c>
      <c r="AD78" s="1006">
        <f t="shared" si="12"/>
        <v>6426.6300173280279</v>
      </c>
      <c r="AE78" s="1006">
        <f t="shared" si="13"/>
        <v>304.36358954020733</v>
      </c>
      <c r="AF78" s="1019">
        <f t="shared" si="14"/>
        <v>202.90905969347156</v>
      </c>
      <c r="AG78" s="99"/>
      <c r="AH78" s="1013">
        <f>'Baseline data (from input)'!AS65*'4A SWD Case 1'!$D$12</f>
        <v>6856.9495455756096</v>
      </c>
      <c r="AI78" s="1007">
        <f>Parameters!S180</f>
        <v>0.71500000000000008</v>
      </c>
      <c r="AJ78" s="1007">
        <f t="shared" si="15"/>
        <v>0.2</v>
      </c>
      <c r="AK78" s="1006">
        <f t="shared" si="16"/>
        <v>490.27189250865615</v>
      </c>
      <c r="AL78" s="1006">
        <f t="shared" si="17"/>
        <v>490.27189250865615</v>
      </c>
      <c r="AM78" s="1008">
        <f t="shared" si="18"/>
        <v>0</v>
      </c>
      <c r="AN78" s="1006">
        <f t="shared" si="19"/>
        <v>6426.6300173280279</v>
      </c>
      <c r="AO78" s="1006">
        <f t="shared" si="20"/>
        <v>304.36358954020733</v>
      </c>
      <c r="AP78" s="1019">
        <f t="shared" si="21"/>
        <v>202.90905969347156</v>
      </c>
      <c r="AQ78" s="99"/>
      <c r="AR78" s="1013">
        <v>501</v>
      </c>
      <c r="AS78" s="1007">
        <v>1</v>
      </c>
      <c r="AT78" s="1007">
        <f t="shared" si="22"/>
        <v>0.05</v>
      </c>
      <c r="AU78" s="1006">
        <f t="shared" si="23"/>
        <v>12.525</v>
      </c>
      <c r="AV78" s="1006">
        <f t="shared" si="24"/>
        <v>12.525</v>
      </c>
      <c r="AW78" s="1008">
        <f t="shared" si="25"/>
        <v>0</v>
      </c>
      <c r="AX78" s="1006">
        <f t="shared" si="49"/>
        <v>97.039392070427809</v>
      </c>
      <c r="AY78" s="1006">
        <f t="shared" si="52"/>
        <v>5.2260781390157804</v>
      </c>
      <c r="AZ78" s="1019">
        <f t="shared" si="50"/>
        <v>3.484052092677187</v>
      </c>
      <c r="BB78" s="317">
        <f t="shared" si="29"/>
        <v>440.20659025436413</v>
      </c>
      <c r="BC78" s="318">
        <f t="shared" si="30"/>
        <v>202.90905969347156</v>
      </c>
      <c r="BD78" s="1214">
        <f t="shared" si="51"/>
        <v>3.484052092677187</v>
      </c>
      <c r="BE78" s="318">
        <f t="shared" si="32"/>
        <v>646.59970204051285</v>
      </c>
      <c r="BF78" s="104">
        <v>0</v>
      </c>
      <c r="BG78" s="1205">
        <f t="shared" si="33"/>
        <v>646.59970204051285</v>
      </c>
      <c r="BI78" s="317">
        <f t="shared" si="34"/>
        <v>440.20659025436413</v>
      </c>
      <c r="BJ78" s="318">
        <f t="shared" si="35"/>
        <v>202.90905969347156</v>
      </c>
      <c r="BK78" s="1214">
        <f t="shared" si="36"/>
        <v>3.484052092677187</v>
      </c>
      <c r="BL78" s="318">
        <f t="shared" si="37"/>
        <v>646.59970204051285</v>
      </c>
      <c r="BM78" s="104">
        <v>0</v>
      </c>
      <c r="BN78" s="1205">
        <f t="shared" si="38"/>
        <v>646.59970204051285</v>
      </c>
    </row>
    <row r="79" spans="1:69">
      <c r="A79" s="941">
        <f>'Input data'!A110</f>
        <v>2010</v>
      </c>
      <c r="B79" s="989">
        <f>'Input data'!B110</f>
        <v>49.87</v>
      </c>
      <c r="C79" s="989">
        <f>'Baseline data (from input)'!B66</f>
        <v>559.42164173673609</v>
      </c>
      <c r="D79" s="990">
        <f>'Baseline data (from input)'!T66</f>
        <v>0.75808980601378384</v>
      </c>
      <c r="E79" s="990">
        <f t="shared" si="39"/>
        <v>0.19892488097366726</v>
      </c>
      <c r="F79" s="990">
        <f t="shared" si="40"/>
        <v>0.26585903447659598</v>
      </c>
      <c r="G79" s="990">
        <f t="shared" si="41"/>
        <v>8.9228108703258049E-2</v>
      </c>
      <c r="H79" s="990">
        <f t="shared" si="42"/>
        <v>0</v>
      </c>
      <c r="I79" s="990">
        <f t="shared" si="43"/>
        <v>0</v>
      </c>
      <c r="J79" s="990">
        <f t="shared" si="44"/>
        <v>0</v>
      </c>
      <c r="K79" s="990">
        <f t="shared" si="45"/>
        <v>0.4459879758464787</v>
      </c>
      <c r="L79" s="997">
        <f t="shared" si="46"/>
        <v>1</v>
      </c>
      <c r="M79" s="198"/>
      <c r="N79" s="1013">
        <f t="shared" si="48"/>
        <v>21149.460253503403</v>
      </c>
      <c r="O79" s="1007">
        <f>Parameters!R181</f>
        <v>0.73</v>
      </c>
      <c r="P79" s="1007">
        <f>E79*'MSW characteristics'!$B$28+'MSW characteristics'!$B$29*'4A SWD Case 1'!F79+'4A SWD Case 1'!G79*'MSW characteristics'!$B$30+'MSW characteristics'!$B$31*'4A SWD Case 1'!H79+'4A SWD Case 1'!I79*'MSW characteristics'!$B$32+'MSW characteristics'!$B$33*'4A SWD Case 1'!J79+'4A SWD Case 1'!K79*'MSW characteristics'!$B$35</f>
        <v>0.11870178252267252</v>
      </c>
      <c r="Q79" s="1006">
        <f t="shared" si="2"/>
        <v>916.32470049139249</v>
      </c>
      <c r="R79" s="1006">
        <f t="shared" si="3"/>
        <v>916.32470049139249</v>
      </c>
      <c r="S79" s="1008">
        <f t="shared" si="4"/>
        <v>0</v>
      </c>
      <c r="T79" s="1006">
        <f t="shared" si="5"/>
        <v>14108.087873076558</v>
      </c>
      <c r="U79" s="1006">
        <f t="shared" si="6"/>
        <v>676.35616099129857</v>
      </c>
      <c r="V79" s="1019">
        <f t="shared" si="7"/>
        <v>450.90410732753236</v>
      </c>
      <c r="W79" s="198"/>
      <c r="X79" s="1013">
        <f>'Baseline data (from input)'!AS66*'4A SWD Case 1'!$D$12</f>
        <v>7065.3823538129036</v>
      </c>
      <c r="Y79" s="1007">
        <f>Parameters!S181</f>
        <v>0.71500000000000008</v>
      </c>
      <c r="Z79" s="1007">
        <f t="shared" si="8"/>
        <v>0.2</v>
      </c>
      <c r="AA79" s="1006">
        <f t="shared" si="9"/>
        <v>505.17483829762267</v>
      </c>
      <c r="AB79" s="1006">
        <f t="shared" si="10"/>
        <v>505.17483829762267</v>
      </c>
      <c r="AC79" s="1008">
        <f t="shared" si="11"/>
        <v>0</v>
      </c>
      <c r="AD79" s="1006">
        <f t="shared" si="12"/>
        <v>6618.374411159577</v>
      </c>
      <c r="AE79" s="1006">
        <f t="shared" si="13"/>
        <v>313.43044446607416</v>
      </c>
      <c r="AF79" s="1019">
        <f t="shared" si="14"/>
        <v>208.95362964404944</v>
      </c>
      <c r="AG79" s="99"/>
      <c r="AH79" s="1013">
        <f>'Baseline data (from input)'!AS66*'4A SWD Case 1'!$D$12</f>
        <v>7065.3823538129036</v>
      </c>
      <c r="AI79" s="1007">
        <f>Parameters!S181</f>
        <v>0.71500000000000008</v>
      </c>
      <c r="AJ79" s="1007">
        <f t="shared" si="15"/>
        <v>0.2</v>
      </c>
      <c r="AK79" s="1006">
        <f t="shared" si="16"/>
        <v>505.17483829762267</v>
      </c>
      <c r="AL79" s="1006">
        <f t="shared" si="17"/>
        <v>505.17483829762267</v>
      </c>
      <c r="AM79" s="1008">
        <f t="shared" si="18"/>
        <v>0</v>
      </c>
      <c r="AN79" s="1006">
        <f t="shared" si="19"/>
        <v>6618.374411159577</v>
      </c>
      <c r="AO79" s="1006">
        <f t="shared" si="20"/>
        <v>313.43044446607416</v>
      </c>
      <c r="AP79" s="1019">
        <f t="shared" si="21"/>
        <v>208.95362964404944</v>
      </c>
      <c r="AQ79" s="99"/>
      <c r="AR79" s="1013">
        <v>501</v>
      </c>
      <c r="AS79" s="1007">
        <v>1</v>
      </c>
      <c r="AT79" s="1007">
        <f t="shared" si="22"/>
        <v>0.05</v>
      </c>
      <c r="AU79" s="1006">
        <f t="shared" si="23"/>
        <v>12.525</v>
      </c>
      <c r="AV79" s="1006">
        <f t="shared" si="24"/>
        <v>12.525</v>
      </c>
      <c r="AW79" s="1008">
        <f t="shared" si="25"/>
        <v>0</v>
      </c>
      <c r="AX79" s="1006">
        <f t="shared" si="49"/>
        <v>103.91325781250549</v>
      </c>
      <c r="AY79" s="1006">
        <f t="shared" si="52"/>
        <v>5.6511342579223198</v>
      </c>
      <c r="AZ79" s="1019">
        <f t="shared" si="50"/>
        <v>3.76742283861488</v>
      </c>
      <c r="BB79" s="317">
        <f t="shared" si="29"/>
        <v>450.90410732753236</v>
      </c>
      <c r="BC79" s="318">
        <f t="shared" si="30"/>
        <v>208.95362964404944</v>
      </c>
      <c r="BD79" s="1214">
        <f t="shared" si="51"/>
        <v>3.76742283861488</v>
      </c>
      <c r="BE79" s="318">
        <f t="shared" si="32"/>
        <v>663.62515981019658</v>
      </c>
      <c r="BF79" s="104">
        <v>0</v>
      </c>
      <c r="BG79" s="1205">
        <f t="shared" si="33"/>
        <v>663.62515981019658</v>
      </c>
      <c r="BI79" s="317">
        <f t="shared" si="34"/>
        <v>450.90410732753236</v>
      </c>
      <c r="BJ79" s="318">
        <f t="shared" si="35"/>
        <v>208.95362964404944</v>
      </c>
      <c r="BK79" s="1214">
        <f t="shared" si="36"/>
        <v>3.76742283861488</v>
      </c>
      <c r="BL79" s="318">
        <f t="shared" si="37"/>
        <v>663.62515981019658</v>
      </c>
      <c r="BM79" s="104">
        <v>0</v>
      </c>
      <c r="BN79" s="1205">
        <f t="shared" si="38"/>
        <v>663.62515981019658</v>
      </c>
    </row>
    <row r="80" spans="1:69">
      <c r="A80" s="941">
        <f>'Input data'!A111</f>
        <v>2011</v>
      </c>
      <c r="B80" s="989">
        <f>'Input data'!B111</f>
        <v>51.771000000000001</v>
      </c>
      <c r="C80" s="989">
        <f>'Baseline data (from input)'!B67</f>
        <v>540.11328347347217</v>
      </c>
      <c r="D80" s="990">
        <f>'Baseline data (from input)'!T67</f>
        <v>0.71617961202756764</v>
      </c>
      <c r="E80" s="990">
        <f t="shared" si="39"/>
        <v>0.19892488097366726</v>
      </c>
      <c r="F80" s="990">
        <f t="shared" si="40"/>
        <v>0.26585903447659598</v>
      </c>
      <c r="G80" s="990">
        <f t="shared" si="41"/>
        <v>8.9228108703258049E-2</v>
      </c>
      <c r="H80" s="990">
        <f t="shared" si="42"/>
        <v>0</v>
      </c>
      <c r="I80" s="990">
        <f t="shared" si="43"/>
        <v>0</v>
      </c>
      <c r="J80" s="990">
        <f t="shared" si="44"/>
        <v>0</v>
      </c>
      <c r="K80" s="990">
        <f t="shared" si="45"/>
        <v>0.4459879758464787</v>
      </c>
      <c r="L80" s="997">
        <f t="shared" si="46"/>
        <v>1</v>
      </c>
      <c r="M80" s="198"/>
      <c r="N80" s="1013">
        <f t="shared" si="48"/>
        <v>20025.960984172027</v>
      </c>
      <c r="O80" s="1007">
        <f>Parameters!R182</f>
        <v>0.73</v>
      </c>
      <c r="P80" s="1007">
        <f>E80*'MSW characteristics'!$B$28+'MSW characteristics'!$B$29*'4A SWD Case 1'!F80+'4A SWD Case 1'!G80*'MSW characteristics'!$B$30+'MSW characteristics'!$B$31*'4A SWD Case 1'!H80+'4A SWD Case 1'!I80*'MSW characteristics'!$B$32+'MSW characteristics'!$B$33*'4A SWD Case 1'!J80+'4A SWD Case 1'!K80*'MSW characteristics'!$B$35</f>
        <v>0.11870178252267252</v>
      </c>
      <c r="Q80" s="1006">
        <f t="shared" si="2"/>
        <v>867.64780192601017</v>
      </c>
      <c r="R80" s="1006">
        <f t="shared" si="3"/>
        <v>867.64780192601017</v>
      </c>
      <c r="S80" s="1008">
        <f t="shared" si="4"/>
        <v>0</v>
      </c>
      <c r="T80" s="1006">
        <f t="shared" si="5"/>
        <v>14287.676110238128</v>
      </c>
      <c r="U80" s="1006">
        <f t="shared" si="6"/>
        <v>688.05956476444135</v>
      </c>
      <c r="V80" s="1019">
        <f t="shared" si="7"/>
        <v>458.70637650962755</v>
      </c>
      <c r="W80" s="198"/>
      <c r="X80" s="1013">
        <f>'Baseline data (from input)'!AS67*'4A SWD Case 1'!$D$12</f>
        <v>7297.4213901873172</v>
      </c>
      <c r="Y80" s="1007">
        <f>Parameters!S182</f>
        <v>0.71500000000000008</v>
      </c>
      <c r="Z80" s="1007">
        <f t="shared" si="8"/>
        <v>0.2</v>
      </c>
      <c r="AA80" s="1006">
        <f t="shared" si="9"/>
        <v>521.76562939839334</v>
      </c>
      <c r="AB80" s="1006">
        <f t="shared" si="10"/>
        <v>521.76562939839334</v>
      </c>
      <c r="AC80" s="1008">
        <f t="shared" si="11"/>
        <v>0</v>
      </c>
      <c r="AD80" s="1006">
        <f t="shared" si="12"/>
        <v>6817.3581116559699</v>
      </c>
      <c r="AE80" s="1006">
        <f t="shared" si="13"/>
        <v>322.78192890200057</v>
      </c>
      <c r="AF80" s="1019">
        <f t="shared" si="14"/>
        <v>215.18795260133371</v>
      </c>
      <c r="AG80" s="99"/>
      <c r="AH80" s="1013">
        <f>'Baseline data (from input)'!AS67*'4A SWD Case 1'!$D$12</f>
        <v>7297.4213901873172</v>
      </c>
      <c r="AI80" s="1007">
        <f>Parameters!S182</f>
        <v>0.71500000000000008</v>
      </c>
      <c r="AJ80" s="1007">
        <f t="shared" si="15"/>
        <v>0.2</v>
      </c>
      <c r="AK80" s="1006">
        <f t="shared" si="16"/>
        <v>521.76562939839334</v>
      </c>
      <c r="AL80" s="1006">
        <f t="shared" si="17"/>
        <v>521.76562939839334</v>
      </c>
      <c r="AM80" s="1008">
        <f t="shared" si="18"/>
        <v>0</v>
      </c>
      <c r="AN80" s="1006">
        <f t="shared" si="19"/>
        <v>6817.3581116559699</v>
      </c>
      <c r="AO80" s="1006">
        <f t="shared" si="20"/>
        <v>322.78192890200057</v>
      </c>
      <c r="AP80" s="1019">
        <f t="shared" si="21"/>
        <v>215.18795260133371</v>
      </c>
      <c r="AQ80" s="99"/>
      <c r="AR80" s="1013">
        <v>501</v>
      </c>
      <c r="AS80" s="1007">
        <v>1</v>
      </c>
      <c r="AT80" s="1007">
        <f t="shared" si="22"/>
        <v>0.05</v>
      </c>
      <c r="AU80" s="1006">
        <f t="shared" si="23"/>
        <v>12.525</v>
      </c>
      <c r="AV80" s="1006">
        <f t="shared" si="24"/>
        <v>12.525</v>
      </c>
      <c r="AW80" s="1008">
        <f t="shared" si="25"/>
        <v>0</v>
      </c>
      <c r="AX80" s="1006">
        <f t="shared" si="49"/>
        <v>110.38682077701402</v>
      </c>
      <c r="AY80" s="1006">
        <f t="shared" si="52"/>
        <v>6.0514370354914675</v>
      </c>
      <c r="AZ80" s="1019">
        <f t="shared" si="50"/>
        <v>4.034291356994312</v>
      </c>
      <c r="BB80" s="317">
        <f t="shared" si="29"/>
        <v>458.70637650962755</v>
      </c>
      <c r="BC80" s="318">
        <f t="shared" si="30"/>
        <v>215.18795260133371</v>
      </c>
      <c r="BD80" s="1214">
        <f t="shared" si="51"/>
        <v>4.034291356994312</v>
      </c>
      <c r="BE80" s="318">
        <f t="shared" si="32"/>
        <v>677.92862046795562</v>
      </c>
      <c r="BF80" s="104">
        <v>0</v>
      </c>
      <c r="BG80" s="1205">
        <f t="shared" si="33"/>
        <v>677.92862046795562</v>
      </c>
      <c r="BI80" s="317">
        <f t="shared" si="34"/>
        <v>458.70637650962755</v>
      </c>
      <c r="BJ80" s="318">
        <f t="shared" si="35"/>
        <v>215.18795260133371</v>
      </c>
      <c r="BK80" s="1214">
        <f t="shared" si="36"/>
        <v>4.034291356994312</v>
      </c>
      <c r="BL80" s="318">
        <f t="shared" si="37"/>
        <v>677.92862046795562</v>
      </c>
      <c r="BM80" s="104">
        <v>0</v>
      </c>
      <c r="BN80" s="1205">
        <f t="shared" si="38"/>
        <v>677.92862046795562</v>
      </c>
    </row>
    <row r="81" spans="1:66">
      <c r="A81" s="941">
        <f>'Input data'!A112</f>
        <v>2012</v>
      </c>
      <c r="B81" s="989">
        <f>'Input data'!B112</f>
        <v>52.325000000000003</v>
      </c>
      <c r="C81" s="989">
        <f>'Baseline data (from input)'!B68</f>
        <v>520.80492521020824</v>
      </c>
      <c r="D81" s="990">
        <f>'Baseline data (from input)'!T68</f>
        <v>0.67426941804135143</v>
      </c>
      <c r="E81" s="990">
        <f t="shared" si="39"/>
        <v>0.19892488097366726</v>
      </c>
      <c r="F81" s="990">
        <f t="shared" si="40"/>
        <v>0.26585903447659598</v>
      </c>
      <c r="G81" s="990">
        <f t="shared" si="41"/>
        <v>8.9228108703258049E-2</v>
      </c>
      <c r="H81" s="990">
        <f t="shared" si="42"/>
        <v>0</v>
      </c>
      <c r="I81" s="990">
        <f t="shared" si="43"/>
        <v>0</v>
      </c>
      <c r="J81" s="990">
        <f t="shared" si="44"/>
        <v>0</v>
      </c>
      <c r="K81" s="990">
        <f t="shared" si="45"/>
        <v>0.4459879758464787</v>
      </c>
      <c r="L81" s="997">
        <f t="shared" si="46"/>
        <v>1</v>
      </c>
      <c r="M81" s="198"/>
      <c r="N81" s="1013">
        <f t="shared" si="48"/>
        <v>18374.59528039318</v>
      </c>
      <c r="O81" s="1007">
        <f>Parameters!R183</f>
        <v>0.73</v>
      </c>
      <c r="P81" s="1007">
        <f>E81*'MSW characteristics'!$B$28+'MSW characteristics'!$B$29*'4A SWD Case 1'!F81+'4A SWD Case 1'!G81*'MSW characteristics'!$B$30+'MSW characteristics'!$B$31*'4A SWD Case 1'!H81+'4A SWD Case 1'!I81*'MSW characteristics'!$B$32+'MSW characteristics'!$B$33*'4A SWD Case 1'!J81+'4A SWD Case 1'!K81*'MSW characteristics'!$B$35</f>
        <v>0.11870178252267252</v>
      </c>
      <c r="Q81" s="1006">
        <f t="shared" si="2"/>
        <v>796.10048271410494</v>
      </c>
      <c r="R81" s="1006">
        <f t="shared" si="3"/>
        <v>796.10048271410494</v>
      </c>
      <c r="S81" s="1008">
        <f t="shared" si="4"/>
        <v>0</v>
      </c>
      <c r="T81" s="1006">
        <f t="shared" si="5"/>
        <v>14386.958406508518</v>
      </c>
      <c r="U81" s="1006">
        <f t="shared" si="6"/>
        <v>696.81818644371333</v>
      </c>
      <c r="V81" s="1019">
        <f t="shared" si="7"/>
        <v>464.54545762914222</v>
      </c>
      <c r="W81" s="198"/>
      <c r="X81" s="1013">
        <f>'Baseline data (from input)'!AS68*'4A SWD Case 1'!$D$12</f>
        <v>7458.9778839068131</v>
      </c>
      <c r="Y81" s="1007">
        <f>Parameters!S183</f>
        <v>0.71500000000000008</v>
      </c>
      <c r="Z81" s="1007">
        <f t="shared" si="8"/>
        <v>0.2</v>
      </c>
      <c r="AA81" s="1006">
        <f t="shared" si="9"/>
        <v>533.31691869933729</v>
      </c>
      <c r="AB81" s="1006">
        <f t="shared" si="10"/>
        <v>533.31691869933729</v>
      </c>
      <c r="AC81" s="1008">
        <f t="shared" si="11"/>
        <v>0</v>
      </c>
      <c r="AD81" s="1006">
        <f t="shared" si="12"/>
        <v>7018.1885518651197</v>
      </c>
      <c r="AE81" s="1006">
        <f t="shared" si="13"/>
        <v>332.48647849018721</v>
      </c>
      <c r="AF81" s="1019">
        <f t="shared" si="14"/>
        <v>221.65765232679146</v>
      </c>
      <c r="AG81" s="99"/>
      <c r="AH81" s="1013">
        <f>'Baseline data (from input)'!AS68*'4A SWD Case 1'!$D$12</f>
        <v>7458.9778839068131</v>
      </c>
      <c r="AI81" s="1007">
        <f>Parameters!S183</f>
        <v>0.71500000000000008</v>
      </c>
      <c r="AJ81" s="1007">
        <f t="shared" si="15"/>
        <v>0.2</v>
      </c>
      <c r="AK81" s="1006">
        <f t="shared" si="16"/>
        <v>533.31691869933729</v>
      </c>
      <c r="AL81" s="1006">
        <f t="shared" si="17"/>
        <v>533.31691869933729</v>
      </c>
      <c r="AM81" s="1008">
        <f t="shared" si="18"/>
        <v>0</v>
      </c>
      <c r="AN81" s="1006">
        <f t="shared" si="19"/>
        <v>7018.1885518651197</v>
      </c>
      <c r="AO81" s="1006">
        <f t="shared" si="20"/>
        <v>332.48647849018721</v>
      </c>
      <c r="AP81" s="1019">
        <f t="shared" si="21"/>
        <v>221.65765232679146</v>
      </c>
      <c r="AQ81" s="99"/>
      <c r="AR81" s="1013">
        <v>501</v>
      </c>
      <c r="AS81" s="1007">
        <v>1</v>
      </c>
      <c r="AT81" s="1007">
        <f t="shared" si="22"/>
        <v>0.05</v>
      </c>
      <c r="AU81" s="1006">
        <f t="shared" si="23"/>
        <v>12.525</v>
      </c>
      <c r="AV81" s="1006">
        <f t="shared" si="24"/>
        <v>12.525</v>
      </c>
      <c r="AW81" s="1008">
        <f t="shared" si="25"/>
        <v>0</v>
      </c>
      <c r="AX81" s="1006">
        <f t="shared" si="49"/>
        <v>116.48339278291267</v>
      </c>
      <c r="AY81" s="1006">
        <f t="shared" si="52"/>
        <v>6.428427994101356</v>
      </c>
      <c r="AZ81" s="1019">
        <f t="shared" si="50"/>
        <v>4.2856186627342376</v>
      </c>
      <c r="BB81" s="317">
        <f t="shared" si="29"/>
        <v>464.54545762914222</v>
      </c>
      <c r="BC81" s="318">
        <f t="shared" si="30"/>
        <v>221.65765232679146</v>
      </c>
      <c r="BD81" s="1214">
        <f t="shared" si="51"/>
        <v>4.2856186627342376</v>
      </c>
      <c r="BE81" s="318">
        <f t="shared" si="32"/>
        <v>690.48872861866789</v>
      </c>
      <c r="BF81" s="104">
        <v>0</v>
      </c>
      <c r="BG81" s="1205">
        <f t="shared" si="33"/>
        <v>690.48872861866789</v>
      </c>
      <c r="BI81" s="317">
        <f t="shared" si="34"/>
        <v>464.54545762914222</v>
      </c>
      <c r="BJ81" s="318">
        <f t="shared" si="35"/>
        <v>221.65765232679146</v>
      </c>
      <c r="BK81" s="1214">
        <f t="shared" si="36"/>
        <v>4.2856186627342376</v>
      </c>
      <c r="BL81" s="318">
        <f t="shared" si="37"/>
        <v>690.48872861866789</v>
      </c>
      <c r="BM81" s="104">
        <v>0</v>
      </c>
      <c r="BN81" s="1205">
        <f t="shared" si="38"/>
        <v>690.48872861866789</v>
      </c>
    </row>
    <row r="82" spans="1:66">
      <c r="A82" s="941">
        <f>'Input data'!A113</f>
        <v>2013</v>
      </c>
      <c r="B82" s="989">
        <f>'Input data'!B113</f>
        <v>53.103999999999999</v>
      </c>
      <c r="C82" s="989">
        <f>'Baseline data (from input)'!B69</f>
        <v>501.49656694694431</v>
      </c>
      <c r="D82" s="990">
        <f>'Baseline data (from input)'!T69</f>
        <v>0.63235922405513523</v>
      </c>
      <c r="E82" s="990">
        <f t="shared" si="39"/>
        <v>0.19892488097366726</v>
      </c>
      <c r="F82" s="990">
        <f t="shared" si="40"/>
        <v>0.26585903447659598</v>
      </c>
      <c r="G82" s="990">
        <f t="shared" si="41"/>
        <v>8.9228108703258049E-2</v>
      </c>
      <c r="H82" s="990">
        <f t="shared" si="42"/>
        <v>0</v>
      </c>
      <c r="I82" s="990">
        <f t="shared" si="43"/>
        <v>0</v>
      </c>
      <c r="J82" s="990">
        <f t="shared" si="44"/>
        <v>0</v>
      </c>
      <c r="K82" s="990">
        <f t="shared" si="45"/>
        <v>0.4459879758464787</v>
      </c>
      <c r="L82" s="997">
        <f t="shared" si="46"/>
        <v>1</v>
      </c>
      <c r="M82" s="198"/>
      <c r="N82" s="1013">
        <f t="shared" si="48"/>
        <v>16840.658038780697</v>
      </c>
      <c r="O82" s="1007">
        <f>Parameters!R184</f>
        <v>0.73</v>
      </c>
      <c r="P82" s="1007">
        <f>E82*'MSW characteristics'!$B$28+'MSW characteristics'!$B$29*'4A SWD Case 1'!F82+'4A SWD Case 1'!G82*'MSW characteristics'!$B$30+'MSW characteristics'!$B$31*'4A SWD Case 1'!H82+'4A SWD Case 1'!I82*'MSW characteristics'!$B$32+'MSW characteristics'!$B$33*'4A SWD Case 1'!J82+'4A SWD Case 1'!K82*'MSW characteristics'!$B$35</f>
        <v>0.11870178252267252</v>
      </c>
      <c r="Q82" s="1006">
        <f t="shared" si="2"/>
        <v>729.64088674118568</v>
      </c>
      <c r="R82" s="1006">
        <f t="shared" si="3"/>
        <v>729.64088674118568</v>
      </c>
      <c r="S82" s="1008">
        <f t="shared" si="4"/>
        <v>0</v>
      </c>
      <c r="T82" s="1006">
        <f t="shared" si="5"/>
        <v>14414.939052079993</v>
      </c>
      <c r="U82" s="1006">
        <f t="shared" si="6"/>
        <v>701.66024116971084</v>
      </c>
      <c r="V82" s="1019">
        <f t="shared" si="7"/>
        <v>467.77349411314054</v>
      </c>
      <c r="W82" s="198"/>
      <c r="X82" s="1013">
        <f>'Baseline data (from input)'!AS69*'4A SWD Case 1'!$D$12</f>
        <v>7643.7780706987032</v>
      </c>
      <c r="Y82" s="1007">
        <f>Parameters!S184</f>
        <v>0.71500000000000008</v>
      </c>
      <c r="Z82" s="1007">
        <f t="shared" si="8"/>
        <v>0.2</v>
      </c>
      <c r="AA82" s="1006">
        <f t="shared" si="9"/>
        <v>546.53013205495745</v>
      </c>
      <c r="AB82" s="1006">
        <f t="shared" si="10"/>
        <v>546.53013205495745</v>
      </c>
      <c r="AC82" s="1008">
        <f t="shared" si="11"/>
        <v>0</v>
      </c>
      <c r="AD82" s="1006">
        <f t="shared" si="12"/>
        <v>7222.437589283114</v>
      </c>
      <c r="AE82" s="1006">
        <f t="shared" si="13"/>
        <v>342.28109463696239</v>
      </c>
      <c r="AF82" s="1019">
        <f t="shared" si="14"/>
        <v>228.18739642464161</v>
      </c>
      <c r="AG82" s="99"/>
      <c r="AH82" s="1013">
        <f>'Baseline data (from input)'!AS69*'4A SWD Case 1'!$D$12</f>
        <v>7643.7780706987032</v>
      </c>
      <c r="AI82" s="1007">
        <f>Parameters!S184</f>
        <v>0.71500000000000008</v>
      </c>
      <c r="AJ82" s="1007">
        <f t="shared" si="15"/>
        <v>0.2</v>
      </c>
      <c r="AK82" s="1006">
        <f t="shared" si="16"/>
        <v>546.53013205495745</v>
      </c>
      <c r="AL82" s="1006">
        <f t="shared" si="17"/>
        <v>546.53013205495745</v>
      </c>
      <c r="AM82" s="1008">
        <f t="shared" si="18"/>
        <v>0</v>
      </c>
      <c r="AN82" s="1006">
        <f t="shared" si="19"/>
        <v>7222.437589283114</v>
      </c>
      <c r="AO82" s="1006">
        <f t="shared" si="20"/>
        <v>342.28109463696239</v>
      </c>
      <c r="AP82" s="1019">
        <f t="shared" si="21"/>
        <v>228.18739642464161</v>
      </c>
      <c r="AQ82" s="99"/>
      <c r="AR82" s="1013">
        <v>501</v>
      </c>
      <c r="AS82" s="1007">
        <v>1</v>
      </c>
      <c r="AT82" s="1007">
        <f t="shared" si="22"/>
        <v>0.05</v>
      </c>
      <c r="AU82" s="1006">
        <f t="shared" si="23"/>
        <v>12.525</v>
      </c>
      <c r="AV82" s="1006">
        <f t="shared" si="24"/>
        <v>12.525</v>
      </c>
      <c r="AW82" s="1008">
        <f t="shared" si="25"/>
        <v>0</v>
      </c>
      <c r="AX82" s="1006">
        <f t="shared" si="49"/>
        <v>122.2249280745106</v>
      </c>
      <c r="AY82" s="1006">
        <f t="shared" si="52"/>
        <v>6.783464708402076</v>
      </c>
      <c r="AZ82" s="1019">
        <f t="shared" si="50"/>
        <v>4.5223098056013837</v>
      </c>
      <c r="BB82" s="317">
        <f t="shared" si="29"/>
        <v>467.77349411314054</v>
      </c>
      <c r="BC82" s="318">
        <f t="shared" si="30"/>
        <v>228.18739642464161</v>
      </c>
      <c r="BD82" s="1214">
        <f t="shared" si="51"/>
        <v>4.5223098056013837</v>
      </c>
      <c r="BE82" s="318">
        <f t="shared" si="32"/>
        <v>700.48320034338349</v>
      </c>
      <c r="BF82" s="104">
        <v>0</v>
      </c>
      <c r="BG82" s="1205">
        <f t="shared" si="33"/>
        <v>700.48320034338349</v>
      </c>
      <c r="BI82" s="317">
        <f t="shared" si="34"/>
        <v>467.77349411314054</v>
      </c>
      <c r="BJ82" s="318">
        <f t="shared" si="35"/>
        <v>228.18739642464161</v>
      </c>
      <c r="BK82" s="1214">
        <f t="shared" si="36"/>
        <v>4.5223098056013837</v>
      </c>
      <c r="BL82" s="318">
        <f t="shared" si="37"/>
        <v>700.48320034338349</v>
      </c>
      <c r="BM82" s="104">
        <v>0</v>
      </c>
      <c r="BN82" s="1205">
        <f t="shared" si="38"/>
        <v>700.48320034338349</v>
      </c>
    </row>
    <row r="83" spans="1:66">
      <c r="A83" s="941">
        <f>'Input data'!A114</f>
        <v>2014</v>
      </c>
      <c r="B83" s="989">
        <f>'Input data'!B114</f>
        <v>53.911999999999999</v>
      </c>
      <c r="C83" s="989">
        <f>'Baseline data (from input)'!B70</f>
        <v>482.18820868368039</v>
      </c>
      <c r="D83" s="990">
        <f>'Baseline data (from input)'!T70</f>
        <v>0.59044903006891902</v>
      </c>
      <c r="E83" s="990">
        <f t="shared" si="39"/>
        <v>0.19892488097366726</v>
      </c>
      <c r="F83" s="990">
        <f t="shared" si="40"/>
        <v>0.26585903447659598</v>
      </c>
      <c r="G83" s="990">
        <f t="shared" si="41"/>
        <v>8.9228108703258049E-2</v>
      </c>
      <c r="H83" s="990">
        <f t="shared" si="42"/>
        <v>0</v>
      </c>
      <c r="I83" s="990">
        <f t="shared" si="43"/>
        <v>0</v>
      </c>
      <c r="J83" s="990">
        <f t="shared" si="44"/>
        <v>0</v>
      </c>
      <c r="K83" s="990">
        <f t="shared" si="45"/>
        <v>0.4459879758464787</v>
      </c>
      <c r="L83" s="997">
        <f t="shared" si="46"/>
        <v>1</v>
      </c>
      <c r="M83" s="198"/>
      <c r="N83" s="1013">
        <f t="shared" ref="N83:N119" si="53">B83*C83*D83</f>
        <v>15349.153981617965</v>
      </c>
      <c r="O83" s="1007">
        <f>Parameters!R185</f>
        <v>0.73</v>
      </c>
      <c r="P83" s="1007">
        <f>E83*'MSW characteristics'!$B$28+'MSW characteristics'!$B$29*'4A SWD Case 1'!F83+'4A SWD Case 1'!G83*'MSW characteristics'!$B$30+'MSW characteristics'!$B$31*'4A SWD Case 1'!H83+'4A SWD Case 1'!I83*'MSW characteristics'!$B$32+'MSW characteristics'!$B$33*'4A SWD Case 1'!J83+'4A SWD Case 1'!K83*'MSW characteristics'!$B$35</f>
        <v>0.11870178252267252</v>
      </c>
      <c r="Q83" s="1006">
        <f t="shared" si="2"/>
        <v>665.01975730905542</v>
      </c>
      <c r="R83" s="1006">
        <f t="shared" si="3"/>
        <v>665.01975730905542</v>
      </c>
      <c r="S83" s="1008">
        <f t="shared" si="4"/>
        <v>0</v>
      </c>
      <c r="T83" s="1006">
        <f t="shared" si="5"/>
        <v>14376.933936031975</v>
      </c>
      <c r="U83" s="1006">
        <f t="shared" si="6"/>
        <v>703.02487335707326</v>
      </c>
      <c r="V83" s="1019">
        <f t="shared" si="7"/>
        <v>468.68324890471553</v>
      </c>
      <c r="W83" s="198"/>
      <c r="X83" s="1013">
        <f>'Baseline data (from input)'!AS70*'4A SWD Case 1'!$D$12</f>
        <v>7787.333969742368</v>
      </c>
      <c r="Y83" s="1007">
        <f>Parameters!S185</f>
        <v>0.71500000000000008</v>
      </c>
      <c r="Z83" s="1007">
        <f t="shared" si="8"/>
        <v>0.2</v>
      </c>
      <c r="AA83" s="1006">
        <f t="shared" si="9"/>
        <v>556.79437883657943</v>
      </c>
      <c r="AB83" s="1006">
        <f t="shared" si="10"/>
        <v>556.79437883657943</v>
      </c>
      <c r="AC83" s="1008">
        <f t="shared" si="11"/>
        <v>0</v>
      </c>
      <c r="AD83" s="1006">
        <f t="shared" si="12"/>
        <v>7426.9895303826797</v>
      </c>
      <c r="AE83" s="1006">
        <f t="shared" si="13"/>
        <v>352.24243773701318</v>
      </c>
      <c r="AF83" s="1019">
        <f t="shared" si="14"/>
        <v>234.82829182467546</v>
      </c>
      <c r="AG83" s="99"/>
      <c r="AH83" s="1013">
        <f>'Baseline data (from input)'!AS70*'4A SWD Case 1'!$D$12</f>
        <v>7787.333969742368</v>
      </c>
      <c r="AI83" s="1007">
        <f>Parameters!S185</f>
        <v>0.71500000000000008</v>
      </c>
      <c r="AJ83" s="1007">
        <f t="shared" si="15"/>
        <v>0.2</v>
      </c>
      <c r="AK83" s="1006">
        <f t="shared" si="16"/>
        <v>556.79437883657943</v>
      </c>
      <c r="AL83" s="1006">
        <f t="shared" si="17"/>
        <v>556.79437883657943</v>
      </c>
      <c r="AM83" s="1008">
        <f t="shared" si="18"/>
        <v>0</v>
      </c>
      <c r="AN83" s="1006">
        <f t="shared" si="19"/>
        <v>7426.9895303826797</v>
      </c>
      <c r="AO83" s="1006">
        <f t="shared" si="20"/>
        <v>352.24243773701318</v>
      </c>
      <c r="AP83" s="1019">
        <f t="shared" si="21"/>
        <v>234.82829182467546</v>
      </c>
      <c r="AQ83" s="99"/>
      <c r="AR83" s="1013">
        <v>501</v>
      </c>
      <c r="AS83" s="1007">
        <v>1</v>
      </c>
      <c r="AT83" s="1007">
        <f t="shared" si="22"/>
        <v>0.05</v>
      </c>
      <c r="AU83" s="1006">
        <f t="shared" si="23"/>
        <v>12.525</v>
      </c>
      <c r="AV83" s="1006">
        <f t="shared" si="24"/>
        <v>12.525</v>
      </c>
      <c r="AW83" s="1008">
        <f t="shared" si="25"/>
        <v>0</v>
      </c>
      <c r="AX83" s="1006">
        <f t="shared" si="49"/>
        <v>127.63210238045983</v>
      </c>
      <c r="AY83" s="1006">
        <f t="shared" si="52"/>
        <v>7.1178256940507776</v>
      </c>
      <c r="AZ83" s="1019">
        <f t="shared" si="50"/>
        <v>4.7452171293671848</v>
      </c>
      <c r="BB83" s="317">
        <f t="shared" si="29"/>
        <v>468.68324890471553</v>
      </c>
      <c r="BC83" s="318">
        <f t="shared" si="30"/>
        <v>234.82829182467546</v>
      </c>
      <c r="BD83" s="1214">
        <f t="shared" si="51"/>
        <v>4.7452171293671848</v>
      </c>
      <c r="BE83" s="318">
        <f t="shared" ref="BE83:BE119" si="54">SUM(BB83:BD83)</f>
        <v>708.25675785875819</v>
      </c>
      <c r="BF83" s="104">
        <v>0</v>
      </c>
      <c r="BG83" s="1205">
        <f t="shared" si="33"/>
        <v>708.25675785875819</v>
      </c>
      <c r="BI83" s="317">
        <f t="shared" si="34"/>
        <v>468.68324890471553</v>
      </c>
      <c r="BJ83" s="318">
        <f t="shared" si="35"/>
        <v>234.82829182467546</v>
      </c>
      <c r="BK83" s="1214">
        <f t="shared" si="36"/>
        <v>4.7452171293671848</v>
      </c>
      <c r="BL83" s="318">
        <f t="shared" ref="BL83:BL119" si="55">SUM(BI83:BK83)</f>
        <v>708.25675785875819</v>
      </c>
      <c r="BM83" s="104">
        <v>0</v>
      </c>
      <c r="BN83" s="1205">
        <f t="shared" si="38"/>
        <v>708.25675785875819</v>
      </c>
    </row>
    <row r="84" spans="1:66">
      <c r="A84" s="941">
        <f>'Input data'!A115</f>
        <v>2015</v>
      </c>
      <c r="B84" s="989">
        <f>'Input data'!B115</f>
        <v>54.75</v>
      </c>
      <c r="C84" s="989">
        <f>'Baseline data (from input)'!B71</f>
        <v>462.87985042041646</v>
      </c>
      <c r="D84" s="990">
        <f>'Baseline data (from input)'!T71</f>
        <v>0.54853883608270282</v>
      </c>
      <c r="E84" s="990">
        <f t="shared" si="39"/>
        <v>0.19892488097366726</v>
      </c>
      <c r="F84" s="990">
        <f t="shared" si="40"/>
        <v>0.26585903447659598</v>
      </c>
      <c r="G84" s="990">
        <f t="shared" si="41"/>
        <v>8.9228108703258049E-2</v>
      </c>
      <c r="H84" s="990">
        <f t="shared" si="42"/>
        <v>0</v>
      </c>
      <c r="I84" s="990">
        <f t="shared" si="43"/>
        <v>0</v>
      </c>
      <c r="J84" s="990">
        <f t="shared" si="44"/>
        <v>0</v>
      </c>
      <c r="K84" s="990">
        <f t="shared" si="45"/>
        <v>0.4459879758464787</v>
      </c>
      <c r="L84" s="997">
        <f t="shared" si="46"/>
        <v>1</v>
      </c>
      <c r="M84" s="198"/>
      <c r="N84" s="1013">
        <f t="shared" si="53"/>
        <v>13901.439698167358</v>
      </c>
      <c r="O84" s="1007">
        <f>Parameters!R186</f>
        <v>0.73</v>
      </c>
      <c r="P84" s="1007">
        <f>E84*'MSW characteristics'!$B$28+'MSW characteristics'!$B$29*'4A SWD Case 1'!F84+'4A SWD Case 1'!G84*'MSW characteristics'!$B$30+'MSW characteristics'!$B$31*'4A SWD Case 1'!H84+'4A SWD Case 1'!I84*'MSW characteristics'!$B$32+'MSW characteristics'!$B$33*'4A SWD Case 1'!J84+'4A SWD Case 1'!K84*'MSW characteristics'!$B$35</f>
        <v>0.11870178252267252</v>
      </c>
      <c r="Q84" s="1006">
        <f t="shared" ref="Q84:Q119" si="56">N84*P84*O84*$C$4</f>
        <v>602.29587020842644</v>
      </c>
      <c r="R84" s="1006">
        <f t="shared" ref="R84:R119" si="57">Q84*$C$10</f>
        <v>602.29587020842644</v>
      </c>
      <c r="S84" s="1008">
        <f t="shared" ref="S84:S119" si="58">Q84*(1-$C$10)</f>
        <v>0</v>
      </c>
      <c r="T84" s="1006">
        <f t="shared" ref="T84:T114" si="59">R84+(T83*$C$8)</f>
        <v>14278.058464264908</v>
      </c>
      <c r="U84" s="1006">
        <f t="shared" ref="U84:U119" si="60">S84+T83*(1-$C$8)</f>
        <v>701.17134197549422</v>
      </c>
      <c r="V84" s="1019">
        <f t="shared" ref="V84:V119" si="61">U84*16/12*$C$11</f>
        <v>467.44756131699614</v>
      </c>
      <c r="W84" s="198"/>
      <c r="X84" s="1013">
        <f>'Baseline data (from input)'!AS71*'4A SWD Case 1'!$D$12</f>
        <v>7886.5522594566928</v>
      </c>
      <c r="Y84" s="1007">
        <f>Parameters!S186</f>
        <v>0.71500000000000008</v>
      </c>
      <c r="Z84" s="1007">
        <f t="shared" ref="Z84:Z119" si="62">$D$3</f>
        <v>0.2</v>
      </c>
      <c r="AA84" s="1006">
        <f t="shared" ref="AA84:AA119" si="63">X84*Z84*Y84*$D$4</f>
        <v>563.88848655115362</v>
      </c>
      <c r="AB84" s="1006">
        <f t="shared" ref="AB84:AB119" si="64">AA84*$D$10</f>
        <v>563.88848655115362</v>
      </c>
      <c r="AC84" s="1008">
        <f t="shared" ref="AC84:AC119" si="65">AA84*(1-$D$10)</f>
        <v>0</v>
      </c>
      <c r="AD84" s="1006">
        <f t="shared" ref="AD84:AD119" si="66">AB84+(AD83*$D$8)</f>
        <v>7628.6594633098985</v>
      </c>
      <c r="AE84" s="1006">
        <f t="shared" ref="AE84:AE119" si="67">AC84+AD83*(1-$D$8)</f>
        <v>362.21855362393507</v>
      </c>
      <c r="AF84" s="1019">
        <f t="shared" ref="AF84:AF119" si="68">AE84*16/12*$D$11</f>
        <v>241.47903574929003</v>
      </c>
      <c r="AG84" s="99"/>
      <c r="AH84" s="1013">
        <f>'Baseline data (from input)'!AS71*'4A SWD Case 1'!$D$12</f>
        <v>7886.5522594566928</v>
      </c>
      <c r="AI84" s="1007">
        <f>Parameters!S186</f>
        <v>0.71500000000000008</v>
      </c>
      <c r="AJ84" s="1007">
        <f t="shared" ref="AJ84:AJ119" si="69">$D$3</f>
        <v>0.2</v>
      </c>
      <c r="AK84" s="1006">
        <f t="shared" ref="AK84:AK119" si="70">AH84*AJ84*AI84*$D$4</f>
        <v>563.88848655115362</v>
      </c>
      <c r="AL84" s="1006">
        <f t="shared" ref="AL84:AL119" si="71">AK84*$D$10</f>
        <v>563.88848655115362</v>
      </c>
      <c r="AM84" s="1008">
        <f t="shared" ref="AM84:AM119" si="72">AK84*(1-$D$10)</f>
        <v>0</v>
      </c>
      <c r="AN84" s="1006">
        <f t="shared" ref="AN84:AN119" si="73">AL84+(AN83*$D$8)</f>
        <v>7628.6594633098985</v>
      </c>
      <c r="AO84" s="1006">
        <f t="shared" ref="AO84:AO119" si="74">AM84+AN83*(1-$D$8)</f>
        <v>362.21855362393507</v>
      </c>
      <c r="AP84" s="1019">
        <f t="shared" ref="AP84:AP119" si="75">AO84*16/12*$D$11</f>
        <v>241.47903574929003</v>
      </c>
      <c r="AQ84" s="99"/>
      <c r="AR84" s="1013">
        <v>501</v>
      </c>
      <c r="AS84" s="1007">
        <v>1</v>
      </c>
      <c r="AT84" s="1007">
        <f t="shared" ref="AT84:AT119" si="76">$E$3</f>
        <v>0.05</v>
      </c>
      <c r="AU84" s="1006">
        <f t="shared" ref="AU84:AU119" si="77">AR84*AT84*AS84*$E$4</f>
        <v>12.525</v>
      </c>
      <c r="AV84" s="1006">
        <f t="shared" ref="AV84:AV119" si="78">AU84*$E$10</f>
        <v>12.525</v>
      </c>
      <c r="AW84" s="1008">
        <f t="shared" ref="AW84:AW119" si="79">AU84*(1-$C$10)</f>
        <v>0</v>
      </c>
      <c r="AX84" s="1006">
        <f t="shared" si="49"/>
        <v>132.72438736871084</v>
      </c>
      <c r="AY84" s="1006">
        <f t="shared" si="52"/>
        <v>7.4327150117489973</v>
      </c>
      <c r="AZ84" s="1019">
        <f t="shared" si="50"/>
        <v>4.9551433411659982</v>
      </c>
      <c r="BB84" s="317">
        <f t="shared" ref="BB84:BB119" si="80">V84</f>
        <v>467.44756131699614</v>
      </c>
      <c r="BC84" s="318">
        <f t="shared" ref="BC84:BC119" si="81">AF84</f>
        <v>241.47903574929003</v>
      </c>
      <c r="BD84" s="1214">
        <f t="shared" si="51"/>
        <v>4.9551433411659982</v>
      </c>
      <c r="BE84" s="318">
        <f t="shared" si="54"/>
        <v>713.88174040745218</v>
      </c>
      <c r="BF84" s="104">
        <v>0</v>
      </c>
      <c r="BG84" s="1205">
        <f t="shared" ref="BG84:BG119" si="82">BE84-BF84</f>
        <v>713.88174040745218</v>
      </c>
      <c r="BI84" s="317">
        <f t="shared" ref="BI84:BI119" si="83">V84</f>
        <v>467.44756131699614</v>
      </c>
      <c r="BJ84" s="318">
        <f t="shared" ref="BJ84:BJ119" si="84">AP84</f>
        <v>241.47903574929003</v>
      </c>
      <c r="BK84" s="1214">
        <f t="shared" ref="BK84:BK119" si="85">AZ84</f>
        <v>4.9551433411659982</v>
      </c>
      <c r="BL84" s="318">
        <f t="shared" si="55"/>
        <v>713.88174040745218</v>
      </c>
      <c r="BM84" s="104">
        <v>0</v>
      </c>
      <c r="BN84" s="1205">
        <f t="shared" ref="BN84:BN119" si="86">BL84-BM84</f>
        <v>713.88174040745218</v>
      </c>
    </row>
    <row r="85" spans="1:66">
      <c r="A85" s="941">
        <f>'Input data'!A116</f>
        <v>2016</v>
      </c>
      <c r="B85" s="989">
        <f>'Input data'!B116</f>
        <v>55.62</v>
      </c>
      <c r="C85" s="989">
        <f>'Baseline data (from input)'!B72</f>
        <v>443.57149215715253</v>
      </c>
      <c r="D85" s="990">
        <f>'Baseline data (from input)'!T72</f>
        <v>0.50662864209648661</v>
      </c>
      <c r="E85" s="990">
        <f t="shared" ref="E85:E86" si="87">E84</f>
        <v>0.19892488097366726</v>
      </c>
      <c r="F85" s="990">
        <f t="shared" ref="F85:F86" si="88">F84</f>
        <v>0.26585903447659598</v>
      </c>
      <c r="G85" s="990">
        <f t="shared" ref="G85:G86" si="89">G84</f>
        <v>8.9228108703258049E-2</v>
      </c>
      <c r="H85" s="990">
        <f t="shared" ref="H85:H86" si="90">H84</f>
        <v>0</v>
      </c>
      <c r="I85" s="990">
        <f t="shared" ref="I85:I86" si="91">I84</f>
        <v>0</v>
      </c>
      <c r="J85" s="990">
        <f t="shared" ref="J85:J86" si="92">J84</f>
        <v>0</v>
      </c>
      <c r="K85" s="990">
        <f t="shared" ref="K85:K86" si="93">K84</f>
        <v>0.4459879758464787</v>
      </c>
      <c r="L85" s="997">
        <f t="shared" ref="L85:L119" si="94">SUM(E85:K85)</f>
        <v>1</v>
      </c>
      <c r="M85" s="198"/>
      <c r="N85" s="1013">
        <f t="shared" si="53"/>
        <v>12499.261385037438</v>
      </c>
      <c r="O85" s="1007">
        <f>Parameters!R187</f>
        <v>0.73</v>
      </c>
      <c r="P85" s="1007">
        <f>E85*'MSW characteristics'!$B$28+'MSW characteristics'!$B$29*'4A SWD Case 1'!F85+'4A SWD Case 1'!G85*'MSW characteristics'!$B$30+'MSW characteristics'!$B$31*'4A SWD Case 1'!H85+'4A SWD Case 1'!I85*'MSW characteristics'!$B$32+'MSW characteristics'!$B$33*'4A SWD Case 1'!J85+'4A SWD Case 1'!K85*'MSW characteristics'!$B$35</f>
        <v>0.11870178252267252</v>
      </c>
      <c r="Q85" s="1006">
        <f t="shared" si="56"/>
        <v>541.54488141657464</v>
      </c>
      <c r="R85" s="1006">
        <f t="shared" si="57"/>
        <v>541.54488141657464</v>
      </c>
      <c r="S85" s="1008">
        <f t="shared" si="58"/>
        <v>0</v>
      </c>
      <c r="T85" s="1006">
        <f t="shared" si="59"/>
        <v>14123.254217366832</v>
      </c>
      <c r="U85" s="1006">
        <f t="shared" si="60"/>
        <v>696.34912831465101</v>
      </c>
      <c r="V85" s="1019">
        <f t="shared" si="61"/>
        <v>464.23275220976734</v>
      </c>
      <c r="W85" s="198"/>
      <c r="X85" s="1013">
        <f>'Baseline data (from input)'!AS72*'4A SWD Case 1'!$D$12</f>
        <v>7949.6302420316342</v>
      </c>
      <c r="Y85" s="1007">
        <f>Parameters!S187</f>
        <v>0.71500000000000008</v>
      </c>
      <c r="Z85" s="1007">
        <f t="shared" si="62"/>
        <v>0.2</v>
      </c>
      <c r="AA85" s="1006">
        <f t="shared" si="63"/>
        <v>568.39856230526198</v>
      </c>
      <c r="AB85" s="1006">
        <f t="shared" si="64"/>
        <v>568.39856230526198</v>
      </c>
      <c r="AC85" s="1008">
        <f t="shared" si="65"/>
        <v>0</v>
      </c>
      <c r="AD85" s="1006">
        <f t="shared" si="66"/>
        <v>7825.0039133014625</v>
      </c>
      <c r="AE85" s="1006">
        <f t="shared" si="67"/>
        <v>372.05411231369789</v>
      </c>
      <c r="AF85" s="1019">
        <f t="shared" si="68"/>
        <v>248.03607487579859</v>
      </c>
      <c r="AG85" s="99"/>
      <c r="AH85" s="1013">
        <f>'Baseline data (from input)'!AS72*'4A SWD Case 1'!$D$12</f>
        <v>7949.6302420316342</v>
      </c>
      <c r="AI85" s="1007">
        <f>Parameters!S187</f>
        <v>0.71500000000000008</v>
      </c>
      <c r="AJ85" s="1007">
        <f t="shared" si="69"/>
        <v>0.2</v>
      </c>
      <c r="AK85" s="1006">
        <f t="shared" si="70"/>
        <v>568.39856230526198</v>
      </c>
      <c r="AL85" s="1006">
        <f t="shared" si="71"/>
        <v>568.39856230526198</v>
      </c>
      <c r="AM85" s="1008">
        <f t="shared" si="72"/>
        <v>0</v>
      </c>
      <c r="AN85" s="1006">
        <f t="shared" si="73"/>
        <v>7825.0039133014625</v>
      </c>
      <c r="AO85" s="1006">
        <f t="shared" si="74"/>
        <v>372.05411231369789</v>
      </c>
      <c r="AP85" s="1019">
        <f t="shared" si="75"/>
        <v>248.03607487579859</v>
      </c>
      <c r="AQ85" s="99"/>
      <c r="AR85" s="1013">
        <v>501</v>
      </c>
      <c r="AS85" s="1007">
        <v>1</v>
      </c>
      <c r="AT85" s="1007">
        <f t="shared" si="76"/>
        <v>0.05</v>
      </c>
      <c r="AU85" s="1006">
        <f t="shared" si="77"/>
        <v>12.525</v>
      </c>
      <c r="AV85" s="1006">
        <f t="shared" si="78"/>
        <v>12.525</v>
      </c>
      <c r="AW85" s="1008">
        <f t="shared" si="79"/>
        <v>0</v>
      </c>
      <c r="AX85" s="1006">
        <f t="shared" si="49"/>
        <v>137.52012076554911</v>
      </c>
      <c r="AY85" s="1006">
        <f t="shared" si="52"/>
        <v>7.7292666031617232</v>
      </c>
      <c r="AZ85" s="1019">
        <f t="shared" si="50"/>
        <v>5.1528444021078155</v>
      </c>
      <c r="BB85" s="317">
        <f t="shared" si="80"/>
        <v>464.23275220976734</v>
      </c>
      <c r="BC85" s="318">
        <f t="shared" si="81"/>
        <v>248.03607487579859</v>
      </c>
      <c r="BD85" s="1214">
        <f t="shared" si="51"/>
        <v>5.1528444021078155</v>
      </c>
      <c r="BE85" s="318">
        <f t="shared" si="54"/>
        <v>717.42167148767373</v>
      </c>
      <c r="BF85" s="104">
        <v>0</v>
      </c>
      <c r="BG85" s="1205">
        <f t="shared" si="82"/>
        <v>717.42167148767373</v>
      </c>
      <c r="BI85" s="317">
        <f t="shared" si="83"/>
        <v>464.23275220976734</v>
      </c>
      <c r="BJ85" s="318">
        <f t="shared" si="84"/>
        <v>248.03607487579859</v>
      </c>
      <c r="BK85" s="1214">
        <f t="shared" si="85"/>
        <v>5.1528444021078155</v>
      </c>
      <c r="BL85" s="318">
        <f t="shared" si="55"/>
        <v>717.42167148767373</v>
      </c>
      <c r="BM85" s="104">
        <v>0</v>
      </c>
      <c r="BN85" s="1205">
        <f t="shared" si="86"/>
        <v>717.42167148767373</v>
      </c>
    </row>
    <row r="86" spans="1:66" ht="13.2" customHeight="1" thickBot="1">
      <c r="A86" s="998">
        <f>'Input data'!A117</f>
        <v>2017</v>
      </c>
      <c r="B86" s="999">
        <f>'Input data'!B117</f>
        <v>56.521999999999998</v>
      </c>
      <c r="C86" s="999">
        <f>'Baseline data (from input)'!B73</f>
        <v>424.26313389388866</v>
      </c>
      <c r="D86" s="1000">
        <f>'Baseline data (from input)'!T73</f>
        <v>0.46471844811027063</v>
      </c>
      <c r="E86" s="1000">
        <f t="shared" si="87"/>
        <v>0.19892488097366726</v>
      </c>
      <c r="F86" s="1000">
        <f t="shared" si="88"/>
        <v>0.26585903447659598</v>
      </c>
      <c r="G86" s="1000">
        <f t="shared" si="89"/>
        <v>8.9228108703258049E-2</v>
      </c>
      <c r="H86" s="1000">
        <f t="shared" si="90"/>
        <v>0</v>
      </c>
      <c r="I86" s="1000">
        <f t="shared" si="91"/>
        <v>0</v>
      </c>
      <c r="J86" s="1000">
        <f t="shared" si="92"/>
        <v>0</v>
      </c>
      <c r="K86" s="1000">
        <f t="shared" si="93"/>
        <v>0.4459879758464787</v>
      </c>
      <c r="L86" s="1001">
        <f t="shared" si="94"/>
        <v>1</v>
      </c>
      <c r="M86" s="198"/>
      <c r="N86" s="1014">
        <f t="shared" si="53"/>
        <v>11144.041726220405</v>
      </c>
      <c r="O86" s="1015">
        <f>Parameters!R188</f>
        <v>0.73</v>
      </c>
      <c r="P86" s="1015">
        <f>E86*'MSW characteristics'!$B$28+'MSW characteristics'!$B$29*'4A SWD Case 1'!F86+'4A SWD Case 1'!G86*'MSW characteristics'!$B$30+'MSW characteristics'!$B$31*'4A SWD Case 1'!H86+'4A SWD Case 1'!I86*'MSW characteristics'!$B$32+'MSW characteristics'!$B$33*'4A SWD Case 1'!J86+'4A SWD Case 1'!K86*'MSW characteristics'!$B$35</f>
        <v>0.11870178252267252</v>
      </c>
      <c r="Q86" s="1016">
        <f t="shared" si="56"/>
        <v>482.82843035443193</v>
      </c>
      <c r="R86" s="1016">
        <f t="shared" si="57"/>
        <v>482.82843035443193</v>
      </c>
      <c r="S86" s="1017">
        <f t="shared" si="58"/>
        <v>0</v>
      </c>
      <c r="T86" s="1016">
        <f t="shared" si="59"/>
        <v>13917.283411617565</v>
      </c>
      <c r="U86" s="1016">
        <f t="shared" si="60"/>
        <v>688.79923610369826</v>
      </c>
      <c r="V86" s="1020">
        <f t="shared" si="61"/>
        <v>459.19949073579886</v>
      </c>
      <c r="W86" s="198"/>
      <c r="X86" s="1013">
        <f>'Baseline data (from input)'!AS73*'4A SWD Case 1'!$D$12</f>
        <v>8044.0281056153854</v>
      </c>
      <c r="Y86" s="1007">
        <f>Parameters!S188</f>
        <v>0.71500000000000008</v>
      </c>
      <c r="Z86" s="1007">
        <f t="shared" si="62"/>
        <v>0.2</v>
      </c>
      <c r="AA86" s="1006">
        <f t="shared" si="63"/>
        <v>575.14800955150008</v>
      </c>
      <c r="AB86" s="1006">
        <f t="shared" si="64"/>
        <v>575.14800955150008</v>
      </c>
      <c r="AC86" s="1008">
        <f t="shared" si="65"/>
        <v>0</v>
      </c>
      <c r="AD86" s="1006">
        <f t="shared" si="66"/>
        <v>8018.5219787170854</v>
      </c>
      <c r="AE86" s="1006">
        <f t="shared" si="67"/>
        <v>381.62994413587728</v>
      </c>
      <c r="AF86" s="1019">
        <f t="shared" si="68"/>
        <v>254.41996275725151</v>
      </c>
      <c r="AG86" s="99"/>
      <c r="AH86" s="1013">
        <f>'Baseline data (from input)'!AS73*'4A SWD Case 1'!$D$12</f>
        <v>8044.0281056153854</v>
      </c>
      <c r="AI86" s="1015">
        <f>Parameters!S188</f>
        <v>0.71500000000000008</v>
      </c>
      <c r="AJ86" s="1015">
        <f t="shared" si="69"/>
        <v>0.2</v>
      </c>
      <c r="AK86" s="1016">
        <f t="shared" si="70"/>
        <v>575.14800955150008</v>
      </c>
      <c r="AL86" s="1016">
        <f t="shared" si="71"/>
        <v>575.14800955150008</v>
      </c>
      <c r="AM86" s="1017">
        <f t="shared" si="72"/>
        <v>0</v>
      </c>
      <c r="AN86" s="1016">
        <f t="shared" si="73"/>
        <v>8018.5219787170854</v>
      </c>
      <c r="AO86" s="1016">
        <f t="shared" si="74"/>
        <v>381.62994413587728</v>
      </c>
      <c r="AP86" s="1020">
        <f t="shared" si="75"/>
        <v>254.41996275725151</v>
      </c>
      <c r="AQ86" s="99"/>
      <c r="AR86" s="1013">
        <v>501</v>
      </c>
      <c r="AS86" s="1007">
        <v>1</v>
      </c>
      <c r="AT86" s="1007">
        <f t="shared" si="76"/>
        <v>0.05</v>
      </c>
      <c r="AU86" s="1006">
        <f t="shared" si="77"/>
        <v>12.525</v>
      </c>
      <c r="AV86" s="1006">
        <f t="shared" si="78"/>
        <v>12.525</v>
      </c>
      <c r="AW86" s="1008">
        <f t="shared" si="79"/>
        <v>0</v>
      </c>
      <c r="AX86" s="1006">
        <f t="shared" si="49"/>
        <v>142.03657239121691</v>
      </c>
      <c r="AY86" s="1006">
        <f t="shared" si="52"/>
        <v>8.0085483743321948</v>
      </c>
      <c r="AZ86" s="1019">
        <f t="shared" si="50"/>
        <v>5.3390322495547968</v>
      </c>
      <c r="BB86" s="1039">
        <f t="shared" si="80"/>
        <v>459.19949073579886</v>
      </c>
      <c r="BC86" s="320">
        <f t="shared" si="81"/>
        <v>254.41996275725151</v>
      </c>
      <c r="BD86" s="1216">
        <f t="shared" si="51"/>
        <v>5.3390322495547968</v>
      </c>
      <c r="BE86" s="320">
        <f t="shared" si="54"/>
        <v>718.95848574260515</v>
      </c>
      <c r="BF86" s="163">
        <v>0</v>
      </c>
      <c r="BG86" s="1206">
        <f t="shared" si="82"/>
        <v>718.95848574260515</v>
      </c>
      <c r="BI86" s="1039">
        <f t="shared" si="83"/>
        <v>459.19949073579886</v>
      </c>
      <c r="BJ86" s="320">
        <f t="shared" si="84"/>
        <v>254.41996275725151</v>
      </c>
      <c r="BK86" s="1216">
        <f t="shared" si="85"/>
        <v>5.3390322495547968</v>
      </c>
      <c r="BL86" s="320">
        <f t="shared" si="55"/>
        <v>718.95848574260515</v>
      </c>
      <c r="BM86" s="163">
        <v>0</v>
      </c>
      <c r="BN86" s="1206">
        <f t="shared" si="86"/>
        <v>718.95848574260515</v>
      </c>
    </row>
    <row r="87" spans="1:66">
      <c r="A87" s="1049">
        <f>'Input data'!A118</f>
        <v>2018</v>
      </c>
      <c r="B87" s="942">
        <f>'Input data'!B118</f>
        <v>57.436</v>
      </c>
      <c r="C87" s="942">
        <f>'Recycling - Case 1'!AF98</f>
        <v>413.48982772620775</v>
      </c>
      <c r="D87" s="944">
        <f>'Recycling - Case 1'!AM98</f>
        <v>0.45206847792303823</v>
      </c>
      <c r="E87" s="944">
        <f>'Recycling - Case 1'!BE98</f>
        <v>0.23273791601409247</v>
      </c>
      <c r="F87" s="944">
        <f>'Recycling - Case 1'!BF98</f>
        <v>0.29892807109844727</v>
      </c>
      <c r="G87" s="944">
        <f>'Recycling - Case 1'!BG98</f>
        <v>6.0649154183622316E-2</v>
      </c>
      <c r="H87" s="944">
        <f>'Recycling - Case 1'!BH98</f>
        <v>0</v>
      </c>
      <c r="I87" s="944">
        <f>'Recycling - Case 1'!BI98</f>
        <v>0</v>
      </c>
      <c r="J87" s="944">
        <f>'Recycling - Case 1'!BJ98</f>
        <v>0</v>
      </c>
      <c r="K87" s="944">
        <f>'Recycling - Case 1'!BK98</f>
        <v>0.40768485870383786</v>
      </c>
      <c r="L87" s="945">
        <f t="shared" si="94"/>
        <v>0.99999999999999989</v>
      </c>
      <c r="M87" s="99"/>
      <c r="N87" s="1141">
        <f t="shared" si="53"/>
        <v>10736.265484877009</v>
      </c>
      <c r="O87" s="1142">
        <f>Parameters!R189</f>
        <v>0.74038461538461531</v>
      </c>
      <c r="P87" s="1143">
        <f>E87*'MSW characteristics'!$B$28+'MSW characteristics'!$B$29*'4A SWD Case 1'!F87+'4A SWD Case 1'!G87*'MSW characteristics'!$B$30+'MSW characteristics'!$B$31*'4A SWD Case 1'!H87+'4A SWD Case 1'!I87*'MSW characteristics'!$B$32+'MSW characteristics'!$B$33*'4A SWD Case 1'!J87+'4A SWD Case 1'!K87*'MSW characteristics'!$B$35</f>
        <v>0.11895596329525224</v>
      </c>
      <c r="Q87" s="958">
        <f t="shared" si="56"/>
        <v>472.78844147561387</v>
      </c>
      <c r="R87" s="958">
        <f t="shared" si="57"/>
        <v>472.78844147561387</v>
      </c>
      <c r="S87" s="959">
        <f t="shared" si="58"/>
        <v>0</v>
      </c>
      <c r="T87" s="958">
        <f t="shared" si="59"/>
        <v>13711.317931721924</v>
      </c>
      <c r="U87" s="958">
        <f t="shared" si="60"/>
        <v>678.75392137125493</v>
      </c>
      <c r="V87" s="1144">
        <f t="shared" si="61"/>
        <v>452.50261424750329</v>
      </c>
      <c r="W87" s="99"/>
      <c r="X87" s="1149">
        <f>'Recycling - Case 1'!AM138*'Recycling - Case 1'!C138</f>
        <v>6889.961896170511</v>
      </c>
      <c r="Y87" s="1150">
        <f>Parameters!S189</f>
        <v>0.71500000000000008</v>
      </c>
      <c r="Z87" s="1151">
        <f t="shared" si="62"/>
        <v>0.2</v>
      </c>
      <c r="AA87" s="1152">
        <f t="shared" si="63"/>
        <v>492.63227557619166</v>
      </c>
      <c r="AB87" s="1152">
        <f t="shared" si="64"/>
        <v>492.63227557619166</v>
      </c>
      <c r="AC87" s="1153">
        <f t="shared" si="65"/>
        <v>0</v>
      </c>
      <c r="AD87" s="1152">
        <f t="shared" si="66"/>
        <v>8120.0863227375721</v>
      </c>
      <c r="AE87" s="1152">
        <f t="shared" si="67"/>
        <v>391.06793155570563</v>
      </c>
      <c r="AF87" s="1154">
        <f t="shared" si="68"/>
        <v>260.71195437047044</v>
      </c>
      <c r="AG87" s="99"/>
      <c r="AH87" s="1149">
        <f>'Recycling - Case 1'!AM178*'Recycling - Case 1'!C178</f>
        <v>6889.961896170511</v>
      </c>
      <c r="AI87" s="1150">
        <f>Parameters!S189</f>
        <v>0.71500000000000008</v>
      </c>
      <c r="AJ87" s="1151">
        <f t="shared" si="69"/>
        <v>0.2</v>
      </c>
      <c r="AK87" s="1152">
        <f t="shared" si="70"/>
        <v>492.63227557619166</v>
      </c>
      <c r="AL87" s="1152">
        <f t="shared" si="71"/>
        <v>492.63227557619166</v>
      </c>
      <c r="AM87" s="1153">
        <f t="shared" si="72"/>
        <v>0</v>
      </c>
      <c r="AN87" s="1152">
        <f t="shared" si="73"/>
        <v>8120.0863227375721</v>
      </c>
      <c r="AO87" s="1152">
        <f t="shared" si="74"/>
        <v>391.06793155570563</v>
      </c>
      <c r="AP87" s="1154">
        <f t="shared" si="75"/>
        <v>260.71195437047044</v>
      </c>
      <c r="AQ87" s="99"/>
      <c r="AR87" s="1190">
        <f>'Recycling - Case 1'!G98</f>
        <v>513.23802109781525</v>
      </c>
      <c r="AS87" s="1191">
        <v>1</v>
      </c>
      <c r="AT87" s="1192">
        <f t="shared" si="76"/>
        <v>0.05</v>
      </c>
      <c r="AU87" s="1169">
        <f t="shared" si="77"/>
        <v>12.830950527445381</v>
      </c>
      <c r="AV87" s="1169">
        <f t="shared" si="78"/>
        <v>12.830950527445381</v>
      </c>
      <c r="AW87" s="1170">
        <f t="shared" si="79"/>
        <v>0</v>
      </c>
      <c r="AX87" s="1169">
        <f t="shared" si="49"/>
        <v>146.59595687736515</v>
      </c>
      <c r="AY87" s="1169">
        <f t="shared" si="52"/>
        <v>8.2715660412971381</v>
      </c>
      <c r="AZ87" s="1193">
        <f t="shared" si="50"/>
        <v>5.514377360864759</v>
      </c>
      <c r="BB87" s="1182">
        <f t="shared" si="80"/>
        <v>452.50261424750329</v>
      </c>
      <c r="BC87" s="1183">
        <f t="shared" si="81"/>
        <v>260.71195437047044</v>
      </c>
      <c r="BD87" s="1217">
        <f>AZ87</f>
        <v>5.514377360864759</v>
      </c>
      <c r="BE87" s="1183">
        <f t="shared" si="54"/>
        <v>718.72894597883851</v>
      </c>
      <c r="BF87" s="1184">
        <v>0</v>
      </c>
      <c r="BG87" s="1207">
        <f t="shared" si="82"/>
        <v>718.72894597883851</v>
      </c>
      <c r="BI87" s="1182">
        <f t="shared" si="83"/>
        <v>452.50261424750329</v>
      </c>
      <c r="BJ87" s="1183">
        <f t="shared" si="84"/>
        <v>260.71195437047044</v>
      </c>
      <c r="BK87" s="1217">
        <f t="shared" si="85"/>
        <v>5.514377360864759</v>
      </c>
      <c r="BL87" s="1183">
        <f t="shared" si="55"/>
        <v>718.72894597883851</v>
      </c>
      <c r="BM87" s="1184">
        <v>0</v>
      </c>
      <c r="BN87" s="1207">
        <f t="shared" si="86"/>
        <v>718.72894597883851</v>
      </c>
    </row>
    <row r="88" spans="1:66">
      <c r="A88" s="1050">
        <f>'Input data'!A119</f>
        <v>2019</v>
      </c>
      <c r="B88" s="946">
        <f>'Input data'!B119</f>
        <v>58.365000000000002</v>
      </c>
      <c r="C88" s="946">
        <f>'Recycling - Case 1'!AF99</f>
        <v>403.30588282793241</v>
      </c>
      <c r="D88" s="948">
        <f>'Recycling - Case 1'!AM99</f>
        <v>0.43941850773580582</v>
      </c>
      <c r="E88" s="948">
        <f>'Recycling - Case 1'!BE99</f>
        <v>0.22504398110902918</v>
      </c>
      <c r="F88" s="948">
        <f>'Recycling - Case 1'!BF99</f>
        <v>0.29313961689973789</v>
      </c>
      <c r="G88" s="948">
        <f>'Recycling - Case 1'!BG99</f>
        <v>6.23951206797922E-2</v>
      </c>
      <c r="H88" s="948">
        <f>'Recycling - Case 1'!BH99</f>
        <v>0</v>
      </c>
      <c r="I88" s="948">
        <f>'Recycling - Case 1'!BI99</f>
        <v>0</v>
      </c>
      <c r="J88" s="948">
        <f>'Recycling - Case 1'!BJ99</f>
        <v>0</v>
      </c>
      <c r="K88" s="948">
        <f>'Recycling - Case 1'!BK99</f>
        <v>0.41942128131144069</v>
      </c>
      <c r="L88" s="949">
        <f t="shared" si="94"/>
        <v>1</v>
      </c>
      <c r="M88" s="99"/>
      <c r="N88" s="960">
        <f t="shared" si="53"/>
        <v>10343.449338468228</v>
      </c>
      <c r="O88" s="955">
        <f>Parameters!R190</f>
        <v>0.75076923076923063</v>
      </c>
      <c r="P88" s="956">
        <f>E88*'MSW characteristics'!$B$28+'MSW characteristics'!$B$29*'4A SWD Case 1'!F88+'4A SWD Case 1'!G88*'MSW characteristics'!$B$30+'MSW characteristics'!$B$31*'4A SWD Case 1'!H88+'4A SWD Case 1'!I88*'MSW characteristics'!$B$32+'MSW characteristics'!$B$33*'4A SWD Case 1'!J88+'4A SWD Case 1'!K88*'MSW characteristics'!$B$35</f>
        <v>0.11734256881821883</v>
      </c>
      <c r="Q88" s="954">
        <f t="shared" si="56"/>
        <v>455.61441147590796</v>
      </c>
      <c r="R88" s="954">
        <f t="shared" si="57"/>
        <v>455.61441147590796</v>
      </c>
      <c r="S88" s="957">
        <f t="shared" si="58"/>
        <v>0</v>
      </c>
      <c r="T88" s="954">
        <f t="shared" si="59"/>
        <v>13498.223476814073</v>
      </c>
      <c r="U88" s="954">
        <f t="shared" si="60"/>
        <v>668.70886638375782</v>
      </c>
      <c r="V88" s="961">
        <f t="shared" si="61"/>
        <v>445.80591092250523</v>
      </c>
      <c r="W88" s="104"/>
      <c r="X88" s="1155">
        <f>'Recycling - Case 1'!AM139*'Recycling - Case 1'!C139</f>
        <v>5938.7735728034977</v>
      </c>
      <c r="Y88" s="1156">
        <f>Parameters!S190</f>
        <v>0.71500000000000008</v>
      </c>
      <c r="Z88" s="1157">
        <f t="shared" si="62"/>
        <v>0.2</v>
      </c>
      <c r="AA88" s="1158">
        <f t="shared" si="63"/>
        <v>424.62231045545013</v>
      </c>
      <c r="AB88" s="1158">
        <f t="shared" si="64"/>
        <v>424.62231045545013</v>
      </c>
      <c r="AC88" s="1159">
        <f t="shared" si="65"/>
        <v>0</v>
      </c>
      <c r="AD88" s="1158">
        <f t="shared" si="66"/>
        <v>8148.6873501292303</v>
      </c>
      <c r="AE88" s="1158">
        <f t="shared" si="67"/>
        <v>396.02128306379228</v>
      </c>
      <c r="AF88" s="1160">
        <f t="shared" si="68"/>
        <v>264.01418870919485</v>
      </c>
      <c r="AG88" s="99"/>
      <c r="AH88" s="1155">
        <f>'Recycling - Case 1'!AM179*'Recycling - Case 1'!C179</f>
        <v>5854.5433171041277</v>
      </c>
      <c r="AI88" s="1156">
        <f>Parameters!S190</f>
        <v>0.71500000000000008</v>
      </c>
      <c r="AJ88" s="1157">
        <f t="shared" si="69"/>
        <v>0.2</v>
      </c>
      <c r="AK88" s="1158">
        <f t="shared" si="70"/>
        <v>418.5998471729452</v>
      </c>
      <c r="AL88" s="1158">
        <f t="shared" si="71"/>
        <v>418.5998471729452</v>
      </c>
      <c r="AM88" s="1159">
        <f t="shared" si="72"/>
        <v>0</v>
      </c>
      <c r="AN88" s="1158">
        <f t="shared" si="73"/>
        <v>8142.6648868467255</v>
      </c>
      <c r="AO88" s="1158">
        <f t="shared" si="74"/>
        <v>396.02128306379228</v>
      </c>
      <c r="AP88" s="1160">
        <f t="shared" si="75"/>
        <v>264.01418870919485</v>
      </c>
      <c r="AQ88" s="99"/>
      <c r="AR88" s="1194">
        <f>'Recycling - Case 1'!G99</f>
        <v>525.7428112174747</v>
      </c>
      <c r="AS88" s="1195">
        <v>1</v>
      </c>
      <c r="AT88" s="1196">
        <f t="shared" si="76"/>
        <v>0.05</v>
      </c>
      <c r="AU88" s="1174">
        <f t="shared" si="77"/>
        <v>13.143570280436869</v>
      </c>
      <c r="AV88" s="1174">
        <f t="shared" si="78"/>
        <v>13.143570280436869</v>
      </c>
      <c r="AW88" s="1175">
        <f t="shared" si="79"/>
        <v>0</v>
      </c>
      <c r="AX88" s="1174">
        <f t="shared" si="49"/>
        <v>151.2024432343853</v>
      </c>
      <c r="AY88" s="1174">
        <f t="shared" si="52"/>
        <v>8.5370839234167217</v>
      </c>
      <c r="AZ88" s="1197">
        <f t="shared" si="50"/>
        <v>5.6913892822778145</v>
      </c>
      <c r="BB88" s="1185">
        <f t="shared" si="80"/>
        <v>445.80591092250523</v>
      </c>
      <c r="BC88" s="1186">
        <f t="shared" si="81"/>
        <v>264.01418870919485</v>
      </c>
      <c r="BD88" s="1218">
        <f t="shared" ref="BD88:BD119" si="95">AZ88</f>
        <v>5.6913892822778145</v>
      </c>
      <c r="BE88" s="1186">
        <f t="shared" si="54"/>
        <v>715.51148891397781</v>
      </c>
      <c r="BF88" s="167">
        <v>0</v>
      </c>
      <c r="BG88" s="1208">
        <f t="shared" si="82"/>
        <v>715.51148891397781</v>
      </c>
      <c r="BI88" s="1185">
        <f t="shared" si="83"/>
        <v>445.80591092250523</v>
      </c>
      <c r="BJ88" s="1186">
        <f t="shared" si="84"/>
        <v>264.01418870919485</v>
      </c>
      <c r="BK88" s="1218">
        <f t="shared" si="85"/>
        <v>5.6913892822778145</v>
      </c>
      <c r="BL88" s="1186">
        <f t="shared" si="55"/>
        <v>715.51148891397781</v>
      </c>
      <c r="BM88" s="167">
        <v>0</v>
      </c>
      <c r="BN88" s="1208">
        <f t="shared" si="86"/>
        <v>715.51148891397781</v>
      </c>
    </row>
    <row r="89" spans="1:66">
      <c r="A89" s="1050">
        <f>'Input data'!A120</f>
        <v>2020</v>
      </c>
      <c r="B89" s="946">
        <f>'Input data'!B120</f>
        <v>59.308999999999997</v>
      </c>
      <c r="C89" s="946">
        <f>'Recycling - Case 1'!AF100</f>
        <v>393.69903802408868</v>
      </c>
      <c r="D89" s="948">
        <f>'Recycling - Case 1'!AM100</f>
        <v>0.42676853754857341</v>
      </c>
      <c r="E89" s="948">
        <f>'Recycling - Case 1'!BE100</f>
        <v>0.2168939298851266</v>
      </c>
      <c r="F89" s="948">
        <f>'Recycling - Case 1'!BF100</f>
        <v>0.28700800819641364</v>
      </c>
      <c r="G89" s="948">
        <f>'Recycling - Case 1'!BG100</f>
        <v>6.4244592576108622E-2</v>
      </c>
      <c r="H89" s="948">
        <f>'Recycling - Case 1'!BH100</f>
        <v>0</v>
      </c>
      <c r="I89" s="948">
        <f>'Recycling - Case 1'!BI100</f>
        <v>0</v>
      </c>
      <c r="J89" s="948">
        <f>'Recycling - Case 1'!BJ100</f>
        <v>0</v>
      </c>
      <c r="K89" s="948">
        <f>'Recycling - Case 1'!BK100</f>
        <v>0.43185346934235136</v>
      </c>
      <c r="L89" s="949">
        <f t="shared" si="94"/>
        <v>1.0000000000000002</v>
      </c>
      <c r="M89" s="99"/>
      <c r="N89" s="960">
        <f t="shared" si="53"/>
        <v>9965.001072889183</v>
      </c>
      <c r="O89" s="955">
        <f>Parameters!R191</f>
        <v>0.76115384615384596</v>
      </c>
      <c r="P89" s="956">
        <f>E89*'MSW characteristics'!$B$28+'MSW characteristics'!$B$29*'4A SWD Case 1'!F89+'4A SWD Case 1'!G89*'MSW characteristics'!$B$30+'MSW characteristics'!$B$31*'4A SWD Case 1'!H89+'4A SWD Case 1'!I89*'MSW characteristics'!$B$32+'MSW characteristics'!$B$33*'4A SWD Case 1'!J89+'4A SWD Case 1'!K89*'MSW characteristics'!$B$35</f>
        <v>0.11563352815249517</v>
      </c>
      <c r="Q89" s="954">
        <f t="shared" si="56"/>
        <v>438.53430987096505</v>
      </c>
      <c r="R89" s="954">
        <f t="shared" si="57"/>
        <v>438.53430987096505</v>
      </c>
      <c r="S89" s="957">
        <f t="shared" si="58"/>
        <v>0</v>
      </c>
      <c r="T89" s="954">
        <f t="shared" si="59"/>
        <v>13278.441659502843</v>
      </c>
      <c r="U89" s="954">
        <f t="shared" si="60"/>
        <v>658.31612718219537</v>
      </c>
      <c r="V89" s="961">
        <f t="shared" si="61"/>
        <v>438.87741812146356</v>
      </c>
      <c r="W89" s="104"/>
      <c r="X89" s="1155">
        <f>'Recycling - Case 1'!AM140*'Recycling - Case 1'!C140</f>
        <v>4165.7588603656332</v>
      </c>
      <c r="Y89" s="1156">
        <f>Parameters!S191</f>
        <v>0.71500000000000008</v>
      </c>
      <c r="Z89" s="1157">
        <f t="shared" si="62"/>
        <v>0.2</v>
      </c>
      <c r="AA89" s="1158">
        <f t="shared" si="63"/>
        <v>297.85175851614281</v>
      </c>
      <c r="AB89" s="1158">
        <f t="shared" si="64"/>
        <v>297.85175851614281</v>
      </c>
      <c r="AC89" s="1159">
        <f t="shared" si="65"/>
        <v>0</v>
      </c>
      <c r="AD89" s="1158">
        <f t="shared" si="66"/>
        <v>8049.1229370158189</v>
      </c>
      <c r="AE89" s="1158">
        <f t="shared" si="67"/>
        <v>397.41617162955424</v>
      </c>
      <c r="AF89" s="1160">
        <f t="shared" si="68"/>
        <v>264.94411441970283</v>
      </c>
      <c r="AG89" s="104"/>
      <c r="AH89" s="1155">
        <f>'Recycling - Case 1'!AM180*'Recycling - Case 1'!C180</f>
        <v>3527.0550641036139</v>
      </c>
      <c r="AI89" s="1156">
        <f>Parameters!S191</f>
        <v>0.71500000000000008</v>
      </c>
      <c r="AJ89" s="1157">
        <f t="shared" si="69"/>
        <v>0.2</v>
      </c>
      <c r="AK89" s="1158">
        <f t="shared" si="70"/>
        <v>252.18443708340843</v>
      </c>
      <c r="AL89" s="1158">
        <f t="shared" si="71"/>
        <v>252.18443708340843</v>
      </c>
      <c r="AM89" s="1159">
        <f t="shared" si="72"/>
        <v>0</v>
      </c>
      <c r="AN89" s="1158">
        <f t="shared" si="73"/>
        <v>7997.7268713007907</v>
      </c>
      <c r="AO89" s="1158">
        <f t="shared" si="74"/>
        <v>397.12245262934317</v>
      </c>
      <c r="AP89" s="1160">
        <f t="shared" si="75"/>
        <v>264.74830175289543</v>
      </c>
      <c r="AQ89" s="104"/>
      <c r="AR89" s="1194">
        <f>'Recycling - Case 1'!G100</f>
        <v>538.51761122950779</v>
      </c>
      <c r="AS89" s="1195">
        <v>1</v>
      </c>
      <c r="AT89" s="1196">
        <f t="shared" si="76"/>
        <v>0.05</v>
      </c>
      <c r="AU89" s="1174">
        <f t="shared" si="77"/>
        <v>13.462940280737696</v>
      </c>
      <c r="AV89" s="1174">
        <f t="shared" si="78"/>
        <v>13.462940280737696</v>
      </c>
      <c r="AW89" s="1175">
        <f t="shared" si="79"/>
        <v>0</v>
      </c>
      <c r="AX89" s="1174">
        <f t="shared" si="49"/>
        <v>155.8600387101674</v>
      </c>
      <c r="AY89" s="1174">
        <f t="shared" si="52"/>
        <v>8.8053448049555847</v>
      </c>
      <c r="AZ89" s="1197">
        <f t="shared" si="50"/>
        <v>5.8702298699703901</v>
      </c>
      <c r="BB89" s="1185">
        <f t="shared" si="80"/>
        <v>438.87741812146356</v>
      </c>
      <c r="BC89" s="1186">
        <f t="shared" si="81"/>
        <v>264.94411441970283</v>
      </c>
      <c r="BD89" s="1218">
        <f t="shared" si="95"/>
        <v>5.8702298699703901</v>
      </c>
      <c r="BE89" s="1186">
        <f t="shared" si="54"/>
        <v>709.69176241113678</v>
      </c>
      <c r="BF89" s="167">
        <v>0</v>
      </c>
      <c r="BG89" s="1208">
        <f t="shared" si="82"/>
        <v>709.69176241113678</v>
      </c>
      <c r="BI89" s="1185">
        <f t="shared" si="83"/>
        <v>438.87741812146356</v>
      </c>
      <c r="BJ89" s="1186">
        <f t="shared" si="84"/>
        <v>264.74830175289543</v>
      </c>
      <c r="BK89" s="1218">
        <f t="shared" si="85"/>
        <v>5.8702298699703901</v>
      </c>
      <c r="BL89" s="1186">
        <f t="shared" si="55"/>
        <v>709.49594974432944</v>
      </c>
      <c r="BM89" s="167">
        <v>0</v>
      </c>
      <c r="BN89" s="1208">
        <f t="shared" si="86"/>
        <v>709.49594974432944</v>
      </c>
    </row>
    <row r="90" spans="1:66">
      <c r="A90" s="1050">
        <f>'Input data'!A121</f>
        <v>2021</v>
      </c>
      <c r="B90" s="946">
        <f>'Input data'!B121</f>
        <v>59.991999999999997</v>
      </c>
      <c r="C90" s="946">
        <f>'Recycling - Case 1'!AF101</f>
        <v>384.65899435319329</v>
      </c>
      <c r="D90" s="948">
        <f>'Recycling - Case 1'!AM101</f>
        <v>0.41411856736134106</v>
      </c>
      <c r="E90" s="948">
        <f>'Recycling - Case 1'!BE101</f>
        <v>0.20824596374925214</v>
      </c>
      <c r="F90" s="948">
        <f>'Recycling - Case 1'!BF101</f>
        <v>0.28050179823919702</v>
      </c>
      <c r="G90" s="948">
        <f>'Recycling - Case 1'!BG101</f>
        <v>6.6207055128698136E-2</v>
      </c>
      <c r="H90" s="948">
        <f>'Recycling - Case 1'!BH101</f>
        <v>0</v>
      </c>
      <c r="I90" s="948">
        <f>'Recycling - Case 1'!BI101</f>
        <v>0</v>
      </c>
      <c r="J90" s="948">
        <f>'Recycling - Case 1'!BJ101</f>
        <v>0</v>
      </c>
      <c r="K90" s="948">
        <f>'Recycling - Case 1'!BK101</f>
        <v>0.44504518288285239</v>
      </c>
      <c r="L90" s="949">
        <f t="shared" si="94"/>
        <v>0.99999999999999978</v>
      </c>
      <c r="M90" s="104"/>
      <c r="N90" s="960">
        <f t="shared" si="53"/>
        <v>9556.3915443986007</v>
      </c>
      <c r="O90" s="955">
        <f>Parameters!R192</f>
        <v>0.7715384615384614</v>
      </c>
      <c r="P90" s="956">
        <f>E90*'MSW characteristics'!$B$28+'MSW characteristics'!$B$29*'4A SWD Case 1'!F90+'4A SWD Case 1'!G90*'MSW characteristics'!$B$30+'MSW characteristics'!$B$31*'4A SWD Case 1'!H90+'4A SWD Case 1'!I90*'MSW characteristics'!$B$32+'MSW characteristics'!$B$33*'4A SWD Case 1'!J90+'4A SWD Case 1'!K90*'MSW characteristics'!$B$35</f>
        <v>0.11382007626170648</v>
      </c>
      <c r="Q90" s="954">
        <f t="shared" si="56"/>
        <v>419.60474692818696</v>
      </c>
      <c r="R90" s="954">
        <f t="shared" si="57"/>
        <v>419.60474692818696</v>
      </c>
      <c r="S90" s="957">
        <f t="shared" si="58"/>
        <v>0</v>
      </c>
      <c r="T90" s="954">
        <f t="shared" si="59"/>
        <v>13050.449164963384</v>
      </c>
      <c r="U90" s="954">
        <f t="shared" si="60"/>
        <v>647.59724146764768</v>
      </c>
      <c r="V90" s="961">
        <f t="shared" si="61"/>
        <v>431.73149431176512</v>
      </c>
      <c r="W90" s="104"/>
      <c r="X90" s="1155">
        <f>'Recycling - Case 1'!AM141*'Recycling - Case 1'!C141</f>
        <v>3667.8325808311351</v>
      </c>
      <c r="Y90" s="1156">
        <f>Parameters!S192</f>
        <v>0.71500000000000008</v>
      </c>
      <c r="Z90" s="1157">
        <f t="shared" si="62"/>
        <v>0.2</v>
      </c>
      <c r="AA90" s="1158">
        <f t="shared" si="63"/>
        <v>262.25002952942623</v>
      </c>
      <c r="AB90" s="1158">
        <f t="shared" si="64"/>
        <v>262.25002952942623</v>
      </c>
      <c r="AC90" s="1159">
        <f t="shared" si="65"/>
        <v>0</v>
      </c>
      <c r="AD90" s="1158">
        <f t="shared" si="66"/>
        <v>7918.81260864248</v>
      </c>
      <c r="AE90" s="1158">
        <f t="shared" si="67"/>
        <v>392.56035790276457</v>
      </c>
      <c r="AF90" s="1160">
        <f t="shared" si="68"/>
        <v>261.70690526850973</v>
      </c>
      <c r="AG90" s="104"/>
      <c r="AH90" s="1155">
        <f>'Recycling - Case 1'!AM181*'Recycling - Case 1'!C181</f>
        <v>3001.595621571375</v>
      </c>
      <c r="AI90" s="1156">
        <f>Parameters!S192</f>
        <v>0.71500000000000008</v>
      </c>
      <c r="AJ90" s="1157">
        <f t="shared" si="69"/>
        <v>0.2</v>
      </c>
      <c r="AK90" s="1158">
        <f t="shared" si="70"/>
        <v>214.61408694235334</v>
      </c>
      <c r="AL90" s="1158">
        <f t="shared" si="71"/>
        <v>214.61408694235334</v>
      </c>
      <c r="AM90" s="1159">
        <f t="shared" si="72"/>
        <v>0</v>
      </c>
      <c r="AN90" s="1158">
        <f t="shared" si="73"/>
        <v>7822.2872160437009</v>
      </c>
      <c r="AO90" s="1158">
        <f t="shared" si="74"/>
        <v>390.05374219944349</v>
      </c>
      <c r="AP90" s="1160">
        <f t="shared" si="75"/>
        <v>260.03582813296231</v>
      </c>
      <c r="AQ90" s="104"/>
      <c r="AR90" s="1194">
        <f>'Recycling - Case 1'!G101</f>
        <v>549.03974240012258</v>
      </c>
      <c r="AS90" s="1195">
        <v>1</v>
      </c>
      <c r="AT90" s="1196">
        <f t="shared" si="76"/>
        <v>0.05</v>
      </c>
      <c r="AU90" s="1174">
        <f t="shared" si="77"/>
        <v>13.725993560003065</v>
      </c>
      <c r="AV90" s="1174">
        <f t="shared" si="78"/>
        <v>13.725993560003065</v>
      </c>
      <c r="AW90" s="1175">
        <f t="shared" si="79"/>
        <v>0</v>
      </c>
      <c r="AX90" s="1174">
        <f t="shared" si="49"/>
        <v>160.50945022030683</v>
      </c>
      <c r="AY90" s="1174">
        <f t="shared" si="52"/>
        <v>9.0765820498636476</v>
      </c>
      <c r="AZ90" s="1197">
        <f t="shared" si="50"/>
        <v>6.0510546999090984</v>
      </c>
      <c r="BB90" s="1185">
        <f t="shared" si="80"/>
        <v>431.73149431176512</v>
      </c>
      <c r="BC90" s="1186">
        <f t="shared" si="81"/>
        <v>261.70690526850973</v>
      </c>
      <c r="BD90" s="1218">
        <f t="shared" si="95"/>
        <v>6.0510546999090984</v>
      </c>
      <c r="BE90" s="1186">
        <f t="shared" si="54"/>
        <v>699.48945428018385</v>
      </c>
      <c r="BF90" s="167">
        <v>0</v>
      </c>
      <c r="BG90" s="1208">
        <f t="shared" si="82"/>
        <v>699.48945428018385</v>
      </c>
      <c r="BI90" s="1185">
        <f t="shared" si="83"/>
        <v>431.73149431176512</v>
      </c>
      <c r="BJ90" s="1186">
        <f t="shared" si="84"/>
        <v>260.03582813296231</v>
      </c>
      <c r="BK90" s="1218">
        <f t="shared" si="85"/>
        <v>6.0510546999090984</v>
      </c>
      <c r="BL90" s="1186">
        <f t="shared" si="55"/>
        <v>697.81837714463643</v>
      </c>
      <c r="BM90" s="167">
        <v>0</v>
      </c>
      <c r="BN90" s="1208">
        <f t="shared" si="86"/>
        <v>697.81837714463643</v>
      </c>
    </row>
    <row r="91" spans="1:66">
      <c r="A91" s="1050">
        <f>'Input data'!A122</f>
        <v>2022</v>
      </c>
      <c r="B91" s="946">
        <f>'Input data'!B122</f>
        <v>60.682000000000002</v>
      </c>
      <c r="C91" s="946">
        <f>'Recycling - Case 1'!AF102</f>
        <v>376.17753887427614</v>
      </c>
      <c r="D91" s="948">
        <f>'Recycling - Case 1'!AM102</f>
        <v>0.40146859717410865</v>
      </c>
      <c r="E91" s="948">
        <f>'Recycling - Case 1'!BE102</f>
        <v>0.19905301594074379</v>
      </c>
      <c r="F91" s="948">
        <f>'Recycling - Case 1'!BF102</f>
        <v>0.2735855768261905</v>
      </c>
      <c r="G91" s="948">
        <f>'Recycling - Case 1'!BG102</f>
        <v>6.8293189086516201E-2</v>
      </c>
      <c r="H91" s="948">
        <f>'Recycling - Case 1'!BH102</f>
        <v>0</v>
      </c>
      <c r="I91" s="948">
        <f>'Recycling - Case 1'!BI102</f>
        <v>0</v>
      </c>
      <c r="J91" s="948">
        <f>'Recycling - Case 1'!BJ102</f>
        <v>0</v>
      </c>
      <c r="K91" s="948">
        <f>'Recycling - Case 1'!BK102</f>
        <v>0.45906821814654947</v>
      </c>
      <c r="L91" s="949">
        <f t="shared" si="94"/>
        <v>1</v>
      </c>
      <c r="M91" s="104"/>
      <c r="N91" s="960">
        <f t="shared" si="53"/>
        <v>9164.4061349512831</v>
      </c>
      <c r="O91" s="955">
        <f>Parameters!R193</f>
        <v>0.78192307692307683</v>
      </c>
      <c r="P91" s="956">
        <f>E91*'MSW characteristics'!$B$28+'MSW characteristics'!$B$29*'4A SWD Case 1'!F91+'4A SWD Case 1'!G91*'MSW characteristics'!$B$30+'MSW characteristics'!$B$31*'4A SWD Case 1'!H91+'4A SWD Case 1'!I91*'MSW characteristics'!$B$32+'MSW characteristics'!$B$33*'4A SWD Case 1'!J91+'4A SWD Case 1'!K91*'MSW characteristics'!$B$35</f>
        <v>0.11189234339095615</v>
      </c>
      <c r="Q91" s="954">
        <f t="shared" si="56"/>
        <v>400.90246989110989</v>
      </c>
      <c r="R91" s="954">
        <f t="shared" si="57"/>
        <v>400.90246989110989</v>
      </c>
      <c r="S91" s="957">
        <f t="shared" si="58"/>
        <v>0</v>
      </c>
      <c r="T91" s="954">
        <f t="shared" si="59"/>
        <v>12814.873718555054</v>
      </c>
      <c r="U91" s="954">
        <f t="shared" si="60"/>
        <v>636.47791629944038</v>
      </c>
      <c r="V91" s="961">
        <f t="shared" si="61"/>
        <v>424.31861086629357</v>
      </c>
      <c r="W91" s="104"/>
      <c r="X91" s="1155">
        <f>'Recycling - Case 1'!AM142*'Recycling - Case 1'!C142</f>
        <v>3455.0383796714432</v>
      </c>
      <c r="Y91" s="1156">
        <f>Parameters!S193</f>
        <v>0.71500000000000008</v>
      </c>
      <c r="Z91" s="1157">
        <f t="shared" si="62"/>
        <v>0.2</v>
      </c>
      <c r="AA91" s="1158">
        <f t="shared" si="63"/>
        <v>247.03524414650823</v>
      </c>
      <c r="AB91" s="1158">
        <f t="shared" si="64"/>
        <v>247.03524414650823</v>
      </c>
      <c r="AC91" s="1159">
        <f t="shared" si="65"/>
        <v>0</v>
      </c>
      <c r="AD91" s="1158">
        <f t="shared" si="66"/>
        <v>7779.6428045944922</v>
      </c>
      <c r="AE91" s="1158">
        <f t="shared" si="67"/>
        <v>386.20504819449587</v>
      </c>
      <c r="AF91" s="1160">
        <f t="shared" si="68"/>
        <v>257.47003212966393</v>
      </c>
      <c r="AG91" s="104"/>
      <c r="AH91" s="1155">
        <f>'Recycling - Case 1'!AM182*'Recycling - Case 1'!C182</f>
        <v>2510.8191380535886</v>
      </c>
      <c r="AI91" s="1156">
        <f>Parameters!S193</f>
        <v>0.71500000000000008</v>
      </c>
      <c r="AJ91" s="1157">
        <f t="shared" si="69"/>
        <v>0.2</v>
      </c>
      <c r="AK91" s="1158">
        <f t="shared" si="70"/>
        <v>179.52356837083161</v>
      </c>
      <c r="AL91" s="1158">
        <f t="shared" si="71"/>
        <v>179.52356837083161</v>
      </c>
      <c r="AM91" s="1159">
        <f t="shared" si="72"/>
        <v>0</v>
      </c>
      <c r="AN91" s="1158">
        <f t="shared" si="73"/>
        <v>7620.3133351673732</v>
      </c>
      <c r="AO91" s="1158">
        <f t="shared" si="74"/>
        <v>381.4974492471589</v>
      </c>
      <c r="AP91" s="1160">
        <f t="shared" si="75"/>
        <v>254.33163283143926</v>
      </c>
      <c r="AQ91" s="104"/>
      <c r="AR91" s="1194">
        <f>'Recycling - Case 1'!G102</f>
        <v>559.72481930992205</v>
      </c>
      <c r="AS91" s="1195">
        <v>1</v>
      </c>
      <c r="AT91" s="1196">
        <f t="shared" si="76"/>
        <v>0.05</v>
      </c>
      <c r="AU91" s="1174">
        <f t="shared" si="77"/>
        <v>13.993120482748052</v>
      </c>
      <c r="AV91" s="1174">
        <f t="shared" si="78"/>
        <v>13.993120482748052</v>
      </c>
      <c r="AW91" s="1175">
        <f t="shared" si="79"/>
        <v>0</v>
      </c>
      <c r="AX91" s="1174">
        <f t="shared" si="49"/>
        <v>165.1552280053395</v>
      </c>
      <c r="AY91" s="1174">
        <f t="shared" si="52"/>
        <v>9.34734269771538</v>
      </c>
      <c r="AZ91" s="1197">
        <f t="shared" si="50"/>
        <v>6.2315617984769203</v>
      </c>
      <c r="BB91" s="1185">
        <f t="shared" si="80"/>
        <v>424.31861086629357</v>
      </c>
      <c r="BC91" s="1186">
        <f t="shared" si="81"/>
        <v>257.47003212966393</v>
      </c>
      <c r="BD91" s="1218">
        <f t="shared" si="95"/>
        <v>6.2315617984769203</v>
      </c>
      <c r="BE91" s="1186">
        <f t="shared" si="54"/>
        <v>688.02020479443445</v>
      </c>
      <c r="BF91" s="167">
        <v>0</v>
      </c>
      <c r="BG91" s="1208">
        <f t="shared" si="82"/>
        <v>688.02020479443445</v>
      </c>
      <c r="BI91" s="1185">
        <f t="shared" si="83"/>
        <v>424.31861086629357</v>
      </c>
      <c r="BJ91" s="1186">
        <f t="shared" si="84"/>
        <v>254.33163283143926</v>
      </c>
      <c r="BK91" s="1218">
        <f t="shared" si="85"/>
        <v>6.2315617984769203</v>
      </c>
      <c r="BL91" s="1186">
        <f t="shared" si="55"/>
        <v>684.88180549620972</v>
      </c>
      <c r="BM91" s="167">
        <v>0</v>
      </c>
      <c r="BN91" s="1208">
        <f t="shared" si="86"/>
        <v>684.88180549620972</v>
      </c>
    </row>
    <row r="92" spans="1:66">
      <c r="A92" s="1050">
        <f>'Input data'!A123</f>
        <v>2023</v>
      </c>
      <c r="B92" s="946">
        <f>'Input data'!B123</f>
        <v>61.381</v>
      </c>
      <c r="C92" s="946">
        <f>'Recycling - Case 1'!AF103</f>
        <v>368.24870257779185</v>
      </c>
      <c r="D92" s="948">
        <f>'Recycling - Case 1'!AM103</f>
        <v>0.38881862698687625</v>
      </c>
      <c r="E92" s="948">
        <f>'Recycling - Case 1'!BE103</f>
        <v>0.18926189454877509</v>
      </c>
      <c r="F92" s="948">
        <f>'Recycling - Case 1'!BF103</f>
        <v>0.26621932556064926</v>
      </c>
      <c r="G92" s="948">
        <f>'Recycling - Case 1'!BG103</f>
        <v>7.0515065164394083E-2</v>
      </c>
      <c r="H92" s="948">
        <f>'Recycling - Case 1'!BH103</f>
        <v>0</v>
      </c>
      <c r="I92" s="948">
        <f>'Recycling - Case 1'!BI103</f>
        <v>0</v>
      </c>
      <c r="J92" s="948">
        <f>'Recycling - Case 1'!BJ103</f>
        <v>0</v>
      </c>
      <c r="K92" s="948">
        <f>'Recycling - Case 1'!BK103</f>
        <v>0.47400371472618164</v>
      </c>
      <c r="L92" s="949">
        <f t="shared" si="94"/>
        <v>1</v>
      </c>
      <c r="M92" s="104"/>
      <c r="N92" s="960">
        <f t="shared" si="53"/>
        <v>8788.651575312535</v>
      </c>
      <c r="O92" s="955">
        <f>Parameters!R194</f>
        <v>0.79230769230769216</v>
      </c>
      <c r="P92" s="956">
        <f>E92*'MSW characteristics'!$B$28+'MSW characteristics'!$B$29*'4A SWD Case 1'!F92+'4A SWD Case 1'!G92*'MSW characteristics'!$B$30+'MSW characteristics'!$B$31*'4A SWD Case 1'!H92+'4A SWD Case 1'!I92*'MSW characteristics'!$B$32+'MSW characteristics'!$B$33*'4A SWD Case 1'!J92+'4A SWD Case 1'!K92*'MSW characteristics'!$B$35</f>
        <v>0.10983917536020375</v>
      </c>
      <c r="Q92" s="954">
        <f t="shared" si="56"/>
        <v>382.42245723357644</v>
      </c>
      <c r="R92" s="954">
        <f t="shared" si="57"/>
        <v>382.42245723357644</v>
      </c>
      <c r="S92" s="957">
        <f t="shared" si="58"/>
        <v>0</v>
      </c>
      <c r="T92" s="954">
        <f t="shared" si="59"/>
        <v>12572.307409584026</v>
      </c>
      <c r="U92" s="954">
        <f t="shared" si="60"/>
        <v>624.98876620460499</v>
      </c>
      <c r="V92" s="961">
        <f t="shared" si="61"/>
        <v>416.65917746973668</v>
      </c>
      <c r="W92" s="104"/>
      <c r="X92" s="1155">
        <f>'Recycling - Case 1'!AM143*'Recycling - Case 1'!C143</f>
        <v>3198.6209389841179</v>
      </c>
      <c r="Y92" s="1156">
        <f>Parameters!S194</f>
        <v>0.71500000000000008</v>
      </c>
      <c r="Z92" s="1157">
        <f t="shared" si="62"/>
        <v>0.2</v>
      </c>
      <c r="AA92" s="1158">
        <f t="shared" si="63"/>
        <v>228.70139713736444</v>
      </c>
      <c r="AB92" s="1158">
        <f t="shared" si="64"/>
        <v>228.70139713736444</v>
      </c>
      <c r="AC92" s="1159">
        <f t="shared" si="65"/>
        <v>0</v>
      </c>
      <c r="AD92" s="1158">
        <f t="shared" si="66"/>
        <v>7628.9265449729037</v>
      </c>
      <c r="AE92" s="1158">
        <f t="shared" si="67"/>
        <v>379.41765675895266</v>
      </c>
      <c r="AF92" s="1160">
        <f t="shared" si="68"/>
        <v>252.94510450596843</v>
      </c>
      <c r="AG92" s="104"/>
      <c r="AH92" s="1155">
        <f>'Recycling - Case 1'!AM183*'Recycling - Case 1'!C183</f>
        <v>2071.2989181719026</v>
      </c>
      <c r="AI92" s="1156">
        <f>Parameters!S194</f>
        <v>0.71500000000000008</v>
      </c>
      <c r="AJ92" s="1157">
        <f t="shared" si="69"/>
        <v>0.2</v>
      </c>
      <c r="AK92" s="1158">
        <f t="shared" si="70"/>
        <v>148.09787264929105</v>
      </c>
      <c r="AL92" s="1158">
        <f t="shared" si="71"/>
        <v>148.09787264929105</v>
      </c>
      <c r="AM92" s="1159">
        <f t="shared" si="72"/>
        <v>0</v>
      </c>
      <c r="AN92" s="1158">
        <f t="shared" si="73"/>
        <v>7396.7641409756679</v>
      </c>
      <c r="AO92" s="1158">
        <f t="shared" si="74"/>
        <v>371.64706684099616</v>
      </c>
      <c r="AP92" s="1160">
        <f t="shared" si="75"/>
        <v>247.76471122733076</v>
      </c>
      <c r="AQ92" s="104"/>
      <c r="AR92" s="1194">
        <f>'Recycling - Case 1'!G103</f>
        <v>570.59294620778201</v>
      </c>
      <c r="AS92" s="1195">
        <v>1</v>
      </c>
      <c r="AT92" s="1196">
        <f t="shared" si="76"/>
        <v>0.05</v>
      </c>
      <c r="AU92" s="1174">
        <f t="shared" si="77"/>
        <v>14.264823655194551</v>
      </c>
      <c r="AV92" s="1174">
        <f t="shared" si="78"/>
        <v>14.264823655194551</v>
      </c>
      <c r="AW92" s="1175">
        <f t="shared" si="79"/>
        <v>0</v>
      </c>
      <c r="AX92" s="1174">
        <f t="shared" si="49"/>
        <v>169.80215992664336</v>
      </c>
      <c r="AY92" s="1174">
        <f t="shared" si="52"/>
        <v>9.6178917338906942</v>
      </c>
      <c r="AZ92" s="1197">
        <f t="shared" si="50"/>
        <v>6.4119278225937961</v>
      </c>
      <c r="BB92" s="1185">
        <f t="shared" si="80"/>
        <v>416.65917746973668</v>
      </c>
      <c r="BC92" s="1186">
        <f t="shared" si="81"/>
        <v>252.94510450596843</v>
      </c>
      <c r="BD92" s="1218">
        <f t="shared" si="95"/>
        <v>6.4119278225937961</v>
      </c>
      <c r="BE92" s="1186">
        <f t="shared" si="54"/>
        <v>676.01620979829897</v>
      </c>
      <c r="BF92" s="167">
        <v>0</v>
      </c>
      <c r="BG92" s="1208">
        <f t="shared" si="82"/>
        <v>676.01620979829897</v>
      </c>
      <c r="BI92" s="1185">
        <f t="shared" si="83"/>
        <v>416.65917746973668</v>
      </c>
      <c r="BJ92" s="1186">
        <f t="shared" si="84"/>
        <v>247.76471122733076</v>
      </c>
      <c r="BK92" s="1218">
        <f t="shared" si="85"/>
        <v>6.4119278225937961</v>
      </c>
      <c r="BL92" s="1186">
        <f t="shared" si="55"/>
        <v>670.83581651966131</v>
      </c>
      <c r="BM92" s="167">
        <v>0</v>
      </c>
      <c r="BN92" s="1208">
        <f t="shared" si="86"/>
        <v>670.83581651966131</v>
      </c>
    </row>
    <row r="93" spans="1:66">
      <c r="A93" s="1050">
        <f>'Input data'!A124</f>
        <v>2024</v>
      </c>
      <c r="B93" s="946">
        <f>'Input data'!B124</f>
        <v>62.088000000000001</v>
      </c>
      <c r="C93" s="946">
        <f>'Recycling - Case 1'!AF104</f>
        <v>360.86895989519803</v>
      </c>
      <c r="D93" s="948">
        <f>'Recycling - Case 1'!AM104</f>
        <v>0.3761686567996439</v>
      </c>
      <c r="E93" s="948">
        <f>'Recycling - Case 1'!BE104</f>
        <v>0.17881225261571868</v>
      </c>
      <c r="F93" s="948">
        <f>'Recycling - Case 1'!BF104</f>
        <v>0.25835764301865044</v>
      </c>
      <c r="G93" s="948">
        <f>'Recycling - Case 1'!BG104</f>
        <v>7.2886377755053203E-2</v>
      </c>
      <c r="H93" s="948">
        <f>'Recycling - Case 1'!BH104</f>
        <v>0</v>
      </c>
      <c r="I93" s="948">
        <f>'Recycling - Case 1'!BI104</f>
        <v>0</v>
      </c>
      <c r="J93" s="948">
        <f>'Recycling - Case 1'!BJ104</f>
        <v>0</v>
      </c>
      <c r="K93" s="948">
        <f>'Recycling - Case 1'!BK104</f>
        <v>0.48994372661057761</v>
      </c>
      <c r="L93" s="949">
        <f t="shared" si="94"/>
        <v>1</v>
      </c>
      <c r="M93" s="104"/>
      <c r="N93" s="960">
        <f t="shared" si="53"/>
        <v>8428.2964874059471</v>
      </c>
      <c r="O93" s="955">
        <f>Parameters!R195</f>
        <v>0.80269230769230759</v>
      </c>
      <c r="P93" s="956">
        <f>E93*'MSW characteristics'!$B$28+'MSW characteristics'!$B$29*'4A SWD Case 1'!F93+'4A SWD Case 1'!G93*'MSW characteristics'!$B$30+'MSW characteristics'!$B$31*'4A SWD Case 1'!H93+'4A SWD Case 1'!I93*'MSW characteristics'!$B$32+'MSW characteristics'!$B$33*'4A SWD Case 1'!J93+'4A SWD Case 1'!K93*'MSW characteristics'!$B$35</f>
        <v>0.10764791759810917</v>
      </c>
      <c r="Q93" s="954">
        <f t="shared" si="56"/>
        <v>364.13677629986427</v>
      </c>
      <c r="R93" s="954">
        <f t="shared" si="57"/>
        <v>364.13677629986427</v>
      </c>
      <c r="S93" s="957">
        <f t="shared" si="58"/>
        <v>0</v>
      </c>
      <c r="T93" s="954">
        <f t="shared" si="59"/>
        <v>12323.285518164539</v>
      </c>
      <c r="U93" s="954">
        <f t="shared" si="60"/>
        <v>613.15866771935032</v>
      </c>
      <c r="V93" s="961">
        <f t="shared" si="61"/>
        <v>408.77244514623357</v>
      </c>
      <c r="W93" s="104"/>
      <c r="X93" s="1155">
        <f>'Recycling - Case 1'!AM144*'Recycling - Case 1'!C144</f>
        <v>3014.0897442904115</v>
      </c>
      <c r="Y93" s="1156">
        <f>Parameters!S195</f>
        <v>0.71500000000000008</v>
      </c>
      <c r="Z93" s="1157">
        <f t="shared" si="62"/>
        <v>0.2</v>
      </c>
      <c r="AA93" s="1158">
        <f t="shared" si="63"/>
        <v>215.50741671676445</v>
      </c>
      <c r="AB93" s="1158">
        <f t="shared" si="64"/>
        <v>215.50741671676445</v>
      </c>
      <c r="AC93" s="1159">
        <f t="shared" si="65"/>
        <v>0</v>
      </c>
      <c r="AD93" s="1158">
        <f t="shared" si="66"/>
        <v>7472.3668236495596</v>
      </c>
      <c r="AE93" s="1158">
        <f t="shared" si="67"/>
        <v>372.06713804010798</v>
      </c>
      <c r="AF93" s="1160">
        <f t="shared" si="68"/>
        <v>248.04475869340533</v>
      </c>
      <c r="AG93" s="104"/>
      <c r="AH93" s="1155">
        <f>'Recycling - Case 1'!AM184*'Recycling - Case 1'!C184</f>
        <v>1671.8453801384937</v>
      </c>
      <c r="AI93" s="1156">
        <f>Parameters!S195</f>
        <v>0.71500000000000008</v>
      </c>
      <c r="AJ93" s="1157">
        <f t="shared" si="69"/>
        <v>0.2</v>
      </c>
      <c r="AK93" s="1158">
        <f t="shared" si="70"/>
        <v>119.53694467990233</v>
      </c>
      <c r="AL93" s="1158">
        <f t="shared" si="71"/>
        <v>119.53694467990233</v>
      </c>
      <c r="AM93" s="1159">
        <f t="shared" si="72"/>
        <v>0</v>
      </c>
      <c r="AN93" s="1158">
        <f t="shared" si="73"/>
        <v>7155.5566416677048</v>
      </c>
      <c r="AO93" s="1158">
        <f t="shared" si="74"/>
        <v>360.74444398786505</v>
      </c>
      <c r="AP93" s="1160">
        <f t="shared" si="75"/>
        <v>240.49629599191005</v>
      </c>
      <c r="AQ93" s="104"/>
      <c r="AR93" s="1194">
        <f>'Recycling - Case 1'!G104</f>
        <v>581.63669967536055</v>
      </c>
      <c r="AS93" s="1195">
        <v>1</v>
      </c>
      <c r="AT93" s="1196">
        <f t="shared" si="76"/>
        <v>0.05</v>
      </c>
      <c r="AU93" s="1174">
        <f t="shared" si="77"/>
        <v>14.540917491884015</v>
      </c>
      <c r="AV93" s="1174">
        <f t="shared" si="78"/>
        <v>14.540917491884015</v>
      </c>
      <c r="AW93" s="1175">
        <f t="shared" si="79"/>
        <v>0</v>
      </c>
      <c r="AX93" s="1174">
        <f t="shared" si="49"/>
        <v>174.4545694367973</v>
      </c>
      <c r="AY93" s="1174">
        <f t="shared" si="52"/>
        <v>9.8885079817300667</v>
      </c>
      <c r="AZ93" s="1197">
        <f t="shared" si="50"/>
        <v>6.5923386544867109</v>
      </c>
      <c r="BB93" s="1185">
        <f t="shared" si="80"/>
        <v>408.77244514623357</v>
      </c>
      <c r="BC93" s="1186">
        <f t="shared" si="81"/>
        <v>248.04475869340533</v>
      </c>
      <c r="BD93" s="1218">
        <f t="shared" si="95"/>
        <v>6.5923386544867109</v>
      </c>
      <c r="BE93" s="1186">
        <f t="shared" si="54"/>
        <v>663.40954249412562</v>
      </c>
      <c r="BF93" s="167">
        <v>0</v>
      </c>
      <c r="BG93" s="1208">
        <f t="shared" si="82"/>
        <v>663.40954249412562</v>
      </c>
      <c r="BI93" s="1185">
        <f t="shared" si="83"/>
        <v>408.77244514623357</v>
      </c>
      <c r="BJ93" s="1186">
        <f t="shared" si="84"/>
        <v>240.49629599191005</v>
      </c>
      <c r="BK93" s="1218">
        <f t="shared" si="85"/>
        <v>6.5923386544867109</v>
      </c>
      <c r="BL93" s="1186">
        <f t="shared" si="55"/>
        <v>655.86107979263033</v>
      </c>
      <c r="BM93" s="167">
        <v>0</v>
      </c>
      <c r="BN93" s="1208">
        <f t="shared" si="86"/>
        <v>655.86107979263033</v>
      </c>
    </row>
    <row r="94" spans="1:66">
      <c r="A94" s="1050">
        <f>'Input data'!A125</f>
        <v>2025</v>
      </c>
      <c r="B94" s="946">
        <f>'Input data'!B125</f>
        <v>62.802999999999997</v>
      </c>
      <c r="C94" s="946">
        <f>'Recycling - Case 1'!AF105</f>
        <v>354.03747941709588</v>
      </c>
      <c r="D94" s="948">
        <f>'Recycling - Case 1'!AM105</f>
        <v>0.36351868661241149</v>
      </c>
      <c r="E94" s="948">
        <f>'Recycling - Case 1'!BE105</f>
        <v>0.16763534320625123</v>
      </c>
      <c r="F94" s="948">
        <f>'Recycling - Case 1'!BF105</f>
        <v>0.24994880813791209</v>
      </c>
      <c r="G94" s="948">
        <f>'Recycling - Case 1'!BG105</f>
        <v>7.5422727438336029E-2</v>
      </c>
      <c r="H94" s="948">
        <f>'Recycling - Case 1'!BH105</f>
        <v>0</v>
      </c>
      <c r="I94" s="948">
        <f>'Recycling - Case 1'!BI105</f>
        <v>0</v>
      </c>
      <c r="J94" s="948">
        <f>'Recycling - Case 1'!BJ105</f>
        <v>0</v>
      </c>
      <c r="K94" s="948">
        <f>'Recycling - Case 1'!BK105</f>
        <v>0.50699312121750051</v>
      </c>
      <c r="L94" s="949">
        <f t="shared" si="94"/>
        <v>0.99999999999999989</v>
      </c>
      <c r="M94" s="104"/>
      <c r="N94" s="960">
        <f t="shared" si="53"/>
        <v>8082.6983401568286</v>
      </c>
      <c r="O94" s="955">
        <f>Parameters!R196</f>
        <v>0.81307692307692303</v>
      </c>
      <c r="P94" s="956">
        <f>E94*'MSW characteristics'!$B$28+'MSW characteristics'!$B$29*'4A SWD Case 1'!F94+'4A SWD Case 1'!G94*'MSW characteristics'!$B$30+'MSW characteristics'!$B$31*'4A SWD Case 1'!H94+'4A SWD Case 1'!I94*'MSW characteristics'!$B$32+'MSW characteristics'!$B$33*'4A SWD Case 1'!J94+'4A SWD Case 1'!K94*'MSW characteristics'!$B$35</f>
        <v>0.10530415408385452</v>
      </c>
      <c r="Q94" s="954">
        <f t="shared" si="56"/>
        <v>346.02184191400983</v>
      </c>
      <c r="R94" s="954">
        <f t="shared" si="57"/>
        <v>346.02184191400983</v>
      </c>
      <c r="S94" s="957">
        <f t="shared" si="58"/>
        <v>0</v>
      </c>
      <c r="T94" s="954">
        <f t="shared" si="59"/>
        <v>12068.293633315647</v>
      </c>
      <c r="U94" s="954">
        <f t="shared" si="60"/>
        <v>601.01372676290123</v>
      </c>
      <c r="V94" s="961">
        <f t="shared" si="61"/>
        <v>400.67581784193413</v>
      </c>
      <c r="W94" s="104"/>
      <c r="X94" s="1155">
        <f>'Recycling - Case 1'!AM145*'Recycling - Case 1'!C145</f>
        <v>2987.3524366706779</v>
      </c>
      <c r="Y94" s="1156">
        <f>Parameters!S196</f>
        <v>0.71500000000000008</v>
      </c>
      <c r="Z94" s="1157">
        <f t="shared" si="62"/>
        <v>0.2</v>
      </c>
      <c r="AA94" s="1158">
        <f t="shared" si="63"/>
        <v>213.59569922195348</v>
      </c>
      <c r="AB94" s="1158">
        <f t="shared" si="64"/>
        <v>213.59569922195348</v>
      </c>
      <c r="AC94" s="1159">
        <f t="shared" si="65"/>
        <v>0</v>
      </c>
      <c r="AD94" s="1158">
        <f t="shared" si="66"/>
        <v>7321.5308925403524</v>
      </c>
      <c r="AE94" s="1158">
        <f t="shared" si="67"/>
        <v>364.43163033116065</v>
      </c>
      <c r="AF94" s="1160">
        <f t="shared" si="68"/>
        <v>242.95442022077376</v>
      </c>
      <c r="AG94" s="104"/>
      <c r="AH94" s="1155">
        <f>'Recycling - Case 1'!AM185*'Recycling - Case 1'!C185</f>
        <v>1329.8807998424638</v>
      </c>
      <c r="AI94" s="1156">
        <f>Parameters!S196</f>
        <v>0.71500000000000008</v>
      </c>
      <c r="AJ94" s="1157">
        <f t="shared" si="69"/>
        <v>0.2</v>
      </c>
      <c r="AK94" s="1158">
        <f t="shared" si="70"/>
        <v>95.086477188736168</v>
      </c>
      <c r="AL94" s="1158">
        <f t="shared" si="71"/>
        <v>95.086477188736168</v>
      </c>
      <c r="AM94" s="1159">
        <f t="shared" si="72"/>
        <v>0</v>
      </c>
      <c r="AN94" s="1158">
        <f t="shared" si="73"/>
        <v>6901.662503424569</v>
      </c>
      <c r="AO94" s="1158">
        <f t="shared" si="74"/>
        <v>348.98061543187208</v>
      </c>
      <c r="AP94" s="1160">
        <f t="shared" si="75"/>
        <v>232.65374362124805</v>
      </c>
      <c r="AQ94" s="104"/>
      <c r="AR94" s="1194">
        <f>'Recycling - Case 1'!G105</f>
        <v>592.85780817693978</v>
      </c>
      <c r="AS94" s="1195">
        <v>1</v>
      </c>
      <c r="AT94" s="1196">
        <f t="shared" si="76"/>
        <v>0.05</v>
      </c>
      <c r="AU94" s="1174">
        <f t="shared" si="77"/>
        <v>14.821445204423496</v>
      </c>
      <c r="AV94" s="1174">
        <f t="shared" si="78"/>
        <v>14.821445204423496</v>
      </c>
      <c r="AW94" s="1175">
        <f t="shared" si="79"/>
        <v>0</v>
      </c>
      <c r="AX94" s="1174">
        <f t="shared" si="49"/>
        <v>179.11657142170984</v>
      </c>
      <c r="AY94" s="1174">
        <f t="shared" si="52"/>
        <v>10.159443219510958</v>
      </c>
      <c r="AZ94" s="1197">
        <f t="shared" si="50"/>
        <v>6.7729621463406389</v>
      </c>
      <c r="BB94" s="1185">
        <f t="shared" si="80"/>
        <v>400.67581784193413</v>
      </c>
      <c r="BC94" s="1186">
        <f t="shared" si="81"/>
        <v>242.95442022077376</v>
      </c>
      <c r="BD94" s="1218">
        <f t="shared" si="95"/>
        <v>6.7729621463406389</v>
      </c>
      <c r="BE94" s="1186">
        <f t="shared" si="54"/>
        <v>650.40320020904858</v>
      </c>
      <c r="BF94" s="167">
        <v>0</v>
      </c>
      <c r="BG94" s="1208">
        <f t="shared" si="82"/>
        <v>650.40320020904858</v>
      </c>
      <c r="BI94" s="1185">
        <f t="shared" si="83"/>
        <v>400.67581784193413</v>
      </c>
      <c r="BJ94" s="1186">
        <f t="shared" si="84"/>
        <v>232.65374362124805</v>
      </c>
      <c r="BK94" s="1218">
        <f t="shared" si="85"/>
        <v>6.7729621463406389</v>
      </c>
      <c r="BL94" s="1186">
        <f t="shared" si="55"/>
        <v>640.1025236095229</v>
      </c>
      <c r="BM94" s="167">
        <v>0</v>
      </c>
      <c r="BN94" s="1208">
        <f t="shared" si="86"/>
        <v>640.1025236095229</v>
      </c>
    </row>
    <row r="95" spans="1:66">
      <c r="A95" s="1050">
        <f>'Input data'!A126</f>
        <v>2026</v>
      </c>
      <c r="B95" s="946">
        <f>'Input data'!B126</f>
        <v>63.420999999999999</v>
      </c>
      <c r="C95" s="946">
        <f>'Recycling - Case 1'!AF106</f>
        <v>347.7564382297179</v>
      </c>
      <c r="D95" s="948">
        <f>'Recycling - Case 1'!AM106</f>
        <v>0.35086871642517908</v>
      </c>
      <c r="E95" s="948">
        <f>'Recycling - Case 1'!BE106</f>
        <v>0.15565250517336213</v>
      </c>
      <c r="F95" s="948">
        <f>'Recycling - Case 1'!BF106</f>
        <v>0.24093364099914596</v>
      </c>
      <c r="G95" s="948">
        <f>'Recycling - Case 1'!BG106</f>
        <v>7.8141964602753231E-2</v>
      </c>
      <c r="H95" s="948">
        <f>'Recycling - Case 1'!BH106</f>
        <v>0</v>
      </c>
      <c r="I95" s="948">
        <f>'Recycling - Case 1'!BI106</f>
        <v>0</v>
      </c>
      <c r="J95" s="948">
        <f>'Recycling - Case 1'!BJ106</f>
        <v>0</v>
      </c>
      <c r="K95" s="948">
        <f>'Recycling - Case 1'!BK106</f>
        <v>0.52527188922473855</v>
      </c>
      <c r="L95" s="949">
        <f t="shared" si="94"/>
        <v>0.99999999999999989</v>
      </c>
      <c r="M95" s="104"/>
      <c r="N95" s="960">
        <f t="shared" si="53"/>
        <v>7738.4309679473672</v>
      </c>
      <c r="O95" s="955">
        <f>Parameters!R197</f>
        <v>0.82346153846153847</v>
      </c>
      <c r="P95" s="956">
        <f>E95*'MSW characteristics'!$B$28+'MSW characteristics'!$B$29*'4A SWD Case 1'!F95+'4A SWD Case 1'!G95*'MSW characteristics'!$B$30+'MSW characteristics'!$B$31*'4A SWD Case 1'!H95+'4A SWD Case 1'!I95*'MSW characteristics'!$B$32+'MSW characteristics'!$B$33*'4A SWD Case 1'!J95+'4A SWD Case 1'!K95*'MSW characteristics'!$B$35</f>
        <v>0.10279138981693481</v>
      </c>
      <c r="Q95" s="954">
        <f t="shared" si="56"/>
        <v>327.50880054948351</v>
      </c>
      <c r="R95" s="954">
        <f t="shared" si="57"/>
        <v>327.50880054948351</v>
      </c>
      <c r="S95" s="957">
        <f t="shared" si="58"/>
        <v>0</v>
      </c>
      <c r="T95" s="954">
        <f t="shared" si="59"/>
        <v>11807.224808073957</v>
      </c>
      <c r="U95" s="954">
        <f t="shared" si="60"/>
        <v>588.57762579117309</v>
      </c>
      <c r="V95" s="961">
        <f t="shared" si="61"/>
        <v>392.38508386078206</v>
      </c>
      <c r="W95" s="104"/>
      <c r="X95" s="1155">
        <f>'Recycling - Case 1'!AM146*'Recycling - Case 1'!C146</f>
        <v>2755.1371948573187</v>
      </c>
      <c r="Y95" s="1156">
        <f>Parameters!S197</f>
        <v>0.71500000000000008</v>
      </c>
      <c r="Z95" s="1157">
        <f t="shared" si="62"/>
        <v>0.2</v>
      </c>
      <c r="AA95" s="1158">
        <f t="shared" si="63"/>
        <v>196.99230943229833</v>
      </c>
      <c r="AB95" s="1158">
        <f t="shared" si="64"/>
        <v>196.99230943229833</v>
      </c>
      <c r="AC95" s="1159">
        <f t="shared" si="65"/>
        <v>0</v>
      </c>
      <c r="AD95" s="1158">
        <f t="shared" si="66"/>
        <v>7161.4479268076566</v>
      </c>
      <c r="AE95" s="1158">
        <f t="shared" si="67"/>
        <v>357.07527516499397</v>
      </c>
      <c r="AF95" s="1160">
        <f t="shared" si="68"/>
        <v>238.0501834433293</v>
      </c>
      <c r="AG95" s="104"/>
      <c r="AH95" s="1155">
        <f>'Recycling - Case 1'!AM186*'Recycling - Case 1'!C186</f>
        <v>1067.6148964311669</v>
      </c>
      <c r="AI95" s="1156">
        <f>Parameters!S197</f>
        <v>0.71500000000000008</v>
      </c>
      <c r="AJ95" s="1157">
        <f t="shared" si="69"/>
        <v>0.2</v>
      </c>
      <c r="AK95" s="1158">
        <f t="shared" si="70"/>
        <v>76.334465094828445</v>
      </c>
      <c r="AL95" s="1158">
        <f t="shared" si="71"/>
        <v>76.334465094828445</v>
      </c>
      <c r="AM95" s="1159">
        <f t="shared" si="72"/>
        <v>0</v>
      </c>
      <c r="AN95" s="1158">
        <f t="shared" si="73"/>
        <v>6641.3989163255383</v>
      </c>
      <c r="AO95" s="1158">
        <f t="shared" si="74"/>
        <v>336.59805219385908</v>
      </c>
      <c r="AP95" s="1160">
        <f t="shared" si="75"/>
        <v>224.39870146257272</v>
      </c>
      <c r="AQ95" s="104"/>
      <c r="AR95" s="1194">
        <f>'Recycling - Case 1'!G106</f>
        <v>603.2592423450709</v>
      </c>
      <c r="AS95" s="1195">
        <v>1</v>
      </c>
      <c r="AT95" s="1196">
        <f t="shared" si="76"/>
        <v>0.05</v>
      </c>
      <c r="AU95" s="1174">
        <f t="shared" si="77"/>
        <v>15.081481058626773</v>
      </c>
      <c r="AV95" s="1174">
        <f t="shared" si="78"/>
        <v>15.081481058626773</v>
      </c>
      <c r="AW95" s="1175">
        <f t="shared" si="79"/>
        <v>0</v>
      </c>
      <c r="AX95" s="1174">
        <f t="shared" si="49"/>
        <v>183.76711540080311</v>
      </c>
      <c r="AY95" s="1174">
        <f t="shared" si="52"/>
        <v>10.430937079533498</v>
      </c>
      <c r="AZ95" s="1197">
        <f t="shared" si="50"/>
        <v>6.9539580530223324</v>
      </c>
      <c r="BB95" s="1185">
        <f t="shared" si="80"/>
        <v>392.38508386078206</v>
      </c>
      <c r="BC95" s="1186">
        <f t="shared" si="81"/>
        <v>238.0501834433293</v>
      </c>
      <c r="BD95" s="1218">
        <f t="shared" si="95"/>
        <v>6.9539580530223324</v>
      </c>
      <c r="BE95" s="1186">
        <f t="shared" si="54"/>
        <v>637.38922535713368</v>
      </c>
      <c r="BF95" s="167">
        <v>0</v>
      </c>
      <c r="BG95" s="1208">
        <f t="shared" si="82"/>
        <v>637.38922535713368</v>
      </c>
      <c r="BI95" s="1185">
        <f t="shared" si="83"/>
        <v>392.38508386078206</v>
      </c>
      <c r="BJ95" s="1186">
        <f t="shared" si="84"/>
        <v>224.39870146257272</v>
      </c>
      <c r="BK95" s="1218">
        <f t="shared" si="85"/>
        <v>6.9539580530223324</v>
      </c>
      <c r="BL95" s="1186">
        <f t="shared" si="55"/>
        <v>623.73774337637713</v>
      </c>
      <c r="BM95" s="167">
        <v>0</v>
      </c>
      <c r="BN95" s="1208">
        <f t="shared" si="86"/>
        <v>623.73774337637713</v>
      </c>
    </row>
    <row r="96" spans="1:66">
      <c r="A96" s="1050">
        <f>'Input data'!A127</f>
        <v>2027</v>
      </c>
      <c r="B96" s="946">
        <f>'Input data'!B127</f>
        <v>64.046000000000006</v>
      </c>
      <c r="C96" s="946">
        <f>'Recycling - Case 1'!AF107</f>
        <v>342.03141602040722</v>
      </c>
      <c r="D96" s="948">
        <f>'Recycling - Case 1'!AM107</f>
        <v>0.33821874623794673</v>
      </c>
      <c r="E96" s="948">
        <f>'Recycling - Case 1'!BE107</f>
        <v>0.14277330911442879</v>
      </c>
      <c r="F96" s="948">
        <f>'Recycling - Case 1'!BF107</f>
        <v>0.23124410795484199</v>
      </c>
      <c r="G96" s="948">
        <f>'Recycling - Case 1'!BG107</f>
        <v>8.1064610179297267E-2</v>
      </c>
      <c r="H96" s="948">
        <f>'Recycling - Case 1'!BH107</f>
        <v>0</v>
      </c>
      <c r="I96" s="948">
        <f>'Recycling - Case 1'!BI107</f>
        <v>0</v>
      </c>
      <c r="J96" s="948">
        <f>'Recycling - Case 1'!BJ107</f>
        <v>0</v>
      </c>
      <c r="K96" s="948">
        <f>'Recycling - Case 1'!BK107</f>
        <v>0.54491797275143206</v>
      </c>
      <c r="L96" s="949">
        <f t="shared" si="94"/>
        <v>1</v>
      </c>
      <c r="M96" s="104"/>
      <c r="N96" s="960">
        <f t="shared" si="53"/>
        <v>7408.9332949145692</v>
      </c>
      <c r="O96" s="955">
        <f>Parameters!R198</f>
        <v>0.8338461538461539</v>
      </c>
      <c r="P96" s="956">
        <f>E96*'MSW characteristics'!$B$28+'MSW characteristics'!$B$29*'4A SWD Case 1'!F96+'4A SWD Case 1'!G96*'MSW characteristics'!$B$30+'MSW characteristics'!$B$31*'4A SWD Case 1'!H96+'4A SWD Case 1'!I96*'MSW characteristics'!$B$32+'MSW characteristics'!$B$33*'4A SWD Case 1'!J96+'4A SWD Case 1'!K96*'MSW characteristics'!$B$35</f>
        <v>0.10009066202985162</v>
      </c>
      <c r="Q96" s="954">
        <f t="shared" si="56"/>
        <v>309.17557755790074</v>
      </c>
      <c r="R96" s="954">
        <f t="shared" si="57"/>
        <v>309.17557755790074</v>
      </c>
      <c r="S96" s="957">
        <f t="shared" si="58"/>
        <v>0</v>
      </c>
      <c r="T96" s="954">
        <f t="shared" si="59"/>
        <v>11540.555236692644</v>
      </c>
      <c r="U96" s="954">
        <f t="shared" si="60"/>
        <v>575.84514893921335</v>
      </c>
      <c r="V96" s="961">
        <f t="shared" si="61"/>
        <v>383.89676595947554</v>
      </c>
      <c r="W96" s="104"/>
      <c r="X96" s="1155">
        <f>'Recycling - Case 1'!AM147*'Recycling - Case 1'!C147</f>
        <v>2525.9919937584436</v>
      </c>
      <c r="Y96" s="1156">
        <f>Parameters!S198</f>
        <v>0.71500000000000008</v>
      </c>
      <c r="Z96" s="1157">
        <f t="shared" si="62"/>
        <v>0.2</v>
      </c>
      <c r="AA96" s="1158">
        <f t="shared" si="63"/>
        <v>180.60842755372875</v>
      </c>
      <c r="AB96" s="1158">
        <f t="shared" si="64"/>
        <v>180.60842755372875</v>
      </c>
      <c r="AC96" s="1159">
        <f t="shared" si="65"/>
        <v>0</v>
      </c>
      <c r="AD96" s="1158">
        <f t="shared" si="66"/>
        <v>6992.7884175628078</v>
      </c>
      <c r="AE96" s="1158">
        <f t="shared" si="67"/>
        <v>349.26793679857792</v>
      </c>
      <c r="AF96" s="1160">
        <f t="shared" si="68"/>
        <v>232.84529119905196</v>
      </c>
      <c r="AG96" s="104"/>
      <c r="AH96" s="1155">
        <f>'Recycling - Case 1'!AM187*'Recycling - Case 1'!C187</f>
        <v>840.06252077300724</v>
      </c>
      <c r="AI96" s="1156">
        <f>Parameters!S198</f>
        <v>0.71500000000000008</v>
      </c>
      <c r="AJ96" s="1157">
        <f t="shared" si="69"/>
        <v>0.2</v>
      </c>
      <c r="AK96" s="1158">
        <f t="shared" si="70"/>
        <v>60.064470235270029</v>
      </c>
      <c r="AL96" s="1158">
        <f t="shared" si="71"/>
        <v>60.064470235270029</v>
      </c>
      <c r="AM96" s="1159">
        <f t="shared" si="72"/>
        <v>0</v>
      </c>
      <c r="AN96" s="1158">
        <f t="shared" si="73"/>
        <v>6377.5585392912781</v>
      </c>
      <c r="AO96" s="1158">
        <f t="shared" si="74"/>
        <v>323.90484726953076</v>
      </c>
      <c r="AP96" s="1160">
        <f t="shared" si="75"/>
        <v>215.93656484635383</v>
      </c>
      <c r="AQ96" s="104"/>
      <c r="AR96" s="1194">
        <f>'Recycling - Case 1'!G107</f>
        <v>613.81678041460282</v>
      </c>
      <c r="AS96" s="1195">
        <v>1</v>
      </c>
      <c r="AT96" s="1196">
        <f t="shared" si="76"/>
        <v>0.05</v>
      </c>
      <c r="AU96" s="1174">
        <f t="shared" si="77"/>
        <v>15.345419510365071</v>
      </c>
      <c r="AV96" s="1174">
        <f t="shared" si="78"/>
        <v>15.345419510365071</v>
      </c>
      <c r="AW96" s="1175">
        <f t="shared" si="79"/>
        <v>0</v>
      </c>
      <c r="AX96" s="1174">
        <f t="shared" si="49"/>
        <v>188.41077123392523</v>
      </c>
      <c r="AY96" s="1174">
        <f t="shared" si="52"/>
        <v>10.70176367724296</v>
      </c>
      <c r="AZ96" s="1197">
        <f t="shared" si="50"/>
        <v>7.1345091181619731</v>
      </c>
      <c r="BB96" s="1185">
        <f t="shared" si="80"/>
        <v>383.89676595947554</v>
      </c>
      <c r="BC96" s="1186">
        <f t="shared" si="81"/>
        <v>232.84529119905196</v>
      </c>
      <c r="BD96" s="1218">
        <f t="shared" si="95"/>
        <v>7.1345091181619731</v>
      </c>
      <c r="BE96" s="1186">
        <f t="shared" si="54"/>
        <v>623.87656627668946</v>
      </c>
      <c r="BF96" s="167">
        <v>0</v>
      </c>
      <c r="BG96" s="1208">
        <f t="shared" si="82"/>
        <v>623.87656627668946</v>
      </c>
      <c r="BI96" s="1185">
        <f t="shared" si="83"/>
        <v>383.89676595947554</v>
      </c>
      <c r="BJ96" s="1186">
        <f t="shared" si="84"/>
        <v>215.93656484635383</v>
      </c>
      <c r="BK96" s="1218">
        <f t="shared" si="85"/>
        <v>7.1345091181619731</v>
      </c>
      <c r="BL96" s="1186">
        <f t="shared" si="55"/>
        <v>606.96783992399139</v>
      </c>
      <c r="BM96" s="167">
        <v>0</v>
      </c>
      <c r="BN96" s="1208">
        <f t="shared" si="86"/>
        <v>606.96783992399139</v>
      </c>
    </row>
    <row r="97" spans="1:66">
      <c r="A97" s="1050">
        <f>'Input data'!A128</f>
        <v>2028</v>
      </c>
      <c r="B97" s="946">
        <f>'Input data'!B128</f>
        <v>64.676000000000002</v>
      </c>
      <c r="C97" s="946">
        <f>'Recycling - Case 1'!AF108</f>
        <v>324.27229472653471</v>
      </c>
      <c r="D97" s="948">
        <f>'Recycling - Case 1'!AM108</f>
        <v>0.33821874623794668</v>
      </c>
      <c r="E97" s="948">
        <f>'Recycling - Case 1'!BE108</f>
        <v>0.14277330911442876</v>
      </c>
      <c r="F97" s="948">
        <f>'Recycling - Case 1'!BF108</f>
        <v>0.23124410795484193</v>
      </c>
      <c r="G97" s="948">
        <f>'Recycling - Case 1'!BG108</f>
        <v>8.1064610179297253E-2</v>
      </c>
      <c r="H97" s="948">
        <f>'Recycling - Case 1'!BH108</f>
        <v>0</v>
      </c>
      <c r="I97" s="948">
        <f>'Recycling - Case 1'!BI108</f>
        <v>0</v>
      </c>
      <c r="J97" s="948">
        <f>'Recycling - Case 1'!BJ108</f>
        <v>0</v>
      </c>
      <c r="K97" s="948">
        <f>'Recycling - Case 1'!BK108</f>
        <v>0.54491797275143194</v>
      </c>
      <c r="L97" s="949">
        <f t="shared" si="94"/>
        <v>0.99999999999999989</v>
      </c>
      <c r="M97" s="104"/>
      <c r="N97" s="960">
        <f t="shared" si="53"/>
        <v>7093.3382925934584</v>
      </c>
      <c r="O97" s="955">
        <f>Parameters!R199</f>
        <v>0.84423076923076934</v>
      </c>
      <c r="P97" s="956">
        <f>E97*'MSW characteristics'!$B$28+'MSW characteristics'!$B$29*'4A SWD Case 1'!F97+'4A SWD Case 1'!G97*'MSW characteristics'!$B$30+'MSW characteristics'!$B$31*'4A SWD Case 1'!H97+'4A SWD Case 1'!I97*'MSW characteristics'!$B$32+'MSW characteristics'!$B$33*'4A SWD Case 1'!J97+'4A SWD Case 1'!K97*'MSW characteristics'!$B$35</f>
        <v>0.1000906620298516</v>
      </c>
      <c r="Q97" s="954">
        <f t="shared" si="56"/>
        <v>299.69218306301764</v>
      </c>
      <c r="R97" s="954">
        <f t="shared" si="57"/>
        <v>299.69218306301764</v>
      </c>
      <c r="S97" s="957">
        <f t="shared" si="58"/>
        <v>0</v>
      </c>
      <c r="T97" s="954">
        <f t="shared" si="59"/>
        <v>11277.407899280863</v>
      </c>
      <c r="U97" s="954">
        <f t="shared" si="60"/>
        <v>562.83952047479886</v>
      </c>
      <c r="V97" s="961">
        <f t="shared" si="61"/>
        <v>375.22634698319922</v>
      </c>
      <c r="W97" s="104"/>
      <c r="X97" s="1155">
        <f>'Recycling - Case 1'!AM148*'Recycling - Case 1'!C148</f>
        <v>2519.2280108375649</v>
      </c>
      <c r="Y97" s="1156">
        <f>Parameters!S199</f>
        <v>0.71500000000000008</v>
      </c>
      <c r="Z97" s="1157">
        <f t="shared" si="62"/>
        <v>0.2</v>
      </c>
      <c r="AA97" s="1158">
        <f t="shared" si="63"/>
        <v>180.12480277488592</v>
      </c>
      <c r="AB97" s="1158">
        <f t="shared" si="64"/>
        <v>180.12480277488592</v>
      </c>
      <c r="AC97" s="1159">
        <f t="shared" si="65"/>
        <v>0</v>
      </c>
      <c r="AD97" s="1158">
        <f t="shared" si="66"/>
        <v>6831.8709048684141</v>
      </c>
      <c r="AE97" s="1158">
        <f t="shared" si="67"/>
        <v>341.04231546927946</v>
      </c>
      <c r="AF97" s="1160">
        <f t="shared" si="68"/>
        <v>227.36154364618631</v>
      </c>
      <c r="AG97" s="104"/>
      <c r="AH97" s="1155">
        <f>'Recycling - Case 1'!AM188*'Recycling - Case 1'!C188</f>
        <v>716.09333263932467</v>
      </c>
      <c r="AI97" s="1156">
        <f>Parameters!S199</f>
        <v>0.71500000000000008</v>
      </c>
      <c r="AJ97" s="1157">
        <f t="shared" si="69"/>
        <v>0.2</v>
      </c>
      <c r="AK97" s="1158">
        <f t="shared" si="70"/>
        <v>51.200673283711723</v>
      </c>
      <c r="AL97" s="1158">
        <f t="shared" si="71"/>
        <v>51.200673283711723</v>
      </c>
      <c r="AM97" s="1159">
        <f t="shared" si="72"/>
        <v>0</v>
      </c>
      <c r="AN97" s="1158">
        <f t="shared" si="73"/>
        <v>6117.7220123333682</v>
      </c>
      <c r="AO97" s="1158">
        <f t="shared" si="74"/>
        <v>311.03720024162129</v>
      </c>
      <c r="AP97" s="1160">
        <f t="shared" si="75"/>
        <v>207.3581334944142</v>
      </c>
      <c r="AQ97" s="104"/>
      <c r="AR97" s="1194">
        <f>'Recycling - Case 1'!G108</f>
        <v>624.51262275570207</v>
      </c>
      <c r="AS97" s="1195">
        <v>1</v>
      </c>
      <c r="AT97" s="1196">
        <f t="shared" si="76"/>
        <v>0.05</v>
      </c>
      <c r="AU97" s="1174">
        <f t="shared" si="77"/>
        <v>15.612815568892552</v>
      </c>
      <c r="AV97" s="1174">
        <f t="shared" si="78"/>
        <v>15.612815568892552</v>
      </c>
      <c r="AW97" s="1175">
        <f t="shared" si="79"/>
        <v>0</v>
      </c>
      <c r="AX97" s="1174">
        <f t="shared" si="49"/>
        <v>193.05139766225875</v>
      </c>
      <c r="AY97" s="1174">
        <f t="shared" si="52"/>
        <v>10.972189140559051</v>
      </c>
      <c r="AZ97" s="1197">
        <f t="shared" si="50"/>
        <v>7.3147927603727005</v>
      </c>
      <c r="BB97" s="1185">
        <f t="shared" si="80"/>
        <v>375.22634698319922</v>
      </c>
      <c r="BC97" s="1186">
        <f t="shared" si="81"/>
        <v>227.36154364618631</v>
      </c>
      <c r="BD97" s="1218">
        <f t="shared" si="95"/>
        <v>7.3147927603727005</v>
      </c>
      <c r="BE97" s="1186">
        <f t="shared" si="54"/>
        <v>609.90268338975829</v>
      </c>
      <c r="BF97" s="167">
        <v>0</v>
      </c>
      <c r="BG97" s="1208">
        <f t="shared" si="82"/>
        <v>609.90268338975829</v>
      </c>
      <c r="BI97" s="1185">
        <f t="shared" si="83"/>
        <v>375.22634698319922</v>
      </c>
      <c r="BJ97" s="1186">
        <f t="shared" si="84"/>
        <v>207.3581334944142</v>
      </c>
      <c r="BK97" s="1218">
        <f t="shared" si="85"/>
        <v>7.3147927603727005</v>
      </c>
      <c r="BL97" s="1186">
        <f t="shared" si="55"/>
        <v>589.89927323798611</v>
      </c>
      <c r="BM97" s="167">
        <v>0</v>
      </c>
      <c r="BN97" s="1208">
        <f t="shared" si="86"/>
        <v>589.89927323798611</v>
      </c>
    </row>
    <row r="98" spans="1:66">
      <c r="A98" s="1050">
        <f>'Input data'!A129</f>
        <v>2029</v>
      </c>
      <c r="B98" s="946">
        <f>'Input data'!B129</f>
        <v>65.313000000000002</v>
      </c>
      <c r="C98" s="946">
        <f>'Recycling - Case 1'!AF109</f>
        <v>307.43527115339225</v>
      </c>
      <c r="D98" s="948">
        <f>'Recycling - Case 1'!AM109</f>
        <v>0.33821874623794673</v>
      </c>
      <c r="E98" s="948">
        <f>'Recycling - Case 1'!BE109</f>
        <v>0.14277330911442879</v>
      </c>
      <c r="F98" s="948">
        <f>'Recycling - Case 1'!BF109</f>
        <v>0.23124410795484193</v>
      </c>
      <c r="G98" s="948">
        <f>'Recycling - Case 1'!BG109</f>
        <v>8.1064610179297267E-2</v>
      </c>
      <c r="H98" s="948">
        <f>'Recycling - Case 1'!BH109</f>
        <v>0</v>
      </c>
      <c r="I98" s="948">
        <f>'Recycling - Case 1'!BI109</f>
        <v>0</v>
      </c>
      <c r="J98" s="948">
        <f>'Recycling - Case 1'!BJ109</f>
        <v>0</v>
      </c>
      <c r="K98" s="948">
        <f>'Recycling - Case 1'!BK109</f>
        <v>0.54491797275143206</v>
      </c>
      <c r="L98" s="949">
        <f t="shared" si="94"/>
        <v>1</v>
      </c>
      <c r="M98" s="104"/>
      <c r="N98" s="960">
        <f t="shared" si="53"/>
        <v>6791.2700337466413</v>
      </c>
      <c r="O98" s="955">
        <f>Parameters!R200</f>
        <v>0.85461538461538478</v>
      </c>
      <c r="P98" s="956">
        <f>E98*'MSW characteristics'!$B$28+'MSW characteristics'!$B$29*'4A SWD Case 1'!F98+'4A SWD Case 1'!G98*'MSW characteristics'!$B$30+'MSW characteristics'!$B$31*'4A SWD Case 1'!H98+'4A SWD Case 1'!I98*'MSW characteristics'!$B$32+'MSW characteristics'!$B$33*'4A SWD Case 1'!J98+'4A SWD Case 1'!K98*'MSW characteristics'!$B$35</f>
        <v>0.10009066202985162</v>
      </c>
      <c r="Q98" s="954">
        <f t="shared" si="56"/>
        <v>290.45929035462564</v>
      </c>
      <c r="R98" s="954">
        <f t="shared" si="57"/>
        <v>290.45929035462564</v>
      </c>
      <c r="S98" s="957">
        <f t="shared" si="58"/>
        <v>0</v>
      </c>
      <c r="T98" s="954">
        <f t="shared" si="59"/>
        <v>11017.861516247367</v>
      </c>
      <c r="U98" s="954">
        <f t="shared" si="60"/>
        <v>550.00567338812141</v>
      </c>
      <c r="V98" s="961">
        <f t="shared" si="61"/>
        <v>366.67044892541429</v>
      </c>
      <c r="W98" s="104"/>
      <c r="X98" s="1155">
        <f>'Recycling - Case 1'!AM149*'Recycling - Case 1'!C149</f>
        <v>2525.7918160339336</v>
      </c>
      <c r="Y98" s="1156">
        <f>Parameters!S200</f>
        <v>0.71500000000000008</v>
      </c>
      <c r="Z98" s="1157">
        <f t="shared" si="62"/>
        <v>0.2</v>
      </c>
      <c r="AA98" s="1158">
        <f t="shared" si="63"/>
        <v>180.59411484642629</v>
      </c>
      <c r="AB98" s="1158">
        <f t="shared" si="64"/>
        <v>180.59411484642629</v>
      </c>
      <c r="AC98" s="1159">
        <f t="shared" si="65"/>
        <v>0</v>
      </c>
      <c r="AD98" s="1158">
        <f t="shared" si="66"/>
        <v>6679.2707439475798</v>
      </c>
      <c r="AE98" s="1158">
        <f t="shared" si="67"/>
        <v>333.19427576726025</v>
      </c>
      <c r="AF98" s="1160">
        <f t="shared" si="68"/>
        <v>222.1295171781735</v>
      </c>
      <c r="AG98" s="104"/>
      <c r="AH98" s="1155">
        <f>'Recycling - Case 1'!AM189*'Recycling - Case 1'!C189</f>
        <v>691.37283998752798</v>
      </c>
      <c r="AI98" s="1156">
        <f>Parameters!S200</f>
        <v>0.71500000000000008</v>
      </c>
      <c r="AJ98" s="1157">
        <f t="shared" si="69"/>
        <v>0.2</v>
      </c>
      <c r="AK98" s="1158">
        <f t="shared" si="70"/>
        <v>49.433158059108266</v>
      </c>
      <c r="AL98" s="1158">
        <f t="shared" si="71"/>
        <v>49.433158059108266</v>
      </c>
      <c r="AM98" s="1159">
        <f t="shared" si="72"/>
        <v>0</v>
      </c>
      <c r="AN98" s="1158">
        <f t="shared" si="73"/>
        <v>5868.7903471063273</v>
      </c>
      <c r="AO98" s="1158">
        <f t="shared" si="74"/>
        <v>298.36482328614829</v>
      </c>
      <c r="AP98" s="1160">
        <f t="shared" si="75"/>
        <v>198.90988219076553</v>
      </c>
      <c r="AQ98" s="104"/>
      <c r="AR98" s="1194">
        <f>'Recycling - Case 1'!G109</f>
        <v>635.36730573331556</v>
      </c>
      <c r="AS98" s="1195">
        <v>1</v>
      </c>
      <c r="AT98" s="1196">
        <f t="shared" si="76"/>
        <v>0.05</v>
      </c>
      <c r="AU98" s="1174">
        <f t="shared" si="77"/>
        <v>15.88418264333289</v>
      </c>
      <c r="AV98" s="1174">
        <f t="shared" si="78"/>
        <v>15.88418264333289</v>
      </c>
      <c r="AW98" s="1175">
        <f t="shared" si="79"/>
        <v>0</v>
      </c>
      <c r="AX98" s="1174">
        <f t="shared" si="49"/>
        <v>197.69314212051731</v>
      </c>
      <c r="AY98" s="1174">
        <f t="shared" si="52"/>
        <v>11.242438185074315</v>
      </c>
      <c r="AZ98" s="1197">
        <f t="shared" si="50"/>
        <v>7.4949587900495436</v>
      </c>
      <c r="BB98" s="1185">
        <f t="shared" si="80"/>
        <v>366.67044892541429</v>
      </c>
      <c r="BC98" s="1186">
        <f t="shared" si="81"/>
        <v>222.1295171781735</v>
      </c>
      <c r="BD98" s="1218">
        <f t="shared" si="95"/>
        <v>7.4949587900495436</v>
      </c>
      <c r="BE98" s="1186">
        <f t="shared" si="54"/>
        <v>596.29492489363736</v>
      </c>
      <c r="BF98" s="167">
        <v>0</v>
      </c>
      <c r="BG98" s="1208">
        <f t="shared" si="82"/>
        <v>596.29492489363736</v>
      </c>
      <c r="BI98" s="1185">
        <f t="shared" si="83"/>
        <v>366.67044892541429</v>
      </c>
      <c r="BJ98" s="1186">
        <f t="shared" si="84"/>
        <v>198.90988219076553</v>
      </c>
      <c r="BK98" s="1218">
        <f t="shared" si="85"/>
        <v>7.4949587900495436</v>
      </c>
      <c r="BL98" s="1186">
        <f t="shared" si="55"/>
        <v>573.07528990622939</v>
      </c>
      <c r="BM98" s="167">
        <v>0</v>
      </c>
      <c r="BN98" s="1208">
        <f t="shared" si="86"/>
        <v>573.07528990622939</v>
      </c>
    </row>
    <row r="99" spans="1:66">
      <c r="A99" s="1050">
        <f>'Input data'!A130</f>
        <v>2030</v>
      </c>
      <c r="B99" s="946">
        <f>'Input data'!B130</f>
        <v>65.956000000000003</v>
      </c>
      <c r="C99" s="946">
        <f>'Recycling - Case 1'!AF110</f>
        <v>291.47246769529755</v>
      </c>
      <c r="D99" s="948">
        <f>'Recycling - Case 1'!AM110</f>
        <v>0.33821874623794673</v>
      </c>
      <c r="E99" s="948">
        <f>'Recycling - Case 1'!BE110</f>
        <v>0.14277330911442876</v>
      </c>
      <c r="F99" s="948">
        <f>'Recycling - Case 1'!BF110</f>
        <v>0.23124410795484193</v>
      </c>
      <c r="G99" s="948">
        <f>'Recycling - Case 1'!BG110</f>
        <v>8.1064610179297267E-2</v>
      </c>
      <c r="H99" s="948">
        <f>'Recycling - Case 1'!BH110</f>
        <v>0</v>
      </c>
      <c r="I99" s="948">
        <f>'Recycling - Case 1'!BI110</f>
        <v>0</v>
      </c>
      <c r="J99" s="948">
        <f>'Recycling - Case 1'!BJ110</f>
        <v>0</v>
      </c>
      <c r="K99" s="948">
        <f>'Recycling - Case 1'!BK110</f>
        <v>0.54491797275143206</v>
      </c>
      <c r="L99" s="949">
        <f t="shared" si="94"/>
        <v>1</v>
      </c>
      <c r="M99" s="104"/>
      <c r="N99" s="960">
        <f t="shared" si="53"/>
        <v>6502.0382868139232</v>
      </c>
      <c r="O99" s="955">
        <f>Parameters!R201</f>
        <v>0.86499999999999988</v>
      </c>
      <c r="P99" s="956">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954">
        <f t="shared" si="56"/>
        <v>281.46810946005513</v>
      </c>
      <c r="R99" s="954">
        <f t="shared" si="57"/>
        <v>281.46810946005513</v>
      </c>
      <c r="S99" s="957">
        <f t="shared" si="58"/>
        <v>0</v>
      </c>
      <c r="T99" s="954">
        <f t="shared" si="59"/>
        <v>10761.982178788601</v>
      </c>
      <c r="U99" s="954">
        <f t="shared" si="60"/>
        <v>537.34744691881974</v>
      </c>
      <c r="V99" s="961">
        <f t="shared" si="61"/>
        <v>358.23163127921316</v>
      </c>
      <c r="W99" s="104"/>
      <c r="X99" s="1155">
        <f>'Recycling - Case 1'!AM150*'Recycling - Case 1'!C150</f>
        <v>2545.7100834927596</v>
      </c>
      <c r="Y99" s="1156">
        <f>Parameters!S201</f>
        <v>0.71500000000000008</v>
      </c>
      <c r="Z99" s="1157">
        <f t="shared" si="62"/>
        <v>0.2</v>
      </c>
      <c r="AA99" s="1158">
        <f t="shared" si="63"/>
        <v>182.01827096973236</v>
      </c>
      <c r="AB99" s="1158">
        <f t="shared" si="64"/>
        <v>182.01827096973236</v>
      </c>
      <c r="AC99" s="1159">
        <f t="shared" si="65"/>
        <v>0</v>
      </c>
      <c r="AD99" s="1158">
        <f t="shared" si="66"/>
        <v>6535.5371368194446</v>
      </c>
      <c r="AE99" s="1158">
        <f t="shared" si="67"/>
        <v>325.75187809786752</v>
      </c>
      <c r="AF99" s="1160">
        <f t="shared" si="68"/>
        <v>217.16791873191167</v>
      </c>
      <c r="AG99" s="104"/>
      <c r="AH99" s="1155">
        <f>'Recycling - Case 1'!AM190*'Recycling - Case 1'!C190</f>
        <v>707.62051159234431</v>
      </c>
      <c r="AI99" s="1156">
        <f>Parameters!S201</f>
        <v>0.71500000000000008</v>
      </c>
      <c r="AJ99" s="1157">
        <f t="shared" si="69"/>
        <v>0.2</v>
      </c>
      <c r="AK99" s="1158">
        <f t="shared" si="70"/>
        <v>50.594866578852624</v>
      </c>
      <c r="AL99" s="1158">
        <f t="shared" si="71"/>
        <v>50.594866578852624</v>
      </c>
      <c r="AM99" s="1159">
        <f t="shared" si="72"/>
        <v>0</v>
      </c>
      <c r="AN99" s="1158">
        <f t="shared" si="73"/>
        <v>5633.1609309721498</v>
      </c>
      <c r="AO99" s="1158">
        <f t="shared" si="74"/>
        <v>286.22428271302994</v>
      </c>
      <c r="AP99" s="1160">
        <f t="shared" si="75"/>
        <v>190.8161884753533</v>
      </c>
      <c r="AQ99" s="104"/>
      <c r="AR99" s="1194">
        <f>'Recycling - Case 1'!G110</f>
        <v>646.37254169696007</v>
      </c>
      <c r="AS99" s="1195">
        <v>1</v>
      </c>
      <c r="AT99" s="1196">
        <f t="shared" si="76"/>
        <v>0.05</v>
      </c>
      <c r="AU99" s="1174">
        <f t="shared" si="77"/>
        <v>16.159313542424002</v>
      </c>
      <c r="AV99" s="1174">
        <f t="shared" si="78"/>
        <v>16.159313542424002</v>
      </c>
      <c r="AW99" s="1175">
        <f t="shared" si="79"/>
        <v>0</v>
      </c>
      <c r="AX99" s="1174">
        <f t="shared" si="49"/>
        <v>202.33970332435757</v>
      </c>
      <c r="AY99" s="1174">
        <f t="shared" si="52"/>
        <v>11.512752338583731</v>
      </c>
      <c r="AZ99" s="1197">
        <f t="shared" si="50"/>
        <v>7.6751682257224871</v>
      </c>
      <c r="BB99" s="1185">
        <f t="shared" si="80"/>
        <v>358.23163127921316</v>
      </c>
      <c r="BC99" s="1186">
        <f t="shared" si="81"/>
        <v>217.16791873191167</v>
      </c>
      <c r="BD99" s="1218">
        <f t="shared" si="95"/>
        <v>7.6751682257224871</v>
      </c>
      <c r="BE99" s="1186">
        <f t="shared" si="54"/>
        <v>583.07471823684727</v>
      </c>
      <c r="BF99" s="167">
        <v>0</v>
      </c>
      <c r="BG99" s="1208">
        <f t="shared" si="82"/>
        <v>583.07471823684727</v>
      </c>
      <c r="BI99" s="1185">
        <f t="shared" si="83"/>
        <v>358.23163127921316</v>
      </c>
      <c r="BJ99" s="1186">
        <f t="shared" si="84"/>
        <v>190.8161884753533</v>
      </c>
      <c r="BK99" s="1218">
        <f t="shared" si="85"/>
        <v>7.6751682257224871</v>
      </c>
      <c r="BL99" s="1186">
        <f t="shared" si="55"/>
        <v>556.72298798028896</v>
      </c>
      <c r="BM99" s="167">
        <v>0</v>
      </c>
      <c r="BN99" s="1208">
        <f t="shared" si="86"/>
        <v>556.72298798028896</v>
      </c>
    </row>
    <row r="100" spans="1:66">
      <c r="A100" s="1050">
        <f>'Input data'!A131</f>
        <v>2031</v>
      </c>
      <c r="B100" s="946">
        <f>'Input data'!B131</f>
        <v>66.519000000000005</v>
      </c>
      <c r="C100" s="946">
        <f>'Recycling - Case 1'!AF111</f>
        <v>277.67239883192764</v>
      </c>
      <c r="D100" s="948">
        <f>'Recycling - Case 1'!AM111</f>
        <v>0.33821874623794668</v>
      </c>
      <c r="E100" s="948">
        <f>'Recycling - Case 1'!BE111</f>
        <v>0.14277330911442879</v>
      </c>
      <c r="F100" s="948">
        <f>'Recycling - Case 1'!BF111</f>
        <v>0.23124410795484199</v>
      </c>
      <c r="G100" s="948">
        <f>'Recycling - Case 1'!BG111</f>
        <v>8.1064610179297267E-2</v>
      </c>
      <c r="H100" s="948">
        <f>'Recycling - Case 1'!BH111</f>
        <v>0</v>
      </c>
      <c r="I100" s="948">
        <f>'Recycling - Case 1'!BI111</f>
        <v>0</v>
      </c>
      <c r="J100" s="948">
        <f>'Recycling - Case 1'!BJ111</f>
        <v>0</v>
      </c>
      <c r="K100" s="948">
        <f>'Recycling - Case 1'!BK111</f>
        <v>0.54491797275143217</v>
      </c>
      <c r="L100" s="949">
        <f t="shared" si="94"/>
        <v>1.0000000000000002</v>
      </c>
      <c r="M100" s="104"/>
      <c r="N100" s="960">
        <f t="shared" si="53"/>
        <v>6247.0660709562335</v>
      </c>
      <c r="O100" s="955">
        <f>Parameters!R202</f>
        <v>0.87175000000000002</v>
      </c>
      <c r="P100" s="956">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954">
        <f t="shared" si="56"/>
        <v>272.54085962844954</v>
      </c>
      <c r="R100" s="954">
        <f t="shared" si="57"/>
        <v>272.54085962844954</v>
      </c>
      <c r="S100" s="957">
        <f t="shared" si="58"/>
        <v>0</v>
      </c>
      <c r="T100" s="954">
        <f t="shared" si="59"/>
        <v>10509.65497404447</v>
      </c>
      <c r="U100" s="954">
        <f t="shared" si="60"/>
        <v>524.86806437257974</v>
      </c>
      <c r="V100" s="961">
        <f t="shared" si="61"/>
        <v>349.91204291505318</v>
      </c>
      <c r="W100" s="104"/>
      <c r="X100" s="1155">
        <f>'Recycling - Case 1'!AM151*'Recycling - Case 1'!C151</f>
        <v>2506.83440197954</v>
      </c>
      <c r="Y100" s="1156">
        <f>Parameters!S202</f>
        <v>0.71500000000000008</v>
      </c>
      <c r="Z100" s="1157">
        <f t="shared" si="62"/>
        <v>0.2</v>
      </c>
      <c r="AA100" s="1158">
        <f t="shared" si="63"/>
        <v>179.23865974153713</v>
      </c>
      <c r="AB100" s="1158">
        <f t="shared" si="64"/>
        <v>179.23865974153713</v>
      </c>
      <c r="AC100" s="1159">
        <f t="shared" si="65"/>
        <v>0</v>
      </c>
      <c r="AD100" s="1158">
        <f t="shared" si="66"/>
        <v>6396.0338892013415</v>
      </c>
      <c r="AE100" s="1158">
        <f t="shared" si="67"/>
        <v>318.74190735964009</v>
      </c>
      <c r="AF100" s="1160">
        <f t="shared" si="68"/>
        <v>212.49460490642673</v>
      </c>
      <c r="AG100" s="104"/>
      <c r="AH100" s="1155">
        <f>'Recycling - Case 1'!AM191*'Recycling - Case 1'!C191</f>
        <v>727.12970413925086</v>
      </c>
      <c r="AI100" s="1156">
        <f>Parameters!S202</f>
        <v>0.71500000000000008</v>
      </c>
      <c r="AJ100" s="1157">
        <f t="shared" si="69"/>
        <v>0.2</v>
      </c>
      <c r="AK100" s="1158">
        <f t="shared" si="70"/>
        <v>51.989773845956449</v>
      </c>
      <c r="AL100" s="1158">
        <f t="shared" si="71"/>
        <v>51.989773845956449</v>
      </c>
      <c r="AM100" s="1159">
        <f t="shared" si="72"/>
        <v>0</v>
      </c>
      <c r="AN100" s="1158">
        <f t="shared" si="73"/>
        <v>5410.4182043345008</v>
      </c>
      <c r="AO100" s="1158">
        <f t="shared" si="74"/>
        <v>274.73250048360535</v>
      </c>
      <c r="AP100" s="1160">
        <f t="shared" si="75"/>
        <v>183.15500032240357</v>
      </c>
      <c r="AQ100" s="104"/>
      <c r="AR100" s="1194">
        <f>'Recycling - Case 1'!G111</f>
        <v>656.68062845237228</v>
      </c>
      <c r="AS100" s="1195">
        <v>1</v>
      </c>
      <c r="AT100" s="1196">
        <f t="shared" si="76"/>
        <v>0.05</v>
      </c>
      <c r="AU100" s="1174">
        <f t="shared" si="77"/>
        <v>16.417015711309308</v>
      </c>
      <c r="AV100" s="1174">
        <f t="shared" si="78"/>
        <v>16.417015711309308</v>
      </c>
      <c r="AW100" s="1175">
        <f t="shared" si="79"/>
        <v>0</v>
      </c>
      <c r="AX100" s="1174">
        <f t="shared" si="49"/>
        <v>206.9733720381482</v>
      </c>
      <c r="AY100" s="1174">
        <f t="shared" si="52"/>
        <v>11.783346997518702</v>
      </c>
      <c r="AZ100" s="1197">
        <f t="shared" si="50"/>
        <v>7.8555646650124684</v>
      </c>
      <c r="BB100" s="1185">
        <f t="shared" si="80"/>
        <v>349.91204291505318</v>
      </c>
      <c r="BC100" s="1186">
        <f t="shared" si="81"/>
        <v>212.49460490642673</v>
      </c>
      <c r="BD100" s="1218">
        <f t="shared" si="95"/>
        <v>7.8555646650124684</v>
      </c>
      <c r="BE100" s="1186">
        <f t="shared" si="54"/>
        <v>570.26221248649244</v>
      </c>
      <c r="BF100" s="167">
        <v>0</v>
      </c>
      <c r="BG100" s="1208">
        <f t="shared" si="82"/>
        <v>570.26221248649244</v>
      </c>
      <c r="BI100" s="1185">
        <f t="shared" si="83"/>
        <v>349.91204291505318</v>
      </c>
      <c r="BJ100" s="1186">
        <f t="shared" si="84"/>
        <v>183.15500032240357</v>
      </c>
      <c r="BK100" s="1218">
        <f t="shared" si="85"/>
        <v>7.8555646650124684</v>
      </c>
      <c r="BL100" s="1186">
        <f t="shared" si="55"/>
        <v>540.92260790246928</v>
      </c>
      <c r="BM100" s="167">
        <v>0</v>
      </c>
      <c r="BN100" s="1208">
        <f t="shared" si="86"/>
        <v>540.92260790246928</v>
      </c>
    </row>
    <row r="101" spans="1:66">
      <c r="A101" s="1050">
        <f>'Input data'!A132</f>
        <v>2032</v>
      </c>
      <c r="B101" s="946">
        <f>'Input data'!B132</f>
        <v>67.087000000000003</v>
      </c>
      <c r="C101" s="946">
        <f>'Recycling - Case 1'!AF112</f>
        <v>263.87232996855778</v>
      </c>
      <c r="D101" s="948">
        <f>'Recycling - Case 1'!AM112</f>
        <v>0.33821874623794673</v>
      </c>
      <c r="E101" s="948">
        <f>'Recycling - Case 1'!BE112</f>
        <v>0.14277330911442879</v>
      </c>
      <c r="F101" s="948">
        <f>'Recycling - Case 1'!BF112</f>
        <v>0.23124410795484199</v>
      </c>
      <c r="G101" s="948">
        <f>'Recycling - Case 1'!BG112</f>
        <v>8.1064610179297267E-2</v>
      </c>
      <c r="H101" s="948">
        <f>'Recycling - Case 1'!BH112</f>
        <v>0</v>
      </c>
      <c r="I101" s="948">
        <f>'Recycling - Case 1'!BI112</f>
        <v>0</v>
      </c>
      <c r="J101" s="948">
        <f>'Recycling - Case 1'!BJ112</f>
        <v>0</v>
      </c>
      <c r="K101" s="948">
        <f>'Recycling - Case 1'!BK112</f>
        <v>0.54491797275143194</v>
      </c>
      <c r="L101" s="949">
        <f t="shared" si="94"/>
        <v>1</v>
      </c>
      <c r="M101" s="104"/>
      <c r="N101" s="960">
        <f t="shared" si="53"/>
        <v>5987.2845482620132</v>
      </c>
      <c r="O101" s="955">
        <f>Parameters!R203</f>
        <v>0.87849999999999995</v>
      </c>
      <c r="P101" s="956">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954">
        <f t="shared" si="56"/>
        <v>263.22990719087676</v>
      </c>
      <c r="R101" s="954">
        <f t="shared" si="57"/>
        <v>263.22990719087676</v>
      </c>
      <c r="S101" s="957">
        <f t="shared" si="58"/>
        <v>0</v>
      </c>
      <c r="T101" s="954">
        <f t="shared" si="59"/>
        <v>10260.322959852265</v>
      </c>
      <c r="U101" s="954">
        <f t="shared" si="60"/>
        <v>512.56192138308234</v>
      </c>
      <c r="V101" s="961">
        <f t="shared" si="61"/>
        <v>341.70794758872154</v>
      </c>
      <c r="W101" s="104"/>
      <c r="X101" s="1155">
        <f>'Recycling - Case 1'!AM152*'Recycling - Case 1'!C152</f>
        <v>2453.8269684443944</v>
      </c>
      <c r="Y101" s="1156">
        <f>Parameters!S203</f>
        <v>0.71500000000000008</v>
      </c>
      <c r="Z101" s="1157">
        <f t="shared" si="62"/>
        <v>0.2</v>
      </c>
      <c r="AA101" s="1158">
        <f t="shared" si="63"/>
        <v>175.44862824377424</v>
      </c>
      <c r="AB101" s="1158">
        <f t="shared" si="64"/>
        <v>175.44862824377424</v>
      </c>
      <c r="AC101" s="1159">
        <f t="shared" si="65"/>
        <v>0</v>
      </c>
      <c r="AD101" s="1158">
        <f t="shared" si="66"/>
        <v>6259.5442637558299</v>
      </c>
      <c r="AE101" s="1158">
        <f t="shared" si="67"/>
        <v>311.93825368928577</v>
      </c>
      <c r="AF101" s="1160">
        <f t="shared" si="68"/>
        <v>207.95883579285717</v>
      </c>
      <c r="AG101" s="104"/>
      <c r="AH101" s="1155">
        <f>'Recycling - Case 1'!AM192*'Recycling - Case 1'!C192</f>
        <v>745.72250016775149</v>
      </c>
      <c r="AI101" s="1156">
        <f>Parameters!S203</f>
        <v>0.71500000000000008</v>
      </c>
      <c r="AJ101" s="1157">
        <f t="shared" si="69"/>
        <v>0.2</v>
      </c>
      <c r="AK101" s="1158">
        <f t="shared" si="70"/>
        <v>53.319158761994245</v>
      </c>
      <c r="AL101" s="1158">
        <f t="shared" si="71"/>
        <v>53.319158761994245</v>
      </c>
      <c r="AM101" s="1159">
        <f t="shared" si="72"/>
        <v>0</v>
      </c>
      <c r="AN101" s="1158">
        <f t="shared" si="73"/>
        <v>5199.8681535792875</v>
      </c>
      <c r="AO101" s="1158">
        <f t="shared" si="74"/>
        <v>263.86920951720708</v>
      </c>
      <c r="AP101" s="1160">
        <f t="shared" si="75"/>
        <v>175.91280634480472</v>
      </c>
      <c r="AQ101" s="104"/>
      <c r="AR101" s="1194">
        <f>'Recycling - Case 1'!G112</f>
        <v>667.11952946746214</v>
      </c>
      <c r="AS101" s="1195">
        <v>1</v>
      </c>
      <c r="AT101" s="1196">
        <f t="shared" si="76"/>
        <v>0.05</v>
      </c>
      <c r="AU101" s="1174">
        <f t="shared" si="77"/>
        <v>16.677988236686556</v>
      </c>
      <c r="AV101" s="1174">
        <f t="shared" si="78"/>
        <v>16.677988236686556</v>
      </c>
      <c r="AW101" s="1175">
        <f t="shared" si="79"/>
        <v>0</v>
      </c>
      <c r="AX101" s="1174">
        <f t="shared" si="49"/>
        <v>211.59816941855237</v>
      </c>
      <c r="AY101" s="1174">
        <f t="shared" si="52"/>
        <v>12.053190856282374</v>
      </c>
      <c r="AZ101" s="1197">
        <f t="shared" si="50"/>
        <v>8.0354605708549158</v>
      </c>
      <c r="BB101" s="1185">
        <f t="shared" si="80"/>
        <v>341.70794758872154</v>
      </c>
      <c r="BC101" s="1186">
        <f t="shared" si="81"/>
        <v>207.95883579285717</v>
      </c>
      <c r="BD101" s="1218">
        <f t="shared" si="95"/>
        <v>8.0354605708549158</v>
      </c>
      <c r="BE101" s="1186">
        <f t="shared" si="54"/>
        <v>557.70224395243361</v>
      </c>
      <c r="BF101" s="167">
        <v>0</v>
      </c>
      <c r="BG101" s="1208">
        <f t="shared" si="82"/>
        <v>557.70224395243361</v>
      </c>
      <c r="BI101" s="1185">
        <f t="shared" si="83"/>
        <v>341.70794758872154</v>
      </c>
      <c r="BJ101" s="1186">
        <f t="shared" si="84"/>
        <v>175.91280634480472</v>
      </c>
      <c r="BK101" s="1218">
        <f t="shared" si="85"/>
        <v>8.0354605708549158</v>
      </c>
      <c r="BL101" s="1186">
        <f t="shared" si="55"/>
        <v>525.65621450438107</v>
      </c>
      <c r="BM101" s="167">
        <v>0</v>
      </c>
      <c r="BN101" s="1208">
        <f t="shared" si="86"/>
        <v>525.65621450438107</v>
      </c>
    </row>
    <row r="102" spans="1:66">
      <c r="A102" s="1050">
        <f>'Input data'!A133</f>
        <v>2033</v>
      </c>
      <c r="B102" s="946">
        <f>'Input data'!B133</f>
        <v>67.659000000000006</v>
      </c>
      <c r="C102" s="946">
        <f>'Recycling - Case 1'!AF113</f>
        <v>250.07226110518789</v>
      </c>
      <c r="D102" s="948">
        <f>'Recycling - Case 1'!AM113</f>
        <v>0.33821874623794668</v>
      </c>
      <c r="E102" s="948">
        <f>'Recycling - Case 1'!BE113</f>
        <v>0.14277330911442879</v>
      </c>
      <c r="F102" s="948">
        <f>'Recycling - Case 1'!BF113</f>
        <v>0.23124410795484199</v>
      </c>
      <c r="G102" s="948">
        <f>'Recycling - Case 1'!BG113</f>
        <v>8.1064610179297281E-2</v>
      </c>
      <c r="H102" s="948">
        <f>'Recycling - Case 1'!BH113</f>
        <v>0</v>
      </c>
      <c r="I102" s="948">
        <f>'Recycling - Case 1'!BI113</f>
        <v>0</v>
      </c>
      <c r="J102" s="948">
        <f>'Recycling - Case 1'!BJ113</f>
        <v>0</v>
      </c>
      <c r="K102" s="948">
        <f>'Recycling - Case 1'!BK113</f>
        <v>0.54491797275143217</v>
      </c>
      <c r="L102" s="949">
        <f t="shared" si="94"/>
        <v>1.0000000000000002</v>
      </c>
      <c r="M102" s="104"/>
      <c r="N102" s="960">
        <f t="shared" si="53"/>
        <v>5722.5391279748046</v>
      </c>
      <c r="O102" s="955">
        <f>Parameters!R204</f>
        <v>0.88524999999999998</v>
      </c>
      <c r="P102" s="956">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954">
        <f t="shared" si="56"/>
        <v>253.52352953247345</v>
      </c>
      <c r="R102" s="954">
        <f t="shared" si="57"/>
        <v>253.52352953247345</v>
      </c>
      <c r="S102" s="957">
        <f t="shared" si="58"/>
        <v>0</v>
      </c>
      <c r="T102" s="954">
        <f t="shared" si="59"/>
        <v>10013.444633824205</v>
      </c>
      <c r="U102" s="954">
        <f t="shared" si="60"/>
        <v>500.40185556053234</v>
      </c>
      <c r="V102" s="961">
        <f t="shared" si="61"/>
        <v>333.60123704035487</v>
      </c>
      <c r="W102" s="104"/>
      <c r="X102" s="1155">
        <f>'Recycling - Case 1'!AM153*'Recycling - Case 1'!C153</f>
        <v>2417.0401576508712</v>
      </c>
      <c r="Y102" s="1156">
        <f>Parameters!S204</f>
        <v>0.71500000000000008</v>
      </c>
      <c r="Z102" s="1157">
        <f t="shared" si="62"/>
        <v>0.2</v>
      </c>
      <c r="AA102" s="1158">
        <f t="shared" si="63"/>
        <v>172.8183712720373</v>
      </c>
      <c r="AB102" s="1158">
        <f t="shared" si="64"/>
        <v>172.8183712720373</v>
      </c>
      <c r="AC102" s="1159">
        <f t="shared" si="65"/>
        <v>0</v>
      </c>
      <c r="AD102" s="1158">
        <f t="shared" si="66"/>
        <v>6127.0810589212415</v>
      </c>
      <c r="AE102" s="1158">
        <f t="shared" si="67"/>
        <v>305.28157610662618</v>
      </c>
      <c r="AF102" s="1160">
        <f t="shared" si="68"/>
        <v>203.52105073775078</v>
      </c>
      <c r="AG102" s="104"/>
      <c r="AH102" s="1155">
        <f>'Recycling - Case 1'!AM193*'Recycling - Case 1'!C193</f>
        <v>766.3723550476949</v>
      </c>
      <c r="AI102" s="1156">
        <f>Parameters!S204</f>
        <v>0.71500000000000008</v>
      </c>
      <c r="AJ102" s="1157">
        <f t="shared" si="69"/>
        <v>0.2</v>
      </c>
      <c r="AK102" s="1158">
        <f t="shared" si="70"/>
        <v>54.79562338591019</v>
      </c>
      <c r="AL102" s="1158">
        <f t="shared" si="71"/>
        <v>54.79562338591019</v>
      </c>
      <c r="AM102" s="1159">
        <f t="shared" si="72"/>
        <v>0</v>
      </c>
      <c r="AN102" s="1158">
        <f t="shared" si="73"/>
        <v>5001.0632145947266</v>
      </c>
      <c r="AO102" s="1158">
        <f t="shared" si="74"/>
        <v>253.60056237047144</v>
      </c>
      <c r="AP102" s="1160">
        <f t="shared" si="75"/>
        <v>169.06704158031428</v>
      </c>
      <c r="AQ102" s="104"/>
      <c r="AR102" s="1194">
        <f>'Recycling - Case 1'!G113</f>
        <v>677.6803089176409</v>
      </c>
      <c r="AS102" s="1195">
        <v>1</v>
      </c>
      <c r="AT102" s="1196">
        <f t="shared" si="76"/>
        <v>0.05</v>
      </c>
      <c r="AU102" s="1174">
        <f t="shared" si="77"/>
        <v>16.942007722941025</v>
      </c>
      <c r="AV102" s="1174">
        <f t="shared" si="78"/>
        <v>16.942007722941025</v>
      </c>
      <c r="AW102" s="1175">
        <f t="shared" si="79"/>
        <v>0</v>
      </c>
      <c r="AX102" s="1174">
        <f t="shared" si="49"/>
        <v>216.21765905268484</v>
      </c>
      <c r="AY102" s="1174">
        <f t="shared" si="52"/>
        <v>12.322518088808556</v>
      </c>
      <c r="AZ102" s="1197">
        <f t="shared" si="50"/>
        <v>8.2150120592057032</v>
      </c>
      <c r="BB102" s="1185">
        <f t="shared" si="80"/>
        <v>333.60123704035487</v>
      </c>
      <c r="BC102" s="1186">
        <f t="shared" si="81"/>
        <v>203.52105073775078</v>
      </c>
      <c r="BD102" s="1218">
        <f t="shared" si="95"/>
        <v>8.2150120592057032</v>
      </c>
      <c r="BE102" s="1186">
        <f t="shared" si="54"/>
        <v>545.33729983731132</v>
      </c>
      <c r="BF102" s="167">
        <v>0</v>
      </c>
      <c r="BG102" s="1208">
        <f t="shared" si="82"/>
        <v>545.33729983731132</v>
      </c>
      <c r="BI102" s="1185">
        <f t="shared" si="83"/>
        <v>333.60123704035487</v>
      </c>
      <c r="BJ102" s="1186">
        <f t="shared" si="84"/>
        <v>169.06704158031428</v>
      </c>
      <c r="BK102" s="1218">
        <f t="shared" si="85"/>
        <v>8.2150120592057032</v>
      </c>
      <c r="BL102" s="1186">
        <f t="shared" si="55"/>
        <v>510.8832906798749</v>
      </c>
      <c r="BM102" s="167">
        <v>0</v>
      </c>
      <c r="BN102" s="1208">
        <f t="shared" si="86"/>
        <v>510.8832906798749</v>
      </c>
    </row>
    <row r="103" spans="1:66">
      <c r="A103" s="1050">
        <f>'Input data'!A134</f>
        <v>2034</v>
      </c>
      <c r="B103" s="946">
        <f>'Input data'!B134</f>
        <v>68.236999999999995</v>
      </c>
      <c r="C103" s="946">
        <f>'Recycling - Case 1'!AF114</f>
        <v>236.27219224181798</v>
      </c>
      <c r="D103" s="948">
        <f>'Recycling - Case 1'!AM114</f>
        <v>0.33821874623794673</v>
      </c>
      <c r="E103" s="948">
        <f>'Recycling - Case 1'!BE114</f>
        <v>0.14277330911442876</v>
      </c>
      <c r="F103" s="948">
        <f>'Recycling - Case 1'!BF114</f>
        <v>0.23124410795484199</v>
      </c>
      <c r="G103" s="948">
        <f>'Recycling - Case 1'!BG114</f>
        <v>8.1064610179297267E-2</v>
      </c>
      <c r="H103" s="948">
        <f>'Recycling - Case 1'!BH114</f>
        <v>0</v>
      </c>
      <c r="I103" s="948">
        <f>'Recycling - Case 1'!BI114</f>
        <v>0</v>
      </c>
      <c r="J103" s="948">
        <f>'Recycling - Case 1'!BJ114</f>
        <v>0</v>
      </c>
      <c r="K103" s="948">
        <f>'Recycling - Case 1'!BK114</f>
        <v>0.54491797275143206</v>
      </c>
      <c r="L103" s="949">
        <f t="shared" si="94"/>
        <v>1</v>
      </c>
      <c r="M103" s="104"/>
      <c r="N103" s="960">
        <f t="shared" si="53"/>
        <v>5452.9336241600058</v>
      </c>
      <c r="O103" s="955">
        <f>Parameters!R205</f>
        <v>0.8919999999999999</v>
      </c>
      <c r="P103" s="956">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0.10009066202985162</v>
      </c>
      <c r="Q103" s="954">
        <f t="shared" si="56"/>
        <v>243.42133045536784</v>
      </c>
      <c r="R103" s="954">
        <f t="shared" si="57"/>
        <v>243.42133045536784</v>
      </c>
      <c r="S103" s="957">
        <f t="shared" si="58"/>
        <v>0</v>
      </c>
      <c r="T103" s="954">
        <f t="shared" si="59"/>
        <v>9768.5045067577303</v>
      </c>
      <c r="U103" s="954">
        <f t="shared" si="60"/>
        <v>488.36145752184348</v>
      </c>
      <c r="V103" s="961">
        <f t="shared" si="61"/>
        <v>325.5743050145623</v>
      </c>
      <c r="W103" s="104"/>
      <c r="X103" s="1155">
        <f>'Recycling - Case 1'!AM154*'Recycling - Case 1'!C154</f>
        <v>2388.8453319885075</v>
      </c>
      <c r="Y103" s="1156">
        <f>Parameters!S205</f>
        <v>0.71500000000000008</v>
      </c>
      <c r="Z103" s="1157">
        <f t="shared" si="62"/>
        <v>0.2</v>
      </c>
      <c r="AA103" s="1158">
        <f t="shared" si="63"/>
        <v>170.8024412371783</v>
      </c>
      <c r="AB103" s="1158">
        <f t="shared" si="64"/>
        <v>170.8024412371783</v>
      </c>
      <c r="AC103" s="1159">
        <f t="shared" si="65"/>
        <v>0</v>
      </c>
      <c r="AD103" s="1158">
        <f t="shared" si="66"/>
        <v>5999.0622307840567</v>
      </c>
      <c r="AE103" s="1158">
        <f t="shared" si="67"/>
        <v>298.82126937436351</v>
      </c>
      <c r="AF103" s="1160">
        <f t="shared" si="68"/>
        <v>199.214179582909</v>
      </c>
      <c r="AG103" s="104"/>
      <c r="AH103" s="1155">
        <f>'Recycling - Case 1'!AM194*'Recycling - Case 1'!C194</f>
        <v>788.45287115890471</v>
      </c>
      <c r="AI103" s="1156">
        <f>Parameters!S205</f>
        <v>0.71500000000000008</v>
      </c>
      <c r="AJ103" s="1157">
        <f t="shared" si="69"/>
        <v>0.2</v>
      </c>
      <c r="AK103" s="1158">
        <f t="shared" si="70"/>
        <v>56.37438028786169</v>
      </c>
      <c r="AL103" s="1158">
        <f t="shared" si="71"/>
        <v>56.37438028786169</v>
      </c>
      <c r="AM103" s="1159">
        <f t="shared" si="72"/>
        <v>0</v>
      </c>
      <c r="AN103" s="1158">
        <f t="shared" si="73"/>
        <v>4813.532863798494</v>
      </c>
      <c r="AO103" s="1158">
        <f t="shared" si="74"/>
        <v>243.90473108409398</v>
      </c>
      <c r="AP103" s="1160">
        <f t="shared" si="75"/>
        <v>162.60315405606266</v>
      </c>
      <c r="AQ103" s="104"/>
      <c r="AR103" s="1194">
        <f>'Recycling - Case 1'!G114</f>
        <v>688.38400730327044</v>
      </c>
      <c r="AS103" s="1195">
        <v>1</v>
      </c>
      <c r="AT103" s="1196">
        <f t="shared" si="76"/>
        <v>0.05</v>
      </c>
      <c r="AU103" s="1174">
        <f t="shared" si="77"/>
        <v>17.209600182581763</v>
      </c>
      <c r="AV103" s="1174">
        <f t="shared" si="78"/>
        <v>17.209600182581763</v>
      </c>
      <c r="AW103" s="1175">
        <f t="shared" si="79"/>
        <v>0</v>
      </c>
      <c r="AX103" s="1174">
        <f t="shared" si="49"/>
        <v>220.8357230130116</v>
      </c>
      <c r="AY103" s="1174">
        <f t="shared" si="52"/>
        <v>12.591536222254989</v>
      </c>
      <c r="AZ103" s="1197">
        <f t="shared" si="50"/>
        <v>8.3943574815033255</v>
      </c>
      <c r="BB103" s="1185">
        <f t="shared" si="80"/>
        <v>325.5743050145623</v>
      </c>
      <c r="BC103" s="1186">
        <f t="shared" si="81"/>
        <v>199.214179582909</v>
      </c>
      <c r="BD103" s="1218">
        <f t="shared" si="95"/>
        <v>8.3943574815033255</v>
      </c>
      <c r="BE103" s="1186">
        <f t="shared" si="54"/>
        <v>533.18284207897466</v>
      </c>
      <c r="BF103" s="167">
        <v>0</v>
      </c>
      <c r="BG103" s="1208">
        <f t="shared" si="82"/>
        <v>533.18284207897466</v>
      </c>
      <c r="BI103" s="1185">
        <f t="shared" si="83"/>
        <v>325.5743050145623</v>
      </c>
      <c r="BJ103" s="1186">
        <f t="shared" si="84"/>
        <v>162.60315405606266</v>
      </c>
      <c r="BK103" s="1218">
        <f t="shared" si="85"/>
        <v>8.3943574815033255</v>
      </c>
      <c r="BL103" s="1186">
        <f t="shared" si="55"/>
        <v>496.57181655212833</v>
      </c>
      <c r="BM103" s="167">
        <v>0</v>
      </c>
      <c r="BN103" s="1208">
        <f t="shared" si="86"/>
        <v>496.57181655212833</v>
      </c>
    </row>
    <row r="104" spans="1:66">
      <c r="A104" s="1050">
        <f>'Input data'!A135</f>
        <v>2035</v>
      </c>
      <c r="B104" s="946">
        <f>'Input data'!B135</f>
        <v>68.819000000000003</v>
      </c>
      <c r="C104" s="946">
        <f>'Recycling - Case 1'!AF115</f>
        <v>222.47212337844812</v>
      </c>
      <c r="D104" s="948">
        <f>'Recycling - Case 1'!AM115</f>
        <v>0.33821874623794673</v>
      </c>
      <c r="E104" s="948">
        <f>'Recycling - Case 1'!BE115</f>
        <v>0.14277330911442881</v>
      </c>
      <c r="F104" s="948">
        <f>'Recycling - Case 1'!BF115</f>
        <v>0.23124410795484199</v>
      </c>
      <c r="G104" s="948">
        <f>'Recycling - Case 1'!BG115</f>
        <v>8.1064610179297281E-2</v>
      </c>
      <c r="H104" s="948">
        <f>'Recycling - Case 1'!BH115</f>
        <v>0</v>
      </c>
      <c r="I104" s="948">
        <f>'Recycling - Case 1'!BI115</f>
        <v>0</v>
      </c>
      <c r="J104" s="948">
        <f>'Recycling - Case 1'!BJ115</f>
        <v>0</v>
      </c>
      <c r="K104" s="948">
        <f>'Recycling - Case 1'!BK115</f>
        <v>0.54491797275143217</v>
      </c>
      <c r="L104" s="949">
        <f t="shared" si="94"/>
        <v>1.0000000000000002</v>
      </c>
      <c r="M104" s="104"/>
      <c r="N104" s="960">
        <f t="shared" si="53"/>
        <v>5178.2335343765308</v>
      </c>
      <c r="O104" s="955">
        <f>Parameters!R206</f>
        <v>0.89875000000000005</v>
      </c>
      <c r="P104" s="956">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0.10009066202985165</v>
      </c>
      <c r="Q104" s="954">
        <f t="shared" si="56"/>
        <v>232.90783715629092</v>
      </c>
      <c r="R104" s="954">
        <f t="shared" si="57"/>
        <v>232.90783715629092</v>
      </c>
      <c r="S104" s="957">
        <f t="shared" si="58"/>
        <v>0</v>
      </c>
      <c r="T104" s="954">
        <f t="shared" si="59"/>
        <v>9524.9967573520771</v>
      </c>
      <c r="U104" s="954">
        <f t="shared" si="60"/>
        <v>476.41558656194326</v>
      </c>
      <c r="V104" s="961">
        <f t="shared" si="61"/>
        <v>317.61039104129549</v>
      </c>
      <c r="W104" s="104"/>
      <c r="X104" s="1155">
        <f>'Recycling - Case 1'!AM155*'Recycling - Case 1'!C155</f>
        <v>2369.0526340218776</v>
      </c>
      <c r="Y104" s="1156">
        <f>Parameters!S206</f>
        <v>0.71500000000000008</v>
      </c>
      <c r="Z104" s="1157">
        <f t="shared" si="62"/>
        <v>0.2</v>
      </c>
      <c r="AA104" s="1158">
        <f t="shared" si="63"/>
        <v>169.38726333256426</v>
      </c>
      <c r="AB104" s="1158">
        <f t="shared" si="64"/>
        <v>169.38726333256426</v>
      </c>
      <c r="AC104" s="1159">
        <f t="shared" si="65"/>
        <v>0</v>
      </c>
      <c r="AD104" s="1158">
        <f t="shared" si="66"/>
        <v>5875.8717766652526</v>
      </c>
      <c r="AE104" s="1158">
        <f t="shared" si="67"/>
        <v>292.57771745136881</v>
      </c>
      <c r="AF104" s="1160">
        <f t="shared" si="68"/>
        <v>195.05181163424587</v>
      </c>
      <c r="AG104" s="104"/>
      <c r="AH104" s="1155">
        <f>'Recycling - Case 1'!AM195*'Recycling - Case 1'!C195</f>
        <v>812.05298149683824</v>
      </c>
      <c r="AI104" s="1156">
        <f>Parameters!S206</f>
        <v>0.71500000000000008</v>
      </c>
      <c r="AJ104" s="1157">
        <f t="shared" si="69"/>
        <v>0.2</v>
      </c>
      <c r="AK104" s="1158">
        <f t="shared" si="70"/>
        <v>58.061788177023942</v>
      </c>
      <c r="AL104" s="1158">
        <f t="shared" si="71"/>
        <v>58.061788177023942</v>
      </c>
      <c r="AM104" s="1159">
        <f t="shared" si="72"/>
        <v>0</v>
      </c>
      <c r="AN104" s="1158">
        <f t="shared" si="73"/>
        <v>4636.8358840233395</v>
      </c>
      <c r="AO104" s="1158">
        <f t="shared" si="74"/>
        <v>234.75876795217872</v>
      </c>
      <c r="AP104" s="1160">
        <f t="shared" si="75"/>
        <v>156.50584530145247</v>
      </c>
      <c r="AQ104" s="104"/>
      <c r="AR104" s="1194">
        <f>'Recycling - Case 1'!G115</f>
        <v>699.21160066565164</v>
      </c>
      <c r="AS104" s="1195">
        <v>1</v>
      </c>
      <c r="AT104" s="1196">
        <f t="shared" si="76"/>
        <v>0.05</v>
      </c>
      <c r="AU104" s="1174">
        <f t="shared" si="77"/>
        <v>17.480290016641291</v>
      </c>
      <c r="AV104" s="1174">
        <f t="shared" si="78"/>
        <v>17.480290016641291</v>
      </c>
      <c r="AW104" s="1175">
        <f t="shared" si="79"/>
        <v>0</v>
      </c>
      <c r="AX104" s="1174">
        <f t="shared" si="49"/>
        <v>225.45554169873049</v>
      </c>
      <c r="AY104" s="1174">
        <f t="shared" si="52"/>
        <v>12.860471330922389</v>
      </c>
      <c r="AZ104" s="1197">
        <f t="shared" si="50"/>
        <v>8.5736475539482591</v>
      </c>
      <c r="BB104" s="1185">
        <f t="shared" si="80"/>
        <v>317.61039104129549</v>
      </c>
      <c r="BC104" s="1186">
        <f t="shared" si="81"/>
        <v>195.05181163424587</v>
      </c>
      <c r="BD104" s="1218">
        <f t="shared" si="95"/>
        <v>8.5736475539482591</v>
      </c>
      <c r="BE104" s="1186">
        <f t="shared" si="54"/>
        <v>521.23585022948964</v>
      </c>
      <c r="BF104" s="167">
        <v>0</v>
      </c>
      <c r="BG104" s="1208">
        <f t="shared" si="82"/>
        <v>521.23585022948964</v>
      </c>
      <c r="BI104" s="1185">
        <f t="shared" si="83"/>
        <v>317.61039104129549</v>
      </c>
      <c r="BJ104" s="1186">
        <f t="shared" si="84"/>
        <v>156.50584530145247</v>
      </c>
      <c r="BK104" s="1218">
        <f t="shared" si="85"/>
        <v>8.5736475539482591</v>
      </c>
      <c r="BL104" s="1186">
        <f t="shared" si="55"/>
        <v>482.68988389669619</v>
      </c>
      <c r="BM104" s="167">
        <v>0</v>
      </c>
      <c r="BN104" s="1208">
        <f t="shared" si="86"/>
        <v>482.68988389669619</v>
      </c>
    </row>
    <row r="105" spans="1:66">
      <c r="A105" s="1050">
        <f>'Input data'!A136</f>
        <v>2036</v>
      </c>
      <c r="B105" s="946">
        <f>'Input data'!B136</f>
        <v>69.322999999999993</v>
      </c>
      <c r="C105" s="946">
        <f>'Recycling - Case 1'!AF116</f>
        <v>208.67205451507823</v>
      </c>
      <c r="D105" s="948">
        <f>'Recycling - Case 1'!AM116</f>
        <v>0.33821874623794668</v>
      </c>
      <c r="E105" s="948">
        <f>'Recycling - Case 1'!BE116</f>
        <v>0.14277330911442879</v>
      </c>
      <c r="F105" s="948">
        <f>'Recycling - Case 1'!BF116</f>
        <v>0.23124410795484196</v>
      </c>
      <c r="G105" s="948">
        <f>'Recycling - Case 1'!BG116</f>
        <v>8.1064610179297253E-2</v>
      </c>
      <c r="H105" s="948">
        <f>'Recycling - Case 1'!BH116</f>
        <v>0</v>
      </c>
      <c r="I105" s="948">
        <f>'Recycling - Case 1'!BI116</f>
        <v>0</v>
      </c>
      <c r="J105" s="948">
        <f>'Recycling - Case 1'!BJ116</f>
        <v>0</v>
      </c>
      <c r="K105" s="948">
        <f>'Recycling - Case 1'!BK116</f>
        <v>0.54491797275143194</v>
      </c>
      <c r="L105" s="949">
        <f t="shared" si="94"/>
        <v>0.99999999999999989</v>
      </c>
      <c r="M105" s="104"/>
      <c r="N105" s="960">
        <f t="shared" si="53"/>
        <v>4892.5955516669637</v>
      </c>
      <c r="O105" s="955">
        <f>Parameters!R207</f>
        <v>0.90549999999999997</v>
      </c>
      <c r="P105" s="956">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0.10009066202985162</v>
      </c>
      <c r="Q105" s="954">
        <f t="shared" si="56"/>
        <v>221.71309111627335</v>
      </c>
      <c r="R105" s="954">
        <f t="shared" si="57"/>
        <v>221.71309111627335</v>
      </c>
      <c r="S105" s="957">
        <f t="shared" si="58"/>
        <v>0</v>
      </c>
      <c r="T105" s="954">
        <f t="shared" si="59"/>
        <v>9282.1702749834567</v>
      </c>
      <c r="U105" s="954">
        <f t="shared" si="60"/>
        <v>464.53957348489365</v>
      </c>
      <c r="V105" s="961">
        <f t="shared" si="61"/>
        <v>309.69304898992908</v>
      </c>
      <c r="W105" s="104"/>
      <c r="X105" s="1155">
        <f>'Recycling - Case 1'!AM156*'Recycling - Case 1'!C156</f>
        <v>2726.850884795866</v>
      </c>
      <c r="Y105" s="1156">
        <f>Parameters!S207</f>
        <v>0.71500000000000008</v>
      </c>
      <c r="Z105" s="1157">
        <f t="shared" si="62"/>
        <v>0.2</v>
      </c>
      <c r="AA105" s="1158">
        <f t="shared" si="63"/>
        <v>194.96983826290446</v>
      </c>
      <c r="AB105" s="1158">
        <f t="shared" si="64"/>
        <v>194.96983826290446</v>
      </c>
      <c r="AC105" s="1159">
        <f t="shared" si="65"/>
        <v>0</v>
      </c>
      <c r="AD105" s="1158">
        <f t="shared" si="66"/>
        <v>5784.2719668201808</v>
      </c>
      <c r="AE105" s="1158">
        <f t="shared" si="67"/>
        <v>286.56964810797638</v>
      </c>
      <c r="AF105" s="1160">
        <f t="shared" si="68"/>
        <v>191.04643207198424</v>
      </c>
      <c r="AG105" s="104"/>
      <c r="AH105" s="1155">
        <f>'Recycling - Case 1'!AM196*'Recycling - Case 1'!C196</f>
        <v>836.35102251651131</v>
      </c>
      <c r="AI105" s="1156">
        <f>Parameters!S207</f>
        <v>0.71500000000000008</v>
      </c>
      <c r="AJ105" s="1157">
        <f t="shared" si="69"/>
        <v>0.2</v>
      </c>
      <c r="AK105" s="1158">
        <f t="shared" si="70"/>
        <v>59.799098109930569</v>
      </c>
      <c r="AL105" s="1158">
        <f t="shared" si="71"/>
        <v>59.799098109930569</v>
      </c>
      <c r="AM105" s="1159">
        <f t="shared" si="72"/>
        <v>0</v>
      </c>
      <c r="AN105" s="1158">
        <f t="shared" si="73"/>
        <v>4470.4938275737113</v>
      </c>
      <c r="AO105" s="1158">
        <f t="shared" si="74"/>
        <v>226.14115455955874</v>
      </c>
      <c r="AP105" s="1160">
        <f t="shared" si="75"/>
        <v>150.76076970637249</v>
      </c>
      <c r="AQ105" s="104"/>
      <c r="AR105" s="1194">
        <f>'Recycling - Case 1'!G116</f>
        <v>709.32491506726262</v>
      </c>
      <c r="AS105" s="1195">
        <v>1</v>
      </c>
      <c r="AT105" s="1196">
        <f t="shared" si="76"/>
        <v>0.05</v>
      </c>
      <c r="AU105" s="1174">
        <f t="shared" si="77"/>
        <v>17.733122876681566</v>
      </c>
      <c r="AV105" s="1174">
        <f t="shared" si="78"/>
        <v>17.733122876681566</v>
      </c>
      <c r="AW105" s="1175">
        <f t="shared" si="79"/>
        <v>0</v>
      </c>
      <c r="AX105" s="1174">
        <f t="shared" si="49"/>
        <v>230.05915594857061</v>
      </c>
      <c r="AY105" s="1174">
        <f t="shared" si="52"/>
        <v>13.129508626841432</v>
      </c>
      <c r="AZ105" s="1197">
        <f t="shared" si="50"/>
        <v>8.7530057512276205</v>
      </c>
      <c r="BB105" s="1185">
        <f t="shared" si="80"/>
        <v>309.69304898992908</v>
      </c>
      <c r="BC105" s="1186">
        <f t="shared" si="81"/>
        <v>191.04643207198424</v>
      </c>
      <c r="BD105" s="1218">
        <f t="shared" si="95"/>
        <v>8.7530057512276205</v>
      </c>
      <c r="BE105" s="1186">
        <f t="shared" si="54"/>
        <v>509.492486813141</v>
      </c>
      <c r="BF105" s="167">
        <v>0</v>
      </c>
      <c r="BG105" s="1208">
        <f t="shared" si="82"/>
        <v>509.492486813141</v>
      </c>
      <c r="BI105" s="1185">
        <f t="shared" si="83"/>
        <v>309.69304898992908</v>
      </c>
      <c r="BJ105" s="1186">
        <f t="shared" si="84"/>
        <v>150.76076970637249</v>
      </c>
      <c r="BK105" s="1218">
        <f t="shared" si="85"/>
        <v>8.7530057512276205</v>
      </c>
      <c r="BL105" s="1186">
        <f t="shared" si="55"/>
        <v>469.20682444752924</v>
      </c>
      <c r="BM105" s="167">
        <v>0</v>
      </c>
      <c r="BN105" s="1208">
        <f t="shared" si="86"/>
        <v>469.20682444752924</v>
      </c>
    </row>
    <row r="106" spans="1:66">
      <c r="A106" s="1050">
        <f>'Input data'!A137</f>
        <v>2037</v>
      </c>
      <c r="B106" s="946">
        <f>'Input data'!B137</f>
        <v>69.83</v>
      </c>
      <c r="C106" s="946">
        <f>'Recycling - Case 1'!AF117</f>
        <v>204.03072738670821</v>
      </c>
      <c r="D106" s="948">
        <f>'Recycling - Case 1'!AM117</f>
        <v>0.33821874623794668</v>
      </c>
      <c r="E106" s="948">
        <f>'Recycling - Case 1'!BE117</f>
        <v>0.14277330911442879</v>
      </c>
      <c r="F106" s="948">
        <f>'Recycling - Case 1'!BF117</f>
        <v>0.23124410795484196</v>
      </c>
      <c r="G106" s="948">
        <f>'Recycling - Case 1'!BG117</f>
        <v>8.1064610179297267E-2</v>
      </c>
      <c r="H106" s="948">
        <f>'Recycling - Case 1'!BH117</f>
        <v>0</v>
      </c>
      <c r="I106" s="948">
        <f>'Recycling - Case 1'!BI117</f>
        <v>0</v>
      </c>
      <c r="J106" s="948">
        <f>'Recycling - Case 1'!BJ117</f>
        <v>0</v>
      </c>
      <c r="K106" s="948">
        <f>'Recycling - Case 1'!BK117</f>
        <v>0.54491797275143194</v>
      </c>
      <c r="L106" s="949">
        <f t="shared" si="94"/>
        <v>1</v>
      </c>
      <c r="M106" s="104"/>
      <c r="N106" s="960">
        <f t="shared" si="53"/>
        <v>4818.7599838945844</v>
      </c>
      <c r="O106" s="955">
        <f>Parameters!R208</f>
        <v>0.91225000000000001</v>
      </c>
      <c r="P106" s="956">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0.10009066202985162</v>
      </c>
      <c r="Q106" s="954">
        <f t="shared" si="56"/>
        <v>219.9949609992594</v>
      </c>
      <c r="R106" s="954">
        <f t="shared" si="57"/>
        <v>219.9949609992594</v>
      </c>
      <c r="S106" s="957">
        <f t="shared" si="58"/>
        <v>0</v>
      </c>
      <c r="T106" s="954">
        <f t="shared" si="59"/>
        <v>9049.4684497894086</v>
      </c>
      <c r="U106" s="954">
        <f t="shared" si="60"/>
        <v>452.69678619330881</v>
      </c>
      <c r="V106" s="961">
        <f t="shared" si="61"/>
        <v>301.79785746220585</v>
      </c>
      <c r="W106" s="104"/>
      <c r="X106" s="1155">
        <f>'Recycling - Case 1'!AM157*'Recycling - Case 1'!C157</f>
        <v>3087.5238701690764</v>
      </c>
      <c r="Y106" s="1156">
        <f>Parameters!S208</f>
        <v>0.71500000000000008</v>
      </c>
      <c r="Z106" s="1157">
        <f t="shared" si="62"/>
        <v>0.2</v>
      </c>
      <c r="AA106" s="1158">
        <f t="shared" si="63"/>
        <v>220.757956717089</v>
      </c>
      <c r="AB106" s="1158">
        <f t="shared" si="64"/>
        <v>220.757956717089</v>
      </c>
      <c r="AC106" s="1159">
        <f t="shared" si="65"/>
        <v>0</v>
      </c>
      <c r="AD106" s="1158">
        <f t="shared" si="66"/>
        <v>5722.9276508710627</v>
      </c>
      <c r="AE106" s="1158">
        <f t="shared" si="67"/>
        <v>282.10227266620706</v>
      </c>
      <c r="AF106" s="1160">
        <f t="shared" si="68"/>
        <v>188.06818177747138</v>
      </c>
      <c r="AG106" s="104"/>
      <c r="AH106" s="1155">
        <f>'Recycling - Case 1'!AM197*'Recycling - Case 1'!C197</f>
        <v>861.68339293987083</v>
      </c>
      <c r="AI106" s="1156">
        <f>Parameters!S208</f>
        <v>0.71500000000000008</v>
      </c>
      <c r="AJ106" s="1157">
        <f t="shared" si="69"/>
        <v>0.2</v>
      </c>
      <c r="AK106" s="1158">
        <f t="shared" si="70"/>
        <v>61.610362595200776</v>
      </c>
      <c r="AL106" s="1158">
        <f t="shared" si="71"/>
        <v>61.610362595200776</v>
      </c>
      <c r="AM106" s="1159">
        <f t="shared" si="72"/>
        <v>0</v>
      </c>
      <c r="AN106" s="1158">
        <f t="shared" si="73"/>
        <v>4314.0756334321368</v>
      </c>
      <c r="AO106" s="1158">
        <f t="shared" si="74"/>
        <v>218.02855673677567</v>
      </c>
      <c r="AP106" s="1160">
        <f t="shared" si="75"/>
        <v>145.35237115785046</v>
      </c>
      <c r="AQ106" s="104"/>
      <c r="AR106" s="1194">
        <f>'Recycling - Case 1'!G117</f>
        <v>719.54173754516603</v>
      </c>
      <c r="AS106" s="1195">
        <v>1</v>
      </c>
      <c r="AT106" s="1196">
        <f t="shared" si="76"/>
        <v>0.05</v>
      </c>
      <c r="AU106" s="1174">
        <f t="shared" si="77"/>
        <v>17.988543438629151</v>
      </c>
      <c r="AV106" s="1174">
        <f t="shared" si="78"/>
        <v>17.988543438629151</v>
      </c>
      <c r="AW106" s="1175">
        <f t="shared" si="79"/>
        <v>0</v>
      </c>
      <c r="AX106" s="1174">
        <f t="shared" si="49"/>
        <v>234.6500971373207</v>
      </c>
      <c r="AY106" s="1174">
        <f t="shared" si="52"/>
        <v>13.397602249879069</v>
      </c>
      <c r="AZ106" s="1197">
        <f t="shared" si="50"/>
        <v>8.9317348332527136</v>
      </c>
      <c r="BB106" s="1185">
        <f t="shared" si="80"/>
        <v>301.79785746220585</v>
      </c>
      <c r="BC106" s="1186">
        <f t="shared" si="81"/>
        <v>188.06818177747138</v>
      </c>
      <c r="BD106" s="1218">
        <f t="shared" si="95"/>
        <v>8.9317348332527136</v>
      </c>
      <c r="BE106" s="1186">
        <f t="shared" si="54"/>
        <v>498.79777407292994</v>
      </c>
      <c r="BF106" s="167">
        <v>0</v>
      </c>
      <c r="BG106" s="1208">
        <f t="shared" si="82"/>
        <v>498.79777407292994</v>
      </c>
      <c r="BI106" s="1185">
        <f t="shared" si="83"/>
        <v>301.79785746220585</v>
      </c>
      <c r="BJ106" s="1186">
        <f t="shared" si="84"/>
        <v>145.35237115785046</v>
      </c>
      <c r="BK106" s="1218">
        <f t="shared" si="85"/>
        <v>8.9317348332527136</v>
      </c>
      <c r="BL106" s="1186">
        <f t="shared" si="55"/>
        <v>456.08196345330902</v>
      </c>
      <c r="BM106" s="167">
        <v>0</v>
      </c>
      <c r="BN106" s="1208">
        <f t="shared" si="86"/>
        <v>456.08196345330902</v>
      </c>
    </row>
    <row r="107" spans="1:66">
      <c r="A107" s="1050">
        <f>'Input data'!A138</f>
        <v>2038</v>
      </c>
      <c r="B107" s="946">
        <f>'Input data'!B138</f>
        <v>70.341999999999999</v>
      </c>
      <c r="C107" s="946">
        <f>'Recycling - Case 1'!AF118</f>
        <v>195.28655335584935</v>
      </c>
      <c r="D107" s="948">
        <f>'Recycling - Case 1'!AM118</f>
        <v>0.33821874623794668</v>
      </c>
      <c r="E107" s="948">
        <f>'Recycling - Case 1'!BE118</f>
        <v>0.14277330911442876</v>
      </c>
      <c r="F107" s="948">
        <f>'Recycling - Case 1'!BF118</f>
        <v>0.2312441079548419</v>
      </c>
      <c r="G107" s="948">
        <f>'Recycling - Case 1'!BG118</f>
        <v>8.1064610179297253E-2</v>
      </c>
      <c r="H107" s="948">
        <f>'Recycling - Case 1'!BH118</f>
        <v>0</v>
      </c>
      <c r="I107" s="948">
        <f>'Recycling - Case 1'!BI118</f>
        <v>0</v>
      </c>
      <c r="J107" s="948">
        <f>'Recycling - Case 1'!BJ118</f>
        <v>0</v>
      </c>
      <c r="K107" s="948">
        <f>'Recycling - Case 1'!BK118</f>
        <v>0.54491797275143183</v>
      </c>
      <c r="L107" s="949">
        <f t="shared" si="94"/>
        <v>0.99999999999999978</v>
      </c>
      <c r="M107" s="104"/>
      <c r="N107" s="960">
        <f t="shared" si="53"/>
        <v>4646.0590803659024</v>
      </c>
      <c r="O107" s="955">
        <f>Parameters!R209</f>
        <v>0.91899999999999993</v>
      </c>
      <c r="P107" s="956">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v>
      </c>
      <c r="Q107" s="954">
        <f t="shared" si="56"/>
        <v>213.67996585987646</v>
      </c>
      <c r="R107" s="954">
        <f t="shared" si="57"/>
        <v>213.67996585987646</v>
      </c>
      <c r="S107" s="957">
        <f t="shared" si="58"/>
        <v>0</v>
      </c>
      <c r="T107" s="954">
        <f t="shared" si="59"/>
        <v>8821.8006313904243</v>
      </c>
      <c r="U107" s="954">
        <f t="shared" si="60"/>
        <v>441.34778425886083</v>
      </c>
      <c r="V107" s="961">
        <f t="shared" si="61"/>
        <v>294.23185617257388</v>
      </c>
      <c r="W107" s="104"/>
      <c r="X107" s="1155">
        <f>'Recycling - Case 1'!AM158*'Recycling - Case 1'!C158</f>
        <v>3445.3425168347417</v>
      </c>
      <c r="Y107" s="1156">
        <f>Parameters!S209</f>
        <v>0.71500000000000008</v>
      </c>
      <c r="Z107" s="1157">
        <f t="shared" si="62"/>
        <v>0.2</v>
      </c>
      <c r="AA107" s="1158">
        <f t="shared" si="63"/>
        <v>246.34198995368405</v>
      </c>
      <c r="AB107" s="1158">
        <f t="shared" si="64"/>
        <v>246.34198995368405</v>
      </c>
      <c r="AC107" s="1159">
        <f t="shared" si="65"/>
        <v>0</v>
      </c>
      <c r="AD107" s="1158">
        <f t="shared" si="66"/>
        <v>5690.159165750988</v>
      </c>
      <c r="AE107" s="1158">
        <f t="shared" si="67"/>
        <v>279.11047507375855</v>
      </c>
      <c r="AF107" s="1160">
        <f t="shared" si="68"/>
        <v>186.07365004917236</v>
      </c>
      <c r="AG107" s="104"/>
      <c r="AH107" s="1155">
        <f>'Recycling - Case 1'!AM198*'Recycling - Case 1'!C198</f>
        <v>887.40242856086911</v>
      </c>
      <c r="AI107" s="1156">
        <f>Parameters!S209</f>
        <v>0.71500000000000008</v>
      </c>
      <c r="AJ107" s="1157">
        <f t="shared" si="69"/>
        <v>0.2</v>
      </c>
      <c r="AK107" s="1158">
        <f t="shared" si="70"/>
        <v>63.449273642102156</v>
      </c>
      <c r="AL107" s="1158">
        <f t="shared" si="71"/>
        <v>63.449273642102156</v>
      </c>
      <c r="AM107" s="1159">
        <f t="shared" si="72"/>
        <v>0</v>
      </c>
      <c r="AN107" s="1158">
        <f t="shared" si="73"/>
        <v>4167.1249556843077</v>
      </c>
      <c r="AO107" s="1158">
        <f t="shared" si="74"/>
        <v>210.39995138993203</v>
      </c>
      <c r="AP107" s="1160">
        <f t="shared" si="75"/>
        <v>140.26663425995469</v>
      </c>
      <c r="AQ107" s="104"/>
      <c r="AR107" s="1194">
        <f>'Recycling - Case 1'!G118</f>
        <v>729.88346869644954</v>
      </c>
      <c r="AS107" s="1195">
        <v>1</v>
      </c>
      <c r="AT107" s="1196">
        <f t="shared" si="76"/>
        <v>0.05</v>
      </c>
      <c r="AU107" s="1174">
        <f t="shared" si="77"/>
        <v>18.247086717411239</v>
      </c>
      <c r="AV107" s="1174">
        <f t="shared" si="78"/>
        <v>18.247086717411239</v>
      </c>
      <c r="AW107" s="1175">
        <f t="shared" si="79"/>
        <v>0</v>
      </c>
      <c r="AX107" s="1174">
        <f t="shared" si="49"/>
        <v>239.23222600343871</v>
      </c>
      <c r="AY107" s="1174">
        <f t="shared" si="52"/>
        <v>13.664957851293215</v>
      </c>
      <c r="AZ107" s="1197">
        <f t="shared" si="50"/>
        <v>9.1099719008621438</v>
      </c>
      <c r="BB107" s="1185">
        <f t="shared" si="80"/>
        <v>294.23185617257388</v>
      </c>
      <c r="BC107" s="1186">
        <f t="shared" si="81"/>
        <v>186.07365004917236</v>
      </c>
      <c r="BD107" s="1218">
        <f t="shared" si="95"/>
        <v>9.1099719008621438</v>
      </c>
      <c r="BE107" s="1186">
        <f t="shared" si="54"/>
        <v>489.41547812260836</v>
      </c>
      <c r="BF107" s="167">
        <v>0</v>
      </c>
      <c r="BG107" s="1208">
        <f t="shared" si="82"/>
        <v>489.41547812260836</v>
      </c>
      <c r="BI107" s="1185">
        <f t="shared" si="83"/>
        <v>294.23185617257388</v>
      </c>
      <c r="BJ107" s="1186">
        <f t="shared" si="84"/>
        <v>140.26663425995469</v>
      </c>
      <c r="BK107" s="1218">
        <f t="shared" si="85"/>
        <v>9.1099719008621438</v>
      </c>
      <c r="BL107" s="1186">
        <f t="shared" si="55"/>
        <v>443.60846233339072</v>
      </c>
      <c r="BM107" s="167">
        <v>0</v>
      </c>
      <c r="BN107" s="1208">
        <f t="shared" si="86"/>
        <v>443.60846233339072</v>
      </c>
    </row>
    <row r="108" spans="1:66">
      <c r="A108" s="1050">
        <f>'Input data'!A139</f>
        <v>2039</v>
      </c>
      <c r="B108" s="946">
        <f>'Input data'!B139</f>
        <v>70.856999999999999</v>
      </c>
      <c r="C108" s="946">
        <f>'Recycling - Case 1'!AF119</f>
        <v>186.54237932499038</v>
      </c>
      <c r="D108" s="948">
        <f>'Recycling - Case 1'!AM119</f>
        <v>0.33821874623794668</v>
      </c>
      <c r="E108" s="948">
        <f>'Recycling - Case 1'!BE119</f>
        <v>0.14277330911442879</v>
      </c>
      <c r="F108" s="948">
        <f>'Recycling - Case 1'!BF119</f>
        <v>0.23124410795484196</v>
      </c>
      <c r="G108" s="948">
        <f>'Recycling - Case 1'!BG119</f>
        <v>8.1064610179297253E-2</v>
      </c>
      <c r="H108" s="948">
        <f>'Recycling - Case 1'!BH119</f>
        <v>0</v>
      </c>
      <c r="I108" s="948">
        <f>'Recycling - Case 1'!BI119</f>
        <v>0</v>
      </c>
      <c r="J108" s="948">
        <f>'Recycling - Case 1'!BJ119</f>
        <v>0</v>
      </c>
      <c r="K108" s="948">
        <f>'Recycling - Case 1'!BK119</f>
        <v>0.54491797275143206</v>
      </c>
      <c r="L108" s="949">
        <f t="shared" si="94"/>
        <v>1</v>
      </c>
      <c r="M108" s="104"/>
      <c r="N108" s="960">
        <f t="shared" si="53"/>
        <v>4470.5190310027183</v>
      </c>
      <c r="O108" s="955">
        <f>Parameters!R210</f>
        <v>0.92575000000000007</v>
      </c>
      <c r="P108" s="956">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0.10009066202985162</v>
      </c>
      <c r="Q108" s="954">
        <f t="shared" si="56"/>
        <v>207.11675581496348</v>
      </c>
      <c r="R108" s="954">
        <f t="shared" si="57"/>
        <v>207.11675581496348</v>
      </c>
      <c r="S108" s="957">
        <f t="shared" si="58"/>
        <v>0</v>
      </c>
      <c r="T108" s="954">
        <f t="shared" si="59"/>
        <v>8598.673093472511</v>
      </c>
      <c r="U108" s="954">
        <f t="shared" si="60"/>
        <v>430.24429373287546</v>
      </c>
      <c r="V108" s="961">
        <f t="shared" si="61"/>
        <v>286.82952915525033</v>
      </c>
      <c r="W108" s="104"/>
      <c r="X108" s="1155">
        <f>'Recycling - Case 1'!AM159*'Recycling - Case 1'!C159</f>
        <v>3805.7235044602166</v>
      </c>
      <c r="Y108" s="1156">
        <f>Parameters!S210</f>
        <v>0.71500000000000008</v>
      </c>
      <c r="Z108" s="1157">
        <f t="shared" si="62"/>
        <v>0.2</v>
      </c>
      <c r="AA108" s="1158">
        <f t="shared" si="63"/>
        <v>272.10923056890556</v>
      </c>
      <c r="AB108" s="1158">
        <f t="shared" si="64"/>
        <v>272.10923056890556</v>
      </c>
      <c r="AC108" s="1159">
        <f t="shared" si="65"/>
        <v>0</v>
      </c>
      <c r="AD108" s="1158">
        <f t="shared" si="66"/>
        <v>5684.7560591236806</v>
      </c>
      <c r="AE108" s="1158">
        <f t="shared" si="67"/>
        <v>277.51233719621268</v>
      </c>
      <c r="AF108" s="1160">
        <f t="shared" si="68"/>
        <v>185.00822479747512</v>
      </c>
      <c r="AG108" s="104"/>
      <c r="AH108" s="1155">
        <f>'Recycling - Case 1'!AM199*'Recycling - Case 1'!C199</f>
        <v>914.17899349741231</v>
      </c>
      <c r="AI108" s="1156">
        <f>Parameters!S210</f>
        <v>0.71500000000000008</v>
      </c>
      <c r="AJ108" s="1157">
        <f t="shared" si="69"/>
        <v>0.2</v>
      </c>
      <c r="AK108" s="1158">
        <f t="shared" si="70"/>
        <v>65.363798035064988</v>
      </c>
      <c r="AL108" s="1158">
        <f t="shared" si="71"/>
        <v>65.363798035064988</v>
      </c>
      <c r="AM108" s="1159">
        <f t="shared" si="72"/>
        <v>0</v>
      </c>
      <c r="AN108" s="1158">
        <f t="shared" si="73"/>
        <v>4029.2556714532125</v>
      </c>
      <c r="AO108" s="1158">
        <f t="shared" si="74"/>
        <v>203.2330822661603</v>
      </c>
      <c r="AP108" s="1160">
        <f t="shared" si="75"/>
        <v>135.48872151077353</v>
      </c>
      <c r="AQ108" s="104"/>
      <c r="AR108" s="1194">
        <f>'Recycling - Case 1'!G119</f>
        <v>740.33029234961748</v>
      </c>
      <c r="AS108" s="1195">
        <v>1</v>
      </c>
      <c r="AT108" s="1196">
        <f t="shared" si="76"/>
        <v>0.05</v>
      </c>
      <c r="AU108" s="1174">
        <f t="shared" si="77"/>
        <v>18.508257308740436</v>
      </c>
      <c r="AV108" s="1174">
        <f t="shared" si="78"/>
        <v>18.508257308740436</v>
      </c>
      <c r="AW108" s="1175">
        <f t="shared" si="79"/>
        <v>0</v>
      </c>
      <c r="AX108" s="1174">
        <f t="shared" si="49"/>
        <v>243.80868304919048</v>
      </c>
      <c r="AY108" s="1174">
        <f t="shared" si="52"/>
        <v>13.931800262988675</v>
      </c>
      <c r="AZ108" s="1197">
        <f t="shared" si="50"/>
        <v>9.2878668419924502</v>
      </c>
      <c r="BB108" s="1185">
        <f t="shared" si="80"/>
        <v>286.82952915525033</v>
      </c>
      <c r="BC108" s="1186">
        <f t="shared" si="81"/>
        <v>185.00822479747512</v>
      </c>
      <c r="BD108" s="1218">
        <f t="shared" si="95"/>
        <v>9.2878668419924502</v>
      </c>
      <c r="BE108" s="1186">
        <f t="shared" si="54"/>
        <v>481.12562079471792</v>
      </c>
      <c r="BF108" s="167">
        <v>0</v>
      </c>
      <c r="BG108" s="1208">
        <f t="shared" si="82"/>
        <v>481.12562079471792</v>
      </c>
      <c r="BI108" s="1185">
        <f t="shared" si="83"/>
        <v>286.82952915525033</v>
      </c>
      <c r="BJ108" s="1186">
        <f t="shared" si="84"/>
        <v>135.48872151077353</v>
      </c>
      <c r="BK108" s="1218">
        <f t="shared" si="85"/>
        <v>9.2878668419924502</v>
      </c>
      <c r="BL108" s="1186">
        <f t="shared" si="55"/>
        <v>431.60611750801633</v>
      </c>
      <c r="BM108" s="167">
        <v>0</v>
      </c>
      <c r="BN108" s="1208">
        <f t="shared" si="86"/>
        <v>431.60611750801633</v>
      </c>
    </row>
    <row r="109" spans="1:66">
      <c r="A109" s="1050">
        <f>'Input data'!A140</f>
        <v>2040</v>
      </c>
      <c r="B109" s="946">
        <f>'Input data'!B140</f>
        <v>71.375</v>
      </c>
      <c r="C109" s="946">
        <f>'Recycling - Case 1'!AF120</f>
        <v>177.79820529413146</v>
      </c>
      <c r="D109" s="948">
        <f>'Recycling - Case 1'!AM120</f>
        <v>0.33821874623794668</v>
      </c>
      <c r="E109" s="948">
        <f>'Recycling - Case 1'!BE120</f>
        <v>0.14277330911442876</v>
      </c>
      <c r="F109" s="948">
        <f>'Recycling - Case 1'!BF120</f>
        <v>0.23124410795484193</v>
      </c>
      <c r="G109" s="948">
        <f>'Recycling - Case 1'!BG120</f>
        <v>8.1064610179297253E-2</v>
      </c>
      <c r="H109" s="948">
        <f>'Recycling - Case 1'!BH120</f>
        <v>0</v>
      </c>
      <c r="I109" s="948">
        <f>'Recycling - Case 1'!BI120</f>
        <v>0</v>
      </c>
      <c r="J109" s="948">
        <f>'Recycling - Case 1'!BJ120</f>
        <v>0</v>
      </c>
      <c r="K109" s="948">
        <f>'Recycling - Case 1'!BK120</f>
        <v>0.54491797275143194</v>
      </c>
      <c r="L109" s="949">
        <f t="shared" si="94"/>
        <v>0.99999999999999989</v>
      </c>
      <c r="M109" s="104"/>
      <c r="N109" s="960">
        <f t="shared" si="53"/>
        <v>4292.1132188128395</v>
      </c>
      <c r="O109" s="955">
        <f>Parameters!R211</f>
        <v>0.9325</v>
      </c>
      <c r="P109" s="956">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v>
      </c>
      <c r="Q109" s="954">
        <f t="shared" si="56"/>
        <v>200.30121148076788</v>
      </c>
      <c r="R109" s="954">
        <f t="shared" si="57"/>
        <v>200.30121148076788</v>
      </c>
      <c r="S109" s="957">
        <f t="shared" si="58"/>
        <v>0</v>
      </c>
      <c r="T109" s="954">
        <f t="shared" si="59"/>
        <v>8379.6120696543985</v>
      </c>
      <c r="U109" s="954">
        <f t="shared" si="60"/>
        <v>419.36223529888008</v>
      </c>
      <c r="V109" s="961">
        <f t="shared" si="61"/>
        <v>279.57482353258672</v>
      </c>
      <c r="W109" s="104"/>
      <c r="X109" s="1155">
        <f>'Recycling - Case 1'!AM160*'Recycling - Case 1'!C160</f>
        <v>4172.6668908396041</v>
      </c>
      <c r="Y109" s="1156">
        <f>Parameters!S211</f>
        <v>0.71500000000000008</v>
      </c>
      <c r="Z109" s="1157">
        <f t="shared" si="62"/>
        <v>0.2</v>
      </c>
      <c r="AA109" s="1158">
        <f t="shared" si="63"/>
        <v>298.34568269503177</v>
      </c>
      <c r="AB109" s="1158">
        <f t="shared" si="64"/>
        <v>298.34568269503177</v>
      </c>
      <c r="AC109" s="1159">
        <f t="shared" si="65"/>
        <v>0</v>
      </c>
      <c r="AD109" s="1158">
        <f t="shared" si="66"/>
        <v>5705.8529172421968</v>
      </c>
      <c r="AE109" s="1158">
        <f t="shared" si="67"/>
        <v>277.24882457651495</v>
      </c>
      <c r="AF109" s="1160">
        <f t="shared" si="68"/>
        <v>184.83254971767664</v>
      </c>
      <c r="AG109" s="104"/>
      <c r="AH109" s="1155">
        <f>'Recycling - Case 1'!AM200*'Recycling - Case 1'!C200</f>
        <v>942.5950188719471</v>
      </c>
      <c r="AI109" s="1156">
        <f>Parameters!S211</f>
        <v>0.71500000000000008</v>
      </c>
      <c r="AJ109" s="1157">
        <f t="shared" si="69"/>
        <v>0.2</v>
      </c>
      <c r="AK109" s="1158">
        <f t="shared" si="70"/>
        <v>67.395543849344236</v>
      </c>
      <c r="AL109" s="1158">
        <f t="shared" si="71"/>
        <v>67.395543849344236</v>
      </c>
      <c r="AM109" s="1159">
        <f t="shared" si="72"/>
        <v>0</v>
      </c>
      <c r="AN109" s="1158">
        <f t="shared" si="73"/>
        <v>3900.1420973720219</v>
      </c>
      <c r="AO109" s="1158">
        <f t="shared" si="74"/>
        <v>196.50911793053515</v>
      </c>
      <c r="AP109" s="1160">
        <f t="shared" si="75"/>
        <v>131.00607862035676</v>
      </c>
      <c r="AQ109" s="104"/>
      <c r="AR109" s="1194">
        <f>'Recycling - Case 1'!G120</f>
        <v>750.88285667877574</v>
      </c>
      <c r="AS109" s="1195">
        <v>1</v>
      </c>
      <c r="AT109" s="1196">
        <f t="shared" si="76"/>
        <v>0.05</v>
      </c>
      <c r="AU109" s="1174">
        <f t="shared" si="77"/>
        <v>18.772071416969393</v>
      </c>
      <c r="AV109" s="1174">
        <f t="shared" si="78"/>
        <v>18.772071416969393</v>
      </c>
      <c r="AW109" s="1175">
        <f t="shared" si="79"/>
        <v>0</v>
      </c>
      <c r="AX109" s="1174">
        <f t="shared" si="49"/>
        <v>248.38244209258019</v>
      </c>
      <c r="AY109" s="1174">
        <f t="shared" si="52"/>
        <v>14.198312373579681</v>
      </c>
      <c r="AZ109" s="1197">
        <f t="shared" si="50"/>
        <v>9.4655415823864537</v>
      </c>
      <c r="BB109" s="1185">
        <f t="shared" si="80"/>
        <v>279.57482353258672</v>
      </c>
      <c r="BC109" s="1186">
        <f t="shared" si="81"/>
        <v>184.83254971767664</v>
      </c>
      <c r="BD109" s="1218">
        <f t="shared" si="95"/>
        <v>9.4655415823864537</v>
      </c>
      <c r="BE109" s="1186">
        <f t="shared" si="54"/>
        <v>473.87291483264983</v>
      </c>
      <c r="BF109" s="167">
        <v>0</v>
      </c>
      <c r="BG109" s="1208">
        <f t="shared" si="82"/>
        <v>473.87291483264983</v>
      </c>
      <c r="BI109" s="1185">
        <f t="shared" si="83"/>
        <v>279.57482353258672</v>
      </c>
      <c r="BJ109" s="1186">
        <f t="shared" si="84"/>
        <v>131.00607862035676</v>
      </c>
      <c r="BK109" s="1218">
        <f t="shared" si="85"/>
        <v>9.4655415823864537</v>
      </c>
      <c r="BL109" s="1186">
        <f t="shared" si="55"/>
        <v>420.04644373532994</v>
      </c>
      <c r="BM109" s="167">
        <v>0</v>
      </c>
      <c r="BN109" s="1208">
        <f t="shared" si="86"/>
        <v>420.04644373532994</v>
      </c>
    </row>
    <row r="110" spans="1:66">
      <c r="A110" s="1050">
        <f>'Input data'!A141</f>
        <v>2041</v>
      </c>
      <c r="B110" s="946">
        <f>'Input data'!B141</f>
        <v>71.819000000000003</v>
      </c>
      <c r="C110" s="946">
        <f>'Recycling - Case 1'!AF121</f>
        <v>169.05403126327258</v>
      </c>
      <c r="D110" s="948">
        <f>'Recycling - Case 1'!AM121</f>
        <v>0.33821874623794673</v>
      </c>
      <c r="E110" s="948">
        <f>'Recycling - Case 1'!BE121</f>
        <v>0.14277330911442879</v>
      </c>
      <c r="F110" s="948">
        <f>'Recycling - Case 1'!BF121</f>
        <v>0.23124410795484199</v>
      </c>
      <c r="G110" s="948">
        <f>'Recycling - Case 1'!BG121</f>
        <v>8.1064610179297267E-2</v>
      </c>
      <c r="H110" s="948">
        <f>'Recycling - Case 1'!BH121</f>
        <v>0</v>
      </c>
      <c r="I110" s="948">
        <f>'Recycling - Case 1'!BI121</f>
        <v>0</v>
      </c>
      <c r="J110" s="948">
        <f>'Recycling - Case 1'!BJ121</f>
        <v>0</v>
      </c>
      <c r="K110" s="948">
        <f>'Recycling - Case 1'!BK121</f>
        <v>0.54491797275143217</v>
      </c>
      <c r="L110" s="949">
        <f t="shared" si="94"/>
        <v>1.0000000000000002</v>
      </c>
      <c r="M110" s="104"/>
      <c r="N110" s="960">
        <f t="shared" si="53"/>
        <v>4106.4123791315378</v>
      </c>
      <c r="O110" s="955">
        <f>Parameters!R212</f>
        <v>0.93925000000000003</v>
      </c>
      <c r="P110" s="956">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0.10009066202985162</v>
      </c>
      <c r="Q110" s="954">
        <f t="shared" si="56"/>
        <v>193.02223071448316</v>
      </c>
      <c r="R110" s="954">
        <f t="shared" si="57"/>
        <v>193.02223071448316</v>
      </c>
      <c r="S110" s="957">
        <f t="shared" si="58"/>
        <v>0</v>
      </c>
      <c r="T110" s="954">
        <f t="shared" si="59"/>
        <v>8163.9557972710736</v>
      </c>
      <c r="U110" s="954">
        <f t="shared" si="60"/>
        <v>408.67850309780795</v>
      </c>
      <c r="V110" s="961">
        <f t="shared" si="61"/>
        <v>272.45233539853865</v>
      </c>
      <c r="W110" s="104"/>
      <c r="X110" s="1155">
        <f>'Recycling - Case 1'!AM161*'Recycling - Case 1'!C161</f>
        <v>4177.8854909264965</v>
      </c>
      <c r="Y110" s="1156">
        <f>Parameters!S212</f>
        <v>0.71500000000000008</v>
      </c>
      <c r="Z110" s="1157">
        <f t="shared" si="62"/>
        <v>0.2</v>
      </c>
      <c r="AA110" s="1158">
        <f t="shared" si="63"/>
        <v>298.71881260124451</v>
      </c>
      <c r="AB110" s="1158">
        <f t="shared" si="64"/>
        <v>298.71881260124451</v>
      </c>
      <c r="AC110" s="1159">
        <f t="shared" si="65"/>
        <v>0</v>
      </c>
      <c r="AD110" s="1158">
        <f t="shared" si="66"/>
        <v>5726.2939993552591</v>
      </c>
      <c r="AE110" s="1158">
        <f t="shared" si="67"/>
        <v>278.27773048818176</v>
      </c>
      <c r="AF110" s="1160">
        <f t="shared" si="68"/>
        <v>185.51848699212118</v>
      </c>
      <c r="AG110" s="104"/>
      <c r="AH110" s="1155">
        <f>'Recycling - Case 1'!AM201*'Recycling - Case 1'!C201</f>
        <v>972.18070646934177</v>
      </c>
      <c r="AI110" s="1156">
        <f>Parameters!S212</f>
        <v>0.71500000000000008</v>
      </c>
      <c r="AJ110" s="1157">
        <f t="shared" si="69"/>
        <v>0.2</v>
      </c>
      <c r="AK110" s="1158">
        <f t="shared" si="70"/>
        <v>69.510920512557945</v>
      </c>
      <c r="AL110" s="1158">
        <f t="shared" si="71"/>
        <v>69.510920512557945</v>
      </c>
      <c r="AM110" s="1159">
        <f t="shared" si="72"/>
        <v>0</v>
      </c>
      <c r="AN110" s="1158">
        <f t="shared" si="73"/>
        <v>3779.4408432667537</v>
      </c>
      <c r="AO110" s="1158">
        <f t="shared" si="74"/>
        <v>190.21217461782578</v>
      </c>
      <c r="AP110" s="1160">
        <f t="shared" si="75"/>
        <v>126.80811641188386</v>
      </c>
      <c r="AQ110" s="104"/>
      <c r="AR110" s="1194">
        <f>'Recycling - Case 1'!G121</f>
        <v>760.7262051045102</v>
      </c>
      <c r="AS110" s="1195">
        <v>1</v>
      </c>
      <c r="AT110" s="1196">
        <f t="shared" si="76"/>
        <v>0.05</v>
      </c>
      <c r="AU110" s="1174">
        <f t="shared" si="77"/>
        <v>19.018155127612754</v>
      </c>
      <c r="AV110" s="1174">
        <f t="shared" si="78"/>
        <v>19.018155127612754</v>
      </c>
      <c r="AW110" s="1175">
        <f t="shared" si="79"/>
        <v>0</v>
      </c>
      <c r="AX110" s="1174">
        <f t="shared" si="49"/>
        <v>252.93592985544819</v>
      </c>
      <c r="AY110" s="1174">
        <f t="shared" si="52"/>
        <v>14.464667364744741</v>
      </c>
      <c r="AZ110" s="1197">
        <f t="shared" si="50"/>
        <v>9.6431115764964943</v>
      </c>
      <c r="BB110" s="1185">
        <f t="shared" si="80"/>
        <v>272.45233539853865</v>
      </c>
      <c r="BC110" s="1186">
        <f t="shared" si="81"/>
        <v>185.51848699212118</v>
      </c>
      <c r="BD110" s="1218">
        <f t="shared" si="95"/>
        <v>9.6431115764964943</v>
      </c>
      <c r="BE110" s="1186">
        <f t="shared" si="54"/>
        <v>467.6139339671563</v>
      </c>
      <c r="BF110" s="167">
        <v>0</v>
      </c>
      <c r="BG110" s="1208">
        <f t="shared" si="82"/>
        <v>467.6139339671563</v>
      </c>
      <c r="BI110" s="1185">
        <f t="shared" si="83"/>
        <v>272.45233539853865</v>
      </c>
      <c r="BJ110" s="1186">
        <f t="shared" si="84"/>
        <v>126.80811641188386</v>
      </c>
      <c r="BK110" s="1218">
        <f t="shared" si="85"/>
        <v>9.6431115764964943</v>
      </c>
      <c r="BL110" s="1186">
        <f t="shared" si="55"/>
        <v>408.90356338691902</v>
      </c>
      <c r="BM110" s="167">
        <v>0</v>
      </c>
      <c r="BN110" s="1208">
        <f t="shared" si="86"/>
        <v>408.90356338691902</v>
      </c>
    </row>
    <row r="111" spans="1:66">
      <c r="A111" s="1050">
        <f>'Input data'!A142</f>
        <v>2042</v>
      </c>
      <c r="B111" s="946">
        <f>'Input data'!B142</f>
        <v>72.265000000000001</v>
      </c>
      <c r="C111" s="946">
        <f>'Recycling - Case 1'!AF122</f>
        <v>160.30985723241363</v>
      </c>
      <c r="D111" s="948">
        <f>'Recycling - Case 1'!AM122</f>
        <v>0.33821874623794662</v>
      </c>
      <c r="E111" s="948">
        <f>'Recycling - Case 1'!BE122</f>
        <v>0.14277330911442879</v>
      </c>
      <c r="F111" s="948">
        <f>'Recycling - Case 1'!BF122</f>
        <v>0.23124410795484196</v>
      </c>
      <c r="G111" s="948">
        <f>'Recycling - Case 1'!BG122</f>
        <v>8.1064610179297281E-2</v>
      </c>
      <c r="H111" s="948">
        <f>'Recycling - Case 1'!BH122</f>
        <v>0</v>
      </c>
      <c r="I111" s="948">
        <f>'Recycling - Case 1'!BI122</f>
        <v>0</v>
      </c>
      <c r="J111" s="948">
        <f>'Recycling - Case 1'!BJ122</f>
        <v>0</v>
      </c>
      <c r="K111" s="948">
        <f>'Recycling - Case 1'!BK122</f>
        <v>0.54491797275143206</v>
      </c>
      <c r="L111" s="949">
        <f t="shared" si="94"/>
        <v>1</v>
      </c>
      <c r="M111" s="104"/>
      <c r="N111" s="960">
        <f t="shared" si="53"/>
        <v>3918.1937691511671</v>
      </c>
      <c r="O111" s="955">
        <f>Parameters!R213</f>
        <v>0.94599999999999995</v>
      </c>
      <c r="P111" s="956">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0.10009066202985162</v>
      </c>
      <c r="Q111" s="954">
        <f t="shared" si="56"/>
        <v>185.49858973326928</v>
      </c>
      <c r="R111" s="954">
        <f t="shared" si="57"/>
        <v>185.49858973326928</v>
      </c>
      <c r="S111" s="957">
        <f t="shared" si="58"/>
        <v>0</v>
      </c>
      <c r="T111" s="954">
        <f t="shared" si="59"/>
        <v>7951.2935644207</v>
      </c>
      <c r="U111" s="954">
        <f t="shared" si="60"/>
        <v>398.16082258364241</v>
      </c>
      <c r="V111" s="961">
        <f t="shared" si="61"/>
        <v>265.44054838909494</v>
      </c>
      <c r="W111" s="104"/>
      <c r="X111" s="1155">
        <f>'Recycling - Case 1'!AM162*'Recycling - Case 1'!C162</f>
        <v>4189.74802174661</v>
      </c>
      <c r="Y111" s="1156">
        <f>Parameters!S213</f>
        <v>0.71500000000000008</v>
      </c>
      <c r="Z111" s="1157">
        <f t="shared" si="62"/>
        <v>0.2</v>
      </c>
      <c r="AA111" s="1158">
        <f t="shared" si="63"/>
        <v>299.56698355488265</v>
      </c>
      <c r="AB111" s="1158">
        <f t="shared" si="64"/>
        <v>299.56698355488265</v>
      </c>
      <c r="AC111" s="1159">
        <f t="shared" si="65"/>
        <v>0</v>
      </c>
      <c r="AD111" s="1158">
        <f t="shared" si="66"/>
        <v>5746.5863290834777</v>
      </c>
      <c r="AE111" s="1158">
        <f t="shared" si="67"/>
        <v>279.27465382666395</v>
      </c>
      <c r="AF111" s="1160">
        <f t="shared" si="68"/>
        <v>186.1831025511093</v>
      </c>
      <c r="AG111" s="104"/>
      <c r="AH111" s="1155">
        <f>'Recycling - Case 1'!AM202*'Recycling - Case 1'!C202</f>
        <v>1003.0288559370299</v>
      </c>
      <c r="AI111" s="1156">
        <f>Parameters!S213</f>
        <v>0.71500000000000008</v>
      </c>
      <c r="AJ111" s="1157">
        <f t="shared" si="69"/>
        <v>0.2</v>
      </c>
      <c r="AK111" s="1158">
        <f t="shared" si="70"/>
        <v>71.716563199497656</v>
      </c>
      <c r="AL111" s="1158">
        <f t="shared" si="71"/>
        <v>71.716563199497656</v>
      </c>
      <c r="AM111" s="1159">
        <f t="shared" si="72"/>
        <v>0</v>
      </c>
      <c r="AN111" s="1158">
        <f t="shared" si="73"/>
        <v>3666.8319014746253</v>
      </c>
      <c r="AO111" s="1158">
        <f t="shared" si="74"/>
        <v>184.3255049916263</v>
      </c>
      <c r="AP111" s="1160">
        <f t="shared" si="75"/>
        <v>122.88366999441753</v>
      </c>
      <c r="AQ111" s="104"/>
      <c r="AR111" s="1194">
        <f>'Recycling - Case 1'!G122</f>
        <v>770.65483528643074</v>
      </c>
      <c r="AS111" s="1195">
        <v>1</v>
      </c>
      <c r="AT111" s="1196">
        <f t="shared" si="76"/>
        <v>0.05</v>
      </c>
      <c r="AU111" s="1174">
        <f t="shared" si="77"/>
        <v>19.266370882160771</v>
      </c>
      <c r="AV111" s="1174">
        <f t="shared" si="78"/>
        <v>19.266370882160771</v>
      </c>
      <c r="AW111" s="1175">
        <f t="shared" si="79"/>
        <v>0</v>
      </c>
      <c r="AX111" s="1174">
        <f t="shared" si="49"/>
        <v>257.47245888917519</v>
      </c>
      <c r="AY111" s="1174">
        <f t="shared" si="52"/>
        <v>14.729841848433775</v>
      </c>
      <c r="AZ111" s="1197">
        <f t="shared" si="50"/>
        <v>9.8198945656225174</v>
      </c>
      <c r="BB111" s="1185">
        <f t="shared" si="80"/>
        <v>265.44054838909494</v>
      </c>
      <c r="BC111" s="1186">
        <f t="shared" si="81"/>
        <v>186.1831025511093</v>
      </c>
      <c r="BD111" s="1218">
        <f t="shared" si="95"/>
        <v>9.8198945656225174</v>
      </c>
      <c r="BE111" s="1186">
        <f t="shared" si="54"/>
        <v>461.44354550582676</v>
      </c>
      <c r="BF111" s="167">
        <v>0</v>
      </c>
      <c r="BG111" s="1208">
        <f t="shared" si="82"/>
        <v>461.44354550582676</v>
      </c>
      <c r="BI111" s="1185">
        <f t="shared" si="83"/>
        <v>265.44054838909494</v>
      </c>
      <c r="BJ111" s="1186">
        <f t="shared" si="84"/>
        <v>122.88366999441753</v>
      </c>
      <c r="BK111" s="1218">
        <f t="shared" si="85"/>
        <v>9.8198945656225174</v>
      </c>
      <c r="BL111" s="1186">
        <f t="shared" si="55"/>
        <v>398.14411294913498</v>
      </c>
      <c r="BM111" s="167">
        <v>0</v>
      </c>
      <c r="BN111" s="1208">
        <f t="shared" si="86"/>
        <v>398.14411294913498</v>
      </c>
    </row>
    <row r="112" spans="1:66">
      <c r="A112" s="1050">
        <f>'Input data'!A143</f>
        <v>2043</v>
      </c>
      <c r="B112" s="946">
        <f>'Input data'!B143</f>
        <v>72.713999999999999</v>
      </c>
      <c r="C112" s="946">
        <f>'Recycling - Case 1'!AF123</f>
        <v>151.56568320155466</v>
      </c>
      <c r="D112" s="948">
        <f>'Recycling - Case 1'!AM123</f>
        <v>0.33821874623794668</v>
      </c>
      <c r="E112" s="948">
        <f>'Recycling - Case 1'!BE123</f>
        <v>0.14277330911442876</v>
      </c>
      <c r="F112" s="948">
        <f>'Recycling - Case 1'!BF123</f>
        <v>0.23124410795484193</v>
      </c>
      <c r="G112" s="948">
        <f>'Recycling - Case 1'!BG123</f>
        <v>8.1064610179297253E-2</v>
      </c>
      <c r="H112" s="948">
        <f>'Recycling - Case 1'!BH123</f>
        <v>0</v>
      </c>
      <c r="I112" s="948">
        <f>'Recycling - Case 1'!BI123</f>
        <v>0</v>
      </c>
      <c r="J112" s="948">
        <f>'Recycling - Case 1'!BJ123</f>
        <v>0</v>
      </c>
      <c r="K112" s="948">
        <f>'Recycling - Case 1'!BK123</f>
        <v>0.54491797275143206</v>
      </c>
      <c r="L112" s="949">
        <f t="shared" si="94"/>
        <v>1</v>
      </c>
      <c r="M112" s="104"/>
      <c r="N112" s="960">
        <f t="shared" si="53"/>
        <v>3727.4909065656107</v>
      </c>
      <c r="O112" s="955">
        <f>Parameters!R214</f>
        <v>0.9527500000000001</v>
      </c>
      <c r="P112" s="956">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v>
      </c>
      <c r="Q112" s="954">
        <f t="shared" si="56"/>
        <v>177.72933513024586</v>
      </c>
      <c r="R112" s="954">
        <f t="shared" si="57"/>
        <v>177.72933513024586</v>
      </c>
      <c r="S112" s="957">
        <f t="shared" si="58"/>
        <v>0</v>
      </c>
      <c r="T112" s="954">
        <f t="shared" si="59"/>
        <v>7741.2337364503792</v>
      </c>
      <c r="U112" s="954">
        <f t="shared" si="60"/>
        <v>387.7891631005665</v>
      </c>
      <c r="V112" s="961">
        <f t="shared" si="61"/>
        <v>258.526108733711</v>
      </c>
      <c r="W112" s="104"/>
      <c r="X112" s="1155">
        <f>'Recycling - Case 1'!AM163*'Recycling - Case 1'!C163</f>
        <v>4207.0933156125684</v>
      </c>
      <c r="Y112" s="1156">
        <f>Parameters!S214</f>
        <v>0.71500000000000008</v>
      </c>
      <c r="Z112" s="1157">
        <f t="shared" si="62"/>
        <v>0.2</v>
      </c>
      <c r="AA112" s="1158">
        <f t="shared" si="63"/>
        <v>300.80717206629868</v>
      </c>
      <c r="AB112" s="1158">
        <f t="shared" si="64"/>
        <v>300.80717206629868</v>
      </c>
      <c r="AC112" s="1159">
        <f t="shared" si="65"/>
        <v>0</v>
      </c>
      <c r="AD112" s="1158">
        <f t="shared" si="66"/>
        <v>5767.1291787240452</v>
      </c>
      <c r="AE112" s="1158">
        <f t="shared" si="67"/>
        <v>280.26432242573043</v>
      </c>
      <c r="AF112" s="1160">
        <f t="shared" si="68"/>
        <v>186.84288161715361</v>
      </c>
      <c r="AG112" s="104"/>
      <c r="AH112" s="1155">
        <f>'Recycling - Case 1'!AM203*'Recycling - Case 1'!C203</f>
        <v>1035.0621342354832</v>
      </c>
      <c r="AI112" s="1156">
        <f>Parameters!S214</f>
        <v>0.71500000000000008</v>
      </c>
      <c r="AJ112" s="1157">
        <f t="shared" si="69"/>
        <v>0.2</v>
      </c>
      <c r="AK112" s="1158">
        <f t="shared" si="70"/>
        <v>74.006942597837067</v>
      </c>
      <c r="AL112" s="1158">
        <f t="shared" si="71"/>
        <v>74.006942597837067</v>
      </c>
      <c r="AM112" s="1159">
        <f t="shared" si="72"/>
        <v>0</v>
      </c>
      <c r="AN112" s="1158">
        <f t="shared" si="73"/>
        <v>3562.005341978404</v>
      </c>
      <c r="AO112" s="1158">
        <f t="shared" si="74"/>
        <v>178.83350209405859</v>
      </c>
      <c r="AP112" s="1160">
        <f t="shared" si="75"/>
        <v>119.22233472937239</v>
      </c>
      <c r="AQ112" s="104"/>
      <c r="AR112" s="1194">
        <f>'Recycling - Case 1'!G123</f>
        <v>780.67991564882448</v>
      </c>
      <c r="AS112" s="1195">
        <v>1</v>
      </c>
      <c r="AT112" s="1196">
        <f t="shared" si="76"/>
        <v>0.05</v>
      </c>
      <c r="AU112" s="1174">
        <f t="shared" si="77"/>
        <v>19.516997891220612</v>
      </c>
      <c r="AV112" s="1174">
        <f t="shared" si="78"/>
        <v>19.516997891220612</v>
      </c>
      <c r="AW112" s="1175">
        <f t="shared" si="79"/>
        <v>0</v>
      </c>
      <c r="AX112" s="1174">
        <f t="shared" si="49"/>
        <v>261.99542804777434</v>
      </c>
      <c r="AY112" s="1174">
        <f t="shared" si="52"/>
        <v>14.994028732621464</v>
      </c>
      <c r="AZ112" s="1197">
        <f t="shared" si="50"/>
        <v>9.996019155080976</v>
      </c>
      <c r="BB112" s="1185">
        <f t="shared" si="80"/>
        <v>258.526108733711</v>
      </c>
      <c r="BC112" s="1186">
        <f t="shared" si="81"/>
        <v>186.84288161715361</v>
      </c>
      <c r="BD112" s="1218">
        <f t="shared" si="95"/>
        <v>9.996019155080976</v>
      </c>
      <c r="BE112" s="1186">
        <f t="shared" si="54"/>
        <v>455.36500950594558</v>
      </c>
      <c r="BF112" s="167">
        <v>0</v>
      </c>
      <c r="BG112" s="1208">
        <f t="shared" si="82"/>
        <v>455.36500950594558</v>
      </c>
      <c r="BI112" s="1185">
        <f t="shared" si="83"/>
        <v>258.526108733711</v>
      </c>
      <c r="BJ112" s="1186">
        <f t="shared" si="84"/>
        <v>119.22233472937239</v>
      </c>
      <c r="BK112" s="1218">
        <f t="shared" si="85"/>
        <v>9.996019155080976</v>
      </c>
      <c r="BL112" s="1186">
        <f t="shared" si="55"/>
        <v>387.74446261816439</v>
      </c>
      <c r="BM112" s="167">
        <v>0</v>
      </c>
      <c r="BN112" s="1208">
        <f t="shared" si="86"/>
        <v>387.74446261816439</v>
      </c>
    </row>
    <row r="113" spans="1:66">
      <c r="A113" s="1050">
        <f>'Input data'!A144</f>
        <v>2044</v>
      </c>
      <c r="B113" s="946">
        <f>'Input data'!B144</f>
        <v>73.165000000000006</v>
      </c>
      <c r="C113" s="946">
        <f>'Recycling - Case 1'!AF124</f>
        <v>142.82150917069578</v>
      </c>
      <c r="D113" s="948">
        <f>'Recycling - Case 1'!AM124</f>
        <v>0.33821874623794673</v>
      </c>
      <c r="E113" s="948">
        <f>'Recycling - Case 1'!BE124</f>
        <v>0.14277330911442876</v>
      </c>
      <c r="F113" s="948">
        <f>'Recycling - Case 1'!BF124</f>
        <v>0.23124410795484193</v>
      </c>
      <c r="G113" s="948">
        <f>'Recycling - Case 1'!BG124</f>
        <v>8.1064610179297253E-2</v>
      </c>
      <c r="H113" s="948">
        <f>'Recycling - Case 1'!BH124</f>
        <v>0</v>
      </c>
      <c r="I113" s="948">
        <f>'Recycling - Case 1'!BI124</f>
        <v>0</v>
      </c>
      <c r="J113" s="948">
        <f>'Recycling - Case 1'!BJ124</f>
        <v>0</v>
      </c>
      <c r="K113" s="948">
        <f>'Recycling - Case 1'!BK124</f>
        <v>0.54491797275143194</v>
      </c>
      <c r="L113" s="949">
        <f t="shared" si="94"/>
        <v>0.99999999999999989</v>
      </c>
      <c r="M113" s="104"/>
      <c r="N113" s="960">
        <f t="shared" si="53"/>
        <v>3534.2288694709036</v>
      </c>
      <c r="O113" s="955">
        <f>Parameters!R215</f>
        <v>0.95950000000000002</v>
      </c>
      <c r="P113" s="956">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v>
      </c>
      <c r="Q113" s="954">
        <f t="shared" si="56"/>
        <v>169.70835168214364</v>
      </c>
      <c r="R113" s="954">
        <f t="shared" si="57"/>
        <v>169.70835168214364</v>
      </c>
      <c r="S113" s="957">
        <f t="shared" si="58"/>
        <v>0</v>
      </c>
      <c r="T113" s="954">
        <f t="shared" si="59"/>
        <v>7533.3976637313499</v>
      </c>
      <c r="U113" s="954">
        <f t="shared" si="60"/>
        <v>377.54442440117293</v>
      </c>
      <c r="V113" s="961">
        <f t="shared" si="61"/>
        <v>251.69628293411529</v>
      </c>
      <c r="W113" s="104"/>
      <c r="X113" s="1155">
        <f>'Recycling - Case 1'!AM164*'Recycling - Case 1'!C164</f>
        <v>4230.4590192255046</v>
      </c>
      <c r="Y113" s="1156">
        <f>Parameters!S215</f>
        <v>0.71500000000000008</v>
      </c>
      <c r="Z113" s="1157">
        <f t="shared" si="62"/>
        <v>0.2</v>
      </c>
      <c r="AA113" s="1158">
        <f t="shared" si="63"/>
        <v>302.47781987462361</v>
      </c>
      <c r="AB113" s="1158">
        <f t="shared" si="64"/>
        <v>302.47781987462361</v>
      </c>
      <c r="AC113" s="1159">
        <f t="shared" si="65"/>
        <v>0</v>
      </c>
      <c r="AD113" s="1158">
        <f t="shared" si="66"/>
        <v>5788.3407895735727</v>
      </c>
      <c r="AE113" s="1158">
        <f t="shared" si="67"/>
        <v>281.2662090250962</v>
      </c>
      <c r="AF113" s="1160">
        <f t="shared" si="68"/>
        <v>187.51080601673081</v>
      </c>
      <c r="AG113" s="104"/>
      <c r="AH113" s="1155">
        <f>'Recycling - Case 1'!AM204*'Recycling - Case 1'!C204</f>
        <v>1068.4526073776522</v>
      </c>
      <c r="AI113" s="1156">
        <f>Parameters!S215</f>
        <v>0.71500000000000008</v>
      </c>
      <c r="AJ113" s="1157">
        <f t="shared" si="69"/>
        <v>0.2</v>
      </c>
      <c r="AK113" s="1158">
        <f t="shared" si="70"/>
        <v>76.394361427502133</v>
      </c>
      <c r="AL113" s="1158">
        <f t="shared" si="71"/>
        <v>76.394361427502133</v>
      </c>
      <c r="AM113" s="1159">
        <f t="shared" si="72"/>
        <v>0</v>
      </c>
      <c r="AN113" s="1158">
        <f t="shared" si="73"/>
        <v>3464.6786529460883</v>
      </c>
      <c r="AO113" s="1158">
        <f t="shared" si="74"/>
        <v>173.72105045981775</v>
      </c>
      <c r="AP113" s="1160">
        <f t="shared" si="75"/>
        <v>115.8140336398785</v>
      </c>
      <c r="AQ113" s="104"/>
      <c r="AR113" s="1194">
        <f>'Recycling - Case 1'!G124</f>
        <v>790.79128603823585</v>
      </c>
      <c r="AS113" s="1195">
        <v>1</v>
      </c>
      <c r="AT113" s="1196">
        <f t="shared" si="76"/>
        <v>0.05</v>
      </c>
      <c r="AU113" s="1174">
        <f t="shared" si="77"/>
        <v>19.769782150955898</v>
      </c>
      <c r="AV113" s="1174">
        <f t="shared" si="78"/>
        <v>19.769782150955898</v>
      </c>
      <c r="AW113" s="1175">
        <f t="shared" si="79"/>
        <v>0</v>
      </c>
      <c r="AX113" s="1174">
        <f t="shared" si="49"/>
        <v>266.50778424757368</v>
      </c>
      <c r="AY113" s="1174">
        <f t="shared" si="52"/>
        <v>15.257425951156543</v>
      </c>
      <c r="AZ113" s="1197">
        <f t="shared" si="50"/>
        <v>10.171617300771029</v>
      </c>
      <c r="BB113" s="1185">
        <f t="shared" si="80"/>
        <v>251.69628293411529</v>
      </c>
      <c r="BC113" s="1186">
        <f t="shared" si="81"/>
        <v>187.51080601673081</v>
      </c>
      <c r="BD113" s="1218">
        <f t="shared" si="95"/>
        <v>10.171617300771029</v>
      </c>
      <c r="BE113" s="1186">
        <f t="shared" si="54"/>
        <v>449.37870625161713</v>
      </c>
      <c r="BF113" s="167">
        <v>0</v>
      </c>
      <c r="BG113" s="1208">
        <f t="shared" si="82"/>
        <v>449.37870625161713</v>
      </c>
      <c r="BI113" s="1185">
        <f t="shared" si="83"/>
        <v>251.69628293411529</v>
      </c>
      <c r="BJ113" s="1186">
        <f t="shared" si="84"/>
        <v>115.8140336398785</v>
      </c>
      <c r="BK113" s="1218">
        <f t="shared" si="85"/>
        <v>10.171617300771029</v>
      </c>
      <c r="BL113" s="1186">
        <f t="shared" si="55"/>
        <v>377.68193387476481</v>
      </c>
      <c r="BM113" s="167">
        <v>0</v>
      </c>
      <c r="BN113" s="1208">
        <f t="shared" si="86"/>
        <v>377.68193387476481</v>
      </c>
    </row>
    <row r="114" spans="1:66">
      <c r="A114" s="1050">
        <f>'Input data'!A145</f>
        <v>2045</v>
      </c>
      <c r="B114" s="946">
        <f>'Input data'!B145</f>
        <v>73.62</v>
      </c>
      <c r="C114" s="946">
        <f>'Recycling - Case 1'!AF125</f>
        <v>134.07733513983686</v>
      </c>
      <c r="D114" s="948">
        <f>'Recycling - Case 1'!AM125</f>
        <v>0.33821874623794662</v>
      </c>
      <c r="E114" s="948">
        <f>'Recycling - Case 1'!BE125</f>
        <v>0.14277330911442879</v>
      </c>
      <c r="F114" s="948">
        <f>'Recycling - Case 1'!BF125</f>
        <v>0.23124410795484193</v>
      </c>
      <c r="G114" s="948">
        <f>'Recycling - Case 1'!BG125</f>
        <v>8.1064610179297267E-2</v>
      </c>
      <c r="H114" s="948">
        <f>'Recycling - Case 1'!BH125</f>
        <v>0</v>
      </c>
      <c r="I114" s="948">
        <f>'Recycling - Case 1'!BI125</f>
        <v>0</v>
      </c>
      <c r="J114" s="948">
        <f>'Recycling - Case 1'!BJ125</f>
        <v>0</v>
      </c>
      <c r="K114" s="948">
        <f>'Recycling - Case 1'!BK125</f>
        <v>0.54491797275143206</v>
      </c>
      <c r="L114" s="949">
        <f t="shared" si="94"/>
        <v>1</v>
      </c>
      <c r="M114" s="104"/>
      <c r="N114" s="960">
        <f t="shared" si="53"/>
        <v>3338.4806081419556</v>
      </c>
      <c r="O114" s="955">
        <f>Parameters!R216</f>
        <v>0.96625000000000005</v>
      </c>
      <c r="P114" s="956">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0.10009066202985162</v>
      </c>
      <c r="Q114" s="954">
        <f t="shared" si="56"/>
        <v>161.4365734810286</v>
      </c>
      <c r="R114" s="954">
        <f t="shared" si="57"/>
        <v>161.4365734810286</v>
      </c>
      <c r="S114" s="957">
        <f t="shared" si="58"/>
        <v>0</v>
      </c>
      <c r="T114" s="954">
        <f t="shared" si="59"/>
        <v>7327.4260976872247</v>
      </c>
      <c r="U114" s="954">
        <f t="shared" si="60"/>
        <v>367.40813952515447</v>
      </c>
      <c r="V114" s="961">
        <f t="shared" si="61"/>
        <v>244.9387596834363</v>
      </c>
      <c r="W114" s="104"/>
      <c r="X114" s="1155">
        <f>'Recycling - Case 1'!AM165*'Recycling - Case 1'!C165</f>
        <v>4263.3327816438568</v>
      </c>
      <c r="Y114" s="1156">
        <f>Parameters!S216</f>
        <v>0.71500000000000008</v>
      </c>
      <c r="Z114" s="1157">
        <f t="shared" si="62"/>
        <v>0.2</v>
      </c>
      <c r="AA114" s="1158">
        <f t="shared" si="63"/>
        <v>304.82829388753584</v>
      </c>
      <c r="AB114" s="1158">
        <f t="shared" si="64"/>
        <v>304.82829388753584</v>
      </c>
      <c r="AC114" s="1159">
        <f t="shared" si="65"/>
        <v>0</v>
      </c>
      <c r="AD114" s="1158">
        <f t="shared" si="66"/>
        <v>5810.8683719676137</v>
      </c>
      <c r="AE114" s="1158">
        <f t="shared" si="67"/>
        <v>282.30071149349459</v>
      </c>
      <c r="AF114" s="1160">
        <f t="shared" si="68"/>
        <v>188.20047432899639</v>
      </c>
      <c r="AG114" s="104"/>
      <c r="AH114" s="1155">
        <f>'Recycling - Case 1'!AM205*'Recycling - Case 1'!C205</f>
        <v>1103.9156059791687</v>
      </c>
      <c r="AI114" s="1156">
        <f>Parameters!S216</f>
        <v>0.71500000000000008</v>
      </c>
      <c r="AJ114" s="1157">
        <f t="shared" si="69"/>
        <v>0.2</v>
      </c>
      <c r="AK114" s="1158">
        <f t="shared" si="70"/>
        <v>78.929965827510571</v>
      </c>
      <c r="AL114" s="1158">
        <f t="shared" si="71"/>
        <v>78.929965827510571</v>
      </c>
      <c r="AM114" s="1159">
        <f t="shared" si="72"/>
        <v>0</v>
      </c>
      <c r="AN114" s="1158">
        <f t="shared" si="73"/>
        <v>3374.634246949327</v>
      </c>
      <c r="AO114" s="1158">
        <f t="shared" si="74"/>
        <v>168.97437182427166</v>
      </c>
      <c r="AP114" s="1160">
        <f t="shared" si="75"/>
        <v>112.6495812161811</v>
      </c>
      <c r="AQ114" s="104"/>
      <c r="AR114" s="1194">
        <f>'Recycling - Case 1'!G125</f>
        <v>801.01113926454832</v>
      </c>
      <c r="AS114" s="1195">
        <v>1</v>
      </c>
      <c r="AT114" s="1196">
        <f t="shared" si="76"/>
        <v>0.05</v>
      </c>
      <c r="AU114" s="1174">
        <f t="shared" si="77"/>
        <v>20.025278481613711</v>
      </c>
      <c r="AV114" s="1174">
        <f t="shared" si="78"/>
        <v>20.025278481613711</v>
      </c>
      <c r="AW114" s="1175">
        <f t="shared" si="79"/>
        <v>0</v>
      </c>
      <c r="AX114" s="1174">
        <f t="shared" si="49"/>
        <v>271.01285761010155</v>
      </c>
      <c r="AY114" s="1174">
        <f t="shared" si="52"/>
        <v>15.520205119085865</v>
      </c>
      <c r="AZ114" s="1197">
        <f t="shared" si="50"/>
        <v>10.34680341272391</v>
      </c>
      <c r="BB114" s="1185">
        <f t="shared" si="80"/>
        <v>244.9387596834363</v>
      </c>
      <c r="BC114" s="1186">
        <f t="shared" si="81"/>
        <v>188.20047432899639</v>
      </c>
      <c r="BD114" s="1218">
        <f t="shared" si="95"/>
        <v>10.34680341272391</v>
      </c>
      <c r="BE114" s="1186">
        <f t="shared" si="54"/>
        <v>443.48603742515655</v>
      </c>
      <c r="BF114" s="167">
        <v>0</v>
      </c>
      <c r="BG114" s="1208">
        <f t="shared" si="82"/>
        <v>443.48603742515655</v>
      </c>
      <c r="BI114" s="1185">
        <f t="shared" si="83"/>
        <v>244.9387596834363</v>
      </c>
      <c r="BJ114" s="1186">
        <f t="shared" si="84"/>
        <v>112.6495812161811</v>
      </c>
      <c r="BK114" s="1218">
        <f t="shared" si="85"/>
        <v>10.34680341272391</v>
      </c>
      <c r="BL114" s="1186">
        <f t="shared" si="55"/>
        <v>367.93514431234127</v>
      </c>
      <c r="BM114" s="167">
        <v>0</v>
      </c>
      <c r="BN114" s="1208">
        <f t="shared" si="86"/>
        <v>367.93514431234127</v>
      </c>
    </row>
    <row r="115" spans="1:66">
      <c r="A115" s="1050">
        <f>'Input data'!A146</f>
        <v>2046</v>
      </c>
      <c r="B115" s="946">
        <f>'Input data'!B146</f>
        <v>73.995000000000005</v>
      </c>
      <c r="C115" s="946">
        <f>'Recycling - Case 1'!AF126</f>
        <v>125.3331611089779</v>
      </c>
      <c r="D115" s="948">
        <f>'Recycling - Case 1'!AM126</f>
        <v>0.33821874623794668</v>
      </c>
      <c r="E115" s="948">
        <f>'Recycling - Case 1'!BE126</f>
        <v>0.14277330911442879</v>
      </c>
      <c r="F115" s="948">
        <f>'Recycling - Case 1'!BF126</f>
        <v>0.23124410795484196</v>
      </c>
      <c r="G115" s="948">
        <f>'Recycling - Case 1'!BG126</f>
        <v>8.1064610179297281E-2</v>
      </c>
      <c r="H115" s="948">
        <f>'Recycling - Case 1'!BH126</f>
        <v>0</v>
      </c>
      <c r="I115" s="948">
        <f>'Recycling - Case 1'!BI126</f>
        <v>0</v>
      </c>
      <c r="J115" s="948">
        <f>'Recycling - Case 1'!BJ126</f>
        <v>0</v>
      </c>
      <c r="K115" s="948">
        <f>'Recycling - Case 1'!BK126</f>
        <v>0.54491797275143217</v>
      </c>
      <c r="L115" s="949">
        <f t="shared" si="94"/>
        <v>1.0000000000000002</v>
      </c>
      <c r="M115" s="104"/>
      <c r="N115" s="960">
        <f t="shared" si="53"/>
        <v>3136.6498711884028</v>
      </c>
      <c r="O115" s="955">
        <f>Parameters!R217</f>
        <v>0.97300000000000009</v>
      </c>
      <c r="P115" s="956">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954">
        <f t="shared" si="56"/>
        <v>152.73636469234626</v>
      </c>
      <c r="R115" s="954">
        <f t="shared" si="57"/>
        <v>152.73636469234626</v>
      </c>
      <c r="S115" s="957">
        <f t="shared" si="58"/>
        <v>0</v>
      </c>
      <c r="T115" s="954">
        <f>R115+(T114*$C$8)</f>
        <v>7122.7996746668769</v>
      </c>
      <c r="U115" s="954">
        <f t="shared" si="60"/>
        <v>357.36278771269326</v>
      </c>
      <c r="V115" s="961">
        <f t="shared" si="61"/>
        <v>238.24185847512885</v>
      </c>
      <c r="W115" s="104"/>
      <c r="X115" s="1155">
        <f>'Recycling - Case 1'!AM166*'Recycling - Case 1'!C166</f>
        <v>4302.7731501412591</v>
      </c>
      <c r="Y115" s="1156">
        <f>Parameters!S217</f>
        <v>0.71500000000000008</v>
      </c>
      <c r="Z115" s="1157">
        <f t="shared" si="62"/>
        <v>0.2</v>
      </c>
      <c r="AA115" s="1158">
        <f t="shared" si="63"/>
        <v>307.64828023510006</v>
      </c>
      <c r="AB115" s="1158">
        <f t="shared" si="64"/>
        <v>307.64828023510006</v>
      </c>
      <c r="AC115" s="1159">
        <f t="shared" si="65"/>
        <v>0</v>
      </c>
      <c r="AD115" s="1158">
        <f t="shared" si="66"/>
        <v>5835.1172575512546</v>
      </c>
      <c r="AE115" s="1158">
        <f t="shared" si="67"/>
        <v>283.39939465145955</v>
      </c>
      <c r="AF115" s="1160">
        <f t="shared" si="68"/>
        <v>188.93292976763971</v>
      </c>
      <c r="AG115" s="104"/>
      <c r="AH115" s="1155">
        <f>'Recycling - Case 1'!AM206*'Recycling - Case 1'!C206</f>
        <v>1141.1321312519813</v>
      </c>
      <c r="AI115" s="1156">
        <f>Parameters!S217</f>
        <v>0.71500000000000008</v>
      </c>
      <c r="AJ115" s="1157">
        <f t="shared" si="69"/>
        <v>0.2</v>
      </c>
      <c r="AK115" s="1158">
        <f t="shared" si="70"/>
        <v>81.590947384516667</v>
      </c>
      <c r="AL115" s="1158">
        <f t="shared" si="71"/>
        <v>81.590947384516667</v>
      </c>
      <c r="AM115" s="1159">
        <f t="shared" si="72"/>
        <v>0</v>
      </c>
      <c r="AN115" s="1158">
        <f t="shared" si="73"/>
        <v>3291.6423400105255</v>
      </c>
      <c r="AO115" s="1158">
        <f t="shared" si="74"/>
        <v>164.58285432331826</v>
      </c>
      <c r="AP115" s="1160">
        <f t="shared" si="75"/>
        <v>109.72190288221218</v>
      </c>
      <c r="AQ115" s="104"/>
      <c r="AR115" s="1194">
        <f>'Recycling - Case 1'!G126</f>
        <v>810.42034079476002</v>
      </c>
      <c r="AS115" s="1195">
        <v>1</v>
      </c>
      <c r="AT115" s="1196">
        <f t="shared" si="76"/>
        <v>0.05</v>
      </c>
      <c r="AU115" s="1174">
        <f t="shared" si="77"/>
        <v>20.260508519869003</v>
      </c>
      <c r="AV115" s="1174">
        <f t="shared" si="78"/>
        <v>20.260508519869003</v>
      </c>
      <c r="AW115" s="1175">
        <f t="shared" si="79"/>
        <v>0</v>
      </c>
      <c r="AX115" s="1174">
        <f t="shared" si="49"/>
        <v>275.4908059623807</v>
      </c>
      <c r="AY115" s="1174">
        <f t="shared" si="52"/>
        <v>15.782560167589853</v>
      </c>
      <c r="AZ115" s="1197">
        <f t="shared" si="50"/>
        <v>10.521706778393236</v>
      </c>
      <c r="BB115" s="1185">
        <f t="shared" si="80"/>
        <v>238.24185847512885</v>
      </c>
      <c r="BC115" s="1186">
        <f t="shared" si="81"/>
        <v>188.93292976763971</v>
      </c>
      <c r="BD115" s="1218">
        <f t="shared" si="95"/>
        <v>10.521706778393236</v>
      </c>
      <c r="BE115" s="1186">
        <f t="shared" si="54"/>
        <v>437.69649502116181</v>
      </c>
      <c r="BF115" s="167">
        <v>0</v>
      </c>
      <c r="BG115" s="1208">
        <f t="shared" si="82"/>
        <v>437.69649502116181</v>
      </c>
      <c r="BI115" s="1185">
        <f t="shared" si="83"/>
        <v>238.24185847512885</v>
      </c>
      <c r="BJ115" s="1186">
        <f t="shared" si="84"/>
        <v>109.72190288221218</v>
      </c>
      <c r="BK115" s="1218">
        <f t="shared" si="85"/>
        <v>10.521706778393236</v>
      </c>
      <c r="BL115" s="1186">
        <f t="shared" si="55"/>
        <v>358.48546813573427</v>
      </c>
      <c r="BM115" s="167">
        <v>0</v>
      </c>
      <c r="BN115" s="1208">
        <f t="shared" si="86"/>
        <v>358.48546813573427</v>
      </c>
    </row>
    <row r="116" spans="1:66">
      <c r="A116" s="1050">
        <f>'Input data'!A147</f>
        <v>2047</v>
      </c>
      <c r="B116" s="946">
        <f>'Input data'!B147</f>
        <v>74.373000000000005</v>
      </c>
      <c r="C116" s="946">
        <f>'Recycling - Case 1'!AF127</f>
        <v>116.58898707811893</v>
      </c>
      <c r="D116" s="948">
        <f>'Recycling - Case 1'!AM127</f>
        <v>0.33821874623794668</v>
      </c>
      <c r="E116" s="948">
        <f>'Recycling - Case 1'!BE127</f>
        <v>0.14277330911442876</v>
      </c>
      <c r="F116" s="948">
        <f>'Recycling - Case 1'!BF127</f>
        <v>0.23124410795484196</v>
      </c>
      <c r="G116" s="948">
        <f>'Recycling - Case 1'!BG127</f>
        <v>8.1064610179297267E-2</v>
      </c>
      <c r="H116" s="948">
        <f>'Recycling - Case 1'!BH127</f>
        <v>0</v>
      </c>
      <c r="I116" s="948">
        <f>'Recycling - Case 1'!BI127</f>
        <v>0</v>
      </c>
      <c r="J116" s="948">
        <f>'Recycling - Case 1'!BJ127</f>
        <v>0</v>
      </c>
      <c r="K116" s="948">
        <f>'Recycling - Case 1'!BK127</f>
        <v>0.54491797275143194</v>
      </c>
      <c r="L116" s="949">
        <f t="shared" si="94"/>
        <v>1</v>
      </c>
      <c r="M116" s="104"/>
      <c r="N116" s="960">
        <f t="shared" si="53"/>
        <v>2932.7193492947508</v>
      </c>
      <c r="O116" s="955">
        <f>Parameters!R218</f>
        <v>0.97975000000000012</v>
      </c>
      <c r="P116" s="956">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954">
        <f t="shared" si="56"/>
        <v>143.79684016949463</v>
      </c>
      <c r="R116" s="954">
        <f t="shared" si="57"/>
        <v>143.79684016949463</v>
      </c>
      <c r="S116" s="957">
        <f t="shared" si="58"/>
        <v>0</v>
      </c>
      <c r="T116" s="954">
        <f t="shared" ref="T116:T119" si="96">R116+(T115*$C$8)</f>
        <v>6919.2134755367406</v>
      </c>
      <c r="U116" s="954">
        <f t="shared" si="60"/>
        <v>347.38303929963058</v>
      </c>
      <c r="V116" s="961">
        <f t="shared" si="61"/>
        <v>231.58869286642039</v>
      </c>
      <c r="W116" s="104"/>
      <c r="X116" s="1155">
        <f>'Recycling - Case 1'!AM167*'Recycling - Case 1'!C167</f>
        <v>4348.1090361398792</v>
      </c>
      <c r="Y116" s="1156">
        <f>Parameters!S218</f>
        <v>0.71500000000000008</v>
      </c>
      <c r="Z116" s="1157">
        <f t="shared" si="62"/>
        <v>0.2</v>
      </c>
      <c r="AA116" s="1158">
        <f t="shared" si="63"/>
        <v>310.88979608400143</v>
      </c>
      <c r="AB116" s="1158">
        <f t="shared" si="64"/>
        <v>310.88979608400143</v>
      </c>
      <c r="AC116" s="1159">
        <f t="shared" si="65"/>
        <v>0</v>
      </c>
      <c r="AD116" s="1158">
        <f t="shared" si="66"/>
        <v>5861.4250268786654</v>
      </c>
      <c r="AE116" s="1158">
        <f t="shared" si="67"/>
        <v>284.58202675659004</v>
      </c>
      <c r="AF116" s="1160">
        <f t="shared" si="68"/>
        <v>189.72135117106004</v>
      </c>
      <c r="AG116" s="104"/>
      <c r="AH116" s="1155">
        <f>'Recycling - Case 1'!AM207*'Recycling - Case 1'!C207</f>
        <v>1180.1253831079473</v>
      </c>
      <c r="AI116" s="1156">
        <f>Parameters!S218</f>
        <v>0.71500000000000008</v>
      </c>
      <c r="AJ116" s="1157">
        <f t="shared" si="69"/>
        <v>0.2</v>
      </c>
      <c r="AK116" s="1158">
        <f t="shared" si="70"/>
        <v>84.378964892218249</v>
      </c>
      <c r="AL116" s="1158">
        <f t="shared" si="71"/>
        <v>84.378964892218249</v>
      </c>
      <c r="AM116" s="1159">
        <f t="shared" si="72"/>
        <v>0</v>
      </c>
      <c r="AN116" s="1158">
        <f t="shared" si="73"/>
        <v>3215.4860136426141</v>
      </c>
      <c r="AO116" s="1158">
        <f t="shared" si="74"/>
        <v>160.53529126012972</v>
      </c>
      <c r="AP116" s="1160">
        <f t="shared" si="75"/>
        <v>107.02352750675315</v>
      </c>
      <c r="AQ116" s="104"/>
      <c r="AR116" s="1194">
        <f>'Recycling - Case 1'!G127</f>
        <v>819.91662999058281</v>
      </c>
      <c r="AS116" s="1195">
        <v>1</v>
      </c>
      <c r="AT116" s="1196">
        <f t="shared" si="76"/>
        <v>0.05</v>
      </c>
      <c r="AU116" s="1174">
        <f t="shared" si="77"/>
        <v>20.497915749764573</v>
      </c>
      <c r="AV116" s="1174">
        <f t="shared" si="78"/>
        <v>20.497915749764573</v>
      </c>
      <c r="AW116" s="1175">
        <f t="shared" si="79"/>
        <v>0</v>
      </c>
      <c r="AX116" s="1174">
        <f t="shared" si="49"/>
        <v>279.94538613367479</v>
      </c>
      <c r="AY116" s="1174">
        <f t="shared" si="52"/>
        <v>16.043335578470476</v>
      </c>
      <c r="AZ116" s="1197">
        <f t="shared" si="50"/>
        <v>10.695557052313651</v>
      </c>
      <c r="BB116" s="1185">
        <f t="shared" si="80"/>
        <v>231.58869286642039</v>
      </c>
      <c r="BC116" s="1186">
        <f t="shared" si="81"/>
        <v>189.72135117106004</v>
      </c>
      <c r="BD116" s="1218">
        <f t="shared" si="95"/>
        <v>10.695557052313651</v>
      </c>
      <c r="BE116" s="1186">
        <f t="shared" si="54"/>
        <v>432.00560108979408</v>
      </c>
      <c r="BF116" s="167">
        <v>0</v>
      </c>
      <c r="BG116" s="1208">
        <f t="shared" si="82"/>
        <v>432.00560108979408</v>
      </c>
      <c r="BI116" s="1185">
        <f t="shared" si="83"/>
        <v>231.58869286642039</v>
      </c>
      <c r="BJ116" s="1186">
        <f t="shared" si="84"/>
        <v>107.02352750675315</v>
      </c>
      <c r="BK116" s="1218">
        <f t="shared" si="85"/>
        <v>10.695557052313651</v>
      </c>
      <c r="BL116" s="1186">
        <f t="shared" si="55"/>
        <v>349.30777742548719</v>
      </c>
      <c r="BM116" s="167">
        <v>0</v>
      </c>
      <c r="BN116" s="1208">
        <f t="shared" si="86"/>
        <v>349.30777742548719</v>
      </c>
    </row>
    <row r="117" spans="1:66">
      <c r="A117" s="1050">
        <f>'Input data'!A148</f>
        <v>2048</v>
      </c>
      <c r="B117" s="946">
        <f>'Input data'!B148</f>
        <v>74.753</v>
      </c>
      <c r="C117" s="946">
        <f>'Recycling - Case 1'!AF128</f>
        <v>116.58898707811893</v>
      </c>
      <c r="D117" s="948">
        <f>'Recycling - Case 1'!AM128</f>
        <v>0.33821874623794668</v>
      </c>
      <c r="E117" s="948">
        <f>'Recycling - Case 1'!BE128</f>
        <v>0.14277330911442876</v>
      </c>
      <c r="F117" s="948">
        <f>'Recycling - Case 1'!BF128</f>
        <v>0.23124410795484196</v>
      </c>
      <c r="G117" s="948">
        <f>'Recycling - Case 1'!BG128</f>
        <v>8.1064610179297267E-2</v>
      </c>
      <c r="H117" s="948">
        <f>'Recycling - Case 1'!BH128</f>
        <v>0</v>
      </c>
      <c r="I117" s="948">
        <f>'Recycling - Case 1'!BI128</f>
        <v>0</v>
      </c>
      <c r="J117" s="948">
        <f>'Recycling - Case 1'!BJ128</f>
        <v>0</v>
      </c>
      <c r="K117" s="948">
        <f>'Recycling - Case 1'!BK128</f>
        <v>0.54491797275143194</v>
      </c>
      <c r="L117" s="949">
        <f t="shared" si="94"/>
        <v>1</v>
      </c>
      <c r="M117" s="104"/>
      <c r="N117" s="960">
        <f t="shared" si="53"/>
        <v>2947.7037300879424</v>
      </c>
      <c r="O117" s="955">
        <f>Parameters!R219</f>
        <v>0.98650000000000015</v>
      </c>
      <c r="P117" s="956">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954">
        <f t="shared" si="56"/>
        <v>145.52730498594917</v>
      </c>
      <c r="R117" s="954">
        <f t="shared" si="57"/>
        <v>145.52730498594917</v>
      </c>
      <c r="S117" s="957">
        <f t="shared" si="58"/>
        <v>0</v>
      </c>
      <c r="T117" s="954">
        <f t="shared" si="96"/>
        <v>6727.2867573183476</v>
      </c>
      <c r="U117" s="954">
        <f t="shared" si="60"/>
        <v>337.45402320434158</v>
      </c>
      <c r="V117" s="961">
        <f t="shared" si="61"/>
        <v>224.96934880289439</v>
      </c>
      <c r="W117" s="104"/>
      <c r="X117" s="1155">
        <f>'Recycling - Case 1'!AM168*'Recycling - Case 1'!C168</f>
        <v>4392.1852303576634</v>
      </c>
      <c r="Y117" s="1156">
        <f>Parameters!S219</f>
        <v>0.71500000000000008</v>
      </c>
      <c r="Z117" s="1157">
        <f t="shared" si="62"/>
        <v>0.2</v>
      </c>
      <c r="AA117" s="1158">
        <f t="shared" si="63"/>
        <v>314.04124397057296</v>
      </c>
      <c r="AB117" s="1158">
        <f t="shared" si="64"/>
        <v>314.04124397057296</v>
      </c>
      <c r="AC117" s="1159">
        <f t="shared" si="65"/>
        <v>0</v>
      </c>
      <c r="AD117" s="1158">
        <f t="shared" si="66"/>
        <v>5889.6011990424486</v>
      </c>
      <c r="AE117" s="1158">
        <f t="shared" si="67"/>
        <v>285.86507180679035</v>
      </c>
      <c r="AF117" s="1160">
        <f t="shared" si="68"/>
        <v>190.57671453786023</v>
      </c>
      <c r="AG117" s="104"/>
      <c r="AH117" s="1155">
        <f>'Recycling - Case 1'!AM208*'Recycling - Case 1'!C208</f>
        <v>1219.5671665931759</v>
      </c>
      <c r="AI117" s="1156">
        <f>Parameters!S219</f>
        <v>0.71500000000000008</v>
      </c>
      <c r="AJ117" s="1157">
        <f t="shared" si="69"/>
        <v>0.2</v>
      </c>
      <c r="AK117" s="1158">
        <f t="shared" si="70"/>
        <v>87.199052411412083</v>
      </c>
      <c r="AL117" s="1158">
        <f t="shared" si="71"/>
        <v>87.199052411412083</v>
      </c>
      <c r="AM117" s="1159">
        <f t="shared" si="72"/>
        <v>0</v>
      </c>
      <c r="AN117" s="1158">
        <f t="shared" si="73"/>
        <v>3145.863962658771</v>
      </c>
      <c r="AO117" s="1158">
        <f t="shared" si="74"/>
        <v>156.82110339525522</v>
      </c>
      <c r="AP117" s="1160">
        <f t="shared" si="75"/>
        <v>104.54740226350349</v>
      </c>
      <c r="AQ117" s="104"/>
      <c r="AR117" s="1194">
        <f>'Recycling - Case 1'!G128</f>
        <v>829.48955862118044</v>
      </c>
      <c r="AS117" s="1195">
        <v>1</v>
      </c>
      <c r="AT117" s="1196">
        <f t="shared" si="76"/>
        <v>0.05</v>
      </c>
      <c r="AU117" s="1174">
        <f t="shared" si="77"/>
        <v>20.737238965529514</v>
      </c>
      <c r="AV117" s="1174">
        <f t="shared" si="78"/>
        <v>20.737238965529514</v>
      </c>
      <c r="AW117" s="1175">
        <f t="shared" si="79"/>
        <v>0</v>
      </c>
      <c r="AX117" s="1174">
        <f t="shared" si="49"/>
        <v>284.37987496677215</v>
      </c>
      <c r="AY117" s="1174">
        <f t="shared" si="52"/>
        <v>16.302750132432141</v>
      </c>
      <c r="AZ117" s="1197">
        <f t="shared" si="50"/>
        <v>10.868500088288094</v>
      </c>
      <c r="BB117" s="1185">
        <f t="shared" si="80"/>
        <v>224.96934880289439</v>
      </c>
      <c r="BC117" s="1186">
        <f t="shared" si="81"/>
        <v>190.57671453786023</v>
      </c>
      <c r="BD117" s="1218">
        <f t="shared" si="95"/>
        <v>10.868500088288094</v>
      </c>
      <c r="BE117" s="1186">
        <f t="shared" si="54"/>
        <v>426.41456342904269</v>
      </c>
      <c r="BF117" s="167">
        <v>0</v>
      </c>
      <c r="BG117" s="1208">
        <f t="shared" si="82"/>
        <v>426.41456342904269</v>
      </c>
      <c r="BI117" s="1185">
        <f t="shared" si="83"/>
        <v>224.96934880289439</v>
      </c>
      <c r="BJ117" s="1186">
        <f t="shared" si="84"/>
        <v>104.54740226350349</v>
      </c>
      <c r="BK117" s="1218">
        <f t="shared" si="85"/>
        <v>10.868500088288094</v>
      </c>
      <c r="BL117" s="1186">
        <f t="shared" si="55"/>
        <v>340.38525115468599</v>
      </c>
      <c r="BM117" s="167">
        <v>0</v>
      </c>
      <c r="BN117" s="1208">
        <f t="shared" si="86"/>
        <v>340.38525115468599</v>
      </c>
    </row>
    <row r="118" spans="1:66">
      <c r="A118" s="1050">
        <f>'Input data'!A149</f>
        <v>2049</v>
      </c>
      <c r="B118" s="946">
        <f>'Input data'!B149</f>
        <v>75.134</v>
      </c>
      <c r="C118" s="946">
        <f>'Recycling - Case 1'!AF129</f>
        <v>116.58898707811893</v>
      </c>
      <c r="D118" s="948">
        <f>'Recycling - Case 1'!AM129</f>
        <v>0.33821874623794668</v>
      </c>
      <c r="E118" s="948">
        <f>'Recycling - Case 1'!BE129</f>
        <v>0.14277330911442876</v>
      </c>
      <c r="F118" s="948">
        <f>'Recycling - Case 1'!BF129</f>
        <v>0.23124410795484196</v>
      </c>
      <c r="G118" s="948">
        <f>'Recycling - Case 1'!BG129</f>
        <v>8.1064610179297267E-2</v>
      </c>
      <c r="H118" s="948">
        <f>'Recycling - Case 1'!BH129</f>
        <v>0</v>
      </c>
      <c r="I118" s="948">
        <f>'Recycling - Case 1'!BI129</f>
        <v>0</v>
      </c>
      <c r="J118" s="948">
        <f>'Recycling - Case 1'!BJ129</f>
        <v>0</v>
      </c>
      <c r="K118" s="948">
        <f>'Recycling - Case 1'!BK129</f>
        <v>0.54491797275143194</v>
      </c>
      <c r="L118" s="949">
        <f t="shared" si="94"/>
        <v>1</v>
      </c>
      <c r="M118" s="104"/>
      <c r="N118" s="960">
        <f t="shared" si="53"/>
        <v>2962.7275434621679</v>
      </c>
      <c r="O118" s="955">
        <f>Parameters!R220</f>
        <v>0.99325000000000008</v>
      </c>
      <c r="P118" s="956">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954">
        <f t="shared" si="56"/>
        <v>147.26985352541988</v>
      </c>
      <c r="R118" s="954">
        <f t="shared" si="57"/>
        <v>147.26985352541988</v>
      </c>
      <c r="S118" s="957">
        <f t="shared" si="58"/>
        <v>0</v>
      </c>
      <c r="T118" s="954">
        <f t="shared" si="96"/>
        <v>6546.4629641406264</v>
      </c>
      <c r="U118" s="954">
        <f t="shared" si="60"/>
        <v>328.09364670314125</v>
      </c>
      <c r="V118" s="961">
        <f t="shared" si="61"/>
        <v>218.72909780209417</v>
      </c>
      <c r="W118" s="104"/>
      <c r="X118" s="1155">
        <f>'Recycling - Case 1'!AM169*'Recycling - Case 1'!C169</f>
        <v>4442.286977896707</v>
      </c>
      <c r="Y118" s="1156">
        <f>Parameters!S220</f>
        <v>0.71500000000000008</v>
      </c>
      <c r="Z118" s="1157">
        <f t="shared" si="62"/>
        <v>0.2</v>
      </c>
      <c r="AA118" s="1158">
        <f t="shared" si="63"/>
        <v>317.62351891961458</v>
      </c>
      <c r="AB118" s="1158">
        <f t="shared" si="64"/>
        <v>317.62351891961458</v>
      </c>
      <c r="AC118" s="1159">
        <f t="shared" si="65"/>
        <v>0</v>
      </c>
      <c r="AD118" s="1158">
        <f t="shared" si="66"/>
        <v>5919.9854780234782</v>
      </c>
      <c r="AE118" s="1158">
        <f t="shared" si="67"/>
        <v>287.239239938585</v>
      </c>
      <c r="AF118" s="1160">
        <f t="shared" si="68"/>
        <v>191.49282662572332</v>
      </c>
      <c r="AG118" s="104"/>
      <c r="AH118" s="1155">
        <f>'Recycling - Case 1'!AM209*'Recycling - Case 1'!C209</f>
        <v>1260.9538760225316</v>
      </c>
      <c r="AI118" s="1156">
        <f>Parameters!S220</f>
        <v>0.71500000000000008</v>
      </c>
      <c r="AJ118" s="1157">
        <f t="shared" si="69"/>
        <v>0.2</v>
      </c>
      <c r="AK118" s="1158">
        <f t="shared" si="70"/>
        <v>90.15820213561102</v>
      </c>
      <c r="AL118" s="1158">
        <f t="shared" si="71"/>
        <v>90.15820213561102</v>
      </c>
      <c r="AM118" s="1159">
        <f t="shared" si="72"/>
        <v>0</v>
      </c>
      <c r="AN118" s="1158">
        <f t="shared" si="73"/>
        <v>3082.5965688930496</v>
      </c>
      <c r="AO118" s="1158">
        <f t="shared" si="74"/>
        <v>153.42559590133257</v>
      </c>
      <c r="AP118" s="1160">
        <f t="shared" si="75"/>
        <v>102.28373060088838</v>
      </c>
      <c r="AQ118" s="104"/>
      <c r="AR118" s="1194">
        <f>'Recycling - Case 1'!G129</f>
        <v>839.12839037833646</v>
      </c>
      <c r="AS118" s="1195">
        <v>1</v>
      </c>
      <c r="AT118" s="1196">
        <f t="shared" si="76"/>
        <v>0.05</v>
      </c>
      <c r="AU118" s="1174">
        <f t="shared" si="77"/>
        <v>20.978209759458412</v>
      </c>
      <c r="AV118" s="1174">
        <f t="shared" si="78"/>
        <v>20.978209759458412</v>
      </c>
      <c r="AW118" s="1175">
        <f t="shared" si="79"/>
        <v>0</v>
      </c>
      <c r="AX118" s="1174">
        <f t="shared" si="49"/>
        <v>288.79709006828756</v>
      </c>
      <c r="AY118" s="1174">
        <f t="shared" si="52"/>
        <v>16.560994657943009</v>
      </c>
      <c r="AZ118" s="1197">
        <f t="shared" si="50"/>
        <v>11.040663105295339</v>
      </c>
      <c r="BB118" s="1185">
        <f t="shared" si="80"/>
        <v>218.72909780209417</v>
      </c>
      <c r="BC118" s="1186">
        <f t="shared" si="81"/>
        <v>191.49282662572332</v>
      </c>
      <c r="BD118" s="1218">
        <f t="shared" si="95"/>
        <v>11.040663105295339</v>
      </c>
      <c r="BE118" s="1186">
        <f t="shared" si="54"/>
        <v>421.26258753311282</v>
      </c>
      <c r="BF118" s="167">
        <v>0</v>
      </c>
      <c r="BG118" s="1208">
        <f t="shared" si="82"/>
        <v>421.26258753311282</v>
      </c>
      <c r="BI118" s="1185">
        <f t="shared" si="83"/>
        <v>218.72909780209417</v>
      </c>
      <c r="BJ118" s="1186">
        <f t="shared" si="84"/>
        <v>102.28373060088838</v>
      </c>
      <c r="BK118" s="1218">
        <f t="shared" si="85"/>
        <v>11.040663105295339</v>
      </c>
      <c r="BL118" s="1186">
        <f t="shared" si="55"/>
        <v>332.05349150827789</v>
      </c>
      <c r="BM118" s="167">
        <v>0</v>
      </c>
      <c r="BN118" s="1208">
        <f t="shared" si="86"/>
        <v>332.05349150827789</v>
      </c>
    </row>
    <row r="119" spans="1:66" ht="15" thickBot="1">
      <c r="A119" s="1051">
        <f>'Input data'!A150</f>
        <v>2050</v>
      </c>
      <c r="B119" s="950">
        <f>'Input data'!B150</f>
        <v>75.518000000000001</v>
      </c>
      <c r="C119" s="950">
        <f>'Recycling - Case 1'!AF130</f>
        <v>116.58898707811893</v>
      </c>
      <c r="D119" s="952">
        <f>'Recycling - Case 1'!AM130</f>
        <v>0.33821874623794668</v>
      </c>
      <c r="E119" s="952">
        <f>'Recycling - Case 1'!BE130</f>
        <v>0.14277330911442876</v>
      </c>
      <c r="F119" s="952">
        <f>'Recycling - Case 1'!BF130</f>
        <v>0.23124410795484196</v>
      </c>
      <c r="G119" s="952">
        <f>'Recycling - Case 1'!BG130</f>
        <v>8.1064610179297267E-2</v>
      </c>
      <c r="H119" s="952">
        <f>'Recycling - Case 1'!BH130</f>
        <v>0</v>
      </c>
      <c r="I119" s="952">
        <f>'Recycling - Case 1'!BI130</f>
        <v>0</v>
      </c>
      <c r="J119" s="952">
        <f>'Recycling - Case 1'!BJ130</f>
        <v>0</v>
      </c>
      <c r="K119" s="952">
        <f>'Recycling - Case 1'!BK130</f>
        <v>0.54491797275143194</v>
      </c>
      <c r="L119" s="953">
        <f t="shared" si="94"/>
        <v>1</v>
      </c>
      <c r="M119" s="104"/>
      <c r="N119" s="962">
        <f t="shared" si="53"/>
        <v>2977.8696545794983</v>
      </c>
      <c r="O119" s="963">
        <f>Parameters!R221</f>
        <v>1</v>
      </c>
      <c r="P119" s="964">
        <f>E119*'MSW characteristics'!$B$28+'MSW characteristics'!$B$29*'4A SWD Case 1'!F119+'4A SWD Case 1'!G119*'MSW characteristics'!$B$30+'MSW characteristics'!$B$31*'4A SWD Case 1'!H119+'4A SWD Case 1'!I119*'MSW characteristics'!$B$32+'MSW characteristics'!$B$33*'4A SWD Case 1'!J119+'4A SWD Case 1'!K119*'MSW characteristics'!$B$35</f>
        <v>0.10009066202985162</v>
      </c>
      <c r="Q119" s="965">
        <f t="shared" si="56"/>
        <v>149.02847258273377</v>
      </c>
      <c r="R119" s="965">
        <f t="shared" si="57"/>
        <v>149.02847258273377</v>
      </c>
      <c r="S119" s="966">
        <f t="shared" si="58"/>
        <v>0</v>
      </c>
      <c r="T119" s="965">
        <f t="shared" si="96"/>
        <v>6376.2166704774609</v>
      </c>
      <c r="U119" s="965">
        <f t="shared" si="60"/>
        <v>319.27476624589991</v>
      </c>
      <c r="V119" s="967">
        <f t="shared" si="61"/>
        <v>212.84984416393328</v>
      </c>
      <c r="W119" s="104"/>
      <c r="X119" s="1161">
        <f>'Recycling - Case 1'!AM170*'Recycling - Case 1'!C170</f>
        <v>4498.352722369068</v>
      </c>
      <c r="Y119" s="1162">
        <f>Parameters!S221</f>
        <v>0.71500000000000008</v>
      </c>
      <c r="Z119" s="1163">
        <f t="shared" si="62"/>
        <v>0.2</v>
      </c>
      <c r="AA119" s="1164">
        <f t="shared" si="63"/>
        <v>321.63221964938839</v>
      </c>
      <c r="AB119" s="1164">
        <f t="shared" si="64"/>
        <v>321.63221964938839</v>
      </c>
      <c r="AC119" s="1165">
        <f t="shared" si="65"/>
        <v>0</v>
      </c>
      <c r="AD119" s="1164">
        <f t="shared" si="66"/>
        <v>5952.8965989622457</v>
      </c>
      <c r="AE119" s="1164">
        <f t="shared" si="67"/>
        <v>288.72109871062065</v>
      </c>
      <c r="AF119" s="1166">
        <f t="shared" si="68"/>
        <v>192.48073247374711</v>
      </c>
      <c r="AG119" s="104"/>
      <c r="AH119" s="1161">
        <f>'Recycling - Case 1'!AM210*'Recycling - Case 1'!C210</f>
        <v>1304.4401774750706</v>
      </c>
      <c r="AI119" s="1162">
        <f>Parameters!S221</f>
        <v>0.71500000000000008</v>
      </c>
      <c r="AJ119" s="1163">
        <f t="shared" si="69"/>
        <v>0.2</v>
      </c>
      <c r="AK119" s="1164">
        <f t="shared" si="70"/>
        <v>93.267472689467567</v>
      </c>
      <c r="AL119" s="1164">
        <f t="shared" si="71"/>
        <v>93.267472689467567</v>
      </c>
      <c r="AM119" s="1165">
        <f t="shared" si="72"/>
        <v>0</v>
      </c>
      <c r="AN119" s="1164">
        <f t="shared" si="73"/>
        <v>3025.5240328854788</v>
      </c>
      <c r="AO119" s="1164">
        <f t="shared" si="74"/>
        <v>150.3400086970384</v>
      </c>
      <c r="AP119" s="1166">
        <f t="shared" si="75"/>
        <v>100.22667246469227</v>
      </c>
      <c r="AQ119" s="104"/>
      <c r="AR119" s="1198">
        <f>'Recycling - Case 1'!G130</f>
        <v>848.8558222073508</v>
      </c>
      <c r="AS119" s="1199">
        <f>Parameters!R221</f>
        <v>1</v>
      </c>
      <c r="AT119" s="1200">
        <f t="shared" si="76"/>
        <v>0.05</v>
      </c>
      <c r="AU119" s="1179">
        <f t="shared" si="77"/>
        <v>21.221395555183772</v>
      </c>
      <c r="AV119" s="1179">
        <f t="shared" si="78"/>
        <v>21.221395555183772</v>
      </c>
      <c r="AW119" s="1180">
        <f t="shared" si="79"/>
        <v>0</v>
      </c>
      <c r="AX119" s="1179">
        <f t="shared" si="49"/>
        <v>293.20025238383289</v>
      </c>
      <c r="AY119" s="1179">
        <f t="shared" si="52"/>
        <v>16.81823323963846</v>
      </c>
      <c r="AZ119" s="1201">
        <f t="shared" si="50"/>
        <v>11.212155493092306</v>
      </c>
      <c r="BB119" s="1187">
        <f t="shared" si="80"/>
        <v>212.84984416393328</v>
      </c>
      <c r="BC119" s="1188">
        <f t="shared" si="81"/>
        <v>192.48073247374711</v>
      </c>
      <c r="BD119" s="1219">
        <f t="shared" si="95"/>
        <v>11.212155493092306</v>
      </c>
      <c r="BE119" s="1188">
        <f t="shared" si="54"/>
        <v>416.54273213077272</v>
      </c>
      <c r="BF119" s="1189">
        <v>0</v>
      </c>
      <c r="BG119" s="1209">
        <f t="shared" si="82"/>
        <v>416.54273213077272</v>
      </c>
      <c r="BI119" s="1187">
        <f t="shared" si="83"/>
        <v>212.84984416393328</v>
      </c>
      <c r="BJ119" s="1188">
        <f t="shared" si="84"/>
        <v>100.22667246469227</v>
      </c>
      <c r="BK119" s="1219">
        <f t="shared" si="85"/>
        <v>11.212155493092306</v>
      </c>
      <c r="BL119" s="1188">
        <f t="shared" si="55"/>
        <v>324.28867212171787</v>
      </c>
      <c r="BM119" s="1189">
        <v>0</v>
      </c>
      <c r="BN119" s="1209">
        <f t="shared" si="86"/>
        <v>324.28867212171787</v>
      </c>
    </row>
    <row r="120" spans="1:66">
      <c r="A120" s="100"/>
      <c r="B120" s="4"/>
      <c r="C120" s="4"/>
      <c r="D120" s="4"/>
      <c r="E120" s="4"/>
      <c r="F120" s="4"/>
      <c r="G120" s="4"/>
      <c r="H120" s="4"/>
      <c r="I120" s="4"/>
      <c r="J120" s="4"/>
      <c r="K120" s="4"/>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sheetData>
  <mergeCells count="26">
    <mergeCell ref="L15:L16"/>
    <mergeCell ref="A15:A17"/>
    <mergeCell ref="B15:B16"/>
    <mergeCell ref="C15:C16"/>
    <mergeCell ref="D15:D16"/>
    <mergeCell ref="E15:E16"/>
    <mergeCell ref="F15:F16"/>
    <mergeCell ref="G15:G16"/>
    <mergeCell ref="H15:H16"/>
    <mergeCell ref="I15:I16"/>
    <mergeCell ref="J15:J16"/>
    <mergeCell ref="K15:K16"/>
    <mergeCell ref="BF15:BF16"/>
    <mergeCell ref="BG15:BG16"/>
    <mergeCell ref="BB14:BG14"/>
    <mergeCell ref="BB15:BB16"/>
    <mergeCell ref="BC15:BC16"/>
    <mergeCell ref="BD15:BD16"/>
    <mergeCell ref="BE15:BE16"/>
    <mergeCell ref="BI14:BN14"/>
    <mergeCell ref="BI15:BI16"/>
    <mergeCell ref="BJ15:BJ16"/>
    <mergeCell ref="BK15:BK16"/>
    <mergeCell ref="BL15:BL16"/>
    <mergeCell ref="BM15:BM16"/>
    <mergeCell ref="BN15:BN16"/>
  </mergeCells>
  <pageMargins left="0.7" right="0.7" top="0.75" bottom="0.75" header="0.3" footer="0.3"/>
  <ignoredErrors>
    <ignoredError sqref="B20:C86 B19:C19 B88:B119 B87"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7"/>
  <sheetViews>
    <sheetView topLeftCell="A63" zoomScale="70" zoomScaleNormal="70" workbookViewId="0">
      <selection activeCell="C63" sqref="C1:C1048576"/>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32"/>
    <col min="56" max="56" width="8.88671875" style="1212"/>
    <col min="57" max="57" width="11.33203125" customWidth="1"/>
    <col min="59" max="59" width="12.33203125" customWidth="1"/>
    <col min="61" max="62" width="11.33203125" customWidth="1"/>
    <col min="63" max="63" width="11.33203125" style="1212" customWidth="1"/>
    <col min="64" max="64" width="11.33203125" customWidth="1"/>
    <col min="66" max="66" width="12.33203125" customWidth="1"/>
  </cols>
  <sheetData>
    <row r="1" spans="1:66">
      <c r="A1" s="141" t="s">
        <v>198</v>
      </c>
      <c r="B1" s="115"/>
      <c r="C1" s="115" t="s">
        <v>267</v>
      </c>
      <c r="D1" s="1376" t="s">
        <v>356</v>
      </c>
      <c r="E1" s="1380" t="s">
        <v>361</v>
      </c>
      <c r="F1" s="104"/>
      <c r="G1" s="104"/>
    </row>
    <row r="2" spans="1:66">
      <c r="A2" s="150"/>
      <c r="B2" s="99"/>
      <c r="C2" s="99"/>
      <c r="D2" s="104"/>
      <c r="E2" s="130"/>
      <c r="F2" s="104"/>
      <c r="G2" s="104"/>
    </row>
    <row r="3" spans="1:66">
      <c r="A3" s="150" t="s">
        <v>357</v>
      </c>
      <c r="B3" s="99"/>
      <c r="C3" s="99" t="str">
        <f>Parameters!D94</f>
        <v>varies</v>
      </c>
      <c r="D3" s="1065">
        <v>0.2</v>
      </c>
      <c r="E3" s="1381">
        <f>Parameters!F94</f>
        <v>0.05</v>
      </c>
      <c r="F3" s="104"/>
      <c r="G3" s="104"/>
    </row>
    <row r="4" spans="1:66">
      <c r="A4" s="150" t="s">
        <v>260</v>
      </c>
      <c r="B4" s="99"/>
      <c r="C4" s="99">
        <f>Parameters!D95</f>
        <v>0.5</v>
      </c>
      <c r="D4" s="99">
        <f>Parameters!E95</f>
        <v>0.5</v>
      </c>
      <c r="E4" s="1381">
        <f>Parameters!F95</f>
        <v>0.5</v>
      </c>
      <c r="F4" s="104"/>
      <c r="G4" s="104"/>
    </row>
    <row r="5" spans="1:66">
      <c r="A5" s="174" t="s">
        <v>257</v>
      </c>
      <c r="B5" s="175"/>
      <c r="C5" s="175">
        <f>Parameters!D96</f>
        <v>0.05</v>
      </c>
      <c r="D5" s="99">
        <f>Parameters!E96</f>
        <v>0.05</v>
      </c>
      <c r="E5" s="1381">
        <f>Parameters!F96</f>
        <v>0.06</v>
      </c>
      <c r="F5" s="104"/>
      <c r="G5" s="104"/>
    </row>
    <row r="6" spans="1:66">
      <c r="A6" s="150" t="s">
        <v>258</v>
      </c>
      <c r="B6" s="107" t="s">
        <v>211</v>
      </c>
      <c r="C6" s="107">
        <f>Parameters!D97</f>
        <v>13.862943611198904</v>
      </c>
      <c r="D6" s="106">
        <f>Parameters!E97</f>
        <v>13.862943611198904</v>
      </c>
      <c r="E6" s="1382">
        <f>Parameters!F97</f>
        <v>11.552453009332423</v>
      </c>
      <c r="F6" s="104"/>
      <c r="G6" s="104"/>
    </row>
    <row r="7" spans="1:66">
      <c r="A7" s="150" t="s">
        <v>255</v>
      </c>
      <c r="B7" s="107" t="s">
        <v>256</v>
      </c>
      <c r="C7" s="107">
        <f>Parameters!D98</f>
        <v>6</v>
      </c>
      <c r="D7" s="99">
        <f>Parameters!E98</f>
        <v>6</v>
      </c>
      <c r="E7" s="1381">
        <f>Parameters!F98</f>
        <v>6</v>
      </c>
      <c r="F7" s="104"/>
      <c r="G7" s="104"/>
    </row>
    <row r="8" spans="1:66">
      <c r="A8" s="151" t="s">
        <v>248</v>
      </c>
      <c r="B8" s="108" t="s">
        <v>249</v>
      </c>
      <c r="C8" s="108">
        <f>Parameters!D99</f>
        <v>0.95122942450071402</v>
      </c>
      <c r="D8" s="158">
        <f>Parameters!E99</f>
        <v>0.95122942450071402</v>
      </c>
      <c r="E8" s="1383">
        <f>Parameters!F99</f>
        <v>0.94176453358424872</v>
      </c>
      <c r="F8" s="104"/>
      <c r="G8" s="104"/>
    </row>
    <row r="9" spans="1:66">
      <c r="A9" s="151" t="s">
        <v>250</v>
      </c>
      <c r="B9" s="108" t="s">
        <v>251</v>
      </c>
      <c r="C9" s="108">
        <f>Parameters!D100</f>
        <v>13</v>
      </c>
      <c r="D9" s="99">
        <f>Parameters!E100</f>
        <v>13</v>
      </c>
      <c r="E9" s="1381">
        <f>Parameters!F100</f>
        <v>13</v>
      </c>
      <c r="F9" s="104"/>
      <c r="G9" s="104"/>
      <c r="H9" s="641"/>
    </row>
    <row r="10" spans="1:66">
      <c r="A10" s="151" t="s">
        <v>252</v>
      </c>
      <c r="B10" s="108" t="s">
        <v>253</v>
      </c>
      <c r="C10" s="108">
        <f>Parameters!D101</f>
        <v>1</v>
      </c>
      <c r="D10" s="99">
        <f>Parameters!E101</f>
        <v>1</v>
      </c>
      <c r="E10" s="1381">
        <f>Parameters!F101</f>
        <v>1</v>
      </c>
      <c r="F10" s="104"/>
      <c r="G10" s="104"/>
    </row>
    <row r="11" spans="1:66">
      <c r="A11" s="151" t="s">
        <v>259</v>
      </c>
      <c r="B11" s="108" t="s">
        <v>254</v>
      </c>
      <c r="C11" s="108">
        <f>Parameters!D102</f>
        <v>0.5</v>
      </c>
      <c r="D11" s="99">
        <f>Parameters!E102</f>
        <v>0.5</v>
      </c>
      <c r="E11" s="1381">
        <f>Parameters!F102</f>
        <v>0.5</v>
      </c>
      <c r="F11" s="104"/>
      <c r="G11" s="104"/>
    </row>
    <row r="12" spans="1:66" ht="15" thickBot="1">
      <c r="A12" s="151" t="s">
        <v>849</v>
      </c>
      <c r="B12" s="108"/>
      <c r="C12" s="108"/>
      <c r="D12" s="537">
        <f>'Waste Summary 2017 SASOW'!$L$25</f>
        <v>0.1093486545815688</v>
      </c>
      <c r="E12" s="1381"/>
      <c r="F12" s="104"/>
      <c r="G12" s="104"/>
      <c r="X12" t="s">
        <v>749</v>
      </c>
      <c r="AH12" t="s">
        <v>756</v>
      </c>
      <c r="BB12" s="332" t="s">
        <v>749</v>
      </c>
      <c r="BI12" t="s">
        <v>756</v>
      </c>
    </row>
    <row r="13" spans="1:66" ht="15" thickBot="1">
      <c r="A13" s="152" t="s">
        <v>848</v>
      </c>
      <c r="B13" s="163"/>
      <c r="C13" s="163"/>
      <c r="D13" s="1384">
        <f>'Waste Summary 2017 SASOW'!$L$26</f>
        <v>0.30189463979095105</v>
      </c>
      <c r="E13" s="14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1897" t="s">
        <v>360</v>
      </c>
      <c r="BC13" s="1898"/>
      <c r="BD13" s="1898"/>
      <c r="BE13" s="1898"/>
      <c r="BF13" s="1898"/>
      <c r="BG13" s="1899"/>
      <c r="BI13" s="1897" t="s">
        <v>360</v>
      </c>
      <c r="BJ13" s="1898"/>
      <c r="BK13" s="1898"/>
      <c r="BL13" s="1898"/>
      <c r="BM13" s="1898"/>
      <c r="BN13" s="1899"/>
    </row>
    <row r="14" spans="1:66" ht="15" thickBot="1">
      <c r="A14" s="10"/>
      <c r="B14" s="10"/>
      <c r="C14" s="10"/>
      <c r="D14" s="10"/>
      <c r="E14" s="10"/>
      <c r="F14" s="10"/>
      <c r="G14" s="10"/>
      <c r="H14" s="10"/>
      <c r="I14" s="10"/>
      <c r="J14" s="10"/>
      <c r="K14" s="10"/>
      <c r="L14" s="10"/>
      <c r="M14" s="10"/>
      <c r="N14" s="231"/>
      <c r="O14" s="10"/>
      <c r="P14" s="10"/>
      <c r="Q14" s="10"/>
      <c r="R14" s="10"/>
      <c r="S14" s="10"/>
      <c r="T14" s="10"/>
      <c r="U14" s="10"/>
      <c r="V14" s="10"/>
      <c r="W14" s="10"/>
      <c r="X14" s="2"/>
      <c r="AG14" s="10"/>
      <c r="AH14" s="2"/>
      <c r="AR14" s="2"/>
      <c r="BB14" s="1409"/>
      <c r="BC14" s="168"/>
      <c r="BD14" s="168"/>
      <c r="BE14" s="168"/>
      <c r="BF14" s="168"/>
      <c r="BG14" s="1410"/>
      <c r="BI14" s="1409"/>
      <c r="BJ14" s="168"/>
      <c r="BK14" s="168"/>
      <c r="BL14" s="168"/>
      <c r="BM14" s="168"/>
      <c r="BN14" s="1410"/>
    </row>
    <row r="15" spans="1:66" ht="57.6">
      <c r="A15" s="1910" t="s">
        <v>217</v>
      </c>
      <c r="B15" s="1913" t="s">
        <v>218</v>
      </c>
      <c r="C15" s="1913" t="s">
        <v>219</v>
      </c>
      <c r="D15" s="1913" t="s">
        <v>220</v>
      </c>
      <c r="E15" s="1910" t="s">
        <v>221</v>
      </c>
      <c r="F15" s="1915" t="s">
        <v>85</v>
      </c>
      <c r="G15" s="1915" t="s">
        <v>87</v>
      </c>
      <c r="H15" s="1915" t="s">
        <v>222</v>
      </c>
      <c r="I15" s="1915" t="s">
        <v>115</v>
      </c>
      <c r="J15" s="1915" t="s">
        <v>223</v>
      </c>
      <c r="K15" s="1915" t="s">
        <v>224</v>
      </c>
      <c r="L15" s="1908" t="s">
        <v>225</v>
      </c>
      <c r="M15" s="311"/>
      <c r="N15" s="213" t="s">
        <v>235</v>
      </c>
      <c r="O15" s="214" t="s">
        <v>22</v>
      </c>
      <c r="P15" s="214" t="s">
        <v>236</v>
      </c>
      <c r="Q15" s="215" t="s">
        <v>237</v>
      </c>
      <c r="R15" s="215" t="s">
        <v>238</v>
      </c>
      <c r="S15" s="215" t="s">
        <v>239</v>
      </c>
      <c r="T15" s="215" t="s">
        <v>240</v>
      </c>
      <c r="U15" s="215" t="s">
        <v>241</v>
      </c>
      <c r="V15" s="221" t="s">
        <v>300</v>
      </c>
      <c r="W15" s="10"/>
      <c r="X15" s="213" t="s">
        <v>845</v>
      </c>
      <c r="Y15" s="214" t="s">
        <v>22</v>
      </c>
      <c r="Z15" s="214" t="s">
        <v>236</v>
      </c>
      <c r="AA15" s="215" t="s">
        <v>237</v>
      </c>
      <c r="AB15" s="215" t="s">
        <v>238</v>
      </c>
      <c r="AC15" s="215" t="s">
        <v>239</v>
      </c>
      <c r="AD15" s="215" t="s">
        <v>240</v>
      </c>
      <c r="AE15" s="215" t="s">
        <v>241</v>
      </c>
      <c r="AF15" s="221" t="s">
        <v>300</v>
      </c>
      <c r="AG15" s="10"/>
      <c r="AH15" s="213" t="s">
        <v>845</v>
      </c>
      <c r="AI15" s="214" t="s">
        <v>22</v>
      </c>
      <c r="AJ15" s="214" t="s">
        <v>236</v>
      </c>
      <c r="AK15" s="215" t="s">
        <v>237</v>
      </c>
      <c r="AL15" s="215" t="s">
        <v>238</v>
      </c>
      <c r="AM15" s="215" t="s">
        <v>239</v>
      </c>
      <c r="AN15" s="215" t="s">
        <v>240</v>
      </c>
      <c r="AO15" s="215" t="s">
        <v>241</v>
      </c>
      <c r="AP15" s="221" t="s">
        <v>300</v>
      </c>
      <c r="AR15" s="321" t="s">
        <v>235</v>
      </c>
      <c r="AS15" s="214" t="s">
        <v>22</v>
      </c>
      <c r="AT15" s="214" t="s">
        <v>236</v>
      </c>
      <c r="AU15" s="215" t="s">
        <v>237</v>
      </c>
      <c r="AV15" s="215" t="s">
        <v>238</v>
      </c>
      <c r="AW15" s="215" t="s">
        <v>239</v>
      </c>
      <c r="AX15" s="215" t="s">
        <v>240</v>
      </c>
      <c r="AY15" s="215" t="s">
        <v>241</v>
      </c>
      <c r="AZ15" s="221" t="s">
        <v>300</v>
      </c>
      <c r="BB15" s="1900" t="s">
        <v>267</v>
      </c>
      <c r="BC15" s="1902" t="s">
        <v>356</v>
      </c>
      <c r="BD15" s="1904" t="s">
        <v>361</v>
      </c>
      <c r="BE15" s="1902" t="s">
        <v>225</v>
      </c>
      <c r="BF15" s="1902" t="s">
        <v>362</v>
      </c>
      <c r="BG15" s="1906" t="s">
        <v>363</v>
      </c>
      <c r="BI15" s="1900" t="s">
        <v>267</v>
      </c>
      <c r="BJ15" s="1902" t="s">
        <v>356</v>
      </c>
      <c r="BK15" s="1904" t="s">
        <v>361</v>
      </c>
      <c r="BL15" s="1902" t="s">
        <v>225</v>
      </c>
      <c r="BM15" s="1902" t="s">
        <v>362</v>
      </c>
      <c r="BN15" s="1906" t="s">
        <v>363</v>
      </c>
    </row>
    <row r="16" spans="1:66" ht="22.8">
      <c r="A16" s="1911"/>
      <c r="B16" s="1914"/>
      <c r="C16" s="1914"/>
      <c r="D16" s="1914"/>
      <c r="E16" s="1911"/>
      <c r="F16" s="1916"/>
      <c r="G16" s="1916"/>
      <c r="H16" s="1916"/>
      <c r="I16" s="1916"/>
      <c r="J16" s="1916"/>
      <c r="K16" s="1916"/>
      <c r="L16" s="1909"/>
      <c r="M16" s="312"/>
      <c r="N16" s="222" t="s">
        <v>242</v>
      </c>
      <c r="O16" s="223" t="s">
        <v>22</v>
      </c>
      <c r="P16" s="223" t="s">
        <v>236</v>
      </c>
      <c r="Q16" s="224" t="s">
        <v>243</v>
      </c>
      <c r="R16" s="224" t="s">
        <v>244</v>
      </c>
      <c r="S16" s="224" t="s">
        <v>245</v>
      </c>
      <c r="T16" s="224" t="s">
        <v>301</v>
      </c>
      <c r="U16" s="224" t="s">
        <v>302</v>
      </c>
      <c r="V16" s="225" t="s">
        <v>246</v>
      </c>
      <c r="W16" s="10"/>
      <c r="X16" s="222" t="s">
        <v>242</v>
      </c>
      <c r="Y16" s="223" t="s">
        <v>22</v>
      </c>
      <c r="Z16" s="223" t="s">
        <v>236</v>
      </c>
      <c r="AA16" s="224" t="s">
        <v>243</v>
      </c>
      <c r="AB16" s="224" t="s">
        <v>244</v>
      </c>
      <c r="AC16" s="224" t="s">
        <v>245</v>
      </c>
      <c r="AD16" s="224" t="s">
        <v>301</v>
      </c>
      <c r="AE16" s="224" t="s">
        <v>302</v>
      </c>
      <c r="AF16" s="225" t="s">
        <v>246</v>
      </c>
      <c r="AG16" s="10"/>
      <c r="AH16" s="222" t="s">
        <v>242</v>
      </c>
      <c r="AI16" s="223" t="s">
        <v>22</v>
      </c>
      <c r="AJ16" s="223" t="s">
        <v>236</v>
      </c>
      <c r="AK16" s="224" t="s">
        <v>243</v>
      </c>
      <c r="AL16" s="224" t="s">
        <v>244</v>
      </c>
      <c r="AM16" s="224" t="s">
        <v>245</v>
      </c>
      <c r="AN16" s="224" t="s">
        <v>301</v>
      </c>
      <c r="AO16" s="224" t="s">
        <v>302</v>
      </c>
      <c r="AP16" s="225" t="s">
        <v>246</v>
      </c>
      <c r="AR16" s="322" t="s">
        <v>242</v>
      </c>
      <c r="AS16" s="223" t="s">
        <v>22</v>
      </c>
      <c r="AT16" s="223" t="s">
        <v>236</v>
      </c>
      <c r="AU16" s="224" t="s">
        <v>243</v>
      </c>
      <c r="AV16" s="224" t="s">
        <v>244</v>
      </c>
      <c r="AW16" s="224" t="s">
        <v>245</v>
      </c>
      <c r="AX16" s="224" t="s">
        <v>301</v>
      </c>
      <c r="AY16" s="224" t="s">
        <v>302</v>
      </c>
      <c r="AZ16" s="225" t="s">
        <v>246</v>
      </c>
      <c r="BB16" s="1901"/>
      <c r="BC16" s="1903"/>
      <c r="BD16" s="1905"/>
      <c r="BE16" s="1903"/>
      <c r="BF16" s="1903"/>
      <c r="BG16" s="1907"/>
      <c r="BI16" s="1901"/>
      <c r="BJ16" s="1903"/>
      <c r="BK16" s="1905"/>
      <c r="BL16" s="1903"/>
      <c r="BM16" s="1903"/>
      <c r="BN16" s="1907"/>
    </row>
    <row r="17" spans="1:66" ht="15" thickBot="1">
      <c r="A17" s="1912"/>
      <c r="B17" s="534" t="s">
        <v>226</v>
      </c>
      <c r="C17" s="534" t="s">
        <v>227</v>
      </c>
      <c r="D17" s="534" t="s">
        <v>229</v>
      </c>
      <c r="E17" s="216" t="s">
        <v>229</v>
      </c>
      <c r="F17" s="217" t="s">
        <v>229</v>
      </c>
      <c r="G17" s="217" t="s">
        <v>229</v>
      </c>
      <c r="H17" s="217" t="s">
        <v>229</v>
      </c>
      <c r="I17" s="217" t="s">
        <v>229</v>
      </c>
      <c r="J17" s="217" t="s">
        <v>229</v>
      </c>
      <c r="K17" s="217" t="s">
        <v>229</v>
      </c>
      <c r="L17" s="534" t="s">
        <v>230</v>
      </c>
      <c r="M17" s="313"/>
      <c r="N17" s="217" t="s">
        <v>228</v>
      </c>
      <c r="O17" s="218" t="s">
        <v>41</v>
      </c>
      <c r="P17" s="218" t="s">
        <v>41</v>
      </c>
      <c r="Q17" s="219" t="s">
        <v>228</v>
      </c>
      <c r="R17" s="219" t="s">
        <v>228</v>
      </c>
      <c r="S17" s="219" t="s">
        <v>228</v>
      </c>
      <c r="T17" s="219" t="s">
        <v>228</v>
      </c>
      <c r="U17" s="219" t="s">
        <v>228</v>
      </c>
      <c r="V17" s="220" t="s">
        <v>228</v>
      </c>
      <c r="W17" s="10"/>
      <c r="X17" s="217" t="s">
        <v>228</v>
      </c>
      <c r="Y17" s="218" t="s">
        <v>41</v>
      </c>
      <c r="Z17" s="218" t="s">
        <v>41</v>
      </c>
      <c r="AA17" s="219" t="s">
        <v>228</v>
      </c>
      <c r="AB17" s="219" t="s">
        <v>228</v>
      </c>
      <c r="AC17" s="219" t="s">
        <v>228</v>
      </c>
      <c r="AD17" s="219" t="s">
        <v>228</v>
      </c>
      <c r="AE17" s="219" t="s">
        <v>228</v>
      </c>
      <c r="AF17" s="220" t="s">
        <v>228</v>
      </c>
      <c r="AG17" s="10"/>
      <c r="AH17" s="217" t="s">
        <v>228</v>
      </c>
      <c r="AI17" s="218" t="s">
        <v>41</v>
      </c>
      <c r="AJ17" s="218" t="s">
        <v>41</v>
      </c>
      <c r="AK17" s="219" t="s">
        <v>228</v>
      </c>
      <c r="AL17" s="219" t="s">
        <v>228</v>
      </c>
      <c r="AM17" s="219" t="s">
        <v>228</v>
      </c>
      <c r="AN17" s="219" t="s">
        <v>228</v>
      </c>
      <c r="AO17" s="219" t="s">
        <v>228</v>
      </c>
      <c r="AP17" s="220" t="s">
        <v>228</v>
      </c>
      <c r="AR17" s="216" t="s">
        <v>228</v>
      </c>
      <c r="AS17" s="218" t="s">
        <v>41</v>
      </c>
      <c r="AT17" s="218" t="s">
        <v>41</v>
      </c>
      <c r="AU17" s="219" t="s">
        <v>228</v>
      </c>
      <c r="AV17" s="219" t="s">
        <v>228</v>
      </c>
      <c r="AW17" s="219" t="s">
        <v>228</v>
      </c>
      <c r="AX17" s="219" t="s">
        <v>228</v>
      </c>
      <c r="AY17" s="219" t="s">
        <v>228</v>
      </c>
      <c r="AZ17" s="220" t="s">
        <v>228</v>
      </c>
      <c r="BB17" s="315" t="s">
        <v>228</v>
      </c>
      <c r="BC17" s="314" t="s">
        <v>228</v>
      </c>
      <c r="BD17" s="1213" t="s">
        <v>228</v>
      </c>
      <c r="BE17" s="314" t="s">
        <v>228</v>
      </c>
      <c r="BF17" s="314" t="s">
        <v>228</v>
      </c>
      <c r="BG17" s="316" t="s">
        <v>228</v>
      </c>
      <c r="BI17" s="315" t="s">
        <v>228</v>
      </c>
      <c r="BJ17" s="314" t="s">
        <v>228</v>
      </c>
      <c r="BK17" s="1213" t="s">
        <v>228</v>
      </c>
      <c r="BL17" s="314" t="s">
        <v>228</v>
      </c>
      <c r="BM17" s="314" t="s">
        <v>228</v>
      </c>
      <c r="BN17" s="316" t="s">
        <v>228</v>
      </c>
    </row>
    <row r="18" spans="1:66" ht="15" thickBot="1">
      <c r="A18" s="226"/>
      <c r="B18" s="984"/>
      <c r="C18" s="984"/>
      <c r="D18" s="984"/>
      <c r="E18" s="985"/>
      <c r="F18" s="986"/>
      <c r="G18" s="986"/>
      <c r="H18" s="986"/>
      <c r="I18" s="986"/>
      <c r="J18" s="986"/>
      <c r="K18" s="986"/>
      <c r="L18" s="984"/>
      <c r="M18" s="228"/>
      <c r="N18" s="986"/>
      <c r="O18" s="1026"/>
      <c r="P18" s="1026"/>
      <c r="Q18" s="1027"/>
      <c r="R18" s="1027"/>
      <c r="S18" s="1027"/>
      <c r="T18" s="1027"/>
      <c r="U18" s="1027"/>
      <c r="V18" s="1028"/>
      <c r="W18" s="10"/>
      <c r="X18" s="227"/>
      <c r="Y18" s="229"/>
      <c r="Z18" s="229"/>
      <c r="AA18" s="230"/>
      <c r="AB18" s="230"/>
      <c r="AC18" s="230"/>
      <c r="AD18" s="230"/>
      <c r="AE18" s="230"/>
      <c r="AF18" s="179"/>
      <c r="AG18" s="10"/>
      <c r="AH18" s="227"/>
      <c r="AI18" s="229"/>
      <c r="AJ18" s="229"/>
      <c r="AK18" s="230"/>
      <c r="AL18" s="230"/>
      <c r="AM18" s="230"/>
      <c r="AN18" s="230"/>
      <c r="AO18" s="230"/>
      <c r="AP18" s="179"/>
      <c r="AR18" s="985"/>
      <c r="AS18" s="1026"/>
      <c r="AT18" s="1026"/>
      <c r="AU18" s="1027"/>
      <c r="AV18" s="1027"/>
      <c r="AW18" s="1027"/>
      <c r="AX18" s="1027"/>
      <c r="AY18" s="1027"/>
      <c r="AZ18" s="1044"/>
      <c r="BB18" s="317"/>
      <c r="BC18" s="318"/>
      <c r="BD18" s="1214"/>
      <c r="BE18" s="318"/>
      <c r="BF18" s="104"/>
      <c r="BG18" s="130"/>
      <c r="BI18" s="317"/>
      <c r="BJ18" s="318"/>
      <c r="BK18" s="1214"/>
      <c r="BL18" s="318"/>
      <c r="BM18" s="104"/>
      <c r="BN18" s="130"/>
    </row>
    <row r="19" spans="1:66">
      <c r="A19" s="991">
        <f>'Input data'!A50</f>
        <v>1950</v>
      </c>
      <c r="B19" s="992">
        <f>'Input data'!B50</f>
        <v>5.3541578999999997</v>
      </c>
      <c r="C19" s="992">
        <f>'Baseline data (from input)'!B6</f>
        <v>578.73</v>
      </c>
      <c r="D19" s="993">
        <f>'Baseline data (from input)'!T6</f>
        <v>0.8</v>
      </c>
      <c r="E19" s="993">
        <f>'Input data'!C29</f>
        <v>0.19892488097366726</v>
      </c>
      <c r="F19" s="993">
        <f>'Input data'!D29</f>
        <v>0.26585903447659598</v>
      </c>
      <c r="G19" s="993">
        <f>'Input data'!E29</f>
        <v>8.9228108703258049E-2</v>
      </c>
      <c r="H19" s="993">
        <f>'Input data'!F29</f>
        <v>0</v>
      </c>
      <c r="I19" s="993">
        <f>'Input data'!G29</f>
        <v>0</v>
      </c>
      <c r="J19" s="993">
        <f>'Input data'!H29</f>
        <v>0</v>
      </c>
      <c r="K19" s="993">
        <f>SUM('Input data'!I29:M29)</f>
        <v>0.4459879758464787</v>
      </c>
      <c r="L19" s="994">
        <f>SUM(E19:K19)</f>
        <v>1</v>
      </c>
      <c r="M19" s="102"/>
      <c r="N19" s="1032">
        <f>B19*C19*D19</f>
        <v>2478.8894411736001</v>
      </c>
      <c r="O19" s="1033">
        <f>Parameters!R121</f>
        <v>0.73</v>
      </c>
      <c r="P19" s="1033">
        <f>E19*'MSW characteristics'!$B$28+'MSW characteristics'!$B$29*'4A SWD Case 2'!F19+'4A SWD Case 2'!G19*'MSW characteristics'!$B$30+'MSW characteristics'!$B$31*'4A SWD Case 2'!H19+'4A SWD Case 2'!I19*'MSW characteristics'!$B$32+'MSW characteristics'!$B$33*'4A SWD Case 2'!J19+'4A SWD Case 2'!K19*'MSW characteristics'!$B$35</f>
        <v>0.11870178252267252</v>
      </c>
      <c r="Q19" s="1034">
        <f>N19*P19*O19*$C$4</f>
        <v>107.40073730053733</v>
      </c>
      <c r="R19" s="1034">
        <f>Q19*$C$10</f>
        <v>107.40073730053733</v>
      </c>
      <c r="S19" s="1035">
        <f>Q19*(1-$C$10)</f>
        <v>0</v>
      </c>
      <c r="T19" s="1034">
        <f>R19+(T18*$C$8)</f>
        <v>107.40073730053733</v>
      </c>
      <c r="U19" s="1034">
        <f>S19+T18*(1-$C$8)</f>
        <v>0</v>
      </c>
      <c r="V19" s="1036">
        <f>U19*16/12*$C$11</f>
        <v>0</v>
      </c>
      <c r="W19" s="10"/>
      <c r="X19" s="1032">
        <f>'Baseline data (from input)'!AS6*'4A SWD Case 2'!$D$12</f>
        <v>0</v>
      </c>
      <c r="Y19" s="1033">
        <f>Parameters!S121</f>
        <v>0.71500000000000008</v>
      </c>
      <c r="Z19" s="1033">
        <f>$D$3</f>
        <v>0.2</v>
      </c>
      <c r="AA19" s="1034">
        <f>X19*Z19*Y19*$D$4</f>
        <v>0</v>
      </c>
      <c r="AB19" s="1034">
        <f>AA19*$D$10</f>
        <v>0</v>
      </c>
      <c r="AC19" s="1035">
        <f>AA19*(1-$D$10)</f>
        <v>0</v>
      </c>
      <c r="AD19" s="1034">
        <f>AB19+(AD18*$D$8)</f>
        <v>0</v>
      </c>
      <c r="AE19" s="1034">
        <f>AC19+AD18*(1-$D$8)</f>
        <v>0</v>
      </c>
      <c r="AF19" s="1036">
        <f>AE19*16/12*$D$11</f>
        <v>0</v>
      </c>
      <c r="AG19" s="10"/>
      <c r="AH19" s="1032">
        <f>'Baseline data (from input)'!AS6*'4A SWD Case 2'!$D$12</f>
        <v>0</v>
      </c>
      <c r="AI19" s="1033">
        <f>Parameters!S121</f>
        <v>0.71500000000000008</v>
      </c>
      <c r="AJ19" s="1033">
        <f>$D$3</f>
        <v>0.2</v>
      </c>
      <c r="AK19" s="1034">
        <f>AH19*AJ19*AI19*$D$4</f>
        <v>0</v>
      </c>
      <c r="AL19" s="1034">
        <f>AK19*$D$10</f>
        <v>0</v>
      </c>
      <c r="AM19" s="1035">
        <f>AK19*(1-$D$10)</f>
        <v>0</v>
      </c>
      <c r="AN19" s="1034">
        <f>AL19+(AN18*$D$8)</f>
        <v>0</v>
      </c>
      <c r="AO19" s="1034">
        <f>AM19+AN18*(1-$D$8)</f>
        <v>0</v>
      </c>
      <c r="AP19" s="1036">
        <f>AO19*16/12*$D$11</f>
        <v>0</v>
      </c>
      <c r="AR19" s="1032">
        <v>0</v>
      </c>
      <c r="AS19" s="1033">
        <v>1</v>
      </c>
      <c r="AT19" s="1033">
        <f>$E$3</f>
        <v>0.05</v>
      </c>
      <c r="AU19" s="1034">
        <f>AR19*AT19*AS19*$E$4</f>
        <v>0</v>
      </c>
      <c r="AV19" s="1034">
        <f>AU19*$E$10</f>
        <v>0</v>
      </c>
      <c r="AW19" s="1035">
        <f>AU19*(1-$E$10)</f>
        <v>0</v>
      </c>
      <c r="AX19" s="1034">
        <f>AV19+(AX18*$E$8)</f>
        <v>0</v>
      </c>
      <c r="AY19" s="1034">
        <f>AW19+AX18*(1-$E$8)</f>
        <v>0</v>
      </c>
      <c r="AZ19" s="1036">
        <f>AY19*16/12*$E$11</f>
        <v>0</v>
      </c>
      <c r="BB19" s="317">
        <f>V19</f>
        <v>0</v>
      </c>
      <c r="BC19" s="318">
        <f>AF19</f>
        <v>0</v>
      </c>
      <c r="BD19" s="1214">
        <f>AZ19</f>
        <v>0</v>
      </c>
      <c r="BE19" s="318">
        <f>SUM(BB19:BD19)</f>
        <v>0</v>
      </c>
      <c r="BF19" s="104">
        <v>0</v>
      </c>
      <c r="BG19" s="319">
        <f>BE19-BF19</f>
        <v>0</v>
      </c>
      <c r="BI19" s="317">
        <f>V19</f>
        <v>0</v>
      </c>
      <c r="BJ19" s="318">
        <f>AP19</f>
        <v>0</v>
      </c>
      <c r="BK19" s="1214">
        <f>AZ19</f>
        <v>0</v>
      </c>
      <c r="BL19" s="318">
        <f>SUM(BI19:BK19)</f>
        <v>0</v>
      </c>
      <c r="BM19" s="104">
        <v>0</v>
      </c>
      <c r="BN19" s="319">
        <f>BL19-BM19</f>
        <v>0</v>
      </c>
    </row>
    <row r="20" spans="1:66">
      <c r="A20" s="995">
        <f>'Input data'!A51</f>
        <v>1951</v>
      </c>
      <c r="B20" s="987">
        <f>'Input data'!B51</f>
        <v>5.53942844</v>
      </c>
      <c r="C20" s="987">
        <f>'Baseline data (from input)'!B7</f>
        <v>578.73</v>
      </c>
      <c r="D20" s="899">
        <f>'Baseline data (from input)'!T7</f>
        <v>0.8</v>
      </c>
      <c r="E20" s="899">
        <f>E19</f>
        <v>0.19892488097366726</v>
      </c>
      <c r="F20" s="899">
        <f t="shared" ref="F20:K35" si="0">F19</f>
        <v>0.26585903447659598</v>
      </c>
      <c r="G20" s="899">
        <f t="shared" si="0"/>
        <v>8.9228108703258049E-2</v>
      </c>
      <c r="H20" s="899">
        <f t="shared" si="0"/>
        <v>0</v>
      </c>
      <c r="I20" s="899">
        <f t="shared" si="0"/>
        <v>0</v>
      </c>
      <c r="J20" s="899">
        <f t="shared" si="0"/>
        <v>0</v>
      </c>
      <c r="K20" s="899">
        <f t="shared" si="0"/>
        <v>0.4459879758464787</v>
      </c>
      <c r="L20" s="996">
        <f>SUM(E20:K20)</f>
        <v>1</v>
      </c>
      <c r="M20" s="102"/>
      <c r="N20" s="1037">
        <f t="shared" ref="N20:N83" si="1">B20*C20*D20</f>
        <v>2564.6667368649601</v>
      </c>
      <c r="O20" s="1030">
        <f>Parameters!R122</f>
        <v>0.73</v>
      </c>
      <c r="P20" s="1030">
        <f>E20*'MSW characteristics'!$B$28+'MSW characteristics'!$B$29*'4A SWD Case 2'!F20+'4A SWD Case 2'!G20*'MSW characteristics'!$B$30+'MSW characteristics'!$B$31*'4A SWD Case 2'!H20+'4A SWD Case 2'!I20*'MSW characteristics'!$B$32+'MSW characteristics'!$B$33*'4A SWD Case 2'!J20+'4A SWD Case 2'!K20*'MSW characteristics'!$B$35</f>
        <v>0.11870178252267252</v>
      </c>
      <c r="Q20" s="1029">
        <f t="shared" ref="Q20:Q83" si="2">N20*P20*O20*$C$4</f>
        <v>111.11713733350399</v>
      </c>
      <c r="R20" s="1029">
        <f t="shared" ref="R20:R83" si="3">Q20*$C$10</f>
        <v>111.11713733350399</v>
      </c>
      <c r="S20" s="303">
        <f t="shared" ref="S20:S83" si="4">Q20*(1-$C$10)</f>
        <v>0</v>
      </c>
      <c r="T20" s="1029">
        <f t="shared" ref="T20:T83" si="5">R20+(T19*$C$8)</f>
        <v>213.2798788668465</v>
      </c>
      <c r="U20" s="1029">
        <f t="shared" ref="U20:U83" si="6">S20+T19*(1-$C$8)</f>
        <v>5.2379957671948363</v>
      </c>
      <c r="V20" s="1038">
        <f t="shared" ref="V20:V83" si="7">U20*16/12*$C$11</f>
        <v>3.4919971781298909</v>
      </c>
      <c r="W20" s="10"/>
      <c r="X20" s="1037">
        <f>'Baseline data (from input)'!AS7*'4A SWD Case 2'!$D$12</f>
        <v>0</v>
      </c>
      <c r="Y20" s="1030">
        <f>Parameters!S122</f>
        <v>0.71500000000000008</v>
      </c>
      <c r="Z20" s="1030">
        <f t="shared" ref="Z20:Z83" si="8">$D$3</f>
        <v>0.2</v>
      </c>
      <c r="AA20" s="1029">
        <f t="shared" ref="AA20:AA83" si="9">X20*Z20*Y20*$D$4</f>
        <v>0</v>
      </c>
      <c r="AB20" s="1029">
        <f t="shared" ref="AB20:AB83" si="10">AA20*$D$10</f>
        <v>0</v>
      </c>
      <c r="AC20" s="303">
        <f t="shared" ref="AC20:AC83" si="11">AA20*(1-$D$10)</f>
        <v>0</v>
      </c>
      <c r="AD20" s="1029">
        <f t="shared" ref="AD20:AD83" si="12">AB20+(AD19*$D$8)</f>
        <v>0</v>
      </c>
      <c r="AE20" s="1029">
        <f t="shared" ref="AE20:AE83" si="13">AC20+AD19*(1-$D$8)</f>
        <v>0</v>
      </c>
      <c r="AF20" s="1038">
        <f t="shared" ref="AF20:AF83" si="14">AE20*16/12*$D$11</f>
        <v>0</v>
      </c>
      <c r="AG20" s="10"/>
      <c r="AH20" s="1037">
        <f>'Baseline data (from input)'!AS7*'4A SWD Case 2'!$D$12</f>
        <v>0</v>
      </c>
      <c r="AI20" s="1030">
        <f>Parameters!S122</f>
        <v>0.71500000000000008</v>
      </c>
      <c r="AJ20" s="1030">
        <f t="shared" ref="AJ20:AJ83" si="15">$D$3</f>
        <v>0.2</v>
      </c>
      <c r="AK20" s="1029">
        <f t="shared" ref="AK20:AK83" si="16">AH20*AJ20*AI20*$D$4</f>
        <v>0</v>
      </c>
      <c r="AL20" s="1029">
        <f t="shared" ref="AL20:AL83" si="17">AK20*$D$10</f>
        <v>0</v>
      </c>
      <c r="AM20" s="303">
        <f t="shared" ref="AM20:AM83" si="18">AK20*(1-$D$10)</f>
        <v>0</v>
      </c>
      <c r="AN20" s="1029">
        <f t="shared" ref="AN20:AN83" si="19">AL20+(AN19*$D$8)</f>
        <v>0</v>
      </c>
      <c r="AO20" s="1029">
        <f t="shared" ref="AO20:AO83" si="20">AM20+AN19*(1-$D$8)</f>
        <v>0</v>
      </c>
      <c r="AP20" s="1038">
        <f t="shared" ref="AP20:AP83" si="21">AO20*16/12*$D$11</f>
        <v>0</v>
      </c>
      <c r="AR20" s="1037">
        <v>0</v>
      </c>
      <c r="AS20" s="1030">
        <v>1</v>
      </c>
      <c r="AT20" s="1030">
        <f t="shared" ref="AT20:AT83" si="22">$E$3</f>
        <v>0.05</v>
      </c>
      <c r="AU20" s="1029">
        <f t="shared" ref="AU20:AU83" si="23">AR20*AT20*AS20*$E$4</f>
        <v>0</v>
      </c>
      <c r="AV20" s="1029">
        <f t="shared" ref="AV20:AV83" si="24">AU20*$E$10</f>
        <v>0</v>
      </c>
      <c r="AW20" s="303">
        <f t="shared" ref="AW20:AW83" si="25">AU20*(1-$C$10)</f>
        <v>0</v>
      </c>
      <c r="AX20" s="1029">
        <f t="shared" ref="AX20:AX48" si="26">AV20+(AX19*$C$8)</f>
        <v>0</v>
      </c>
      <c r="AY20" s="1029">
        <f t="shared" ref="AY20:AY68" si="27">AW20+AX19*(1-$C$8)</f>
        <v>0</v>
      </c>
      <c r="AZ20" s="1038">
        <f t="shared" ref="AZ20:AZ68" si="28">AY20*16/12*$C$11</f>
        <v>0</v>
      </c>
      <c r="BB20" s="317">
        <f t="shared" ref="BB20:BB83" si="29">V20</f>
        <v>3.4919971781298909</v>
      </c>
      <c r="BC20" s="318">
        <f t="shared" ref="BC20:BC83" si="30">AF20</f>
        <v>0</v>
      </c>
      <c r="BD20" s="1214">
        <f t="shared" ref="BD20:BD68" si="31">AZ20</f>
        <v>0</v>
      </c>
      <c r="BE20" s="318">
        <f t="shared" ref="BE20:BE82" si="32">SUM(BB20:BD20)</f>
        <v>3.4919971781298909</v>
      </c>
      <c r="BF20" s="104">
        <v>0</v>
      </c>
      <c r="BG20" s="319">
        <f t="shared" ref="BG20:BG83" si="33">BE20-BF20</f>
        <v>3.4919971781298909</v>
      </c>
      <c r="BI20" s="317">
        <f t="shared" ref="BI20:BI83" si="34">V20</f>
        <v>3.4919971781298909</v>
      </c>
      <c r="BJ20" s="318">
        <f t="shared" ref="BJ20:BJ83" si="35">AP20</f>
        <v>0</v>
      </c>
      <c r="BK20" s="1214">
        <f t="shared" ref="BK20:BK83" si="36">AZ20</f>
        <v>0</v>
      </c>
      <c r="BL20" s="318">
        <f t="shared" ref="BL20:BL82" si="37">SUM(BI20:BK20)</f>
        <v>3.4919971781298909</v>
      </c>
      <c r="BM20" s="104">
        <v>0</v>
      </c>
      <c r="BN20" s="319">
        <f t="shared" ref="BN20:BN83" si="38">BL20-BM20</f>
        <v>3.4919971781298909</v>
      </c>
    </row>
    <row r="21" spans="1:66">
      <c r="A21" s="995">
        <f>'Input data'!A52</f>
        <v>1952</v>
      </c>
      <c r="B21" s="987">
        <f>'Input data'!B52</f>
        <v>5.7129272200000001</v>
      </c>
      <c r="C21" s="987">
        <f>'Baseline data (from input)'!B8</f>
        <v>578.73</v>
      </c>
      <c r="D21" s="899">
        <f>'Baseline data (from input)'!T8</f>
        <v>0.8</v>
      </c>
      <c r="E21" s="899">
        <f t="shared" ref="E21:K36" si="39">E20</f>
        <v>0.19892488097366726</v>
      </c>
      <c r="F21" s="899">
        <f t="shared" si="0"/>
        <v>0.26585903447659598</v>
      </c>
      <c r="G21" s="899">
        <f t="shared" si="0"/>
        <v>8.9228108703258049E-2</v>
      </c>
      <c r="H21" s="899">
        <f t="shared" si="0"/>
        <v>0</v>
      </c>
      <c r="I21" s="899">
        <f t="shared" si="0"/>
        <v>0</v>
      </c>
      <c r="J21" s="899">
        <f t="shared" si="0"/>
        <v>0</v>
      </c>
      <c r="K21" s="899">
        <f t="shared" si="0"/>
        <v>0.4459879758464787</v>
      </c>
      <c r="L21" s="996">
        <f t="shared" ref="L21:L84" si="40">SUM(E21:K21)</f>
        <v>1</v>
      </c>
      <c r="M21" s="102"/>
      <c r="N21" s="1037">
        <f t="shared" si="1"/>
        <v>2644.9938960244804</v>
      </c>
      <c r="O21" s="1030">
        <f>Parameters!R123</f>
        <v>0.73</v>
      </c>
      <c r="P21" s="1030">
        <f>E21*'MSW characteristics'!$B$28+'MSW characteristics'!$B$29*'4A SWD Case 2'!F21+'4A SWD Case 2'!G21*'MSW characteristics'!$B$30+'MSW characteristics'!$B$31*'4A SWD Case 2'!H21+'4A SWD Case 2'!I21*'MSW characteristics'!$B$32+'MSW characteristics'!$B$33*'4A SWD Case 2'!J21+'4A SWD Case 2'!K21*'MSW characteristics'!$B$35</f>
        <v>0.11870178252267252</v>
      </c>
      <c r="Q21" s="1029">
        <f t="shared" si="2"/>
        <v>114.59740393018838</v>
      </c>
      <c r="R21" s="1029">
        <f t="shared" si="3"/>
        <v>114.59740393018838</v>
      </c>
      <c r="S21" s="303">
        <f t="shared" si="4"/>
        <v>0</v>
      </c>
      <c r="T21" s="1029">
        <f t="shared" si="5"/>
        <v>317.4755003622808</v>
      </c>
      <c r="U21" s="1029">
        <f t="shared" si="6"/>
        <v>10.401782434754107</v>
      </c>
      <c r="V21" s="1038">
        <f t="shared" si="7"/>
        <v>6.9345216231694051</v>
      </c>
      <c r="W21" s="10"/>
      <c r="X21" s="1037">
        <f>'Baseline data (from input)'!AS8*'4A SWD Case 2'!$D$12</f>
        <v>0</v>
      </c>
      <c r="Y21" s="1030">
        <f>Parameters!S123</f>
        <v>0.71500000000000008</v>
      </c>
      <c r="Z21" s="1030">
        <f t="shared" si="8"/>
        <v>0.2</v>
      </c>
      <c r="AA21" s="1029">
        <f t="shared" si="9"/>
        <v>0</v>
      </c>
      <c r="AB21" s="1029">
        <f t="shared" si="10"/>
        <v>0</v>
      </c>
      <c r="AC21" s="303">
        <f t="shared" si="11"/>
        <v>0</v>
      </c>
      <c r="AD21" s="1029">
        <f t="shared" si="12"/>
        <v>0</v>
      </c>
      <c r="AE21" s="1029">
        <f t="shared" si="13"/>
        <v>0</v>
      </c>
      <c r="AF21" s="1038">
        <f t="shared" si="14"/>
        <v>0</v>
      </c>
      <c r="AG21" s="10"/>
      <c r="AH21" s="1037">
        <f>'Baseline data (from input)'!AS8*'4A SWD Case 2'!$D$12</f>
        <v>0</v>
      </c>
      <c r="AI21" s="1030">
        <f>Parameters!S123</f>
        <v>0.71500000000000008</v>
      </c>
      <c r="AJ21" s="1030">
        <f t="shared" si="15"/>
        <v>0.2</v>
      </c>
      <c r="AK21" s="1029">
        <f t="shared" si="16"/>
        <v>0</v>
      </c>
      <c r="AL21" s="1029">
        <f t="shared" si="17"/>
        <v>0</v>
      </c>
      <c r="AM21" s="303">
        <f t="shared" si="18"/>
        <v>0</v>
      </c>
      <c r="AN21" s="1029">
        <f t="shared" si="19"/>
        <v>0</v>
      </c>
      <c r="AO21" s="1029">
        <f t="shared" si="20"/>
        <v>0</v>
      </c>
      <c r="AP21" s="1038">
        <f t="shared" si="21"/>
        <v>0</v>
      </c>
      <c r="AR21" s="1037">
        <v>0</v>
      </c>
      <c r="AS21" s="1030">
        <v>1</v>
      </c>
      <c r="AT21" s="1030">
        <f t="shared" si="22"/>
        <v>0.05</v>
      </c>
      <c r="AU21" s="1029">
        <f t="shared" si="23"/>
        <v>0</v>
      </c>
      <c r="AV21" s="1029">
        <f t="shared" si="24"/>
        <v>0</v>
      </c>
      <c r="AW21" s="303">
        <f t="shared" si="25"/>
        <v>0</v>
      </c>
      <c r="AX21" s="1029">
        <f t="shared" si="26"/>
        <v>0</v>
      </c>
      <c r="AY21" s="1029">
        <f t="shared" si="27"/>
        <v>0</v>
      </c>
      <c r="AZ21" s="1038">
        <f t="shared" si="28"/>
        <v>0</v>
      </c>
      <c r="BB21" s="317">
        <f t="shared" si="29"/>
        <v>6.9345216231694051</v>
      </c>
      <c r="BC21" s="318">
        <f t="shared" si="30"/>
        <v>0</v>
      </c>
      <c r="BD21" s="1214">
        <f t="shared" si="31"/>
        <v>0</v>
      </c>
      <c r="BE21" s="318">
        <f t="shared" si="32"/>
        <v>6.9345216231694051</v>
      </c>
      <c r="BF21" s="104">
        <v>0</v>
      </c>
      <c r="BG21" s="319">
        <f t="shared" si="33"/>
        <v>6.9345216231694051</v>
      </c>
      <c r="BI21" s="317">
        <f t="shared" si="34"/>
        <v>6.9345216231694051</v>
      </c>
      <c r="BJ21" s="318">
        <f t="shared" si="35"/>
        <v>0</v>
      </c>
      <c r="BK21" s="1214">
        <f t="shared" si="36"/>
        <v>0</v>
      </c>
      <c r="BL21" s="318">
        <f t="shared" si="37"/>
        <v>6.9345216231694051</v>
      </c>
      <c r="BM21" s="104">
        <v>0</v>
      </c>
      <c r="BN21" s="319">
        <f t="shared" si="38"/>
        <v>6.9345216231694051</v>
      </c>
    </row>
    <row r="22" spans="1:66">
      <c r="A22" s="995">
        <f>'Input data'!A53</f>
        <v>1953</v>
      </c>
      <c r="B22" s="987">
        <f>'Input data'!B53</f>
        <v>5.9284297800000001</v>
      </c>
      <c r="C22" s="987">
        <f>'Baseline data (from input)'!B9</f>
        <v>578.73</v>
      </c>
      <c r="D22" s="899">
        <f>'Baseline data (from input)'!T9</f>
        <v>0.8</v>
      </c>
      <c r="E22" s="899">
        <f t="shared" si="39"/>
        <v>0.19892488097366726</v>
      </c>
      <c r="F22" s="899">
        <f t="shared" si="0"/>
        <v>0.26585903447659598</v>
      </c>
      <c r="G22" s="899">
        <f t="shared" si="0"/>
        <v>8.9228108703258049E-2</v>
      </c>
      <c r="H22" s="899">
        <f t="shared" si="0"/>
        <v>0</v>
      </c>
      <c r="I22" s="899">
        <f t="shared" si="0"/>
        <v>0</v>
      </c>
      <c r="J22" s="899">
        <f t="shared" si="0"/>
        <v>0</v>
      </c>
      <c r="K22" s="899">
        <f t="shared" si="0"/>
        <v>0.4459879758464787</v>
      </c>
      <c r="L22" s="996">
        <f t="shared" si="40"/>
        <v>1</v>
      </c>
      <c r="M22" s="102"/>
      <c r="N22" s="1037">
        <f t="shared" si="1"/>
        <v>2744.7681332635202</v>
      </c>
      <c r="O22" s="1030">
        <f>Parameters!R124</f>
        <v>0.73</v>
      </c>
      <c r="P22" s="1030">
        <f>E22*'MSW characteristics'!$B$28+'MSW characteristics'!$B$29*'4A SWD Case 2'!F22+'4A SWD Case 2'!G22*'MSW characteristics'!$B$30+'MSW characteristics'!$B$31*'4A SWD Case 2'!H22+'4A SWD Case 2'!I22*'MSW characteristics'!$B$32+'MSW characteristics'!$B$33*'4A SWD Case 2'!J22+'4A SWD Case 2'!K22*'MSW characteristics'!$B$35</f>
        <v>0.11870178252267252</v>
      </c>
      <c r="Q22" s="1029">
        <f t="shared" si="2"/>
        <v>118.92023756087998</v>
      </c>
      <c r="R22" s="1029">
        <f t="shared" si="3"/>
        <v>118.92023756087998</v>
      </c>
      <c r="S22" s="303">
        <f t="shared" si="4"/>
        <v>0</v>
      </c>
      <c r="T22" s="1029">
        <f t="shared" si="5"/>
        <v>420.91227506356853</v>
      </c>
      <c r="U22" s="1029">
        <f t="shared" si="6"/>
        <v>15.48346285959221</v>
      </c>
      <c r="V22" s="1038">
        <f t="shared" si="7"/>
        <v>10.322308573061473</v>
      </c>
      <c r="W22" s="10"/>
      <c r="X22" s="1037">
        <f>'Baseline data (from input)'!AS9*'4A SWD Case 2'!$D$12</f>
        <v>0</v>
      </c>
      <c r="Y22" s="1030">
        <f>Parameters!S124</f>
        <v>0.71500000000000008</v>
      </c>
      <c r="Z22" s="1030">
        <f t="shared" si="8"/>
        <v>0.2</v>
      </c>
      <c r="AA22" s="1029">
        <f t="shared" si="9"/>
        <v>0</v>
      </c>
      <c r="AB22" s="1029">
        <f t="shared" si="10"/>
        <v>0</v>
      </c>
      <c r="AC22" s="303">
        <f t="shared" si="11"/>
        <v>0</v>
      </c>
      <c r="AD22" s="1029">
        <f t="shared" si="12"/>
        <v>0</v>
      </c>
      <c r="AE22" s="1029">
        <f t="shared" si="13"/>
        <v>0</v>
      </c>
      <c r="AF22" s="1038">
        <f t="shared" si="14"/>
        <v>0</v>
      </c>
      <c r="AG22" s="10"/>
      <c r="AH22" s="1037">
        <f>'Baseline data (from input)'!AS9*'4A SWD Case 2'!$D$12</f>
        <v>0</v>
      </c>
      <c r="AI22" s="1030">
        <f>Parameters!S124</f>
        <v>0.71500000000000008</v>
      </c>
      <c r="AJ22" s="1030">
        <f t="shared" si="15"/>
        <v>0.2</v>
      </c>
      <c r="AK22" s="1029">
        <f t="shared" si="16"/>
        <v>0</v>
      </c>
      <c r="AL22" s="1029">
        <f t="shared" si="17"/>
        <v>0</v>
      </c>
      <c r="AM22" s="303">
        <f t="shared" si="18"/>
        <v>0</v>
      </c>
      <c r="AN22" s="1029">
        <f t="shared" si="19"/>
        <v>0</v>
      </c>
      <c r="AO22" s="1029">
        <f t="shared" si="20"/>
        <v>0</v>
      </c>
      <c r="AP22" s="1038">
        <f t="shared" si="21"/>
        <v>0</v>
      </c>
      <c r="AR22" s="1037">
        <v>0</v>
      </c>
      <c r="AS22" s="1030">
        <v>1</v>
      </c>
      <c r="AT22" s="1030">
        <f t="shared" si="22"/>
        <v>0.05</v>
      </c>
      <c r="AU22" s="1029">
        <f t="shared" si="23"/>
        <v>0</v>
      </c>
      <c r="AV22" s="1029">
        <f t="shared" si="24"/>
        <v>0</v>
      </c>
      <c r="AW22" s="303">
        <f t="shared" si="25"/>
        <v>0</v>
      </c>
      <c r="AX22" s="1029">
        <f t="shared" si="26"/>
        <v>0</v>
      </c>
      <c r="AY22" s="1029">
        <f t="shared" si="27"/>
        <v>0</v>
      </c>
      <c r="AZ22" s="1038">
        <f t="shared" si="28"/>
        <v>0</v>
      </c>
      <c r="BB22" s="317">
        <f t="shared" si="29"/>
        <v>10.322308573061473</v>
      </c>
      <c r="BC22" s="318">
        <f t="shared" si="30"/>
        <v>0</v>
      </c>
      <c r="BD22" s="1214">
        <f t="shared" si="31"/>
        <v>0</v>
      </c>
      <c r="BE22" s="318">
        <f t="shared" si="32"/>
        <v>10.322308573061473</v>
      </c>
      <c r="BF22" s="104">
        <v>0</v>
      </c>
      <c r="BG22" s="319">
        <f t="shared" si="33"/>
        <v>10.322308573061473</v>
      </c>
      <c r="BI22" s="317">
        <f t="shared" si="34"/>
        <v>10.322308573061473</v>
      </c>
      <c r="BJ22" s="318">
        <f t="shared" si="35"/>
        <v>0</v>
      </c>
      <c r="BK22" s="1214">
        <f t="shared" si="36"/>
        <v>0</v>
      </c>
      <c r="BL22" s="318">
        <f t="shared" si="37"/>
        <v>10.322308573061473</v>
      </c>
      <c r="BM22" s="104">
        <v>0</v>
      </c>
      <c r="BN22" s="319">
        <f t="shared" si="38"/>
        <v>10.322308573061473</v>
      </c>
    </row>
    <row r="23" spans="1:66">
      <c r="A23" s="995">
        <f>'Input data'!A54</f>
        <v>1954</v>
      </c>
      <c r="B23" s="987">
        <f>'Input data'!B54</f>
        <v>6.1065695599999996</v>
      </c>
      <c r="C23" s="987">
        <f>'Baseline data (from input)'!B10</f>
        <v>578.73</v>
      </c>
      <c r="D23" s="899">
        <f>'Baseline data (from input)'!T10</f>
        <v>0.8</v>
      </c>
      <c r="E23" s="899">
        <f t="shared" si="39"/>
        <v>0.19892488097366726</v>
      </c>
      <c r="F23" s="899">
        <f t="shared" si="0"/>
        <v>0.26585903447659598</v>
      </c>
      <c r="G23" s="899">
        <f t="shared" si="0"/>
        <v>8.9228108703258049E-2</v>
      </c>
      <c r="H23" s="899">
        <f t="shared" si="0"/>
        <v>0</v>
      </c>
      <c r="I23" s="899">
        <f t="shared" si="0"/>
        <v>0</v>
      </c>
      <c r="J23" s="899">
        <f t="shared" si="0"/>
        <v>0</v>
      </c>
      <c r="K23" s="899">
        <f t="shared" si="0"/>
        <v>0.4459879758464787</v>
      </c>
      <c r="L23" s="996">
        <f t="shared" si="40"/>
        <v>1</v>
      </c>
      <c r="M23" s="102"/>
      <c r="N23" s="1037">
        <f t="shared" si="1"/>
        <v>2827.2440011670401</v>
      </c>
      <c r="O23" s="1030">
        <f>Parameters!R125</f>
        <v>0.73</v>
      </c>
      <c r="P23" s="1030">
        <f>E23*'MSW characteristics'!$B$28+'MSW characteristics'!$B$29*'4A SWD Case 2'!F23+'4A SWD Case 2'!G23*'MSW characteristics'!$B$30+'MSW characteristics'!$B$31*'4A SWD Case 2'!H23+'4A SWD Case 2'!I23*'MSW characteristics'!$B$32+'MSW characteristics'!$B$33*'4A SWD Case 2'!J23+'4A SWD Case 2'!K23*'MSW characteristics'!$B$35</f>
        <v>0.11870178252267252</v>
      </c>
      <c r="Q23" s="1029">
        <f t="shared" si="2"/>
        <v>122.49359943624708</v>
      </c>
      <c r="R23" s="1029">
        <f t="shared" si="3"/>
        <v>122.49359943624708</v>
      </c>
      <c r="S23" s="303">
        <f t="shared" si="4"/>
        <v>0</v>
      </c>
      <c r="T23" s="1029">
        <f t="shared" si="5"/>
        <v>522.87774061025164</v>
      </c>
      <c r="U23" s="1029">
        <f t="shared" si="6"/>
        <v>20.528133889564</v>
      </c>
      <c r="V23" s="1038">
        <f t="shared" si="7"/>
        <v>13.685422593042667</v>
      </c>
      <c r="W23" s="10"/>
      <c r="X23" s="1037">
        <f>'Baseline data (from input)'!AS10*'4A SWD Case 2'!$D$12</f>
        <v>0</v>
      </c>
      <c r="Y23" s="1030">
        <f>Parameters!S125</f>
        <v>0.71500000000000008</v>
      </c>
      <c r="Z23" s="1030">
        <f t="shared" si="8"/>
        <v>0.2</v>
      </c>
      <c r="AA23" s="1029">
        <f t="shared" si="9"/>
        <v>0</v>
      </c>
      <c r="AB23" s="1029">
        <f t="shared" si="10"/>
        <v>0</v>
      </c>
      <c r="AC23" s="303">
        <f t="shared" si="11"/>
        <v>0</v>
      </c>
      <c r="AD23" s="1029">
        <f t="shared" si="12"/>
        <v>0</v>
      </c>
      <c r="AE23" s="1029">
        <f t="shared" si="13"/>
        <v>0</v>
      </c>
      <c r="AF23" s="1038">
        <f t="shared" si="14"/>
        <v>0</v>
      </c>
      <c r="AG23" s="10"/>
      <c r="AH23" s="1037">
        <f>'Baseline data (from input)'!AS10*'4A SWD Case 2'!$D$12</f>
        <v>0</v>
      </c>
      <c r="AI23" s="1030">
        <f>Parameters!S125</f>
        <v>0.71500000000000008</v>
      </c>
      <c r="AJ23" s="1030">
        <f t="shared" si="15"/>
        <v>0.2</v>
      </c>
      <c r="AK23" s="1029">
        <f t="shared" si="16"/>
        <v>0</v>
      </c>
      <c r="AL23" s="1029">
        <f t="shared" si="17"/>
        <v>0</v>
      </c>
      <c r="AM23" s="303">
        <f t="shared" si="18"/>
        <v>0</v>
      </c>
      <c r="AN23" s="1029">
        <f t="shared" si="19"/>
        <v>0</v>
      </c>
      <c r="AO23" s="1029">
        <f t="shared" si="20"/>
        <v>0</v>
      </c>
      <c r="AP23" s="1038">
        <f t="shared" si="21"/>
        <v>0</v>
      </c>
      <c r="AR23" s="1037">
        <v>0</v>
      </c>
      <c r="AS23" s="1030">
        <v>1</v>
      </c>
      <c r="AT23" s="1030">
        <f t="shared" si="22"/>
        <v>0.05</v>
      </c>
      <c r="AU23" s="1029">
        <f t="shared" si="23"/>
        <v>0</v>
      </c>
      <c r="AV23" s="1029">
        <f t="shared" si="24"/>
        <v>0</v>
      </c>
      <c r="AW23" s="303">
        <f t="shared" si="25"/>
        <v>0</v>
      </c>
      <c r="AX23" s="1029">
        <f t="shared" si="26"/>
        <v>0</v>
      </c>
      <c r="AY23" s="1029">
        <f t="shared" si="27"/>
        <v>0</v>
      </c>
      <c r="AZ23" s="1038">
        <f t="shared" si="28"/>
        <v>0</v>
      </c>
      <c r="BB23" s="317">
        <f t="shared" si="29"/>
        <v>13.685422593042667</v>
      </c>
      <c r="BC23" s="318">
        <f t="shared" si="30"/>
        <v>0</v>
      </c>
      <c r="BD23" s="1214">
        <f t="shared" si="31"/>
        <v>0</v>
      </c>
      <c r="BE23" s="318">
        <f t="shared" si="32"/>
        <v>13.685422593042667</v>
      </c>
      <c r="BF23" s="104">
        <v>0</v>
      </c>
      <c r="BG23" s="319">
        <f t="shared" si="33"/>
        <v>13.685422593042667</v>
      </c>
      <c r="BI23" s="317">
        <f t="shared" si="34"/>
        <v>13.685422593042667</v>
      </c>
      <c r="BJ23" s="318">
        <f t="shared" si="35"/>
        <v>0</v>
      </c>
      <c r="BK23" s="1214">
        <f t="shared" si="36"/>
        <v>0</v>
      </c>
      <c r="BL23" s="318">
        <f t="shared" si="37"/>
        <v>13.685422593042667</v>
      </c>
      <c r="BM23" s="104">
        <v>0</v>
      </c>
      <c r="BN23" s="319">
        <f t="shared" si="38"/>
        <v>13.685422593042667</v>
      </c>
    </row>
    <row r="24" spans="1:66">
      <c r="A24" s="995">
        <f>'Input data'!A55</f>
        <v>1955</v>
      </c>
      <c r="B24" s="987">
        <f>'Input data'!B55</f>
        <v>6.2725644799999998</v>
      </c>
      <c r="C24" s="987">
        <f>'Baseline data (from input)'!B11</f>
        <v>578.73</v>
      </c>
      <c r="D24" s="899">
        <f>'Baseline data (from input)'!T11</f>
        <v>0.8</v>
      </c>
      <c r="E24" s="899">
        <f t="shared" si="39"/>
        <v>0.19892488097366726</v>
      </c>
      <c r="F24" s="899">
        <f t="shared" si="0"/>
        <v>0.26585903447659598</v>
      </c>
      <c r="G24" s="899">
        <f t="shared" si="0"/>
        <v>8.9228108703258049E-2</v>
      </c>
      <c r="H24" s="899">
        <f t="shared" si="0"/>
        <v>0</v>
      </c>
      <c r="I24" s="899">
        <f t="shared" si="0"/>
        <v>0</v>
      </c>
      <c r="J24" s="899">
        <f t="shared" si="0"/>
        <v>0</v>
      </c>
      <c r="K24" s="899">
        <f t="shared" si="0"/>
        <v>0.4459879758464787</v>
      </c>
      <c r="L24" s="996">
        <f t="shared" si="40"/>
        <v>1</v>
      </c>
      <c r="M24" s="102"/>
      <c r="N24" s="1037">
        <f t="shared" si="1"/>
        <v>2904.0969932083203</v>
      </c>
      <c r="O24" s="1030">
        <f>Parameters!R126</f>
        <v>0.73</v>
      </c>
      <c r="P24" s="1030">
        <f>E24*'MSW characteristics'!$B$28+'MSW characteristics'!$B$29*'4A SWD Case 2'!F24+'4A SWD Case 2'!G24*'MSW characteristics'!$B$30+'MSW characteristics'!$B$31*'4A SWD Case 2'!H24+'4A SWD Case 2'!I24*'MSW characteristics'!$B$32+'MSW characteristics'!$B$33*'4A SWD Case 2'!J24+'4A SWD Case 2'!K24*'MSW characteristics'!$B$35</f>
        <v>0.11870178252267252</v>
      </c>
      <c r="Q24" s="1029">
        <f t="shared" si="2"/>
        <v>125.82334374508484</v>
      </c>
      <c r="R24" s="1029">
        <f t="shared" si="3"/>
        <v>125.82334374508484</v>
      </c>
      <c r="S24" s="303">
        <f t="shared" si="4"/>
        <v>0</v>
      </c>
      <c r="T24" s="1029">
        <f t="shared" si="5"/>
        <v>623.20003603000816</v>
      </c>
      <c r="U24" s="1029">
        <f t="shared" si="6"/>
        <v>25.501048325328352</v>
      </c>
      <c r="V24" s="1038">
        <f t="shared" si="7"/>
        <v>17.000698883552236</v>
      </c>
      <c r="W24" s="10"/>
      <c r="X24" s="1037">
        <f>'Baseline data (from input)'!AS11*'4A SWD Case 2'!$D$12</f>
        <v>0</v>
      </c>
      <c r="Y24" s="1030">
        <f>Parameters!S126</f>
        <v>0.71500000000000008</v>
      </c>
      <c r="Z24" s="1030">
        <f t="shared" si="8"/>
        <v>0.2</v>
      </c>
      <c r="AA24" s="1029">
        <f t="shared" si="9"/>
        <v>0</v>
      </c>
      <c r="AB24" s="1029">
        <f t="shared" si="10"/>
        <v>0</v>
      </c>
      <c r="AC24" s="303">
        <f t="shared" si="11"/>
        <v>0</v>
      </c>
      <c r="AD24" s="1029">
        <f t="shared" si="12"/>
        <v>0</v>
      </c>
      <c r="AE24" s="1029">
        <f t="shared" si="13"/>
        <v>0</v>
      </c>
      <c r="AF24" s="1038">
        <f t="shared" si="14"/>
        <v>0</v>
      </c>
      <c r="AG24" s="10"/>
      <c r="AH24" s="1037">
        <f>'Baseline data (from input)'!AS11*'4A SWD Case 2'!$D$12</f>
        <v>0</v>
      </c>
      <c r="AI24" s="1030">
        <f>Parameters!S126</f>
        <v>0.71500000000000008</v>
      </c>
      <c r="AJ24" s="1030">
        <f t="shared" si="15"/>
        <v>0.2</v>
      </c>
      <c r="AK24" s="1029">
        <f t="shared" si="16"/>
        <v>0</v>
      </c>
      <c r="AL24" s="1029">
        <f t="shared" si="17"/>
        <v>0</v>
      </c>
      <c r="AM24" s="303">
        <f t="shared" si="18"/>
        <v>0</v>
      </c>
      <c r="AN24" s="1029">
        <f t="shared" si="19"/>
        <v>0</v>
      </c>
      <c r="AO24" s="1029">
        <f t="shared" si="20"/>
        <v>0</v>
      </c>
      <c r="AP24" s="1038">
        <f t="shared" si="21"/>
        <v>0</v>
      </c>
      <c r="AR24" s="1037">
        <v>0</v>
      </c>
      <c r="AS24" s="1030">
        <v>1</v>
      </c>
      <c r="AT24" s="1030">
        <f t="shared" si="22"/>
        <v>0.05</v>
      </c>
      <c r="AU24" s="1029">
        <f t="shared" si="23"/>
        <v>0</v>
      </c>
      <c r="AV24" s="1029">
        <f t="shared" si="24"/>
        <v>0</v>
      </c>
      <c r="AW24" s="303">
        <f t="shared" si="25"/>
        <v>0</v>
      </c>
      <c r="AX24" s="1029">
        <f t="shared" si="26"/>
        <v>0</v>
      </c>
      <c r="AY24" s="1029">
        <f t="shared" si="27"/>
        <v>0</v>
      </c>
      <c r="AZ24" s="1038">
        <f t="shared" si="28"/>
        <v>0</v>
      </c>
      <c r="BB24" s="317">
        <f t="shared" si="29"/>
        <v>17.000698883552236</v>
      </c>
      <c r="BC24" s="318">
        <f t="shared" si="30"/>
        <v>0</v>
      </c>
      <c r="BD24" s="1214">
        <f t="shared" si="31"/>
        <v>0</v>
      </c>
      <c r="BE24" s="318">
        <f t="shared" si="32"/>
        <v>17.000698883552236</v>
      </c>
      <c r="BF24" s="104">
        <v>0</v>
      </c>
      <c r="BG24" s="319">
        <f t="shared" si="33"/>
        <v>17.000698883552236</v>
      </c>
      <c r="BI24" s="317">
        <f t="shared" si="34"/>
        <v>17.000698883552236</v>
      </c>
      <c r="BJ24" s="318">
        <f t="shared" si="35"/>
        <v>0</v>
      </c>
      <c r="BK24" s="1214">
        <f t="shared" si="36"/>
        <v>0</v>
      </c>
      <c r="BL24" s="318">
        <f t="shared" si="37"/>
        <v>17.000698883552236</v>
      </c>
      <c r="BM24" s="104">
        <v>0</v>
      </c>
      <c r="BN24" s="319">
        <f t="shared" si="38"/>
        <v>17.000698883552236</v>
      </c>
    </row>
    <row r="25" spans="1:66">
      <c r="A25" s="995">
        <f>'Input data'!A56</f>
        <v>1956</v>
      </c>
      <c r="B25" s="987">
        <f>'Input data'!B56</f>
        <v>6.4651860000000001</v>
      </c>
      <c r="C25" s="987">
        <f>'Baseline data (from input)'!B12</f>
        <v>578.73</v>
      </c>
      <c r="D25" s="899">
        <f>'Baseline data (from input)'!T12</f>
        <v>0.8</v>
      </c>
      <c r="E25" s="899">
        <f t="shared" si="39"/>
        <v>0.19892488097366726</v>
      </c>
      <c r="F25" s="899">
        <f t="shared" si="0"/>
        <v>0.26585903447659598</v>
      </c>
      <c r="G25" s="899">
        <f t="shared" si="0"/>
        <v>8.9228108703258049E-2</v>
      </c>
      <c r="H25" s="899">
        <f t="shared" si="0"/>
        <v>0</v>
      </c>
      <c r="I25" s="899">
        <f t="shared" si="0"/>
        <v>0</v>
      </c>
      <c r="J25" s="899">
        <f t="shared" si="0"/>
        <v>0</v>
      </c>
      <c r="K25" s="899">
        <f t="shared" si="0"/>
        <v>0.4459879758464787</v>
      </c>
      <c r="L25" s="996">
        <f t="shared" si="40"/>
        <v>1</v>
      </c>
      <c r="M25" s="102"/>
      <c r="N25" s="1037">
        <f t="shared" si="1"/>
        <v>2993.2776750240005</v>
      </c>
      <c r="O25" s="1030">
        <f>Parameters!R127</f>
        <v>0.73</v>
      </c>
      <c r="P25" s="1030">
        <f>E25*'MSW characteristics'!$B$28+'MSW characteristics'!$B$29*'4A SWD Case 2'!F25+'4A SWD Case 2'!G25*'MSW characteristics'!$B$30+'MSW characteristics'!$B$31*'4A SWD Case 2'!H25+'4A SWD Case 2'!I25*'MSW characteristics'!$B$32+'MSW characteristics'!$B$33*'4A SWD Case 2'!J25+'4A SWD Case 2'!K25*'MSW characteristics'!$B$35</f>
        <v>0.11870178252267252</v>
      </c>
      <c r="Q25" s="1029">
        <f t="shared" si="2"/>
        <v>129.68719939789446</v>
      </c>
      <c r="R25" s="1029">
        <f t="shared" si="3"/>
        <v>129.68719939789446</v>
      </c>
      <c r="S25" s="303">
        <f t="shared" si="4"/>
        <v>0</v>
      </c>
      <c r="T25" s="1029">
        <f t="shared" si="5"/>
        <v>722.49341101954337</v>
      </c>
      <c r="U25" s="1029">
        <f t="shared" si="6"/>
        <v>30.393824408359258</v>
      </c>
      <c r="V25" s="1038">
        <f t="shared" si="7"/>
        <v>20.26254960557284</v>
      </c>
      <c r="W25" s="10"/>
      <c r="X25" s="1037">
        <f>'Baseline data (from input)'!AS12*'4A SWD Case 2'!$D$12</f>
        <v>0</v>
      </c>
      <c r="Y25" s="1030">
        <f>Parameters!S127</f>
        <v>0.71500000000000008</v>
      </c>
      <c r="Z25" s="1030">
        <f t="shared" si="8"/>
        <v>0.2</v>
      </c>
      <c r="AA25" s="1029">
        <f t="shared" si="9"/>
        <v>0</v>
      </c>
      <c r="AB25" s="1029">
        <f t="shared" si="10"/>
        <v>0</v>
      </c>
      <c r="AC25" s="303">
        <f t="shared" si="11"/>
        <v>0</v>
      </c>
      <c r="AD25" s="1029">
        <f t="shared" si="12"/>
        <v>0</v>
      </c>
      <c r="AE25" s="1029">
        <f t="shared" si="13"/>
        <v>0</v>
      </c>
      <c r="AF25" s="1038">
        <f t="shared" si="14"/>
        <v>0</v>
      </c>
      <c r="AG25" s="10"/>
      <c r="AH25" s="1037">
        <f>'Baseline data (from input)'!AS12*'4A SWD Case 2'!$D$12</f>
        <v>0</v>
      </c>
      <c r="AI25" s="1030">
        <f>Parameters!S127</f>
        <v>0.71500000000000008</v>
      </c>
      <c r="AJ25" s="1030">
        <f t="shared" si="15"/>
        <v>0.2</v>
      </c>
      <c r="AK25" s="1029">
        <f t="shared" si="16"/>
        <v>0</v>
      </c>
      <c r="AL25" s="1029">
        <f t="shared" si="17"/>
        <v>0</v>
      </c>
      <c r="AM25" s="303">
        <f t="shared" si="18"/>
        <v>0</v>
      </c>
      <c r="AN25" s="1029">
        <f t="shared" si="19"/>
        <v>0</v>
      </c>
      <c r="AO25" s="1029">
        <f t="shared" si="20"/>
        <v>0</v>
      </c>
      <c r="AP25" s="1038">
        <f t="shared" si="21"/>
        <v>0</v>
      </c>
      <c r="AR25" s="1037">
        <v>0</v>
      </c>
      <c r="AS25" s="1030">
        <v>1</v>
      </c>
      <c r="AT25" s="1030">
        <f t="shared" si="22"/>
        <v>0.05</v>
      </c>
      <c r="AU25" s="1029">
        <f t="shared" si="23"/>
        <v>0</v>
      </c>
      <c r="AV25" s="1029">
        <f t="shared" si="24"/>
        <v>0</v>
      </c>
      <c r="AW25" s="303">
        <f t="shared" si="25"/>
        <v>0</v>
      </c>
      <c r="AX25" s="1029">
        <f t="shared" si="26"/>
        <v>0</v>
      </c>
      <c r="AY25" s="1029">
        <f t="shared" si="27"/>
        <v>0</v>
      </c>
      <c r="AZ25" s="1038">
        <f t="shared" si="28"/>
        <v>0</v>
      </c>
      <c r="BB25" s="317">
        <f t="shared" si="29"/>
        <v>20.26254960557284</v>
      </c>
      <c r="BC25" s="318">
        <f t="shared" si="30"/>
        <v>0</v>
      </c>
      <c r="BD25" s="1214">
        <f t="shared" si="31"/>
        <v>0</v>
      </c>
      <c r="BE25" s="318">
        <f t="shared" si="32"/>
        <v>20.26254960557284</v>
      </c>
      <c r="BF25" s="104">
        <v>0</v>
      </c>
      <c r="BG25" s="319">
        <f t="shared" si="33"/>
        <v>20.26254960557284</v>
      </c>
      <c r="BI25" s="317">
        <f t="shared" si="34"/>
        <v>20.26254960557284</v>
      </c>
      <c r="BJ25" s="318">
        <f t="shared" si="35"/>
        <v>0</v>
      </c>
      <c r="BK25" s="1214">
        <f t="shared" si="36"/>
        <v>0</v>
      </c>
      <c r="BL25" s="318">
        <f t="shared" si="37"/>
        <v>20.26254960557284</v>
      </c>
      <c r="BM25" s="104">
        <v>0</v>
      </c>
      <c r="BN25" s="319">
        <f t="shared" si="38"/>
        <v>20.26254960557284</v>
      </c>
    </row>
    <row r="26" spans="1:66">
      <c r="A26" s="995">
        <f>'Input data'!A57</f>
        <v>1957</v>
      </c>
      <c r="B26" s="987">
        <f>'Input data'!B57</f>
        <v>6.6592707999999998</v>
      </c>
      <c r="C26" s="987">
        <f>'Baseline data (from input)'!B13</f>
        <v>578.73</v>
      </c>
      <c r="D26" s="899">
        <f>'Baseline data (from input)'!T13</f>
        <v>0.8</v>
      </c>
      <c r="E26" s="899">
        <f t="shared" si="39"/>
        <v>0.19892488097366726</v>
      </c>
      <c r="F26" s="899">
        <f t="shared" si="0"/>
        <v>0.26585903447659598</v>
      </c>
      <c r="G26" s="899">
        <f t="shared" si="0"/>
        <v>8.9228108703258049E-2</v>
      </c>
      <c r="H26" s="899">
        <f t="shared" si="0"/>
        <v>0</v>
      </c>
      <c r="I26" s="899">
        <f t="shared" si="0"/>
        <v>0</v>
      </c>
      <c r="J26" s="899">
        <f t="shared" si="0"/>
        <v>0</v>
      </c>
      <c r="K26" s="899">
        <f t="shared" si="0"/>
        <v>0.4459879758464787</v>
      </c>
      <c r="L26" s="996">
        <f t="shared" si="40"/>
        <v>1</v>
      </c>
      <c r="M26" s="102"/>
      <c r="N26" s="1037">
        <f t="shared" si="1"/>
        <v>3083.1358320672002</v>
      </c>
      <c r="O26" s="1030">
        <f>Parameters!R128</f>
        <v>0.73</v>
      </c>
      <c r="P26" s="1030">
        <f>E26*'MSW characteristics'!$B$28+'MSW characteristics'!$B$29*'4A SWD Case 2'!F26+'4A SWD Case 2'!G26*'MSW characteristics'!$B$30+'MSW characteristics'!$B$31*'4A SWD Case 2'!H26+'4A SWD Case 2'!I26*'MSW characteristics'!$B$32+'MSW characteristics'!$B$33*'4A SWD Case 2'!J26+'4A SWD Case 2'!K26*'MSW characteristics'!$B$35</f>
        <v>0.11870178252267252</v>
      </c>
      <c r="Q26" s="1029">
        <f t="shared" si="2"/>
        <v>133.58040744445341</v>
      </c>
      <c r="R26" s="1029">
        <f t="shared" si="3"/>
        <v>133.58040744445341</v>
      </c>
      <c r="S26" s="303">
        <f t="shared" si="4"/>
        <v>0</v>
      </c>
      <c r="T26" s="1029">
        <f t="shared" si="5"/>
        <v>820.83739901413151</v>
      </c>
      <c r="U26" s="1029">
        <f t="shared" si="6"/>
        <v>35.236419449865302</v>
      </c>
      <c r="V26" s="1038">
        <f t="shared" si="7"/>
        <v>23.490946299910203</v>
      </c>
      <c r="W26" s="10"/>
      <c r="X26" s="1037">
        <f>'Baseline data (from input)'!AS13*'4A SWD Case 2'!$D$12</f>
        <v>0</v>
      </c>
      <c r="Y26" s="1030">
        <f>Parameters!S128</f>
        <v>0.71500000000000008</v>
      </c>
      <c r="Z26" s="1030">
        <f t="shared" si="8"/>
        <v>0.2</v>
      </c>
      <c r="AA26" s="1029">
        <f t="shared" si="9"/>
        <v>0</v>
      </c>
      <c r="AB26" s="1029">
        <f t="shared" si="10"/>
        <v>0</v>
      </c>
      <c r="AC26" s="303">
        <f t="shared" si="11"/>
        <v>0</v>
      </c>
      <c r="AD26" s="1029">
        <f t="shared" si="12"/>
        <v>0</v>
      </c>
      <c r="AE26" s="1029">
        <f t="shared" si="13"/>
        <v>0</v>
      </c>
      <c r="AF26" s="1038">
        <f t="shared" si="14"/>
        <v>0</v>
      </c>
      <c r="AG26" s="10"/>
      <c r="AH26" s="1037">
        <f>'Baseline data (from input)'!AS13*'4A SWD Case 2'!$D$12</f>
        <v>0</v>
      </c>
      <c r="AI26" s="1030">
        <f>Parameters!S128</f>
        <v>0.71500000000000008</v>
      </c>
      <c r="AJ26" s="1030">
        <f t="shared" si="15"/>
        <v>0.2</v>
      </c>
      <c r="AK26" s="1029">
        <f t="shared" si="16"/>
        <v>0</v>
      </c>
      <c r="AL26" s="1029">
        <f t="shared" si="17"/>
        <v>0</v>
      </c>
      <c r="AM26" s="303">
        <f t="shared" si="18"/>
        <v>0</v>
      </c>
      <c r="AN26" s="1029">
        <f t="shared" si="19"/>
        <v>0</v>
      </c>
      <c r="AO26" s="1029">
        <f t="shared" si="20"/>
        <v>0</v>
      </c>
      <c r="AP26" s="1038">
        <f t="shared" si="21"/>
        <v>0</v>
      </c>
      <c r="AR26" s="1037">
        <v>0</v>
      </c>
      <c r="AS26" s="1030">
        <v>1</v>
      </c>
      <c r="AT26" s="1030">
        <f t="shared" si="22"/>
        <v>0.05</v>
      </c>
      <c r="AU26" s="1029">
        <f t="shared" si="23"/>
        <v>0</v>
      </c>
      <c r="AV26" s="1029">
        <f t="shared" si="24"/>
        <v>0</v>
      </c>
      <c r="AW26" s="303">
        <f t="shared" si="25"/>
        <v>0</v>
      </c>
      <c r="AX26" s="1045">
        <f t="shared" si="26"/>
        <v>0</v>
      </c>
      <c r="AY26" s="1045">
        <f t="shared" si="27"/>
        <v>0</v>
      </c>
      <c r="AZ26" s="1038">
        <f t="shared" si="28"/>
        <v>0</v>
      </c>
      <c r="BB26" s="317">
        <f t="shared" si="29"/>
        <v>23.490946299910203</v>
      </c>
      <c r="BC26" s="318">
        <f t="shared" si="30"/>
        <v>0</v>
      </c>
      <c r="BD26" s="1214">
        <f t="shared" si="31"/>
        <v>0</v>
      </c>
      <c r="BE26" s="318">
        <f t="shared" si="32"/>
        <v>23.490946299910203</v>
      </c>
      <c r="BF26" s="104">
        <v>0</v>
      </c>
      <c r="BG26" s="319">
        <f t="shared" si="33"/>
        <v>23.490946299910203</v>
      </c>
      <c r="BI26" s="317">
        <f t="shared" si="34"/>
        <v>23.490946299910203</v>
      </c>
      <c r="BJ26" s="318">
        <f t="shared" si="35"/>
        <v>0</v>
      </c>
      <c r="BK26" s="1214">
        <f t="shared" si="36"/>
        <v>0</v>
      </c>
      <c r="BL26" s="318">
        <f t="shared" si="37"/>
        <v>23.490946299910203</v>
      </c>
      <c r="BM26" s="104">
        <v>0</v>
      </c>
      <c r="BN26" s="319">
        <f t="shared" si="38"/>
        <v>23.490946299910203</v>
      </c>
    </row>
    <row r="27" spans="1:66">
      <c r="A27" s="995">
        <f>'Input data'!A58</f>
        <v>1958</v>
      </c>
      <c r="B27" s="987">
        <f>'Input data'!B58</f>
        <v>6.8699176</v>
      </c>
      <c r="C27" s="987">
        <f>'Baseline data (from input)'!B14</f>
        <v>578.73</v>
      </c>
      <c r="D27" s="899">
        <f>'Baseline data (from input)'!T14</f>
        <v>0.8</v>
      </c>
      <c r="E27" s="899">
        <f t="shared" si="39"/>
        <v>0.19892488097366726</v>
      </c>
      <c r="F27" s="899">
        <f t="shared" si="0"/>
        <v>0.26585903447659598</v>
      </c>
      <c r="G27" s="899">
        <f t="shared" si="0"/>
        <v>8.9228108703258049E-2</v>
      </c>
      <c r="H27" s="899">
        <f t="shared" si="0"/>
        <v>0</v>
      </c>
      <c r="I27" s="899">
        <f t="shared" si="0"/>
        <v>0</v>
      </c>
      <c r="J27" s="899">
        <f t="shared" si="0"/>
        <v>0</v>
      </c>
      <c r="K27" s="899">
        <f t="shared" si="0"/>
        <v>0.4459879758464787</v>
      </c>
      <c r="L27" s="996">
        <f t="shared" si="40"/>
        <v>1</v>
      </c>
      <c r="M27" s="102"/>
      <c r="N27" s="1037">
        <f t="shared" si="1"/>
        <v>3180.6619301184001</v>
      </c>
      <c r="O27" s="1030">
        <f>Parameters!R129</f>
        <v>0.73</v>
      </c>
      <c r="P27" s="1030">
        <f>E27*'MSW characteristics'!$B$28+'MSW characteristics'!$B$29*'4A SWD Case 2'!F27+'4A SWD Case 2'!G27*'MSW characteristics'!$B$30+'MSW characteristics'!$B$31*'4A SWD Case 2'!H27+'4A SWD Case 2'!I27*'MSW characteristics'!$B$32+'MSW characteristics'!$B$33*'4A SWD Case 2'!J27+'4A SWD Case 2'!K27*'MSW characteristics'!$B$35</f>
        <v>0.11870178252267252</v>
      </c>
      <c r="Q27" s="1029">
        <f t="shared" si="2"/>
        <v>137.80583785807622</v>
      </c>
      <c r="R27" s="1029">
        <f t="shared" si="3"/>
        <v>137.80583785807622</v>
      </c>
      <c r="S27" s="303">
        <f t="shared" si="4"/>
        <v>0</v>
      </c>
      <c r="T27" s="1029">
        <f t="shared" si="5"/>
        <v>918.61052453095147</v>
      </c>
      <c r="U27" s="1029">
        <f t="shared" si="6"/>
        <v>40.032712341256236</v>
      </c>
      <c r="V27" s="1038">
        <f t="shared" si="7"/>
        <v>26.688474894170824</v>
      </c>
      <c r="W27" s="10"/>
      <c r="X27" s="1037">
        <f>'Baseline data (from input)'!AS14*'4A SWD Case 2'!$D$12</f>
        <v>0</v>
      </c>
      <c r="Y27" s="1030">
        <f>Parameters!S129</f>
        <v>0.71500000000000008</v>
      </c>
      <c r="Z27" s="1030">
        <f t="shared" si="8"/>
        <v>0.2</v>
      </c>
      <c r="AA27" s="1029">
        <f t="shared" si="9"/>
        <v>0</v>
      </c>
      <c r="AB27" s="1029">
        <f t="shared" si="10"/>
        <v>0</v>
      </c>
      <c r="AC27" s="303">
        <f t="shared" si="11"/>
        <v>0</v>
      </c>
      <c r="AD27" s="1029">
        <f t="shared" si="12"/>
        <v>0</v>
      </c>
      <c r="AE27" s="1029">
        <f t="shared" si="13"/>
        <v>0</v>
      </c>
      <c r="AF27" s="1038">
        <f t="shared" si="14"/>
        <v>0</v>
      </c>
      <c r="AG27" s="10"/>
      <c r="AH27" s="1037">
        <f>'Baseline data (from input)'!AS14*'4A SWD Case 2'!$D$12</f>
        <v>0</v>
      </c>
      <c r="AI27" s="1030">
        <f>Parameters!S129</f>
        <v>0.71500000000000008</v>
      </c>
      <c r="AJ27" s="1030">
        <f t="shared" si="15"/>
        <v>0.2</v>
      </c>
      <c r="AK27" s="1029">
        <f t="shared" si="16"/>
        <v>0</v>
      </c>
      <c r="AL27" s="1029">
        <f t="shared" si="17"/>
        <v>0</v>
      </c>
      <c r="AM27" s="303">
        <f t="shared" si="18"/>
        <v>0</v>
      </c>
      <c r="AN27" s="1029">
        <f t="shared" si="19"/>
        <v>0</v>
      </c>
      <c r="AO27" s="1029">
        <f t="shared" si="20"/>
        <v>0</v>
      </c>
      <c r="AP27" s="1038">
        <f t="shared" si="21"/>
        <v>0</v>
      </c>
      <c r="AR27" s="1037">
        <v>0</v>
      </c>
      <c r="AS27" s="1030">
        <v>1</v>
      </c>
      <c r="AT27" s="1030">
        <f t="shared" si="22"/>
        <v>0.05</v>
      </c>
      <c r="AU27" s="1029">
        <f t="shared" si="23"/>
        <v>0</v>
      </c>
      <c r="AV27" s="1029">
        <f t="shared" si="24"/>
        <v>0</v>
      </c>
      <c r="AW27" s="303">
        <f t="shared" si="25"/>
        <v>0</v>
      </c>
      <c r="AX27" s="1045">
        <f t="shared" si="26"/>
        <v>0</v>
      </c>
      <c r="AY27" s="1045">
        <f t="shared" si="27"/>
        <v>0</v>
      </c>
      <c r="AZ27" s="1038">
        <f t="shared" si="28"/>
        <v>0</v>
      </c>
      <c r="BB27" s="317">
        <f t="shared" si="29"/>
        <v>26.688474894170824</v>
      </c>
      <c r="BC27" s="318">
        <f t="shared" si="30"/>
        <v>0</v>
      </c>
      <c r="BD27" s="1214">
        <f t="shared" si="31"/>
        <v>0</v>
      </c>
      <c r="BE27" s="318">
        <f t="shared" si="32"/>
        <v>26.688474894170824</v>
      </c>
      <c r="BF27" s="104">
        <v>0</v>
      </c>
      <c r="BG27" s="319">
        <f t="shared" si="33"/>
        <v>26.688474894170824</v>
      </c>
      <c r="BI27" s="317">
        <f t="shared" si="34"/>
        <v>26.688474894170824</v>
      </c>
      <c r="BJ27" s="318">
        <f t="shared" si="35"/>
        <v>0</v>
      </c>
      <c r="BK27" s="1214">
        <f t="shared" si="36"/>
        <v>0</v>
      </c>
      <c r="BL27" s="318">
        <f t="shared" si="37"/>
        <v>26.688474894170824</v>
      </c>
      <c r="BM27" s="104">
        <v>0</v>
      </c>
      <c r="BN27" s="319">
        <f t="shared" si="38"/>
        <v>26.688474894170824</v>
      </c>
    </row>
    <row r="28" spans="1:66">
      <c r="A28" s="995">
        <f>'Input data'!A59</f>
        <v>1959</v>
      </c>
      <c r="B28" s="987">
        <f>'Input data'!B59</f>
        <v>7.0827593200000001</v>
      </c>
      <c r="C28" s="987">
        <f>'Baseline data (from input)'!B15</f>
        <v>578.73</v>
      </c>
      <c r="D28" s="899">
        <f>'Baseline data (from input)'!T15</f>
        <v>0.8</v>
      </c>
      <c r="E28" s="899">
        <f t="shared" si="39"/>
        <v>0.19892488097366726</v>
      </c>
      <c r="F28" s="899">
        <f t="shared" si="0"/>
        <v>0.26585903447659598</v>
      </c>
      <c r="G28" s="899">
        <f t="shared" si="0"/>
        <v>8.9228108703258049E-2</v>
      </c>
      <c r="H28" s="899">
        <f t="shared" si="0"/>
        <v>0</v>
      </c>
      <c r="I28" s="899">
        <f t="shared" si="0"/>
        <v>0</v>
      </c>
      <c r="J28" s="899">
        <f t="shared" si="0"/>
        <v>0</v>
      </c>
      <c r="K28" s="899">
        <f t="shared" si="0"/>
        <v>0.4459879758464787</v>
      </c>
      <c r="L28" s="996">
        <f t="shared" si="40"/>
        <v>1</v>
      </c>
      <c r="M28" s="102"/>
      <c r="N28" s="1037">
        <f t="shared" si="1"/>
        <v>3279.2042410108802</v>
      </c>
      <c r="O28" s="1030">
        <f>Parameters!R130</f>
        <v>0.73</v>
      </c>
      <c r="P28" s="1030">
        <f>E28*'MSW characteristics'!$B$28+'MSW characteristics'!$B$29*'4A SWD Case 2'!F28+'4A SWD Case 2'!G28*'MSW characteristics'!$B$30+'MSW characteristics'!$B$31*'4A SWD Case 2'!H28+'4A SWD Case 2'!I28*'MSW characteristics'!$B$32+'MSW characteristics'!$B$33*'4A SWD Case 2'!J28+'4A SWD Case 2'!K28*'MSW characteristics'!$B$35</f>
        <v>0.11870178252267252</v>
      </c>
      <c r="Q28" s="1029">
        <f t="shared" si="2"/>
        <v>142.07529686232309</v>
      </c>
      <c r="R28" s="1029">
        <f t="shared" si="3"/>
        <v>142.07529686232309</v>
      </c>
      <c r="S28" s="303">
        <f t="shared" si="4"/>
        <v>0</v>
      </c>
      <c r="T28" s="1029">
        <f t="shared" si="5"/>
        <v>1015.884657452199</v>
      </c>
      <c r="U28" s="1029">
        <f t="shared" si="6"/>
        <v>44.801163941075465</v>
      </c>
      <c r="V28" s="1038">
        <f t="shared" si="7"/>
        <v>29.867442627383642</v>
      </c>
      <c r="W28" s="10"/>
      <c r="X28" s="1037">
        <f>'Baseline data (from input)'!AS15*'4A SWD Case 2'!$D$12</f>
        <v>0</v>
      </c>
      <c r="Y28" s="1030">
        <f>Parameters!S130</f>
        <v>0.71500000000000008</v>
      </c>
      <c r="Z28" s="1030">
        <f t="shared" si="8"/>
        <v>0.2</v>
      </c>
      <c r="AA28" s="1029">
        <f t="shared" si="9"/>
        <v>0</v>
      </c>
      <c r="AB28" s="1029">
        <f t="shared" si="10"/>
        <v>0</v>
      </c>
      <c r="AC28" s="303">
        <f t="shared" si="11"/>
        <v>0</v>
      </c>
      <c r="AD28" s="1029">
        <f t="shared" si="12"/>
        <v>0</v>
      </c>
      <c r="AE28" s="1029">
        <f t="shared" si="13"/>
        <v>0</v>
      </c>
      <c r="AF28" s="1038">
        <f t="shared" si="14"/>
        <v>0</v>
      </c>
      <c r="AG28" s="10"/>
      <c r="AH28" s="1037">
        <f>'Baseline data (from input)'!AS15*'4A SWD Case 2'!$D$12</f>
        <v>0</v>
      </c>
      <c r="AI28" s="1030">
        <f>Parameters!S130</f>
        <v>0.71500000000000008</v>
      </c>
      <c r="AJ28" s="1030">
        <f t="shared" si="15"/>
        <v>0.2</v>
      </c>
      <c r="AK28" s="1029">
        <f t="shared" si="16"/>
        <v>0</v>
      </c>
      <c r="AL28" s="1029">
        <f t="shared" si="17"/>
        <v>0</v>
      </c>
      <c r="AM28" s="303">
        <f t="shared" si="18"/>
        <v>0</v>
      </c>
      <c r="AN28" s="1029">
        <f t="shared" si="19"/>
        <v>0</v>
      </c>
      <c r="AO28" s="1029">
        <f t="shared" si="20"/>
        <v>0</v>
      </c>
      <c r="AP28" s="1038">
        <f t="shared" si="21"/>
        <v>0</v>
      </c>
      <c r="AR28" s="1037">
        <v>0</v>
      </c>
      <c r="AS28" s="1030">
        <v>1</v>
      </c>
      <c r="AT28" s="1030">
        <f t="shared" si="22"/>
        <v>0.05</v>
      </c>
      <c r="AU28" s="1029">
        <f t="shared" si="23"/>
        <v>0</v>
      </c>
      <c r="AV28" s="1029">
        <f t="shared" si="24"/>
        <v>0</v>
      </c>
      <c r="AW28" s="303">
        <f t="shared" si="25"/>
        <v>0</v>
      </c>
      <c r="AX28" s="1045">
        <f t="shared" si="26"/>
        <v>0</v>
      </c>
      <c r="AY28" s="1045">
        <f t="shared" si="27"/>
        <v>0</v>
      </c>
      <c r="AZ28" s="1038">
        <f t="shared" si="28"/>
        <v>0</v>
      </c>
      <c r="BB28" s="317">
        <f t="shared" si="29"/>
        <v>29.867442627383642</v>
      </c>
      <c r="BC28" s="318">
        <f t="shared" si="30"/>
        <v>0</v>
      </c>
      <c r="BD28" s="1214">
        <f t="shared" si="31"/>
        <v>0</v>
      </c>
      <c r="BE28" s="318">
        <f t="shared" si="32"/>
        <v>29.867442627383642</v>
      </c>
      <c r="BF28" s="104">
        <v>0</v>
      </c>
      <c r="BG28" s="319">
        <f t="shared" si="33"/>
        <v>29.867442627383642</v>
      </c>
      <c r="BI28" s="317">
        <f t="shared" si="34"/>
        <v>29.867442627383642</v>
      </c>
      <c r="BJ28" s="318">
        <f t="shared" si="35"/>
        <v>0</v>
      </c>
      <c r="BK28" s="1214">
        <f t="shared" si="36"/>
        <v>0</v>
      </c>
      <c r="BL28" s="318">
        <f t="shared" si="37"/>
        <v>29.867442627383642</v>
      </c>
      <c r="BM28" s="104">
        <v>0</v>
      </c>
      <c r="BN28" s="319">
        <f t="shared" si="38"/>
        <v>29.867442627383642</v>
      </c>
    </row>
    <row r="29" spans="1:66">
      <c r="A29" s="995">
        <f>'Input data'!A60</f>
        <v>1960</v>
      </c>
      <c r="B29" s="987">
        <f>'Input data'!B60</f>
        <v>7.2819655999999995</v>
      </c>
      <c r="C29" s="987">
        <f>'Baseline data (from input)'!B16</f>
        <v>578.73</v>
      </c>
      <c r="D29" s="899">
        <f>'Baseline data (from input)'!T16</f>
        <v>0.8</v>
      </c>
      <c r="E29" s="899">
        <f t="shared" si="39"/>
        <v>0.19892488097366726</v>
      </c>
      <c r="F29" s="899">
        <f t="shared" si="0"/>
        <v>0.26585903447659598</v>
      </c>
      <c r="G29" s="899">
        <f t="shared" si="0"/>
        <v>8.9228108703258049E-2</v>
      </c>
      <c r="H29" s="899">
        <f t="shared" si="0"/>
        <v>0</v>
      </c>
      <c r="I29" s="899">
        <f t="shared" si="0"/>
        <v>0</v>
      </c>
      <c r="J29" s="899">
        <f t="shared" si="0"/>
        <v>0</v>
      </c>
      <c r="K29" s="899">
        <f t="shared" si="0"/>
        <v>0.4459879758464787</v>
      </c>
      <c r="L29" s="996">
        <f t="shared" si="40"/>
        <v>1</v>
      </c>
      <c r="M29" s="102"/>
      <c r="N29" s="1037">
        <f t="shared" si="1"/>
        <v>3371.4335613504004</v>
      </c>
      <c r="O29" s="1030">
        <f>Parameters!R131</f>
        <v>0.73</v>
      </c>
      <c r="P29" s="1030">
        <f>E29*'MSW characteristics'!$B$28+'MSW characteristics'!$B$29*'4A SWD Case 2'!F29+'4A SWD Case 2'!G29*'MSW characteristics'!$B$30+'MSW characteristics'!$B$31*'4A SWD Case 2'!H29+'4A SWD Case 2'!I29*'MSW characteristics'!$B$32+'MSW characteristics'!$B$33*'4A SWD Case 2'!J29+'4A SWD Case 2'!K29*'MSW characteristics'!$B$35</f>
        <v>0.11870178252267252</v>
      </c>
      <c r="Q29" s="1029">
        <f t="shared" si="2"/>
        <v>146.07123828700492</v>
      </c>
      <c r="R29" s="1029">
        <f t="shared" si="3"/>
        <v>146.07123828700492</v>
      </c>
      <c r="S29" s="303">
        <f t="shared" si="4"/>
        <v>0</v>
      </c>
      <c r="T29" s="1029">
        <f t="shared" si="5"/>
        <v>1112.4106163543652</v>
      </c>
      <c r="U29" s="1029">
        <f t="shared" si="6"/>
        <v>49.54527938483875</v>
      </c>
      <c r="V29" s="1038">
        <f t="shared" si="7"/>
        <v>33.030186256559169</v>
      </c>
      <c r="W29" s="10"/>
      <c r="X29" s="1037">
        <f>'Baseline data (from input)'!AS16*'4A SWD Case 2'!$D$12</f>
        <v>0</v>
      </c>
      <c r="Y29" s="1030">
        <f>Parameters!S131</f>
        <v>0.71500000000000008</v>
      </c>
      <c r="Z29" s="1030">
        <f t="shared" si="8"/>
        <v>0.2</v>
      </c>
      <c r="AA29" s="1029">
        <f t="shared" si="9"/>
        <v>0</v>
      </c>
      <c r="AB29" s="1029">
        <f t="shared" si="10"/>
        <v>0</v>
      </c>
      <c r="AC29" s="303">
        <f t="shared" si="11"/>
        <v>0</v>
      </c>
      <c r="AD29" s="1029">
        <f t="shared" si="12"/>
        <v>0</v>
      </c>
      <c r="AE29" s="1029">
        <f t="shared" si="13"/>
        <v>0</v>
      </c>
      <c r="AF29" s="1038">
        <f t="shared" si="14"/>
        <v>0</v>
      </c>
      <c r="AG29" s="10"/>
      <c r="AH29" s="1037">
        <f>'Baseline data (from input)'!AS16*'4A SWD Case 2'!$D$12</f>
        <v>0</v>
      </c>
      <c r="AI29" s="1030">
        <f>Parameters!S131</f>
        <v>0.71500000000000008</v>
      </c>
      <c r="AJ29" s="1030">
        <f t="shared" si="15"/>
        <v>0.2</v>
      </c>
      <c r="AK29" s="1029">
        <f t="shared" si="16"/>
        <v>0</v>
      </c>
      <c r="AL29" s="1029">
        <f t="shared" si="17"/>
        <v>0</v>
      </c>
      <c r="AM29" s="303">
        <f t="shared" si="18"/>
        <v>0</v>
      </c>
      <c r="AN29" s="1029">
        <f t="shared" si="19"/>
        <v>0</v>
      </c>
      <c r="AO29" s="1029">
        <f t="shared" si="20"/>
        <v>0</v>
      </c>
      <c r="AP29" s="1038">
        <f t="shared" si="21"/>
        <v>0</v>
      </c>
      <c r="AR29" s="1037">
        <v>0</v>
      </c>
      <c r="AS29" s="1030">
        <v>1</v>
      </c>
      <c r="AT29" s="1030">
        <f t="shared" si="22"/>
        <v>0.05</v>
      </c>
      <c r="AU29" s="1029">
        <f t="shared" si="23"/>
        <v>0</v>
      </c>
      <c r="AV29" s="1029">
        <f t="shared" si="24"/>
        <v>0</v>
      </c>
      <c r="AW29" s="303">
        <f t="shared" si="25"/>
        <v>0</v>
      </c>
      <c r="AX29" s="1045">
        <f t="shared" si="26"/>
        <v>0</v>
      </c>
      <c r="AY29" s="1045">
        <f t="shared" si="27"/>
        <v>0</v>
      </c>
      <c r="AZ29" s="1038">
        <f t="shared" si="28"/>
        <v>0</v>
      </c>
      <c r="BB29" s="317">
        <f t="shared" si="29"/>
        <v>33.030186256559169</v>
      </c>
      <c r="BC29" s="318">
        <f t="shared" si="30"/>
        <v>0</v>
      </c>
      <c r="BD29" s="1214">
        <f t="shared" si="31"/>
        <v>0</v>
      </c>
      <c r="BE29" s="318">
        <f t="shared" si="32"/>
        <v>33.030186256559169</v>
      </c>
      <c r="BF29" s="104">
        <v>0</v>
      </c>
      <c r="BG29" s="319">
        <f t="shared" si="33"/>
        <v>33.030186256559169</v>
      </c>
      <c r="BI29" s="317">
        <f t="shared" si="34"/>
        <v>33.030186256559169</v>
      </c>
      <c r="BJ29" s="318">
        <f t="shared" si="35"/>
        <v>0</v>
      </c>
      <c r="BK29" s="1214">
        <f t="shared" si="36"/>
        <v>0</v>
      </c>
      <c r="BL29" s="318">
        <f t="shared" si="37"/>
        <v>33.030186256559169</v>
      </c>
      <c r="BM29" s="104">
        <v>0</v>
      </c>
      <c r="BN29" s="319">
        <f t="shared" si="38"/>
        <v>33.030186256559169</v>
      </c>
    </row>
    <row r="30" spans="1:66">
      <c r="A30" s="995">
        <f>'Input data'!A61</f>
        <v>1961</v>
      </c>
      <c r="B30" s="987">
        <f>'Input data'!B61</f>
        <v>7.6498422000000001</v>
      </c>
      <c r="C30" s="987">
        <f>'Baseline data (from input)'!B17</f>
        <v>578.73</v>
      </c>
      <c r="D30" s="899">
        <f>'Baseline data (from input)'!T17</f>
        <v>0.8</v>
      </c>
      <c r="E30" s="899">
        <f t="shared" si="39"/>
        <v>0.19892488097366726</v>
      </c>
      <c r="F30" s="899">
        <f t="shared" si="0"/>
        <v>0.26585903447659598</v>
      </c>
      <c r="G30" s="899">
        <f t="shared" si="0"/>
        <v>8.9228108703258049E-2</v>
      </c>
      <c r="H30" s="899">
        <f t="shared" si="0"/>
        <v>0</v>
      </c>
      <c r="I30" s="899">
        <f t="shared" si="0"/>
        <v>0</v>
      </c>
      <c r="J30" s="899">
        <f t="shared" si="0"/>
        <v>0</v>
      </c>
      <c r="K30" s="899">
        <f t="shared" si="0"/>
        <v>0.4459879758464787</v>
      </c>
      <c r="L30" s="996">
        <f t="shared" si="40"/>
        <v>1</v>
      </c>
      <c r="M30" s="102"/>
      <c r="N30" s="1037">
        <f t="shared" si="1"/>
        <v>3541.7545411248002</v>
      </c>
      <c r="O30" s="1030">
        <f>Parameters!R132</f>
        <v>0.73</v>
      </c>
      <c r="P30" s="1030">
        <f>E30*'MSW characteristics'!$B$28+'MSW characteristics'!$B$29*'4A SWD Case 2'!F30+'4A SWD Case 2'!G30*'MSW characteristics'!$B$30+'MSW characteristics'!$B$31*'4A SWD Case 2'!H30+'4A SWD Case 2'!I30*'MSW characteristics'!$B$32+'MSW characteristics'!$B$33*'4A SWD Case 2'!J30+'4A SWD Case 2'!K30*'MSW characteristics'!$B$35</f>
        <v>0.11870178252267252</v>
      </c>
      <c r="Q30" s="1029">
        <f t="shared" si="2"/>
        <v>153.45059071058859</v>
      </c>
      <c r="R30" s="1029">
        <f t="shared" si="3"/>
        <v>153.45059071058859</v>
      </c>
      <c r="S30" s="303">
        <f t="shared" si="4"/>
        <v>0</v>
      </c>
      <c r="T30" s="1029">
        <f t="shared" si="5"/>
        <v>1211.608301113836</v>
      </c>
      <c r="U30" s="1029">
        <f t="shared" si="6"/>
        <v>54.252905951117825</v>
      </c>
      <c r="V30" s="1038">
        <f t="shared" si="7"/>
        <v>36.168603967411883</v>
      </c>
      <c r="W30" s="10"/>
      <c r="X30" s="1037">
        <f>'Baseline data (from input)'!AS17*'4A SWD Case 2'!$D$12</f>
        <v>1545.6154512386593</v>
      </c>
      <c r="Y30" s="1030">
        <f>Parameters!S132</f>
        <v>0.71500000000000008</v>
      </c>
      <c r="Z30" s="1030">
        <f t="shared" si="8"/>
        <v>0.2</v>
      </c>
      <c r="AA30" s="1029">
        <f t="shared" si="9"/>
        <v>110.51150476356415</v>
      </c>
      <c r="AB30" s="1029">
        <f t="shared" si="10"/>
        <v>110.51150476356415</v>
      </c>
      <c r="AC30" s="303">
        <f t="shared" si="11"/>
        <v>0</v>
      </c>
      <c r="AD30" s="1029">
        <f t="shared" si="12"/>
        <v>110.51150476356415</v>
      </c>
      <c r="AE30" s="1029">
        <f t="shared" si="13"/>
        <v>0</v>
      </c>
      <c r="AF30" s="1038">
        <f t="shared" si="14"/>
        <v>0</v>
      </c>
      <c r="AG30" s="10"/>
      <c r="AH30" s="1037">
        <f>'Baseline data (from input)'!AS17*'4A SWD Case 2'!$D$12</f>
        <v>1545.6154512386593</v>
      </c>
      <c r="AI30" s="1030">
        <f>Parameters!S132</f>
        <v>0.71500000000000008</v>
      </c>
      <c r="AJ30" s="1030">
        <f t="shared" si="15"/>
        <v>0.2</v>
      </c>
      <c r="AK30" s="1029">
        <f t="shared" si="16"/>
        <v>110.51150476356415</v>
      </c>
      <c r="AL30" s="1029">
        <f t="shared" si="17"/>
        <v>110.51150476356415</v>
      </c>
      <c r="AM30" s="303">
        <f t="shared" si="18"/>
        <v>0</v>
      </c>
      <c r="AN30" s="1029">
        <f t="shared" si="19"/>
        <v>110.51150476356415</v>
      </c>
      <c r="AO30" s="1029">
        <f t="shared" si="20"/>
        <v>0</v>
      </c>
      <c r="AP30" s="1038">
        <f t="shared" si="21"/>
        <v>0</v>
      </c>
      <c r="AR30" s="1037">
        <v>0</v>
      </c>
      <c r="AS30" s="1030">
        <v>1</v>
      </c>
      <c r="AT30" s="1030">
        <f t="shared" si="22"/>
        <v>0.05</v>
      </c>
      <c r="AU30" s="1029">
        <f t="shared" si="23"/>
        <v>0</v>
      </c>
      <c r="AV30" s="1029">
        <f t="shared" si="24"/>
        <v>0</v>
      </c>
      <c r="AW30" s="303">
        <f t="shared" si="25"/>
        <v>0</v>
      </c>
      <c r="AX30" s="1045">
        <f t="shared" si="26"/>
        <v>0</v>
      </c>
      <c r="AY30" s="1045">
        <f t="shared" si="27"/>
        <v>0</v>
      </c>
      <c r="AZ30" s="1038">
        <f t="shared" si="28"/>
        <v>0</v>
      </c>
      <c r="BB30" s="317">
        <f t="shared" si="29"/>
        <v>36.168603967411883</v>
      </c>
      <c r="BC30" s="318">
        <f t="shared" si="30"/>
        <v>0</v>
      </c>
      <c r="BD30" s="1214">
        <f t="shared" si="31"/>
        <v>0</v>
      </c>
      <c r="BE30" s="318">
        <f t="shared" si="32"/>
        <v>36.168603967411883</v>
      </c>
      <c r="BF30" s="104">
        <v>0</v>
      </c>
      <c r="BG30" s="319">
        <f t="shared" si="33"/>
        <v>36.168603967411883</v>
      </c>
      <c r="BI30" s="317">
        <f t="shared" si="34"/>
        <v>36.168603967411883</v>
      </c>
      <c r="BJ30" s="318">
        <f t="shared" si="35"/>
        <v>0</v>
      </c>
      <c r="BK30" s="1214">
        <f t="shared" si="36"/>
        <v>0</v>
      </c>
      <c r="BL30" s="318">
        <f t="shared" si="37"/>
        <v>36.168603967411883</v>
      </c>
      <c r="BM30" s="104">
        <v>0</v>
      </c>
      <c r="BN30" s="319">
        <f t="shared" si="38"/>
        <v>36.168603967411883</v>
      </c>
    </row>
    <row r="31" spans="1:66">
      <c r="A31" s="995">
        <f>'Input data'!A62</f>
        <v>1962</v>
      </c>
      <c r="B31" s="987">
        <f>'Input data'!B62</f>
        <v>7.8559936000000006</v>
      </c>
      <c r="C31" s="987">
        <f>'Baseline data (from input)'!B18</f>
        <v>578.73</v>
      </c>
      <c r="D31" s="899">
        <f>'Baseline data (from input)'!T18</f>
        <v>0.8</v>
      </c>
      <c r="E31" s="899">
        <f t="shared" si="39"/>
        <v>0.19892488097366726</v>
      </c>
      <c r="F31" s="899">
        <f t="shared" si="0"/>
        <v>0.26585903447659598</v>
      </c>
      <c r="G31" s="899">
        <f t="shared" si="0"/>
        <v>8.9228108703258049E-2</v>
      </c>
      <c r="H31" s="899">
        <f t="shared" si="0"/>
        <v>0</v>
      </c>
      <c r="I31" s="899">
        <f t="shared" si="0"/>
        <v>0</v>
      </c>
      <c r="J31" s="899">
        <f t="shared" si="0"/>
        <v>0</v>
      </c>
      <c r="K31" s="899">
        <f t="shared" si="0"/>
        <v>0.4459879758464787</v>
      </c>
      <c r="L31" s="996">
        <f t="shared" si="40"/>
        <v>1</v>
      </c>
      <c r="M31" s="102"/>
      <c r="N31" s="1037">
        <f t="shared" si="1"/>
        <v>3637.1993409024008</v>
      </c>
      <c r="O31" s="1030">
        <f>Parameters!R133</f>
        <v>0.73</v>
      </c>
      <c r="P31" s="1030">
        <f>E31*'MSW characteristics'!$B$28+'MSW characteristics'!$B$29*'4A SWD Case 2'!F31+'4A SWD Case 2'!G31*'MSW characteristics'!$B$30+'MSW characteristics'!$B$31*'4A SWD Case 2'!H31+'4A SWD Case 2'!I31*'MSW characteristics'!$B$32+'MSW characteristics'!$B$33*'4A SWD Case 2'!J31+'4A SWD Case 2'!K31*'MSW characteristics'!$B$35</f>
        <v>0.11870178252267252</v>
      </c>
      <c r="Q31" s="1029">
        <f t="shared" si="2"/>
        <v>157.58584648172268</v>
      </c>
      <c r="R31" s="1029">
        <f t="shared" si="3"/>
        <v>157.58584648172268</v>
      </c>
      <c r="S31" s="303">
        <f t="shared" si="4"/>
        <v>0</v>
      </c>
      <c r="T31" s="1029">
        <f t="shared" si="5"/>
        <v>1310.1033134705247</v>
      </c>
      <c r="U31" s="1029">
        <f t="shared" si="6"/>
        <v>59.090834125033965</v>
      </c>
      <c r="V31" s="1038">
        <f t="shared" si="7"/>
        <v>39.393889416689312</v>
      </c>
      <c r="W31" s="10"/>
      <c r="X31" s="1037">
        <f>'Baseline data (from input)'!AS18*'4A SWD Case 2'!$D$12</f>
        <v>1641.1017669144405</v>
      </c>
      <c r="Y31" s="1030">
        <f>Parameters!S133</f>
        <v>0.71500000000000008</v>
      </c>
      <c r="Z31" s="1030">
        <f t="shared" si="8"/>
        <v>0.2</v>
      </c>
      <c r="AA31" s="1029">
        <f t="shared" si="9"/>
        <v>117.33877633438252</v>
      </c>
      <c r="AB31" s="1029">
        <f t="shared" si="10"/>
        <v>117.33877633438252</v>
      </c>
      <c r="AC31" s="303">
        <f t="shared" si="11"/>
        <v>0</v>
      </c>
      <c r="AD31" s="1029">
        <f t="shared" si="12"/>
        <v>222.46057141133554</v>
      </c>
      <c r="AE31" s="1029">
        <f t="shared" si="13"/>
        <v>5.3897096866111083</v>
      </c>
      <c r="AF31" s="1038">
        <f t="shared" si="14"/>
        <v>3.5931397910740723</v>
      </c>
      <c r="AG31" s="10"/>
      <c r="AH31" s="1037">
        <f>'Baseline data (from input)'!AS18*'4A SWD Case 2'!$D$12</f>
        <v>1641.1017669144405</v>
      </c>
      <c r="AI31" s="1030">
        <f>Parameters!S133</f>
        <v>0.71500000000000008</v>
      </c>
      <c r="AJ31" s="1030">
        <f t="shared" si="15"/>
        <v>0.2</v>
      </c>
      <c r="AK31" s="1029">
        <f t="shared" si="16"/>
        <v>117.33877633438252</v>
      </c>
      <c r="AL31" s="1029">
        <f t="shared" si="17"/>
        <v>117.33877633438252</v>
      </c>
      <c r="AM31" s="303">
        <f t="shared" si="18"/>
        <v>0</v>
      </c>
      <c r="AN31" s="1029">
        <f t="shared" si="19"/>
        <v>222.46057141133554</v>
      </c>
      <c r="AO31" s="1029">
        <f t="shared" si="20"/>
        <v>5.3897096866111083</v>
      </c>
      <c r="AP31" s="1038">
        <f t="shared" si="21"/>
        <v>3.5931397910740723</v>
      </c>
      <c r="AR31" s="1037">
        <v>0</v>
      </c>
      <c r="AS31" s="1030">
        <v>1</v>
      </c>
      <c r="AT31" s="1030">
        <f t="shared" si="22"/>
        <v>0.05</v>
      </c>
      <c r="AU31" s="1029">
        <f t="shared" si="23"/>
        <v>0</v>
      </c>
      <c r="AV31" s="1029">
        <f t="shared" si="24"/>
        <v>0</v>
      </c>
      <c r="AW31" s="303">
        <f t="shared" si="25"/>
        <v>0</v>
      </c>
      <c r="AX31" s="1045">
        <f t="shared" si="26"/>
        <v>0</v>
      </c>
      <c r="AY31" s="1045">
        <f t="shared" si="27"/>
        <v>0</v>
      </c>
      <c r="AZ31" s="1038">
        <f t="shared" si="28"/>
        <v>0</v>
      </c>
      <c r="BB31" s="317">
        <f t="shared" si="29"/>
        <v>39.393889416689312</v>
      </c>
      <c r="BC31" s="318">
        <f t="shared" si="30"/>
        <v>3.5931397910740723</v>
      </c>
      <c r="BD31" s="1214">
        <f t="shared" si="31"/>
        <v>0</v>
      </c>
      <c r="BE31" s="318">
        <f t="shared" si="32"/>
        <v>42.987029207763385</v>
      </c>
      <c r="BF31" s="104">
        <v>0</v>
      </c>
      <c r="BG31" s="319">
        <f t="shared" si="33"/>
        <v>42.987029207763385</v>
      </c>
      <c r="BI31" s="317">
        <f t="shared" si="34"/>
        <v>39.393889416689312</v>
      </c>
      <c r="BJ31" s="318">
        <f t="shared" si="35"/>
        <v>3.5931397910740723</v>
      </c>
      <c r="BK31" s="1214">
        <f t="shared" si="36"/>
        <v>0</v>
      </c>
      <c r="BL31" s="318">
        <f t="shared" si="37"/>
        <v>42.987029207763385</v>
      </c>
      <c r="BM31" s="104">
        <v>0</v>
      </c>
      <c r="BN31" s="319">
        <f t="shared" si="38"/>
        <v>42.987029207763385</v>
      </c>
    </row>
    <row r="32" spans="1:66">
      <c r="A32" s="127">
        <f>'Input data'!A63</f>
        <v>1963</v>
      </c>
      <c r="B32" s="988">
        <f>'Input data'!B63</f>
        <v>8.062145000000001</v>
      </c>
      <c r="C32" s="988">
        <f>'Baseline data (from input)'!B19</f>
        <v>578.73</v>
      </c>
      <c r="D32" s="899">
        <f>'Baseline data (from input)'!T19</f>
        <v>0.8</v>
      </c>
      <c r="E32" s="899">
        <f t="shared" si="39"/>
        <v>0.19892488097366726</v>
      </c>
      <c r="F32" s="899">
        <f t="shared" si="0"/>
        <v>0.26585903447659598</v>
      </c>
      <c r="G32" s="899">
        <f t="shared" si="0"/>
        <v>8.9228108703258049E-2</v>
      </c>
      <c r="H32" s="899">
        <f t="shared" si="0"/>
        <v>0</v>
      </c>
      <c r="I32" s="899">
        <f t="shared" si="0"/>
        <v>0</v>
      </c>
      <c r="J32" s="899">
        <f t="shared" si="0"/>
        <v>0</v>
      </c>
      <c r="K32" s="899">
        <f t="shared" si="0"/>
        <v>0.4459879758464787</v>
      </c>
      <c r="L32" s="996">
        <f t="shared" si="40"/>
        <v>1</v>
      </c>
      <c r="M32" s="101"/>
      <c r="N32" s="317">
        <f t="shared" si="1"/>
        <v>3732.6441406800004</v>
      </c>
      <c r="O32" s="1031">
        <f>Parameters!R134</f>
        <v>0.73</v>
      </c>
      <c r="P32" s="1031">
        <f>E32*'MSW characteristics'!$B$28+'MSW characteristics'!$B$29*'4A SWD Case 2'!F32+'4A SWD Case 2'!G32*'MSW characteristics'!$B$30+'MSW characteristics'!$B$31*'4A SWD Case 2'!H32+'4A SWD Case 2'!I32*'MSW characteristics'!$B$32+'MSW characteristics'!$B$33*'4A SWD Case 2'!J32+'4A SWD Case 2'!K32*'MSW characteristics'!$B$35</f>
        <v>0.11870178252267252</v>
      </c>
      <c r="Q32" s="1029">
        <f t="shared" si="2"/>
        <v>161.72110225285672</v>
      </c>
      <c r="R32" s="1029">
        <f t="shared" si="3"/>
        <v>161.72110225285672</v>
      </c>
      <c r="S32" s="303">
        <f t="shared" si="4"/>
        <v>0</v>
      </c>
      <c r="T32" s="1029">
        <f t="shared" si="5"/>
        <v>1407.9299231619025</v>
      </c>
      <c r="U32" s="1029">
        <f t="shared" si="6"/>
        <v>63.894492561478955</v>
      </c>
      <c r="V32" s="1038">
        <f t="shared" si="7"/>
        <v>42.596328374319306</v>
      </c>
      <c r="X32" s="317">
        <f>'Baseline data (from input)'!AS19*'4A SWD Case 2'!$D$12</f>
        <v>1762.1102566145044</v>
      </c>
      <c r="Y32" s="1031">
        <f>Parameters!S134</f>
        <v>0.71500000000000008</v>
      </c>
      <c r="Z32" s="1031">
        <f t="shared" si="8"/>
        <v>0.2</v>
      </c>
      <c r="AA32" s="1029">
        <f t="shared" si="9"/>
        <v>125.99088334793707</v>
      </c>
      <c r="AB32" s="1029">
        <f t="shared" si="10"/>
        <v>125.99088334793707</v>
      </c>
      <c r="AC32" s="303">
        <f t="shared" si="11"/>
        <v>0</v>
      </c>
      <c r="AD32" s="1029">
        <f t="shared" si="12"/>
        <v>337.60192466564177</v>
      </c>
      <c r="AE32" s="1029">
        <f t="shared" si="13"/>
        <v>10.849530093630841</v>
      </c>
      <c r="AF32" s="1038">
        <f t="shared" si="14"/>
        <v>7.2330200624205609</v>
      </c>
      <c r="AH32" s="317">
        <f>'Baseline data (from input)'!AS19*'4A SWD Case 2'!$D$12</f>
        <v>1762.1102566145044</v>
      </c>
      <c r="AI32" s="1031">
        <f>Parameters!S134</f>
        <v>0.71500000000000008</v>
      </c>
      <c r="AJ32" s="1031">
        <f t="shared" si="15"/>
        <v>0.2</v>
      </c>
      <c r="AK32" s="1029">
        <f t="shared" si="16"/>
        <v>125.99088334793707</v>
      </c>
      <c r="AL32" s="1029">
        <f t="shared" si="17"/>
        <v>125.99088334793707</v>
      </c>
      <c r="AM32" s="303">
        <f t="shared" si="18"/>
        <v>0</v>
      </c>
      <c r="AN32" s="1029">
        <f t="shared" si="19"/>
        <v>337.60192466564177</v>
      </c>
      <c r="AO32" s="1029">
        <f t="shared" si="20"/>
        <v>10.849530093630841</v>
      </c>
      <c r="AP32" s="1038">
        <f t="shared" si="21"/>
        <v>7.2330200624205609</v>
      </c>
      <c r="AR32" s="1037">
        <v>0</v>
      </c>
      <c r="AS32" s="1030">
        <v>1</v>
      </c>
      <c r="AT32" s="1030">
        <f t="shared" si="22"/>
        <v>0.05</v>
      </c>
      <c r="AU32" s="1029">
        <f t="shared" si="23"/>
        <v>0</v>
      </c>
      <c r="AV32" s="1029">
        <f t="shared" si="24"/>
        <v>0</v>
      </c>
      <c r="AW32" s="303">
        <f t="shared" si="25"/>
        <v>0</v>
      </c>
      <c r="AX32" s="1045">
        <f t="shared" si="26"/>
        <v>0</v>
      </c>
      <c r="AY32" s="1045">
        <f t="shared" si="27"/>
        <v>0</v>
      </c>
      <c r="AZ32" s="1038">
        <f t="shared" si="28"/>
        <v>0</v>
      </c>
      <c r="BB32" s="317">
        <f t="shared" si="29"/>
        <v>42.596328374319306</v>
      </c>
      <c r="BC32" s="318">
        <f t="shared" si="30"/>
        <v>7.2330200624205609</v>
      </c>
      <c r="BD32" s="1214">
        <f t="shared" si="31"/>
        <v>0</v>
      </c>
      <c r="BE32" s="318">
        <f t="shared" si="32"/>
        <v>49.829348436739863</v>
      </c>
      <c r="BF32" s="104">
        <v>0</v>
      </c>
      <c r="BG32" s="319">
        <f t="shared" si="33"/>
        <v>49.829348436739863</v>
      </c>
      <c r="BI32" s="317">
        <f t="shared" si="34"/>
        <v>42.596328374319306</v>
      </c>
      <c r="BJ32" s="318">
        <f t="shared" si="35"/>
        <v>7.2330200624205609</v>
      </c>
      <c r="BK32" s="1214">
        <f t="shared" si="36"/>
        <v>0</v>
      </c>
      <c r="BL32" s="318">
        <f t="shared" si="37"/>
        <v>49.829348436739863</v>
      </c>
      <c r="BM32" s="104">
        <v>0</v>
      </c>
      <c r="BN32" s="319">
        <f t="shared" si="38"/>
        <v>49.829348436739863</v>
      </c>
    </row>
    <row r="33" spans="1:66">
      <c r="A33" s="127">
        <f>'Input data'!A64</f>
        <v>1964</v>
      </c>
      <c r="B33" s="988">
        <f>'Input data'!B64</f>
        <v>8.2682964000000005</v>
      </c>
      <c r="C33" s="988">
        <f>'Baseline data (from input)'!B20</f>
        <v>578.73</v>
      </c>
      <c r="D33" s="899">
        <f>'Baseline data (from input)'!T20</f>
        <v>0.8</v>
      </c>
      <c r="E33" s="899">
        <f t="shared" si="39"/>
        <v>0.19892488097366726</v>
      </c>
      <c r="F33" s="899">
        <f t="shared" si="0"/>
        <v>0.26585903447659598</v>
      </c>
      <c r="G33" s="899">
        <f t="shared" si="0"/>
        <v>8.9228108703258049E-2</v>
      </c>
      <c r="H33" s="899">
        <f t="shared" si="0"/>
        <v>0</v>
      </c>
      <c r="I33" s="899">
        <f t="shared" si="0"/>
        <v>0</v>
      </c>
      <c r="J33" s="899">
        <f t="shared" si="0"/>
        <v>0</v>
      </c>
      <c r="K33" s="899">
        <f t="shared" si="0"/>
        <v>0.4459879758464787</v>
      </c>
      <c r="L33" s="996">
        <f t="shared" si="40"/>
        <v>1</v>
      </c>
      <c r="N33" s="317">
        <f t="shared" si="1"/>
        <v>3828.0889404576005</v>
      </c>
      <c r="O33" s="1031">
        <f>Parameters!R135</f>
        <v>0.73</v>
      </c>
      <c r="P33" s="1031">
        <f>E33*'MSW characteristics'!$B$28+'MSW characteristics'!$B$29*'4A SWD Case 2'!F33+'4A SWD Case 2'!G33*'MSW characteristics'!$B$30+'MSW characteristics'!$B$31*'4A SWD Case 2'!H33+'4A SWD Case 2'!I33*'MSW characteristics'!$B$32+'MSW characteristics'!$B$33*'4A SWD Case 2'!J33+'4A SWD Case 2'!K33*'MSW characteristics'!$B$35</f>
        <v>0.11870178252267252</v>
      </c>
      <c r="Q33" s="1029">
        <f t="shared" si="2"/>
        <v>165.85635802399077</v>
      </c>
      <c r="R33" s="1029">
        <f t="shared" si="3"/>
        <v>165.85635802399077</v>
      </c>
      <c r="S33" s="303">
        <f t="shared" si="4"/>
        <v>0</v>
      </c>
      <c r="T33" s="1029">
        <f t="shared" si="5"/>
        <v>1505.1207285706218</v>
      </c>
      <c r="U33" s="1029">
        <f t="shared" si="6"/>
        <v>68.66555261527148</v>
      </c>
      <c r="V33" s="1038">
        <f t="shared" si="7"/>
        <v>45.777035076847653</v>
      </c>
      <c r="X33" s="317">
        <f>'Baseline data (from input)'!AS20*'4A SWD Case 2'!$D$12</f>
        <v>1902.0179637567517</v>
      </c>
      <c r="Y33" s="1031">
        <f>Parameters!S135</f>
        <v>0.71500000000000008</v>
      </c>
      <c r="Z33" s="1031">
        <f t="shared" si="8"/>
        <v>0.2</v>
      </c>
      <c r="AA33" s="1029">
        <f t="shared" si="9"/>
        <v>135.99428440860777</v>
      </c>
      <c r="AB33" s="1029">
        <f t="shared" si="10"/>
        <v>135.99428440860777</v>
      </c>
      <c r="AC33" s="303">
        <f t="shared" si="11"/>
        <v>0</v>
      </c>
      <c r="AD33" s="1029">
        <f t="shared" si="12"/>
        <v>457.13116891863962</v>
      </c>
      <c r="AE33" s="1029">
        <f t="shared" si="13"/>
        <v>16.465040155609941</v>
      </c>
      <c r="AF33" s="1038">
        <f t="shared" si="14"/>
        <v>10.976693437073294</v>
      </c>
      <c r="AH33" s="317">
        <f>'Baseline data (from input)'!AS20*'4A SWD Case 2'!$D$12</f>
        <v>1902.0179637567517</v>
      </c>
      <c r="AI33" s="1031">
        <f>Parameters!S135</f>
        <v>0.71500000000000008</v>
      </c>
      <c r="AJ33" s="1031">
        <f t="shared" si="15"/>
        <v>0.2</v>
      </c>
      <c r="AK33" s="1029">
        <f t="shared" si="16"/>
        <v>135.99428440860777</v>
      </c>
      <c r="AL33" s="1029">
        <f t="shared" si="17"/>
        <v>135.99428440860777</v>
      </c>
      <c r="AM33" s="303">
        <f t="shared" si="18"/>
        <v>0</v>
      </c>
      <c r="AN33" s="1029">
        <f t="shared" si="19"/>
        <v>457.13116891863962</v>
      </c>
      <c r="AO33" s="1029">
        <f t="shared" si="20"/>
        <v>16.465040155609941</v>
      </c>
      <c r="AP33" s="1038">
        <f t="shared" si="21"/>
        <v>10.976693437073294</v>
      </c>
      <c r="AR33" s="1037">
        <v>0</v>
      </c>
      <c r="AS33" s="1030">
        <v>1</v>
      </c>
      <c r="AT33" s="1030">
        <f t="shared" si="22"/>
        <v>0.05</v>
      </c>
      <c r="AU33" s="1029">
        <f t="shared" si="23"/>
        <v>0</v>
      </c>
      <c r="AV33" s="1029">
        <f t="shared" si="24"/>
        <v>0</v>
      </c>
      <c r="AW33" s="303">
        <f t="shared" si="25"/>
        <v>0</v>
      </c>
      <c r="AX33" s="1045">
        <f t="shared" si="26"/>
        <v>0</v>
      </c>
      <c r="AY33" s="1045">
        <f t="shared" si="27"/>
        <v>0</v>
      </c>
      <c r="AZ33" s="1038">
        <f t="shared" si="28"/>
        <v>0</v>
      </c>
      <c r="BB33" s="317">
        <f t="shared" si="29"/>
        <v>45.777035076847653</v>
      </c>
      <c r="BC33" s="318">
        <f t="shared" si="30"/>
        <v>10.976693437073294</v>
      </c>
      <c r="BD33" s="1214">
        <f t="shared" si="31"/>
        <v>0</v>
      </c>
      <c r="BE33" s="318">
        <f t="shared" si="32"/>
        <v>56.753728513920947</v>
      </c>
      <c r="BF33" s="104">
        <v>0</v>
      </c>
      <c r="BG33" s="319">
        <f t="shared" si="33"/>
        <v>56.753728513920947</v>
      </c>
      <c r="BI33" s="317">
        <f t="shared" si="34"/>
        <v>45.777035076847653</v>
      </c>
      <c r="BJ33" s="318">
        <f t="shared" si="35"/>
        <v>10.976693437073294</v>
      </c>
      <c r="BK33" s="1214">
        <f t="shared" si="36"/>
        <v>0</v>
      </c>
      <c r="BL33" s="318">
        <f t="shared" si="37"/>
        <v>56.753728513920947</v>
      </c>
      <c r="BM33" s="104">
        <v>0</v>
      </c>
      <c r="BN33" s="319">
        <f t="shared" si="38"/>
        <v>56.753728513920947</v>
      </c>
    </row>
    <row r="34" spans="1:66">
      <c r="A34" s="127">
        <f>'Input data'!A65</f>
        <v>1965</v>
      </c>
      <c r="B34" s="988">
        <f>'Input data'!B65</f>
        <v>8.4744478000000001</v>
      </c>
      <c r="C34" s="988">
        <f>'Baseline data (from input)'!B21</f>
        <v>578.73</v>
      </c>
      <c r="D34" s="899">
        <f>'Baseline data (from input)'!T21</f>
        <v>0.8</v>
      </c>
      <c r="E34" s="899">
        <f t="shared" si="39"/>
        <v>0.19892488097366726</v>
      </c>
      <c r="F34" s="899">
        <f t="shared" si="0"/>
        <v>0.26585903447659598</v>
      </c>
      <c r="G34" s="899">
        <f t="shared" si="0"/>
        <v>8.9228108703258049E-2</v>
      </c>
      <c r="H34" s="899">
        <f t="shared" si="0"/>
        <v>0</v>
      </c>
      <c r="I34" s="899">
        <f t="shared" si="0"/>
        <v>0</v>
      </c>
      <c r="J34" s="899">
        <f t="shared" si="0"/>
        <v>0</v>
      </c>
      <c r="K34" s="899">
        <f t="shared" si="0"/>
        <v>0.4459879758464787</v>
      </c>
      <c r="L34" s="996">
        <f t="shared" si="40"/>
        <v>1</v>
      </c>
      <c r="N34" s="317">
        <f t="shared" si="1"/>
        <v>3923.5337402352002</v>
      </c>
      <c r="O34" s="1031">
        <f>Parameters!R136</f>
        <v>0.73</v>
      </c>
      <c r="P34" s="1031">
        <f>E34*'MSW characteristics'!$B$28+'MSW characteristics'!$B$29*'4A SWD Case 2'!F34+'4A SWD Case 2'!G34*'MSW characteristics'!$B$30+'MSW characteristics'!$B$31*'4A SWD Case 2'!H34+'4A SWD Case 2'!I34*'MSW characteristics'!$B$32+'MSW characteristics'!$B$33*'4A SWD Case 2'!J34+'4A SWD Case 2'!K34*'MSW characteristics'!$B$35</f>
        <v>0.11870178252267252</v>
      </c>
      <c r="Q34" s="1029">
        <f t="shared" si="2"/>
        <v>169.99161379512481</v>
      </c>
      <c r="R34" s="1029">
        <f t="shared" si="3"/>
        <v>169.99161379512481</v>
      </c>
      <c r="S34" s="303">
        <f t="shared" si="4"/>
        <v>0</v>
      </c>
      <c r="T34" s="1029">
        <f t="shared" si="5"/>
        <v>1601.7067382374528</v>
      </c>
      <c r="U34" s="1029">
        <f t="shared" si="6"/>
        <v>73.405604128293845</v>
      </c>
      <c r="V34" s="1038">
        <f t="shared" si="7"/>
        <v>48.937069418862563</v>
      </c>
      <c r="X34" s="317">
        <f>'Baseline data (from input)'!AS21*'4A SWD Case 2'!$D$12</f>
        <v>2018.4739745641532</v>
      </c>
      <c r="Y34" s="1031">
        <f>Parameters!S136</f>
        <v>0.71500000000000008</v>
      </c>
      <c r="Z34" s="1031">
        <f t="shared" si="8"/>
        <v>0.2</v>
      </c>
      <c r="AA34" s="1029">
        <f t="shared" si="9"/>
        <v>144.32088918133698</v>
      </c>
      <c r="AB34" s="1029">
        <f t="shared" si="10"/>
        <v>144.32088918133698</v>
      </c>
      <c r="AC34" s="303">
        <f t="shared" si="11"/>
        <v>0</v>
      </c>
      <c r="AD34" s="1029">
        <f t="shared" si="12"/>
        <v>579.15750791315327</v>
      </c>
      <c r="AE34" s="1029">
        <f t="shared" si="13"/>
        <v>22.294550186823368</v>
      </c>
      <c r="AF34" s="1038">
        <f t="shared" si="14"/>
        <v>14.863033457882246</v>
      </c>
      <c r="AH34" s="317">
        <f>'Baseline data (from input)'!AS21*'4A SWD Case 2'!$D$12</f>
        <v>2018.4739745641532</v>
      </c>
      <c r="AI34" s="1031">
        <f>Parameters!S136</f>
        <v>0.71500000000000008</v>
      </c>
      <c r="AJ34" s="1031">
        <f t="shared" si="15"/>
        <v>0.2</v>
      </c>
      <c r="AK34" s="1029">
        <f t="shared" si="16"/>
        <v>144.32088918133698</v>
      </c>
      <c r="AL34" s="1029">
        <f t="shared" si="17"/>
        <v>144.32088918133698</v>
      </c>
      <c r="AM34" s="303">
        <f t="shared" si="18"/>
        <v>0</v>
      </c>
      <c r="AN34" s="1029">
        <f t="shared" si="19"/>
        <v>579.15750791315327</v>
      </c>
      <c r="AO34" s="1029">
        <f t="shared" si="20"/>
        <v>22.294550186823368</v>
      </c>
      <c r="AP34" s="1038">
        <f t="shared" si="21"/>
        <v>14.863033457882246</v>
      </c>
      <c r="AR34" s="1037">
        <v>0</v>
      </c>
      <c r="AS34" s="1030">
        <v>1</v>
      </c>
      <c r="AT34" s="1030">
        <f t="shared" si="22"/>
        <v>0.05</v>
      </c>
      <c r="AU34" s="1029">
        <f t="shared" si="23"/>
        <v>0</v>
      </c>
      <c r="AV34" s="1029">
        <f t="shared" si="24"/>
        <v>0</v>
      </c>
      <c r="AW34" s="303">
        <f t="shared" si="25"/>
        <v>0</v>
      </c>
      <c r="AX34" s="1045">
        <f t="shared" si="26"/>
        <v>0</v>
      </c>
      <c r="AY34" s="1045">
        <f t="shared" si="27"/>
        <v>0</v>
      </c>
      <c r="AZ34" s="1038">
        <f t="shared" si="28"/>
        <v>0</v>
      </c>
      <c r="BB34" s="317">
        <f t="shared" si="29"/>
        <v>48.937069418862563</v>
      </c>
      <c r="BC34" s="318">
        <f t="shared" si="30"/>
        <v>14.863033457882246</v>
      </c>
      <c r="BD34" s="1214">
        <f t="shared" si="31"/>
        <v>0</v>
      </c>
      <c r="BE34" s="318">
        <f t="shared" si="32"/>
        <v>63.800102876744809</v>
      </c>
      <c r="BF34" s="104">
        <v>0</v>
      </c>
      <c r="BG34" s="319">
        <f t="shared" si="33"/>
        <v>63.800102876744809</v>
      </c>
      <c r="BI34" s="317">
        <f t="shared" si="34"/>
        <v>48.937069418862563</v>
      </c>
      <c r="BJ34" s="318">
        <f t="shared" si="35"/>
        <v>14.863033457882246</v>
      </c>
      <c r="BK34" s="1214">
        <f t="shared" si="36"/>
        <v>0</v>
      </c>
      <c r="BL34" s="318">
        <f t="shared" si="37"/>
        <v>63.800102876744809</v>
      </c>
      <c r="BM34" s="104">
        <v>0</v>
      </c>
      <c r="BN34" s="319">
        <f t="shared" si="38"/>
        <v>63.800102876744809</v>
      </c>
    </row>
    <row r="35" spans="1:66">
      <c r="A35" s="127">
        <f>'Input data'!A66</f>
        <v>1966</v>
      </c>
      <c r="B35" s="988">
        <f>'Input data'!B66</f>
        <v>8.7407319999999995</v>
      </c>
      <c r="C35" s="988">
        <f>'Baseline data (from input)'!B22</f>
        <v>578.73</v>
      </c>
      <c r="D35" s="899">
        <f>'Baseline data (from input)'!T22</f>
        <v>0.8</v>
      </c>
      <c r="E35" s="899">
        <f t="shared" si="39"/>
        <v>0.19892488097366726</v>
      </c>
      <c r="F35" s="899">
        <f t="shared" si="0"/>
        <v>0.26585903447659598</v>
      </c>
      <c r="G35" s="899">
        <f t="shared" si="0"/>
        <v>8.9228108703258049E-2</v>
      </c>
      <c r="H35" s="899">
        <f t="shared" si="0"/>
        <v>0</v>
      </c>
      <c r="I35" s="899">
        <f t="shared" si="0"/>
        <v>0</v>
      </c>
      <c r="J35" s="899">
        <f t="shared" si="0"/>
        <v>0</v>
      </c>
      <c r="K35" s="899">
        <f t="shared" si="0"/>
        <v>0.4459879758464787</v>
      </c>
      <c r="L35" s="996">
        <f t="shared" si="40"/>
        <v>1</v>
      </c>
      <c r="N35" s="317">
        <f t="shared" si="1"/>
        <v>4046.8190642879999</v>
      </c>
      <c r="O35" s="1031">
        <f>Parameters!R137</f>
        <v>0.73</v>
      </c>
      <c r="P35" s="1031">
        <f>E35*'MSW characteristics'!$B$28+'MSW characteristics'!$B$29*'4A SWD Case 2'!F35+'4A SWD Case 2'!G35*'MSW characteristics'!$B$30+'MSW characteristics'!$B$31*'4A SWD Case 2'!H35+'4A SWD Case 2'!I35*'MSW characteristics'!$B$32+'MSW characteristics'!$B$33*'4A SWD Case 2'!J35+'4A SWD Case 2'!K35*'MSW characteristics'!$B$35</f>
        <v>0.11870178252267252</v>
      </c>
      <c r="Q35" s="1029">
        <f t="shared" si="2"/>
        <v>175.33309231436752</v>
      </c>
      <c r="R35" s="1029">
        <f t="shared" si="3"/>
        <v>175.33309231436752</v>
      </c>
      <c r="S35" s="303">
        <f t="shared" si="4"/>
        <v>0</v>
      </c>
      <c r="T35" s="1029">
        <f t="shared" si="5"/>
        <v>1698.9236711468957</v>
      </c>
      <c r="U35" s="1029">
        <f t="shared" si="6"/>
        <v>78.116159404924787</v>
      </c>
      <c r="V35" s="1038">
        <f t="shared" si="7"/>
        <v>52.077439603283189</v>
      </c>
      <c r="X35" s="317">
        <f>'Baseline data (from input)'!AS22*'4A SWD Case 2'!$D$12</f>
        <v>2108.0600718444775</v>
      </c>
      <c r="Y35" s="1031">
        <f>Parameters!S137</f>
        <v>0.71500000000000008</v>
      </c>
      <c r="Z35" s="1031">
        <f t="shared" si="8"/>
        <v>0.2</v>
      </c>
      <c r="AA35" s="1029">
        <f t="shared" si="9"/>
        <v>150.72629513688017</v>
      </c>
      <c r="AB35" s="1029">
        <f t="shared" si="10"/>
        <v>150.72629513688017</v>
      </c>
      <c r="AC35" s="303">
        <f t="shared" si="11"/>
        <v>0</v>
      </c>
      <c r="AD35" s="1029">
        <f t="shared" si="12"/>
        <v>701.63795808437669</v>
      </c>
      <c r="AE35" s="1029">
        <f t="shared" si="13"/>
        <v>28.245844965656762</v>
      </c>
      <c r="AF35" s="1038">
        <f t="shared" si="14"/>
        <v>18.830563310437842</v>
      </c>
      <c r="AH35" s="317">
        <f>'Baseline data (from input)'!AS22*'4A SWD Case 2'!$D$12</f>
        <v>2108.0600718444775</v>
      </c>
      <c r="AI35" s="1031">
        <f>Parameters!S137</f>
        <v>0.71500000000000008</v>
      </c>
      <c r="AJ35" s="1031">
        <f t="shared" si="15"/>
        <v>0.2</v>
      </c>
      <c r="AK35" s="1029">
        <f t="shared" si="16"/>
        <v>150.72629513688017</v>
      </c>
      <c r="AL35" s="1029">
        <f t="shared" si="17"/>
        <v>150.72629513688017</v>
      </c>
      <c r="AM35" s="303">
        <f t="shared" si="18"/>
        <v>0</v>
      </c>
      <c r="AN35" s="1029">
        <f t="shared" si="19"/>
        <v>701.63795808437669</v>
      </c>
      <c r="AO35" s="1029">
        <f t="shared" si="20"/>
        <v>28.245844965656762</v>
      </c>
      <c r="AP35" s="1038">
        <f t="shared" si="21"/>
        <v>18.830563310437842</v>
      </c>
      <c r="AR35" s="1037">
        <v>0</v>
      </c>
      <c r="AS35" s="1030">
        <v>1</v>
      </c>
      <c r="AT35" s="1030">
        <f t="shared" si="22"/>
        <v>0.05</v>
      </c>
      <c r="AU35" s="1029">
        <f t="shared" si="23"/>
        <v>0</v>
      </c>
      <c r="AV35" s="1029">
        <f t="shared" si="24"/>
        <v>0</v>
      </c>
      <c r="AW35" s="303">
        <f t="shared" si="25"/>
        <v>0</v>
      </c>
      <c r="AX35" s="1045">
        <f t="shared" si="26"/>
        <v>0</v>
      </c>
      <c r="AY35" s="1045">
        <f t="shared" si="27"/>
        <v>0</v>
      </c>
      <c r="AZ35" s="1038">
        <f t="shared" si="28"/>
        <v>0</v>
      </c>
      <c r="BB35" s="317">
        <f t="shared" si="29"/>
        <v>52.077439603283189</v>
      </c>
      <c r="BC35" s="318">
        <f t="shared" si="30"/>
        <v>18.830563310437842</v>
      </c>
      <c r="BD35" s="1214">
        <f t="shared" si="31"/>
        <v>0</v>
      </c>
      <c r="BE35" s="318">
        <f t="shared" si="32"/>
        <v>70.908002913721035</v>
      </c>
      <c r="BF35" s="104">
        <v>0</v>
      </c>
      <c r="BG35" s="319">
        <f t="shared" si="33"/>
        <v>70.908002913721035</v>
      </c>
      <c r="BI35" s="317">
        <f t="shared" si="34"/>
        <v>52.077439603283189</v>
      </c>
      <c r="BJ35" s="318">
        <f t="shared" si="35"/>
        <v>18.830563310437842</v>
      </c>
      <c r="BK35" s="1214">
        <f t="shared" si="36"/>
        <v>0</v>
      </c>
      <c r="BL35" s="318">
        <f t="shared" si="37"/>
        <v>70.908002913721035</v>
      </c>
      <c r="BM35" s="104">
        <v>0</v>
      </c>
      <c r="BN35" s="319">
        <f t="shared" si="38"/>
        <v>70.908002913721035</v>
      </c>
    </row>
    <row r="36" spans="1:66">
      <c r="A36" s="127">
        <f>'Input data'!A67</f>
        <v>1967</v>
      </c>
      <c r="B36" s="988">
        <f>'Input data'!B67</f>
        <v>9.0098299199999996</v>
      </c>
      <c r="C36" s="988">
        <f>'Baseline data (from input)'!B23</f>
        <v>578.73</v>
      </c>
      <c r="D36" s="899">
        <f>'Baseline data (from input)'!T23</f>
        <v>0.8</v>
      </c>
      <c r="E36" s="899">
        <f t="shared" si="39"/>
        <v>0.19892488097366726</v>
      </c>
      <c r="F36" s="899">
        <f t="shared" si="39"/>
        <v>0.26585903447659598</v>
      </c>
      <c r="G36" s="899">
        <f t="shared" si="39"/>
        <v>8.9228108703258049E-2</v>
      </c>
      <c r="H36" s="899">
        <f t="shared" si="39"/>
        <v>0</v>
      </c>
      <c r="I36" s="899">
        <f t="shared" si="39"/>
        <v>0</v>
      </c>
      <c r="J36" s="899">
        <f t="shared" si="39"/>
        <v>0</v>
      </c>
      <c r="K36" s="899">
        <f t="shared" si="39"/>
        <v>0.4459879758464787</v>
      </c>
      <c r="L36" s="996">
        <f t="shared" si="40"/>
        <v>1</v>
      </c>
      <c r="N36" s="317">
        <f t="shared" si="1"/>
        <v>4171.4070956812802</v>
      </c>
      <c r="O36" s="1031">
        <f>Parameters!R138</f>
        <v>0.73</v>
      </c>
      <c r="P36" s="1031">
        <f>E36*'MSW characteristics'!$B$28+'MSW characteristics'!$B$29*'4A SWD Case 2'!F36+'4A SWD Case 2'!G36*'MSW characteristics'!$B$30+'MSW characteristics'!$B$31*'4A SWD Case 2'!H36+'4A SWD Case 2'!I36*'MSW characteristics'!$B$32+'MSW characteristics'!$B$33*'4A SWD Case 2'!J36+'4A SWD Case 2'!K36*'MSW characteristics'!$B$35</f>
        <v>0.11870178252267252</v>
      </c>
      <c r="Q36" s="1029">
        <f t="shared" si="2"/>
        <v>180.73101212805869</v>
      </c>
      <c r="R36" s="1029">
        <f t="shared" si="3"/>
        <v>180.73101212805869</v>
      </c>
      <c r="S36" s="303">
        <f t="shared" si="4"/>
        <v>0</v>
      </c>
      <c r="T36" s="1029">
        <f t="shared" si="5"/>
        <v>1796.7971981037606</v>
      </c>
      <c r="U36" s="1029">
        <f t="shared" si="6"/>
        <v>82.857485171193787</v>
      </c>
      <c r="V36" s="1038">
        <f t="shared" si="7"/>
        <v>55.238323447462527</v>
      </c>
      <c r="X36" s="317">
        <f>'Baseline data (from input)'!AS23*'4A SWD Case 2'!$D$12</f>
        <v>2259.7682157966651</v>
      </c>
      <c r="Y36" s="1031">
        <f>Parameters!S138</f>
        <v>0.71500000000000008</v>
      </c>
      <c r="Z36" s="1031">
        <f t="shared" si="8"/>
        <v>0.2</v>
      </c>
      <c r="AA36" s="1029">
        <f t="shared" si="9"/>
        <v>161.57342742946159</v>
      </c>
      <c r="AB36" s="1029">
        <f t="shared" si="10"/>
        <v>161.57342742946159</v>
      </c>
      <c r="AC36" s="303">
        <f t="shared" si="11"/>
        <v>0</v>
      </c>
      <c r="AD36" s="1029">
        <f t="shared" si="12"/>
        <v>828.99209850591933</v>
      </c>
      <c r="AE36" s="1029">
        <f t="shared" si="13"/>
        <v>34.21928700791895</v>
      </c>
      <c r="AF36" s="1038">
        <f t="shared" si="14"/>
        <v>22.812858005279299</v>
      </c>
      <c r="AH36" s="317">
        <f>'Baseline data (from input)'!AS23*'4A SWD Case 2'!$D$12</f>
        <v>2259.7682157966651</v>
      </c>
      <c r="AI36" s="1031">
        <f>Parameters!S138</f>
        <v>0.71500000000000008</v>
      </c>
      <c r="AJ36" s="1031">
        <f t="shared" si="15"/>
        <v>0.2</v>
      </c>
      <c r="AK36" s="1029">
        <f t="shared" si="16"/>
        <v>161.57342742946159</v>
      </c>
      <c r="AL36" s="1029">
        <f t="shared" si="17"/>
        <v>161.57342742946159</v>
      </c>
      <c r="AM36" s="303">
        <f t="shared" si="18"/>
        <v>0</v>
      </c>
      <c r="AN36" s="1029">
        <f t="shared" si="19"/>
        <v>828.99209850591933</v>
      </c>
      <c r="AO36" s="1029">
        <f t="shared" si="20"/>
        <v>34.21928700791895</v>
      </c>
      <c r="AP36" s="1038">
        <f t="shared" si="21"/>
        <v>22.812858005279299</v>
      </c>
      <c r="AR36" s="1037">
        <v>0</v>
      </c>
      <c r="AS36" s="1030">
        <v>1</v>
      </c>
      <c r="AT36" s="1030">
        <f t="shared" si="22"/>
        <v>0.05</v>
      </c>
      <c r="AU36" s="1029">
        <f t="shared" si="23"/>
        <v>0</v>
      </c>
      <c r="AV36" s="1029">
        <f t="shared" si="24"/>
        <v>0</v>
      </c>
      <c r="AW36" s="303">
        <f t="shared" si="25"/>
        <v>0</v>
      </c>
      <c r="AX36" s="1045">
        <f t="shared" si="26"/>
        <v>0</v>
      </c>
      <c r="AY36" s="1045">
        <f t="shared" si="27"/>
        <v>0</v>
      </c>
      <c r="AZ36" s="1038">
        <f t="shared" si="28"/>
        <v>0</v>
      </c>
      <c r="BB36" s="317">
        <f t="shared" si="29"/>
        <v>55.238323447462527</v>
      </c>
      <c r="BC36" s="318">
        <f t="shared" si="30"/>
        <v>22.812858005279299</v>
      </c>
      <c r="BD36" s="1214">
        <f t="shared" si="31"/>
        <v>0</v>
      </c>
      <c r="BE36" s="318">
        <f t="shared" si="32"/>
        <v>78.05118145274183</v>
      </c>
      <c r="BF36" s="104">
        <v>0</v>
      </c>
      <c r="BG36" s="319">
        <f t="shared" si="33"/>
        <v>78.05118145274183</v>
      </c>
      <c r="BI36" s="317">
        <f t="shared" si="34"/>
        <v>55.238323447462527</v>
      </c>
      <c r="BJ36" s="318">
        <f t="shared" si="35"/>
        <v>22.812858005279299</v>
      </c>
      <c r="BK36" s="1214">
        <f t="shared" si="36"/>
        <v>0</v>
      </c>
      <c r="BL36" s="318">
        <f t="shared" si="37"/>
        <v>78.05118145274183</v>
      </c>
      <c r="BM36" s="104">
        <v>0</v>
      </c>
      <c r="BN36" s="319">
        <f t="shared" si="38"/>
        <v>78.05118145274183</v>
      </c>
    </row>
    <row r="37" spans="1:66">
      <c r="A37" s="127">
        <f>'Input data'!A68</f>
        <v>1968</v>
      </c>
      <c r="B37" s="988">
        <f>'Input data'!B68</f>
        <v>9.2808861600000014</v>
      </c>
      <c r="C37" s="988">
        <f>'Baseline data (from input)'!B24</f>
        <v>578.73</v>
      </c>
      <c r="D37" s="899">
        <f>'Baseline data (from input)'!T24</f>
        <v>0.8</v>
      </c>
      <c r="E37" s="899">
        <f t="shared" ref="E37:K52" si="41">E36</f>
        <v>0.19892488097366726</v>
      </c>
      <c r="F37" s="899">
        <f t="shared" si="41"/>
        <v>0.26585903447659598</v>
      </c>
      <c r="G37" s="899">
        <f t="shared" si="41"/>
        <v>8.9228108703258049E-2</v>
      </c>
      <c r="H37" s="899">
        <f t="shared" si="41"/>
        <v>0</v>
      </c>
      <c r="I37" s="899">
        <f t="shared" si="41"/>
        <v>0</v>
      </c>
      <c r="J37" s="899">
        <f t="shared" si="41"/>
        <v>0</v>
      </c>
      <c r="K37" s="899">
        <f t="shared" si="41"/>
        <v>0.4459879758464787</v>
      </c>
      <c r="L37" s="996">
        <f t="shared" si="40"/>
        <v>1</v>
      </c>
      <c r="N37" s="317">
        <f t="shared" si="1"/>
        <v>4296.9017979014416</v>
      </c>
      <c r="O37" s="1031">
        <f>Parameters!R139</f>
        <v>0.73</v>
      </c>
      <c r="P37" s="1031">
        <f>E37*'MSW characteristics'!$B$28+'MSW characteristics'!$B$29*'4A SWD Case 2'!F37+'4A SWD Case 2'!G37*'MSW characteristics'!$B$30+'MSW characteristics'!$B$31*'4A SWD Case 2'!H37+'4A SWD Case 2'!I37*'MSW characteristics'!$B$32+'MSW characteristics'!$B$33*'4A SWD Case 2'!J37+'4A SWD Case 2'!K37*'MSW characteristics'!$B$35</f>
        <v>0.11870178252267252</v>
      </c>
      <c r="Q37" s="1029">
        <f t="shared" si="2"/>
        <v>186.16821449855877</v>
      </c>
      <c r="R37" s="1029">
        <f t="shared" si="3"/>
        <v>186.16821449855877</v>
      </c>
      <c r="S37" s="303">
        <f t="shared" si="4"/>
        <v>0</v>
      </c>
      <c r="T37" s="1029">
        <f t="shared" si="5"/>
        <v>1895.3345791952943</v>
      </c>
      <c r="U37" s="1029">
        <f t="shared" si="6"/>
        <v>87.630833407024966</v>
      </c>
      <c r="V37" s="1038">
        <f t="shared" si="7"/>
        <v>58.420555604683308</v>
      </c>
      <c r="X37" s="317">
        <f>'Baseline data (from input)'!AS24*'4A SWD Case 2'!$D$12</f>
        <v>2353.6264415640917</v>
      </c>
      <c r="Y37" s="1031">
        <f>Parameters!S139</f>
        <v>0.71500000000000008</v>
      </c>
      <c r="Z37" s="1031">
        <f t="shared" si="8"/>
        <v>0.2</v>
      </c>
      <c r="AA37" s="1029">
        <f t="shared" si="9"/>
        <v>168.28429057183257</v>
      </c>
      <c r="AB37" s="1029">
        <f t="shared" si="10"/>
        <v>168.28429057183257</v>
      </c>
      <c r="AC37" s="303">
        <f t="shared" si="11"/>
        <v>0</v>
      </c>
      <c r="AD37" s="1029">
        <f t="shared" si="12"/>
        <v>956.84596734925742</v>
      </c>
      <c r="AE37" s="1029">
        <f t="shared" si="13"/>
        <v>40.430421728494466</v>
      </c>
      <c r="AF37" s="1038">
        <f t="shared" si="14"/>
        <v>26.953614485662978</v>
      </c>
      <c r="AH37" s="317">
        <f>'Baseline data (from input)'!AS24*'4A SWD Case 2'!$D$12</f>
        <v>2353.6264415640917</v>
      </c>
      <c r="AI37" s="1031">
        <f>Parameters!S139</f>
        <v>0.71500000000000008</v>
      </c>
      <c r="AJ37" s="1031">
        <f t="shared" si="15"/>
        <v>0.2</v>
      </c>
      <c r="AK37" s="1029">
        <f t="shared" si="16"/>
        <v>168.28429057183257</v>
      </c>
      <c r="AL37" s="1029">
        <f t="shared" si="17"/>
        <v>168.28429057183257</v>
      </c>
      <c r="AM37" s="303">
        <f t="shared" si="18"/>
        <v>0</v>
      </c>
      <c r="AN37" s="1029">
        <f t="shared" si="19"/>
        <v>956.84596734925742</v>
      </c>
      <c r="AO37" s="1029">
        <f t="shared" si="20"/>
        <v>40.430421728494466</v>
      </c>
      <c r="AP37" s="1038">
        <f t="shared" si="21"/>
        <v>26.953614485662978</v>
      </c>
      <c r="AR37" s="1037">
        <v>0</v>
      </c>
      <c r="AS37" s="1030">
        <v>1</v>
      </c>
      <c r="AT37" s="1030">
        <f t="shared" si="22"/>
        <v>0.05</v>
      </c>
      <c r="AU37" s="1029">
        <f t="shared" si="23"/>
        <v>0</v>
      </c>
      <c r="AV37" s="1029">
        <f t="shared" si="24"/>
        <v>0</v>
      </c>
      <c r="AW37" s="303">
        <f t="shared" si="25"/>
        <v>0</v>
      </c>
      <c r="AX37" s="1045">
        <f t="shared" si="26"/>
        <v>0</v>
      </c>
      <c r="AY37" s="1045">
        <f t="shared" si="27"/>
        <v>0</v>
      </c>
      <c r="AZ37" s="1038">
        <f t="shared" si="28"/>
        <v>0</v>
      </c>
      <c r="BB37" s="317">
        <f t="shared" si="29"/>
        <v>58.420555604683308</v>
      </c>
      <c r="BC37" s="318">
        <f t="shared" si="30"/>
        <v>26.953614485662978</v>
      </c>
      <c r="BD37" s="1214">
        <f t="shared" si="31"/>
        <v>0</v>
      </c>
      <c r="BE37" s="318">
        <f t="shared" si="32"/>
        <v>85.374170090346283</v>
      </c>
      <c r="BF37" s="104">
        <v>0</v>
      </c>
      <c r="BG37" s="319">
        <f t="shared" si="33"/>
        <v>85.374170090346283</v>
      </c>
      <c r="BI37" s="317">
        <f t="shared" si="34"/>
        <v>58.420555604683308</v>
      </c>
      <c r="BJ37" s="318">
        <f t="shared" si="35"/>
        <v>26.953614485662978</v>
      </c>
      <c r="BK37" s="1214">
        <f t="shared" si="36"/>
        <v>0</v>
      </c>
      <c r="BL37" s="318">
        <f t="shared" si="37"/>
        <v>85.374170090346283</v>
      </c>
      <c r="BM37" s="104">
        <v>0</v>
      </c>
      <c r="BN37" s="319">
        <f t="shared" si="38"/>
        <v>85.374170090346283</v>
      </c>
    </row>
    <row r="38" spans="1:66">
      <c r="A38" s="127">
        <f>'Input data'!A69</f>
        <v>1969</v>
      </c>
      <c r="B38" s="988">
        <f>'Input data'!B69</f>
        <v>9.5539007199999997</v>
      </c>
      <c r="C38" s="988">
        <f>'Baseline data (from input)'!B25</f>
        <v>578.73</v>
      </c>
      <c r="D38" s="899">
        <f>'Baseline data (from input)'!T25</f>
        <v>0.8</v>
      </c>
      <c r="E38" s="899">
        <f t="shared" si="41"/>
        <v>0.19892488097366726</v>
      </c>
      <c r="F38" s="899">
        <f t="shared" si="41"/>
        <v>0.26585903447659598</v>
      </c>
      <c r="G38" s="899">
        <f t="shared" si="41"/>
        <v>8.9228108703258049E-2</v>
      </c>
      <c r="H38" s="899">
        <f t="shared" si="41"/>
        <v>0</v>
      </c>
      <c r="I38" s="899">
        <f t="shared" si="41"/>
        <v>0</v>
      </c>
      <c r="J38" s="899">
        <f t="shared" si="41"/>
        <v>0</v>
      </c>
      <c r="K38" s="899">
        <f t="shared" si="41"/>
        <v>0.4459879758464787</v>
      </c>
      <c r="L38" s="996">
        <f t="shared" si="40"/>
        <v>1</v>
      </c>
      <c r="N38" s="317">
        <f t="shared" si="1"/>
        <v>4423.3031709484803</v>
      </c>
      <c r="O38" s="1031">
        <f>Parameters!R140</f>
        <v>0.73</v>
      </c>
      <c r="P38" s="1031">
        <f>E38*'MSW characteristics'!$B$28+'MSW characteristics'!$B$29*'4A SWD Case 2'!F38+'4A SWD Case 2'!G38*'MSW characteristics'!$B$30+'MSW characteristics'!$B$31*'4A SWD Case 2'!H38+'4A SWD Case 2'!I38*'MSW characteristics'!$B$32+'MSW characteristics'!$B$33*'4A SWD Case 2'!J38+'4A SWD Case 2'!K38*'MSW characteristics'!$B$35</f>
        <v>0.11870178252267252</v>
      </c>
      <c r="Q38" s="1029">
        <f t="shared" si="2"/>
        <v>191.6446994258676</v>
      </c>
      <c r="R38" s="1029">
        <f t="shared" si="3"/>
        <v>191.6446994258676</v>
      </c>
      <c r="S38" s="303">
        <f t="shared" si="4"/>
        <v>0</v>
      </c>
      <c r="T38" s="1029">
        <f t="shared" si="5"/>
        <v>1994.5427204301104</v>
      </c>
      <c r="U38" s="1029">
        <f t="shared" si="6"/>
        <v>92.436558191051532</v>
      </c>
      <c r="V38" s="1038">
        <f t="shared" si="7"/>
        <v>61.624372127367685</v>
      </c>
      <c r="X38" s="317">
        <f>'Baseline data (from input)'!AS25*'4A SWD Case 2'!$D$12</f>
        <v>2464.6194777168885</v>
      </c>
      <c r="Y38" s="1031">
        <f>Parameters!S140</f>
        <v>0.71500000000000008</v>
      </c>
      <c r="Z38" s="1031">
        <f t="shared" si="8"/>
        <v>0.2</v>
      </c>
      <c r="AA38" s="1029">
        <f t="shared" si="9"/>
        <v>176.22029265675755</v>
      </c>
      <c r="AB38" s="1029">
        <f t="shared" si="10"/>
        <v>176.22029265675755</v>
      </c>
      <c r="AC38" s="303">
        <f t="shared" si="11"/>
        <v>0</v>
      </c>
      <c r="AD38" s="1029">
        <f t="shared" si="12"/>
        <v>1086.4003315142206</v>
      </c>
      <c r="AE38" s="1029">
        <f t="shared" si="13"/>
        <v>46.66592849179429</v>
      </c>
      <c r="AF38" s="1038">
        <f t="shared" si="14"/>
        <v>31.110618994529528</v>
      </c>
      <c r="AH38" s="317">
        <f>'Baseline data (from input)'!AS25*'4A SWD Case 2'!$D$12</f>
        <v>2464.6194777168885</v>
      </c>
      <c r="AI38" s="1031">
        <f>Parameters!S140</f>
        <v>0.71500000000000008</v>
      </c>
      <c r="AJ38" s="1031">
        <f t="shared" si="15"/>
        <v>0.2</v>
      </c>
      <c r="AK38" s="1029">
        <f t="shared" si="16"/>
        <v>176.22029265675755</v>
      </c>
      <c r="AL38" s="1029">
        <f t="shared" si="17"/>
        <v>176.22029265675755</v>
      </c>
      <c r="AM38" s="303">
        <f t="shared" si="18"/>
        <v>0</v>
      </c>
      <c r="AN38" s="1029">
        <f t="shared" si="19"/>
        <v>1086.4003315142206</v>
      </c>
      <c r="AO38" s="1029">
        <f t="shared" si="20"/>
        <v>46.66592849179429</v>
      </c>
      <c r="AP38" s="1038">
        <f t="shared" si="21"/>
        <v>31.110618994529528</v>
      </c>
      <c r="AR38" s="1037">
        <v>0</v>
      </c>
      <c r="AS38" s="1030">
        <v>1</v>
      </c>
      <c r="AT38" s="1030">
        <f t="shared" si="22"/>
        <v>0.05</v>
      </c>
      <c r="AU38" s="1029">
        <f t="shared" si="23"/>
        <v>0</v>
      </c>
      <c r="AV38" s="1029">
        <f t="shared" si="24"/>
        <v>0</v>
      </c>
      <c r="AW38" s="303">
        <f t="shared" si="25"/>
        <v>0</v>
      </c>
      <c r="AX38" s="1045">
        <f t="shared" si="26"/>
        <v>0</v>
      </c>
      <c r="AY38" s="1045">
        <f t="shared" si="27"/>
        <v>0</v>
      </c>
      <c r="AZ38" s="1038">
        <f t="shared" si="28"/>
        <v>0</v>
      </c>
      <c r="BB38" s="317">
        <f t="shared" si="29"/>
        <v>61.624372127367685</v>
      </c>
      <c r="BC38" s="318">
        <f t="shared" si="30"/>
        <v>31.110618994529528</v>
      </c>
      <c r="BD38" s="1214">
        <f t="shared" si="31"/>
        <v>0</v>
      </c>
      <c r="BE38" s="318">
        <f t="shared" si="32"/>
        <v>92.73499112189721</v>
      </c>
      <c r="BF38" s="104">
        <v>0</v>
      </c>
      <c r="BG38" s="319">
        <f t="shared" si="33"/>
        <v>92.73499112189721</v>
      </c>
      <c r="BI38" s="317">
        <f t="shared" si="34"/>
        <v>61.624372127367685</v>
      </c>
      <c r="BJ38" s="318">
        <f t="shared" si="35"/>
        <v>31.110618994529528</v>
      </c>
      <c r="BK38" s="1214">
        <f t="shared" si="36"/>
        <v>0</v>
      </c>
      <c r="BL38" s="318">
        <f t="shared" si="37"/>
        <v>92.73499112189721</v>
      </c>
      <c r="BM38" s="104">
        <v>0</v>
      </c>
      <c r="BN38" s="319">
        <f t="shared" si="38"/>
        <v>92.73499112189721</v>
      </c>
    </row>
    <row r="39" spans="1:66">
      <c r="A39" s="127">
        <f>'Input data'!A70</f>
        <v>1970</v>
      </c>
      <c r="B39" s="988">
        <f>'Input data'!B70</f>
        <v>9.8288735999999997</v>
      </c>
      <c r="C39" s="988">
        <f>'Baseline data (from input)'!B26</f>
        <v>578.73</v>
      </c>
      <c r="D39" s="899">
        <f>'Baseline data (from input)'!T26</f>
        <v>0.8</v>
      </c>
      <c r="E39" s="899">
        <f t="shared" si="41"/>
        <v>0.19892488097366726</v>
      </c>
      <c r="F39" s="899">
        <f t="shared" si="41"/>
        <v>0.26585903447659598</v>
      </c>
      <c r="G39" s="899">
        <f t="shared" si="41"/>
        <v>8.9228108703258049E-2</v>
      </c>
      <c r="H39" s="899">
        <f t="shared" si="41"/>
        <v>0</v>
      </c>
      <c r="I39" s="899">
        <f t="shared" si="41"/>
        <v>0</v>
      </c>
      <c r="J39" s="899">
        <f t="shared" si="41"/>
        <v>0</v>
      </c>
      <c r="K39" s="899">
        <f t="shared" si="41"/>
        <v>0.4459879758464787</v>
      </c>
      <c r="L39" s="996">
        <f t="shared" si="40"/>
        <v>1</v>
      </c>
      <c r="N39" s="317">
        <f t="shared" si="1"/>
        <v>4550.6112148224001</v>
      </c>
      <c r="O39" s="1031">
        <f>Parameters!R141</f>
        <v>0.73</v>
      </c>
      <c r="P39" s="1031">
        <f>E39*'MSW characteristics'!$B$28+'MSW characteristics'!$B$29*'4A SWD Case 2'!F39+'4A SWD Case 2'!G39*'MSW characteristics'!$B$30+'MSW characteristics'!$B$31*'4A SWD Case 2'!H39+'4A SWD Case 2'!I39*'MSW characteristics'!$B$32+'MSW characteristics'!$B$33*'4A SWD Case 2'!J39+'4A SWD Case 2'!K39*'MSW characteristics'!$B$35</f>
        <v>0.11870178252267252</v>
      </c>
      <c r="Q39" s="1029">
        <f t="shared" si="2"/>
        <v>197.16046690998536</v>
      </c>
      <c r="R39" s="1029">
        <f t="shared" si="3"/>
        <v>197.16046690998536</v>
      </c>
      <c r="S39" s="303">
        <f t="shared" si="4"/>
        <v>0</v>
      </c>
      <c r="T39" s="1029">
        <f t="shared" si="5"/>
        <v>2094.428191006808</v>
      </c>
      <c r="U39" s="1029">
        <f t="shared" si="6"/>
        <v>97.274996333287959</v>
      </c>
      <c r="V39" s="1038">
        <f t="shared" si="7"/>
        <v>64.849997555525306</v>
      </c>
      <c r="X39" s="317">
        <f>'Baseline data (from input)'!AS26*'4A SWD Case 2'!$D$12</f>
        <v>2593.9793227699874</v>
      </c>
      <c r="Y39" s="1031">
        <f>Parameters!S141</f>
        <v>0.71500000000000008</v>
      </c>
      <c r="Z39" s="1031">
        <f t="shared" si="8"/>
        <v>0.2</v>
      </c>
      <c r="AA39" s="1029">
        <f t="shared" si="9"/>
        <v>185.46952157805413</v>
      </c>
      <c r="AB39" s="1029">
        <f t="shared" si="10"/>
        <v>185.46952157805413</v>
      </c>
      <c r="AC39" s="303">
        <f t="shared" si="11"/>
        <v>0</v>
      </c>
      <c r="AD39" s="1029">
        <f t="shared" si="12"/>
        <v>1218.8854837017111</v>
      </c>
      <c r="AE39" s="1029">
        <f t="shared" si="13"/>
        <v>52.984369390563621</v>
      </c>
      <c r="AF39" s="1038">
        <f t="shared" si="14"/>
        <v>35.322912927042417</v>
      </c>
      <c r="AH39" s="317">
        <f>'Baseline data (from input)'!AS26*'4A SWD Case 2'!$D$12</f>
        <v>2593.9793227699874</v>
      </c>
      <c r="AI39" s="1031">
        <f>Parameters!S141</f>
        <v>0.71500000000000008</v>
      </c>
      <c r="AJ39" s="1031">
        <f t="shared" si="15"/>
        <v>0.2</v>
      </c>
      <c r="AK39" s="1029">
        <f t="shared" si="16"/>
        <v>185.46952157805413</v>
      </c>
      <c r="AL39" s="1029">
        <f t="shared" si="17"/>
        <v>185.46952157805413</v>
      </c>
      <c r="AM39" s="303">
        <f t="shared" si="18"/>
        <v>0</v>
      </c>
      <c r="AN39" s="1029">
        <f t="shared" si="19"/>
        <v>1218.8854837017111</v>
      </c>
      <c r="AO39" s="1029">
        <f t="shared" si="20"/>
        <v>52.984369390563621</v>
      </c>
      <c r="AP39" s="1038">
        <f t="shared" si="21"/>
        <v>35.322912927042417</v>
      </c>
      <c r="AR39" s="1037">
        <v>0</v>
      </c>
      <c r="AS39" s="1030">
        <v>1</v>
      </c>
      <c r="AT39" s="1030">
        <f t="shared" si="22"/>
        <v>0.05</v>
      </c>
      <c r="AU39" s="1029">
        <f t="shared" si="23"/>
        <v>0</v>
      </c>
      <c r="AV39" s="1029">
        <f t="shared" si="24"/>
        <v>0</v>
      </c>
      <c r="AW39" s="303">
        <f t="shared" si="25"/>
        <v>0</v>
      </c>
      <c r="AX39" s="1045">
        <f t="shared" si="26"/>
        <v>0</v>
      </c>
      <c r="AY39" s="1045">
        <f t="shared" si="27"/>
        <v>0</v>
      </c>
      <c r="AZ39" s="1038">
        <f t="shared" si="28"/>
        <v>0</v>
      </c>
      <c r="BB39" s="317">
        <f t="shared" si="29"/>
        <v>64.849997555525306</v>
      </c>
      <c r="BC39" s="318">
        <f t="shared" si="30"/>
        <v>35.322912927042417</v>
      </c>
      <c r="BD39" s="1214">
        <f t="shared" si="31"/>
        <v>0</v>
      </c>
      <c r="BE39" s="318">
        <f t="shared" si="32"/>
        <v>100.17291048256772</v>
      </c>
      <c r="BF39" s="104">
        <v>0</v>
      </c>
      <c r="BG39" s="319">
        <f t="shared" si="33"/>
        <v>100.17291048256772</v>
      </c>
      <c r="BI39" s="317">
        <f t="shared" si="34"/>
        <v>64.849997555525306</v>
      </c>
      <c r="BJ39" s="318">
        <f t="shared" si="35"/>
        <v>35.322912927042417</v>
      </c>
      <c r="BK39" s="1214">
        <f t="shared" si="36"/>
        <v>0</v>
      </c>
      <c r="BL39" s="318">
        <f t="shared" si="37"/>
        <v>100.17291048256772</v>
      </c>
      <c r="BM39" s="104">
        <v>0</v>
      </c>
      <c r="BN39" s="319">
        <f t="shared" si="38"/>
        <v>100.17291048256772</v>
      </c>
    </row>
    <row r="40" spans="1:66">
      <c r="A40" s="127">
        <f>'Input data'!A71</f>
        <v>1971</v>
      </c>
      <c r="B40" s="988">
        <f>'Input data'!B71</f>
        <v>20.567820000000001</v>
      </c>
      <c r="C40" s="988">
        <f>'Baseline data (from input)'!B27</f>
        <v>578.73</v>
      </c>
      <c r="D40" s="899">
        <f>'Baseline data (from input)'!T27</f>
        <v>0.8</v>
      </c>
      <c r="E40" s="899">
        <f t="shared" si="41"/>
        <v>0.19892488097366726</v>
      </c>
      <c r="F40" s="899">
        <f t="shared" si="41"/>
        <v>0.26585903447659598</v>
      </c>
      <c r="G40" s="899">
        <f t="shared" si="41"/>
        <v>8.9228108703258049E-2</v>
      </c>
      <c r="H40" s="899">
        <f t="shared" si="41"/>
        <v>0</v>
      </c>
      <c r="I40" s="899">
        <f t="shared" si="41"/>
        <v>0</v>
      </c>
      <c r="J40" s="899">
        <f t="shared" si="41"/>
        <v>0</v>
      </c>
      <c r="K40" s="899">
        <f t="shared" si="41"/>
        <v>0.4459879758464787</v>
      </c>
      <c r="L40" s="996">
        <f t="shared" si="40"/>
        <v>1</v>
      </c>
      <c r="N40" s="317">
        <f t="shared" si="1"/>
        <v>9522.5715748800012</v>
      </c>
      <c r="O40" s="1031">
        <f>Parameters!R142</f>
        <v>0.73</v>
      </c>
      <c r="P40" s="1031">
        <f>E40*'MSW characteristics'!$B$28+'MSW characteristics'!$B$29*'4A SWD Case 2'!F40+'4A SWD Case 2'!G40*'MSW characteristics'!$B$30+'MSW characteristics'!$B$31*'4A SWD Case 2'!H40+'4A SWD Case 2'!I40*'MSW characteristics'!$B$32+'MSW characteristics'!$B$33*'4A SWD Case 2'!J40+'4A SWD Case 2'!K40*'MSW characteristics'!$B$35</f>
        <v>0.11870178252267252</v>
      </c>
      <c r="Q40" s="1029">
        <f t="shared" si="2"/>
        <v>412.57637035036601</v>
      </c>
      <c r="R40" s="1029">
        <f t="shared" si="3"/>
        <v>412.57637035036601</v>
      </c>
      <c r="S40" s="303">
        <f t="shared" si="4"/>
        <v>0</v>
      </c>
      <c r="T40" s="1029">
        <f t="shared" si="5"/>
        <v>2404.8580931398437</v>
      </c>
      <c r="U40" s="1029">
        <f t="shared" si="6"/>
        <v>102.14646821733049</v>
      </c>
      <c r="V40" s="1038">
        <f t="shared" si="7"/>
        <v>68.097645478220329</v>
      </c>
      <c r="X40" s="317">
        <f>'Baseline data (from input)'!AS27*'4A SWD Case 2'!$D$12</f>
        <v>2704.9749309256895</v>
      </c>
      <c r="Y40" s="1031">
        <f>Parameters!S142</f>
        <v>0.71500000000000008</v>
      </c>
      <c r="Z40" s="1031">
        <f t="shared" si="8"/>
        <v>0.2</v>
      </c>
      <c r="AA40" s="1029">
        <f t="shared" si="9"/>
        <v>193.40570756118683</v>
      </c>
      <c r="AB40" s="1029">
        <f t="shared" si="10"/>
        <v>193.40570756118683</v>
      </c>
      <c r="AC40" s="303">
        <f t="shared" si="11"/>
        <v>0</v>
      </c>
      <c r="AD40" s="1029">
        <f t="shared" si="12"/>
        <v>1352.8454447550398</v>
      </c>
      <c r="AE40" s="1029">
        <f t="shared" si="13"/>
        <v>59.445746507858019</v>
      </c>
      <c r="AF40" s="1038">
        <f t="shared" si="14"/>
        <v>39.630497671905346</v>
      </c>
      <c r="AH40" s="317">
        <f>'Baseline data (from input)'!AS27*'4A SWD Case 2'!$D$12</f>
        <v>2704.9749309256895</v>
      </c>
      <c r="AI40" s="1031">
        <f>Parameters!S142</f>
        <v>0.71500000000000008</v>
      </c>
      <c r="AJ40" s="1031">
        <f t="shared" si="15"/>
        <v>0.2</v>
      </c>
      <c r="AK40" s="1029">
        <f t="shared" si="16"/>
        <v>193.40570756118683</v>
      </c>
      <c r="AL40" s="1029">
        <f t="shared" si="17"/>
        <v>193.40570756118683</v>
      </c>
      <c r="AM40" s="303">
        <f t="shared" si="18"/>
        <v>0</v>
      </c>
      <c r="AN40" s="1029">
        <f t="shared" si="19"/>
        <v>1352.8454447550398</v>
      </c>
      <c r="AO40" s="1029">
        <f t="shared" si="20"/>
        <v>59.445746507858019</v>
      </c>
      <c r="AP40" s="1038">
        <f t="shared" si="21"/>
        <v>39.630497671905346</v>
      </c>
      <c r="AR40" s="1037">
        <v>0</v>
      </c>
      <c r="AS40" s="1030">
        <v>1</v>
      </c>
      <c r="AT40" s="1030">
        <f t="shared" si="22"/>
        <v>0.05</v>
      </c>
      <c r="AU40" s="1029">
        <f t="shared" si="23"/>
        <v>0</v>
      </c>
      <c r="AV40" s="1029">
        <f t="shared" si="24"/>
        <v>0</v>
      </c>
      <c r="AW40" s="303">
        <f t="shared" si="25"/>
        <v>0</v>
      </c>
      <c r="AX40" s="1045">
        <f t="shared" si="26"/>
        <v>0</v>
      </c>
      <c r="AY40" s="1045">
        <f t="shared" si="27"/>
        <v>0</v>
      </c>
      <c r="AZ40" s="1038">
        <f t="shared" si="28"/>
        <v>0</v>
      </c>
      <c r="BB40" s="317">
        <f t="shared" si="29"/>
        <v>68.097645478220329</v>
      </c>
      <c r="BC40" s="318">
        <f t="shared" si="30"/>
        <v>39.630497671905346</v>
      </c>
      <c r="BD40" s="1214">
        <f t="shared" si="31"/>
        <v>0</v>
      </c>
      <c r="BE40" s="318">
        <f t="shared" si="32"/>
        <v>107.72814315012567</v>
      </c>
      <c r="BF40" s="104">
        <v>0</v>
      </c>
      <c r="BG40" s="319">
        <f t="shared" si="33"/>
        <v>107.72814315012567</v>
      </c>
      <c r="BI40" s="317">
        <f t="shared" si="34"/>
        <v>68.097645478220329</v>
      </c>
      <c r="BJ40" s="318">
        <f t="shared" si="35"/>
        <v>39.630497671905346</v>
      </c>
      <c r="BK40" s="1214">
        <f t="shared" si="36"/>
        <v>0</v>
      </c>
      <c r="BL40" s="318">
        <f t="shared" si="37"/>
        <v>107.72814315012567</v>
      </c>
      <c r="BM40" s="104">
        <v>0</v>
      </c>
      <c r="BN40" s="319">
        <f t="shared" si="38"/>
        <v>107.72814315012567</v>
      </c>
    </row>
    <row r="41" spans="1:66">
      <c r="A41" s="127">
        <f>'Input data'!A72</f>
        <v>1972</v>
      </c>
      <c r="B41" s="988">
        <f>'Input data'!B72</f>
        <v>21.04466</v>
      </c>
      <c r="C41" s="988">
        <f>'Baseline data (from input)'!B28</f>
        <v>578.73</v>
      </c>
      <c r="D41" s="899">
        <f>'Baseline data (from input)'!T28</f>
        <v>0.8</v>
      </c>
      <c r="E41" s="899">
        <f t="shared" si="41"/>
        <v>0.19892488097366726</v>
      </c>
      <c r="F41" s="899">
        <f t="shared" si="41"/>
        <v>0.26585903447659598</v>
      </c>
      <c r="G41" s="899">
        <f t="shared" si="41"/>
        <v>8.9228108703258049E-2</v>
      </c>
      <c r="H41" s="899">
        <f t="shared" si="41"/>
        <v>0</v>
      </c>
      <c r="I41" s="899">
        <f t="shared" si="41"/>
        <v>0</v>
      </c>
      <c r="J41" s="899">
        <f t="shared" si="41"/>
        <v>0</v>
      </c>
      <c r="K41" s="899">
        <f t="shared" si="41"/>
        <v>0.4459879758464787</v>
      </c>
      <c r="L41" s="996">
        <f t="shared" si="40"/>
        <v>1</v>
      </c>
      <c r="N41" s="317">
        <f t="shared" si="1"/>
        <v>9743.3408654400009</v>
      </c>
      <c r="O41" s="1031">
        <f>Parameters!R143</f>
        <v>0.73</v>
      </c>
      <c r="P41" s="1031">
        <f>E41*'MSW characteristics'!$B$28+'MSW characteristics'!$B$29*'4A SWD Case 2'!F41+'4A SWD Case 2'!G41*'MSW characteristics'!$B$30+'MSW characteristics'!$B$31*'4A SWD Case 2'!H41+'4A SWD Case 2'!I41*'MSW characteristics'!$B$32+'MSW characteristics'!$B$33*'4A SWD Case 2'!J41+'4A SWD Case 2'!K41*'MSW characteristics'!$B$35</f>
        <v>0.11870178252267252</v>
      </c>
      <c r="Q41" s="1029">
        <f t="shared" si="2"/>
        <v>422.14145388561025</v>
      </c>
      <c r="R41" s="1029">
        <f t="shared" si="3"/>
        <v>422.14145388561025</v>
      </c>
      <c r="S41" s="303">
        <f t="shared" si="4"/>
        <v>0</v>
      </c>
      <c r="T41" s="1029">
        <f t="shared" si="5"/>
        <v>2709.7132338289084</v>
      </c>
      <c r="U41" s="1029">
        <f t="shared" si="6"/>
        <v>117.28631319654568</v>
      </c>
      <c r="V41" s="1038">
        <f t="shared" si="7"/>
        <v>78.190875464363785</v>
      </c>
      <c r="X41" s="317">
        <f>'Baseline data (from input)'!AS28*'4A SWD Case 2'!$D$12</f>
        <v>2749.7358293012139</v>
      </c>
      <c r="Y41" s="1031">
        <f>Parameters!S143</f>
        <v>0.71500000000000008</v>
      </c>
      <c r="Z41" s="1031">
        <f t="shared" si="8"/>
        <v>0.2</v>
      </c>
      <c r="AA41" s="1029">
        <f t="shared" si="9"/>
        <v>196.60611179503681</v>
      </c>
      <c r="AB41" s="1029">
        <f t="shared" si="10"/>
        <v>196.60611179503681</v>
      </c>
      <c r="AC41" s="303">
        <f t="shared" si="11"/>
        <v>0</v>
      </c>
      <c r="AD41" s="1029">
        <f t="shared" si="12"/>
        <v>1483.472505647786</v>
      </c>
      <c r="AE41" s="1029">
        <f t="shared" si="13"/>
        <v>65.979050902290794</v>
      </c>
      <c r="AF41" s="1038">
        <f t="shared" si="14"/>
        <v>43.986033934860529</v>
      </c>
      <c r="AH41" s="317">
        <f>'Baseline data (from input)'!AS28*'4A SWD Case 2'!$D$12</f>
        <v>2749.7358293012139</v>
      </c>
      <c r="AI41" s="1031">
        <f>Parameters!S143</f>
        <v>0.71500000000000008</v>
      </c>
      <c r="AJ41" s="1031">
        <f t="shared" si="15"/>
        <v>0.2</v>
      </c>
      <c r="AK41" s="1029">
        <f t="shared" si="16"/>
        <v>196.60611179503681</v>
      </c>
      <c r="AL41" s="1029">
        <f t="shared" si="17"/>
        <v>196.60611179503681</v>
      </c>
      <c r="AM41" s="303">
        <f t="shared" si="18"/>
        <v>0</v>
      </c>
      <c r="AN41" s="1029">
        <f t="shared" si="19"/>
        <v>1483.472505647786</v>
      </c>
      <c r="AO41" s="1029">
        <f t="shared" si="20"/>
        <v>65.979050902290794</v>
      </c>
      <c r="AP41" s="1038">
        <f t="shared" si="21"/>
        <v>43.986033934860529</v>
      </c>
      <c r="AR41" s="1037">
        <v>0</v>
      </c>
      <c r="AS41" s="1030">
        <v>1</v>
      </c>
      <c r="AT41" s="1030">
        <f t="shared" si="22"/>
        <v>0.05</v>
      </c>
      <c r="AU41" s="1029">
        <f t="shared" si="23"/>
        <v>0</v>
      </c>
      <c r="AV41" s="1029">
        <f t="shared" si="24"/>
        <v>0</v>
      </c>
      <c r="AW41" s="303">
        <f t="shared" si="25"/>
        <v>0</v>
      </c>
      <c r="AX41" s="1045">
        <f t="shared" si="26"/>
        <v>0</v>
      </c>
      <c r="AY41" s="1045">
        <f t="shared" si="27"/>
        <v>0</v>
      </c>
      <c r="AZ41" s="1038">
        <f t="shared" si="28"/>
        <v>0</v>
      </c>
      <c r="BB41" s="317">
        <f t="shared" si="29"/>
        <v>78.190875464363785</v>
      </c>
      <c r="BC41" s="318">
        <f t="shared" si="30"/>
        <v>43.986033934860529</v>
      </c>
      <c r="BD41" s="1214">
        <f t="shared" si="31"/>
        <v>0</v>
      </c>
      <c r="BE41" s="318">
        <f t="shared" si="32"/>
        <v>122.17690939922431</v>
      </c>
      <c r="BF41" s="104">
        <v>0</v>
      </c>
      <c r="BG41" s="319">
        <f t="shared" si="33"/>
        <v>122.17690939922431</v>
      </c>
      <c r="BI41" s="317">
        <f t="shared" si="34"/>
        <v>78.190875464363785</v>
      </c>
      <c r="BJ41" s="318">
        <f t="shared" si="35"/>
        <v>43.986033934860529</v>
      </c>
      <c r="BK41" s="1214">
        <f t="shared" si="36"/>
        <v>0</v>
      </c>
      <c r="BL41" s="318">
        <f t="shared" si="37"/>
        <v>122.17690939922431</v>
      </c>
      <c r="BM41" s="104">
        <v>0</v>
      </c>
      <c r="BN41" s="319">
        <f t="shared" si="38"/>
        <v>122.17690939922431</v>
      </c>
    </row>
    <row r="42" spans="1:66">
      <c r="A42" s="127">
        <f>'Input data'!A73</f>
        <v>1973</v>
      </c>
      <c r="B42" s="988">
        <f>'Input data'!B73</f>
        <v>21.526959999999999</v>
      </c>
      <c r="C42" s="988">
        <f>'Baseline data (from input)'!B29</f>
        <v>578.73</v>
      </c>
      <c r="D42" s="899">
        <f>'Baseline data (from input)'!T29</f>
        <v>0.8</v>
      </c>
      <c r="E42" s="899">
        <f t="shared" si="41"/>
        <v>0.19892488097366726</v>
      </c>
      <c r="F42" s="899">
        <f t="shared" si="41"/>
        <v>0.26585903447659598</v>
      </c>
      <c r="G42" s="899">
        <f t="shared" si="41"/>
        <v>8.9228108703258049E-2</v>
      </c>
      <c r="H42" s="899">
        <f t="shared" si="41"/>
        <v>0</v>
      </c>
      <c r="I42" s="899">
        <f t="shared" si="41"/>
        <v>0</v>
      </c>
      <c r="J42" s="899">
        <f t="shared" si="41"/>
        <v>0</v>
      </c>
      <c r="K42" s="899">
        <f t="shared" si="41"/>
        <v>0.4459879758464787</v>
      </c>
      <c r="L42" s="996">
        <f t="shared" si="40"/>
        <v>1</v>
      </c>
      <c r="N42" s="317">
        <f t="shared" si="1"/>
        <v>9966.6380486400012</v>
      </c>
      <c r="O42" s="1031">
        <f>Parameters!R144</f>
        <v>0.73</v>
      </c>
      <c r="P42" s="1031">
        <f>E42*'MSW characteristics'!$B$28+'MSW characteristics'!$B$29*'4A SWD Case 2'!F42+'4A SWD Case 2'!G42*'MSW characteristics'!$B$30+'MSW characteristics'!$B$31*'4A SWD Case 2'!H42+'4A SWD Case 2'!I42*'MSW characteristics'!$B$32+'MSW characteristics'!$B$33*'4A SWD Case 2'!J42+'4A SWD Case 2'!K42*'MSW characteristics'!$B$35</f>
        <v>0.11870178252267252</v>
      </c>
      <c r="Q42" s="1029">
        <f t="shared" si="2"/>
        <v>431.81606127812836</v>
      </c>
      <c r="R42" s="1029">
        <f t="shared" si="3"/>
        <v>431.81606127812836</v>
      </c>
      <c r="S42" s="303">
        <f t="shared" si="4"/>
        <v>0</v>
      </c>
      <c r="T42" s="1029">
        <f t="shared" si="5"/>
        <v>3009.3750212551699</v>
      </c>
      <c r="U42" s="1029">
        <f t="shared" si="6"/>
        <v>132.15427385186715</v>
      </c>
      <c r="V42" s="1038">
        <f t="shared" si="7"/>
        <v>88.102849234578102</v>
      </c>
      <c r="X42" s="317">
        <f>'Baseline data (from input)'!AS29*'4A SWD Case 2'!$D$12</f>
        <v>2875.4536912251474</v>
      </c>
      <c r="Y42" s="1031">
        <f>Parameters!S144</f>
        <v>0.71500000000000008</v>
      </c>
      <c r="Z42" s="1031">
        <f t="shared" si="8"/>
        <v>0.2</v>
      </c>
      <c r="AA42" s="1029">
        <f t="shared" si="9"/>
        <v>205.59493892259806</v>
      </c>
      <c r="AB42" s="1029">
        <f t="shared" si="10"/>
        <v>205.59493892259806</v>
      </c>
      <c r="AC42" s="303">
        <f t="shared" si="11"/>
        <v>0</v>
      </c>
      <c r="AD42" s="1029">
        <f t="shared" si="12"/>
        <v>1616.7176367325737</v>
      </c>
      <c r="AE42" s="1029">
        <f t="shared" si="13"/>
        <v>72.349807837810303</v>
      </c>
      <c r="AF42" s="1038">
        <f t="shared" si="14"/>
        <v>48.233205225206866</v>
      </c>
      <c r="AH42" s="317">
        <f>'Baseline data (from input)'!AS29*'4A SWD Case 2'!$D$12</f>
        <v>2875.4536912251474</v>
      </c>
      <c r="AI42" s="1031">
        <f>Parameters!S144</f>
        <v>0.71500000000000008</v>
      </c>
      <c r="AJ42" s="1031">
        <f t="shared" si="15"/>
        <v>0.2</v>
      </c>
      <c r="AK42" s="1029">
        <f t="shared" si="16"/>
        <v>205.59493892259806</v>
      </c>
      <c r="AL42" s="1029">
        <f t="shared" si="17"/>
        <v>205.59493892259806</v>
      </c>
      <c r="AM42" s="303">
        <f t="shared" si="18"/>
        <v>0</v>
      </c>
      <c r="AN42" s="1029">
        <f t="shared" si="19"/>
        <v>1616.7176367325737</v>
      </c>
      <c r="AO42" s="1029">
        <f t="shared" si="20"/>
        <v>72.349807837810303</v>
      </c>
      <c r="AP42" s="1038">
        <f t="shared" si="21"/>
        <v>48.233205225206866</v>
      </c>
      <c r="AR42" s="1037">
        <v>0</v>
      </c>
      <c r="AS42" s="1030">
        <v>1</v>
      </c>
      <c r="AT42" s="1030">
        <f t="shared" si="22"/>
        <v>0.05</v>
      </c>
      <c r="AU42" s="1029">
        <f t="shared" si="23"/>
        <v>0</v>
      </c>
      <c r="AV42" s="1029">
        <f t="shared" si="24"/>
        <v>0</v>
      </c>
      <c r="AW42" s="303">
        <f t="shared" si="25"/>
        <v>0</v>
      </c>
      <c r="AX42" s="1045">
        <f t="shared" si="26"/>
        <v>0</v>
      </c>
      <c r="AY42" s="1045">
        <f t="shared" si="27"/>
        <v>0</v>
      </c>
      <c r="AZ42" s="1038">
        <f t="shared" si="28"/>
        <v>0</v>
      </c>
      <c r="BB42" s="317">
        <f t="shared" si="29"/>
        <v>88.102849234578102</v>
      </c>
      <c r="BC42" s="318">
        <f t="shared" si="30"/>
        <v>48.233205225206866</v>
      </c>
      <c r="BD42" s="1214">
        <f t="shared" si="31"/>
        <v>0</v>
      </c>
      <c r="BE42" s="318">
        <f t="shared" si="32"/>
        <v>136.33605445978498</v>
      </c>
      <c r="BF42" s="104">
        <v>0</v>
      </c>
      <c r="BG42" s="319">
        <f t="shared" si="33"/>
        <v>136.33605445978498</v>
      </c>
      <c r="BI42" s="317">
        <f t="shared" si="34"/>
        <v>88.102849234578102</v>
      </c>
      <c r="BJ42" s="318">
        <f t="shared" si="35"/>
        <v>48.233205225206866</v>
      </c>
      <c r="BK42" s="1214">
        <f t="shared" si="36"/>
        <v>0</v>
      </c>
      <c r="BL42" s="318">
        <f t="shared" si="37"/>
        <v>136.33605445978498</v>
      </c>
      <c r="BM42" s="104">
        <v>0</v>
      </c>
      <c r="BN42" s="319">
        <f t="shared" si="38"/>
        <v>136.33605445978498</v>
      </c>
    </row>
    <row r="43" spans="1:66">
      <c r="A43" s="127">
        <f>'Input data'!A74</f>
        <v>1974</v>
      </c>
      <c r="B43" s="988">
        <f>'Input data'!B74</f>
        <v>22.012900000000002</v>
      </c>
      <c r="C43" s="988">
        <f>'Baseline data (from input)'!B30</f>
        <v>578.73</v>
      </c>
      <c r="D43" s="899">
        <f>'Baseline data (from input)'!T30</f>
        <v>0.8</v>
      </c>
      <c r="E43" s="899">
        <f t="shared" si="41"/>
        <v>0.19892488097366726</v>
      </c>
      <c r="F43" s="899">
        <f t="shared" si="41"/>
        <v>0.26585903447659598</v>
      </c>
      <c r="G43" s="899">
        <f t="shared" si="41"/>
        <v>8.9228108703258049E-2</v>
      </c>
      <c r="H43" s="899">
        <f t="shared" si="41"/>
        <v>0</v>
      </c>
      <c r="I43" s="899">
        <f t="shared" si="41"/>
        <v>0</v>
      </c>
      <c r="J43" s="899">
        <f t="shared" si="41"/>
        <v>0</v>
      </c>
      <c r="K43" s="899">
        <f t="shared" si="41"/>
        <v>0.4459879758464787</v>
      </c>
      <c r="L43" s="996">
        <f t="shared" si="40"/>
        <v>1</v>
      </c>
      <c r="N43" s="317">
        <f t="shared" si="1"/>
        <v>10191.620493600001</v>
      </c>
      <c r="O43" s="1031">
        <f>Parameters!R145</f>
        <v>0.73</v>
      </c>
      <c r="P43" s="1031">
        <f>E43*'MSW characteristics'!$B$28+'MSW characteristics'!$B$29*'4A SWD Case 2'!F43+'4A SWD Case 2'!G43*'MSW characteristics'!$B$30+'MSW characteristics'!$B$31*'4A SWD Case 2'!H43+'4A SWD Case 2'!I43*'MSW characteristics'!$B$32+'MSW characteristics'!$B$33*'4A SWD Case 2'!J43+'4A SWD Case 2'!K43*'MSW characteristics'!$B$35</f>
        <v>0.11870178252267252</v>
      </c>
      <c r="Q43" s="1029">
        <f t="shared" si="2"/>
        <v>441.56368457549576</v>
      </c>
      <c r="R43" s="1029">
        <f t="shared" si="3"/>
        <v>441.56368457549576</v>
      </c>
      <c r="S43" s="303">
        <f t="shared" si="4"/>
        <v>0</v>
      </c>
      <c r="T43" s="1029">
        <f t="shared" si="5"/>
        <v>3304.1697541508752</v>
      </c>
      <c r="U43" s="1029">
        <f t="shared" si="6"/>
        <v>146.76895167979063</v>
      </c>
      <c r="V43" s="1038">
        <f t="shared" si="7"/>
        <v>97.845967786527083</v>
      </c>
      <c r="X43" s="317">
        <f>'Baseline data (from input)'!AS30*'4A SWD Case 2'!$D$12</f>
        <v>3051.1742322967516</v>
      </c>
      <c r="Y43" s="1031">
        <f>Parameters!S145</f>
        <v>0.71500000000000008</v>
      </c>
      <c r="Z43" s="1031">
        <f t="shared" si="8"/>
        <v>0.2</v>
      </c>
      <c r="AA43" s="1029">
        <f t="shared" si="9"/>
        <v>218.15895760921779</v>
      </c>
      <c r="AB43" s="1029">
        <f t="shared" si="10"/>
        <v>218.15895760921779</v>
      </c>
      <c r="AC43" s="303">
        <f t="shared" si="11"/>
        <v>0</v>
      </c>
      <c r="AD43" s="1029">
        <f t="shared" si="12"/>
        <v>1756.0283447784984</v>
      </c>
      <c r="AE43" s="1029">
        <f t="shared" si="13"/>
        <v>78.848249563293194</v>
      </c>
      <c r="AF43" s="1038">
        <f t="shared" si="14"/>
        <v>52.565499708862127</v>
      </c>
      <c r="AH43" s="317">
        <f>'Baseline data (from input)'!AS30*'4A SWD Case 2'!$D$12</f>
        <v>3051.1742322967516</v>
      </c>
      <c r="AI43" s="1031">
        <f>Parameters!S145</f>
        <v>0.71500000000000008</v>
      </c>
      <c r="AJ43" s="1031">
        <f t="shared" si="15"/>
        <v>0.2</v>
      </c>
      <c r="AK43" s="1029">
        <f t="shared" si="16"/>
        <v>218.15895760921779</v>
      </c>
      <c r="AL43" s="1029">
        <f t="shared" si="17"/>
        <v>218.15895760921779</v>
      </c>
      <c r="AM43" s="303">
        <f t="shared" si="18"/>
        <v>0</v>
      </c>
      <c r="AN43" s="1029">
        <f t="shared" si="19"/>
        <v>1756.0283447784984</v>
      </c>
      <c r="AO43" s="1029">
        <f t="shared" si="20"/>
        <v>78.848249563293194</v>
      </c>
      <c r="AP43" s="1038">
        <f t="shared" si="21"/>
        <v>52.565499708862127</v>
      </c>
      <c r="AR43" s="1037">
        <v>0</v>
      </c>
      <c r="AS43" s="1030">
        <v>1</v>
      </c>
      <c r="AT43" s="1030">
        <f t="shared" si="22"/>
        <v>0.05</v>
      </c>
      <c r="AU43" s="1029">
        <f t="shared" si="23"/>
        <v>0</v>
      </c>
      <c r="AV43" s="1029">
        <f t="shared" si="24"/>
        <v>0</v>
      </c>
      <c r="AW43" s="303">
        <f t="shared" si="25"/>
        <v>0</v>
      </c>
      <c r="AX43" s="1045">
        <f t="shared" si="26"/>
        <v>0</v>
      </c>
      <c r="AY43" s="1045">
        <f t="shared" si="27"/>
        <v>0</v>
      </c>
      <c r="AZ43" s="1038">
        <f t="shared" si="28"/>
        <v>0</v>
      </c>
      <c r="BB43" s="317">
        <f t="shared" si="29"/>
        <v>97.845967786527083</v>
      </c>
      <c r="BC43" s="318">
        <f t="shared" si="30"/>
        <v>52.565499708862127</v>
      </c>
      <c r="BD43" s="1214">
        <f t="shared" si="31"/>
        <v>0</v>
      </c>
      <c r="BE43" s="318">
        <f t="shared" si="32"/>
        <v>150.41146749538922</v>
      </c>
      <c r="BF43" s="104">
        <v>0</v>
      </c>
      <c r="BG43" s="319">
        <f t="shared" si="33"/>
        <v>150.41146749538922</v>
      </c>
      <c r="BI43" s="317">
        <f t="shared" si="34"/>
        <v>97.845967786527083</v>
      </c>
      <c r="BJ43" s="318">
        <f t="shared" si="35"/>
        <v>52.565499708862127</v>
      </c>
      <c r="BK43" s="1214">
        <f t="shared" si="36"/>
        <v>0</v>
      </c>
      <c r="BL43" s="318">
        <f t="shared" si="37"/>
        <v>150.41146749538922</v>
      </c>
      <c r="BM43" s="104">
        <v>0</v>
      </c>
      <c r="BN43" s="319">
        <f t="shared" si="38"/>
        <v>150.41146749538922</v>
      </c>
    </row>
    <row r="44" spans="1:66">
      <c r="A44" s="127">
        <f>'Input data'!A75</f>
        <v>1975</v>
      </c>
      <c r="B44" s="988">
        <f>'Input data'!B75</f>
        <v>22.502480000000002</v>
      </c>
      <c r="C44" s="988">
        <f>'Baseline data (from input)'!B31</f>
        <v>578.73</v>
      </c>
      <c r="D44" s="899">
        <f>'Baseline data (from input)'!T31</f>
        <v>0.8</v>
      </c>
      <c r="E44" s="899">
        <f t="shared" si="41"/>
        <v>0.19892488097366726</v>
      </c>
      <c r="F44" s="899">
        <f t="shared" si="41"/>
        <v>0.26585903447659598</v>
      </c>
      <c r="G44" s="899">
        <f t="shared" si="41"/>
        <v>8.9228108703258049E-2</v>
      </c>
      <c r="H44" s="899">
        <f t="shared" si="41"/>
        <v>0</v>
      </c>
      <c r="I44" s="899">
        <f t="shared" si="41"/>
        <v>0</v>
      </c>
      <c r="J44" s="899">
        <f t="shared" si="41"/>
        <v>0</v>
      </c>
      <c r="K44" s="899">
        <f t="shared" si="41"/>
        <v>0.4459879758464787</v>
      </c>
      <c r="L44" s="996">
        <f t="shared" si="40"/>
        <v>1</v>
      </c>
      <c r="N44" s="317">
        <f t="shared" si="1"/>
        <v>10418.288200320001</v>
      </c>
      <c r="O44" s="1031">
        <f>Parameters!R146</f>
        <v>0.73</v>
      </c>
      <c r="P44" s="1031">
        <f>E44*'MSW characteristics'!$B$28+'MSW characteristics'!$B$29*'4A SWD Case 2'!F44+'4A SWD Case 2'!G44*'MSW characteristics'!$B$30+'MSW characteristics'!$B$31*'4A SWD Case 2'!H44+'4A SWD Case 2'!I44*'MSW characteristics'!$B$32+'MSW characteristics'!$B$33*'4A SWD Case 2'!J44+'4A SWD Case 2'!K44*'MSW characteristics'!$B$35</f>
        <v>0.11870178252267252</v>
      </c>
      <c r="Q44" s="1029">
        <f t="shared" si="2"/>
        <v>451.38432377771215</v>
      </c>
      <c r="R44" s="1029">
        <f t="shared" si="3"/>
        <v>451.38432377771215</v>
      </c>
      <c r="S44" s="303">
        <f t="shared" si="4"/>
        <v>0</v>
      </c>
      <c r="T44" s="1029">
        <f t="shared" si="5"/>
        <v>3594.407817471315</v>
      </c>
      <c r="U44" s="1029">
        <f t="shared" si="6"/>
        <v>161.14626045727246</v>
      </c>
      <c r="V44" s="1038">
        <f t="shared" si="7"/>
        <v>107.4308403048483</v>
      </c>
      <c r="X44" s="317">
        <f>'Baseline data (from input)'!AS31*'4A SWD Case 2'!$D$12</f>
        <v>3102.9053101953209</v>
      </c>
      <c r="Y44" s="1031">
        <f>Parameters!S146</f>
        <v>0.71500000000000008</v>
      </c>
      <c r="Z44" s="1031">
        <f t="shared" si="8"/>
        <v>0.2</v>
      </c>
      <c r="AA44" s="1029">
        <f t="shared" si="9"/>
        <v>221.85772967896548</v>
      </c>
      <c r="AB44" s="1029">
        <f t="shared" si="10"/>
        <v>221.85772967896548</v>
      </c>
      <c r="AC44" s="303">
        <f t="shared" si="11"/>
        <v>0</v>
      </c>
      <c r="AD44" s="1029">
        <f t="shared" si="12"/>
        <v>1892.243561489558</v>
      </c>
      <c r="AE44" s="1029">
        <f t="shared" si="13"/>
        <v>85.642512967905958</v>
      </c>
      <c r="AF44" s="1038">
        <f t="shared" si="14"/>
        <v>57.095008645270639</v>
      </c>
      <c r="AH44" s="317">
        <f>'Baseline data (from input)'!AS31*'4A SWD Case 2'!$D$12</f>
        <v>3102.9053101953209</v>
      </c>
      <c r="AI44" s="1031">
        <f>Parameters!S146</f>
        <v>0.71500000000000008</v>
      </c>
      <c r="AJ44" s="1031">
        <f t="shared" si="15"/>
        <v>0.2</v>
      </c>
      <c r="AK44" s="1029">
        <f t="shared" si="16"/>
        <v>221.85772967896548</v>
      </c>
      <c r="AL44" s="1029">
        <f t="shared" si="17"/>
        <v>221.85772967896548</v>
      </c>
      <c r="AM44" s="303">
        <f t="shared" si="18"/>
        <v>0</v>
      </c>
      <c r="AN44" s="1029">
        <f t="shared" si="19"/>
        <v>1892.243561489558</v>
      </c>
      <c r="AO44" s="1029">
        <f t="shared" si="20"/>
        <v>85.642512967905958</v>
      </c>
      <c r="AP44" s="1038">
        <f t="shared" si="21"/>
        <v>57.095008645270639</v>
      </c>
      <c r="AR44" s="1037">
        <v>0</v>
      </c>
      <c r="AS44" s="1030">
        <v>1</v>
      </c>
      <c r="AT44" s="1030">
        <f t="shared" si="22"/>
        <v>0.05</v>
      </c>
      <c r="AU44" s="1029">
        <f t="shared" si="23"/>
        <v>0</v>
      </c>
      <c r="AV44" s="1029">
        <f t="shared" si="24"/>
        <v>0</v>
      </c>
      <c r="AW44" s="303">
        <f t="shared" si="25"/>
        <v>0</v>
      </c>
      <c r="AX44" s="1045">
        <f t="shared" si="26"/>
        <v>0</v>
      </c>
      <c r="AY44" s="1045">
        <f t="shared" si="27"/>
        <v>0</v>
      </c>
      <c r="AZ44" s="1038">
        <f t="shared" si="28"/>
        <v>0</v>
      </c>
      <c r="BB44" s="317">
        <f t="shared" si="29"/>
        <v>107.4308403048483</v>
      </c>
      <c r="BC44" s="318">
        <f t="shared" si="30"/>
        <v>57.095008645270639</v>
      </c>
      <c r="BD44" s="1214">
        <f t="shared" si="31"/>
        <v>0</v>
      </c>
      <c r="BE44" s="318">
        <f t="shared" si="32"/>
        <v>164.52584895011893</v>
      </c>
      <c r="BF44" s="104">
        <v>0</v>
      </c>
      <c r="BG44" s="319">
        <f t="shared" si="33"/>
        <v>164.52584895011893</v>
      </c>
      <c r="BI44" s="317">
        <f t="shared" si="34"/>
        <v>107.4308403048483</v>
      </c>
      <c r="BJ44" s="318">
        <f t="shared" si="35"/>
        <v>57.095008645270639</v>
      </c>
      <c r="BK44" s="1214">
        <f t="shared" si="36"/>
        <v>0</v>
      </c>
      <c r="BL44" s="318">
        <f t="shared" si="37"/>
        <v>164.52584895011893</v>
      </c>
      <c r="BM44" s="104">
        <v>0</v>
      </c>
      <c r="BN44" s="319">
        <f t="shared" si="38"/>
        <v>164.52584895011893</v>
      </c>
    </row>
    <row r="45" spans="1:66">
      <c r="A45" s="127">
        <f>'Input data'!A76</f>
        <v>1976</v>
      </c>
      <c r="B45" s="988">
        <f>'Input data'!B76</f>
        <v>22.993880000000001</v>
      </c>
      <c r="C45" s="988">
        <f>'Baseline data (from input)'!B32</f>
        <v>578.73</v>
      </c>
      <c r="D45" s="899">
        <f>'Baseline data (from input)'!T32</f>
        <v>0.8</v>
      </c>
      <c r="E45" s="899">
        <f t="shared" si="41"/>
        <v>0.19892488097366726</v>
      </c>
      <c r="F45" s="899">
        <f t="shared" si="41"/>
        <v>0.26585903447659598</v>
      </c>
      <c r="G45" s="899">
        <f t="shared" si="41"/>
        <v>8.9228108703258049E-2</v>
      </c>
      <c r="H45" s="899">
        <f t="shared" si="41"/>
        <v>0</v>
      </c>
      <c r="I45" s="899">
        <f t="shared" si="41"/>
        <v>0</v>
      </c>
      <c r="J45" s="899">
        <f t="shared" si="41"/>
        <v>0</v>
      </c>
      <c r="K45" s="899">
        <f t="shared" si="41"/>
        <v>0.4459879758464787</v>
      </c>
      <c r="L45" s="996">
        <f t="shared" si="40"/>
        <v>1</v>
      </c>
      <c r="N45" s="317">
        <f t="shared" si="1"/>
        <v>10645.798537920002</v>
      </c>
      <c r="O45" s="1031">
        <f>Parameters!R147</f>
        <v>0.73</v>
      </c>
      <c r="P45" s="1031">
        <f>E45*'MSW characteristics'!$B$28+'MSW characteristics'!$B$29*'4A SWD Case 2'!F45+'4A SWD Case 2'!G45*'MSW characteristics'!$B$30+'MSW characteristics'!$B$31*'4A SWD Case 2'!H45+'4A SWD Case 2'!I45*'MSW characteristics'!$B$32+'MSW characteristics'!$B$33*'4A SWD Case 2'!J45+'4A SWD Case 2'!K45*'MSW characteristics'!$B$35</f>
        <v>0.11870178252267252</v>
      </c>
      <c r="Q45" s="1029">
        <f t="shared" si="2"/>
        <v>461.24147093235331</v>
      </c>
      <c r="R45" s="1029">
        <f t="shared" si="3"/>
        <v>461.24147093235331</v>
      </c>
      <c r="S45" s="303">
        <f t="shared" si="4"/>
        <v>0</v>
      </c>
      <c r="T45" s="1029">
        <f t="shared" si="5"/>
        <v>3880.34795056646</v>
      </c>
      <c r="U45" s="1029">
        <f t="shared" si="6"/>
        <v>175.30133783720851</v>
      </c>
      <c r="V45" s="1038">
        <f t="shared" si="7"/>
        <v>116.86755855813901</v>
      </c>
      <c r="X45" s="317">
        <f>'Baseline data (from input)'!AS32*'4A SWD Case 2'!$D$12</f>
        <v>3172.7177025611873</v>
      </c>
      <c r="Y45" s="1031">
        <f>Parameters!S147</f>
        <v>0.71500000000000008</v>
      </c>
      <c r="Z45" s="1031">
        <f t="shared" si="8"/>
        <v>0.2</v>
      </c>
      <c r="AA45" s="1029">
        <f t="shared" si="9"/>
        <v>226.84931573312494</v>
      </c>
      <c r="AB45" s="1029">
        <f t="shared" si="10"/>
        <v>226.84931573312494</v>
      </c>
      <c r="AC45" s="303">
        <f t="shared" si="11"/>
        <v>0</v>
      </c>
      <c r="AD45" s="1029">
        <f t="shared" si="12"/>
        <v>2026.8070697440187</v>
      </c>
      <c r="AE45" s="1029">
        <f t="shared" si="13"/>
        <v>92.285807478664296</v>
      </c>
      <c r="AF45" s="1038">
        <f t="shared" si="14"/>
        <v>61.523871652442864</v>
      </c>
      <c r="AH45" s="317">
        <f>'Baseline data (from input)'!AS32*'4A SWD Case 2'!$D$12</f>
        <v>3172.7177025611873</v>
      </c>
      <c r="AI45" s="1031">
        <f>Parameters!S147</f>
        <v>0.71500000000000008</v>
      </c>
      <c r="AJ45" s="1031">
        <f t="shared" si="15"/>
        <v>0.2</v>
      </c>
      <c r="AK45" s="1029">
        <f t="shared" si="16"/>
        <v>226.84931573312494</v>
      </c>
      <c r="AL45" s="1029">
        <f t="shared" si="17"/>
        <v>226.84931573312494</v>
      </c>
      <c r="AM45" s="303">
        <f t="shared" si="18"/>
        <v>0</v>
      </c>
      <c r="AN45" s="1029">
        <f t="shared" si="19"/>
        <v>2026.8070697440187</v>
      </c>
      <c r="AO45" s="1029">
        <f t="shared" si="20"/>
        <v>92.285807478664296</v>
      </c>
      <c r="AP45" s="1038">
        <f t="shared" si="21"/>
        <v>61.523871652442864</v>
      </c>
      <c r="AR45" s="1037">
        <v>0</v>
      </c>
      <c r="AS45" s="1030">
        <v>1</v>
      </c>
      <c r="AT45" s="1030">
        <f t="shared" si="22"/>
        <v>0.05</v>
      </c>
      <c r="AU45" s="1029">
        <f t="shared" si="23"/>
        <v>0</v>
      </c>
      <c r="AV45" s="1029">
        <f t="shared" si="24"/>
        <v>0</v>
      </c>
      <c r="AW45" s="303">
        <f t="shared" si="25"/>
        <v>0</v>
      </c>
      <c r="AX45" s="1045">
        <f t="shared" si="26"/>
        <v>0</v>
      </c>
      <c r="AY45" s="1045">
        <f t="shared" si="27"/>
        <v>0</v>
      </c>
      <c r="AZ45" s="1038">
        <f t="shared" si="28"/>
        <v>0</v>
      </c>
      <c r="BB45" s="317">
        <f t="shared" si="29"/>
        <v>116.86755855813901</v>
      </c>
      <c r="BC45" s="318">
        <f t="shared" si="30"/>
        <v>61.523871652442864</v>
      </c>
      <c r="BD45" s="1214">
        <f t="shared" si="31"/>
        <v>0</v>
      </c>
      <c r="BE45" s="318">
        <f t="shared" si="32"/>
        <v>178.39143021058186</v>
      </c>
      <c r="BF45" s="104">
        <v>0</v>
      </c>
      <c r="BG45" s="319">
        <f t="shared" si="33"/>
        <v>178.39143021058186</v>
      </c>
      <c r="BI45" s="317">
        <f t="shared" si="34"/>
        <v>116.86755855813901</v>
      </c>
      <c r="BJ45" s="318">
        <f t="shared" si="35"/>
        <v>61.523871652442864</v>
      </c>
      <c r="BK45" s="1214">
        <f t="shared" si="36"/>
        <v>0</v>
      </c>
      <c r="BL45" s="318">
        <f t="shared" si="37"/>
        <v>178.39143021058186</v>
      </c>
      <c r="BM45" s="104">
        <v>0</v>
      </c>
      <c r="BN45" s="319">
        <f t="shared" si="38"/>
        <v>178.39143021058186</v>
      </c>
    </row>
    <row r="46" spans="1:66">
      <c r="A46" s="127">
        <f>'Input data'!A77</f>
        <v>1977</v>
      </c>
      <c r="B46" s="988">
        <f>'Input data'!B77</f>
        <v>23.483460000000001</v>
      </c>
      <c r="C46" s="988">
        <f>'Baseline data (from input)'!B33</f>
        <v>578.73</v>
      </c>
      <c r="D46" s="899">
        <f>'Baseline data (from input)'!T33</f>
        <v>0.8</v>
      </c>
      <c r="E46" s="899">
        <f t="shared" si="41"/>
        <v>0.19892488097366726</v>
      </c>
      <c r="F46" s="899">
        <f t="shared" si="41"/>
        <v>0.26585903447659598</v>
      </c>
      <c r="G46" s="899">
        <f t="shared" si="41"/>
        <v>8.9228108703258049E-2</v>
      </c>
      <c r="H46" s="899">
        <f t="shared" si="41"/>
        <v>0</v>
      </c>
      <c r="I46" s="899">
        <f t="shared" si="41"/>
        <v>0</v>
      </c>
      <c r="J46" s="899">
        <f t="shared" si="41"/>
        <v>0</v>
      </c>
      <c r="K46" s="899">
        <f t="shared" si="41"/>
        <v>0.4459879758464787</v>
      </c>
      <c r="L46" s="996">
        <f t="shared" si="40"/>
        <v>1</v>
      </c>
      <c r="N46" s="317">
        <f t="shared" si="1"/>
        <v>10872.466244640002</v>
      </c>
      <c r="O46" s="1031">
        <f>Parameters!R148</f>
        <v>0.73</v>
      </c>
      <c r="P46" s="1031">
        <f>E46*'MSW characteristics'!$B$28+'MSW characteristics'!$B$29*'4A SWD Case 2'!F46+'4A SWD Case 2'!G46*'MSW characteristics'!$B$30+'MSW characteristics'!$B$31*'4A SWD Case 2'!H46+'4A SWD Case 2'!I46*'MSW characteristics'!$B$32+'MSW characteristics'!$B$33*'4A SWD Case 2'!J46+'4A SWD Case 2'!K46*'MSW characteristics'!$B$35</f>
        <v>0.11870178252267252</v>
      </c>
      <c r="Q46" s="1029">
        <f t="shared" si="2"/>
        <v>471.06211013456971</v>
      </c>
      <c r="R46" s="1029">
        <f t="shared" si="3"/>
        <v>471.06211013456971</v>
      </c>
      <c r="S46" s="303">
        <f t="shared" si="4"/>
        <v>0</v>
      </c>
      <c r="T46" s="1029">
        <f t="shared" si="5"/>
        <v>4162.1632580144287</v>
      </c>
      <c r="U46" s="1029">
        <f t="shared" si="6"/>
        <v>189.24680268660117</v>
      </c>
      <c r="V46" s="1038">
        <f t="shared" si="7"/>
        <v>126.16453512440079</v>
      </c>
      <c r="X46" s="317">
        <f>'Baseline data (from input)'!AS33*'4A SWD Case 2'!$D$12</f>
        <v>3169.7341570729163</v>
      </c>
      <c r="Y46" s="1031">
        <f>Parameters!S148</f>
        <v>0.71500000000000008</v>
      </c>
      <c r="Z46" s="1031">
        <f t="shared" si="8"/>
        <v>0.2</v>
      </c>
      <c r="AA46" s="1029">
        <f t="shared" si="9"/>
        <v>226.63599223071358</v>
      </c>
      <c r="AB46" s="1029">
        <f t="shared" si="10"/>
        <v>226.63599223071358</v>
      </c>
      <c r="AC46" s="303">
        <f t="shared" si="11"/>
        <v>0</v>
      </c>
      <c r="AD46" s="1029">
        <f t="shared" si="12"/>
        <v>2154.5945147572952</v>
      </c>
      <c r="AE46" s="1029">
        <f t="shared" si="13"/>
        <v>98.848547217437257</v>
      </c>
      <c r="AF46" s="1038">
        <f t="shared" si="14"/>
        <v>65.899031478291505</v>
      </c>
      <c r="AH46" s="317">
        <f>'Baseline data (from input)'!AS33*'4A SWD Case 2'!$D$12</f>
        <v>3169.7341570729163</v>
      </c>
      <c r="AI46" s="1031">
        <f>Parameters!S148</f>
        <v>0.71500000000000008</v>
      </c>
      <c r="AJ46" s="1031">
        <f t="shared" si="15"/>
        <v>0.2</v>
      </c>
      <c r="AK46" s="1029">
        <f t="shared" si="16"/>
        <v>226.63599223071358</v>
      </c>
      <c r="AL46" s="1029">
        <f t="shared" si="17"/>
        <v>226.63599223071358</v>
      </c>
      <c r="AM46" s="303">
        <f t="shared" si="18"/>
        <v>0</v>
      </c>
      <c r="AN46" s="1029">
        <f t="shared" si="19"/>
        <v>2154.5945147572952</v>
      </c>
      <c r="AO46" s="1029">
        <f t="shared" si="20"/>
        <v>98.848547217437257</v>
      </c>
      <c r="AP46" s="1038">
        <f t="shared" si="21"/>
        <v>65.899031478291505</v>
      </c>
      <c r="AR46" s="1037">
        <v>0</v>
      </c>
      <c r="AS46" s="1030">
        <v>1</v>
      </c>
      <c r="AT46" s="1030">
        <f t="shared" si="22"/>
        <v>0.05</v>
      </c>
      <c r="AU46" s="1029">
        <f t="shared" si="23"/>
        <v>0</v>
      </c>
      <c r="AV46" s="1029">
        <f t="shared" si="24"/>
        <v>0</v>
      </c>
      <c r="AW46" s="303">
        <f t="shared" si="25"/>
        <v>0</v>
      </c>
      <c r="AX46" s="1045">
        <f t="shared" si="26"/>
        <v>0</v>
      </c>
      <c r="AY46" s="1045">
        <f t="shared" si="27"/>
        <v>0</v>
      </c>
      <c r="AZ46" s="1038">
        <f t="shared" si="28"/>
        <v>0</v>
      </c>
      <c r="BB46" s="317">
        <f t="shared" si="29"/>
        <v>126.16453512440079</v>
      </c>
      <c r="BC46" s="318">
        <f t="shared" si="30"/>
        <v>65.899031478291505</v>
      </c>
      <c r="BD46" s="1214">
        <f t="shared" si="31"/>
        <v>0</v>
      </c>
      <c r="BE46" s="318">
        <f t="shared" si="32"/>
        <v>192.06356660269228</v>
      </c>
      <c r="BF46" s="104">
        <v>0</v>
      </c>
      <c r="BG46" s="319">
        <f t="shared" si="33"/>
        <v>192.06356660269228</v>
      </c>
      <c r="BI46" s="317">
        <f t="shared" si="34"/>
        <v>126.16453512440079</v>
      </c>
      <c r="BJ46" s="318">
        <f t="shared" si="35"/>
        <v>65.899031478291505</v>
      </c>
      <c r="BK46" s="1214">
        <f t="shared" si="36"/>
        <v>0</v>
      </c>
      <c r="BL46" s="318">
        <f t="shared" si="37"/>
        <v>192.06356660269228</v>
      </c>
      <c r="BM46" s="104">
        <v>0</v>
      </c>
      <c r="BN46" s="319">
        <f t="shared" si="38"/>
        <v>192.06356660269228</v>
      </c>
    </row>
    <row r="47" spans="1:66">
      <c r="A47" s="127">
        <f>'Input data'!A78</f>
        <v>1978</v>
      </c>
      <c r="B47" s="988">
        <f>'Input data'!B78</f>
        <v>23.983049999999999</v>
      </c>
      <c r="C47" s="988">
        <f>'Baseline data (from input)'!B34</f>
        <v>578.73</v>
      </c>
      <c r="D47" s="899">
        <f>'Baseline data (from input)'!T34</f>
        <v>0.8</v>
      </c>
      <c r="E47" s="899">
        <f t="shared" si="41"/>
        <v>0.19892488097366726</v>
      </c>
      <c r="F47" s="899">
        <f t="shared" si="41"/>
        <v>0.26585903447659598</v>
      </c>
      <c r="G47" s="899">
        <f t="shared" si="41"/>
        <v>8.9228108703258049E-2</v>
      </c>
      <c r="H47" s="899">
        <f t="shared" si="41"/>
        <v>0</v>
      </c>
      <c r="I47" s="899">
        <f t="shared" si="41"/>
        <v>0</v>
      </c>
      <c r="J47" s="899">
        <f t="shared" si="41"/>
        <v>0</v>
      </c>
      <c r="K47" s="899">
        <f t="shared" si="41"/>
        <v>0.4459879758464787</v>
      </c>
      <c r="L47" s="996">
        <f t="shared" si="40"/>
        <v>1</v>
      </c>
      <c r="N47" s="317">
        <f t="shared" si="1"/>
        <v>11103.7684212</v>
      </c>
      <c r="O47" s="1031">
        <f>Parameters!R149</f>
        <v>0.73</v>
      </c>
      <c r="P47" s="1031">
        <f>E47*'MSW characteristics'!$B$28+'MSW characteristics'!$B$29*'4A SWD Case 2'!F47+'4A SWD Case 2'!G47*'MSW characteristics'!$B$30+'MSW characteristics'!$B$31*'4A SWD Case 2'!H47+'4A SWD Case 2'!I47*'MSW characteristics'!$B$32+'MSW characteristics'!$B$33*'4A SWD Case 2'!J47+'4A SWD Case 2'!K47*'MSW characteristics'!$B$35</f>
        <v>0.11870178252267252</v>
      </c>
      <c r="Q47" s="1029">
        <f t="shared" si="2"/>
        <v>481.08354307512144</v>
      </c>
      <c r="R47" s="1029">
        <f t="shared" si="3"/>
        <v>481.08354307512144</v>
      </c>
      <c r="S47" s="303">
        <f t="shared" si="4"/>
        <v>0</v>
      </c>
      <c r="T47" s="1029">
        <f t="shared" si="5"/>
        <v>4440.2557036742037</v>
      </c>
      <c r="U47" s="1029">
        <f t="shared" si="6"/>
        <v>202.99109741534681</v>
      </c>
      <c r="V47" s="1038">
        <f t="shared" si="7"/>
        <v>135.32739827689787</v>
      </c>
      <c r="X47" s="317">
        <f>'Baseline data (from input)'!AS34*'4A SWD Case 2'!$D$12</f>
        <v>3265.2873453299067</v>
      </c>
      <c r="Y47" s="1031">
        <f>Parameters!S149</f>
        <v>0.71500000000000008</v>
      </c>
      <c r="Z47" s="1031">
        <f t="shared" si="8"/>
        <v>0.2</v>
      </c>
      <c r="AA47" s="1029">
        <f t="shared" si="9"/>
        <v>233.46804519108838</v>
      </c>
      <c r="AB47" s="1029">
        <f t="shared" si="10"/>
        <v>233.46804519108838</v>
      </c>
      <c r="AC47" s="303">
        <f t="shared" si="11"/>
        <v>0</v>
      </c>
      <c r="AD47" s="1029">
        <f t="shared" si="12"/>
        <v>2282.9817454960657</v>
      </c>
      <c r="AE47" s="1029">
        <f t="shared" si="13"/>
        <v>105.08081445231811</v>
      </c>
      <c r="AF47" s="1038">
        <f t="shared" si="14"/>
        <v>70.053876301545401</v>
      </c>
      <c r="AH47" s="317">
        <f>'Baseline data (from input)'!AS34*'4A SWD Case 2'!$D$12</f>
        <v>3265.2873453299067</v>
      </c>
      <c r="AI47" s="1031">
        <f>Parameters!S149</f>
        <v>0.71500000000000008</v>
      </c>
      <c r="AJ47" s="1031">
        <f t="shared" si="15"/>
        <v>0.2</v>
      </c>
      <c r="AK47" s="1029">
        <f t="shared" si="16"/>
        <v>233.46804519108838</v>
      </c>
      <c r="AL47" s="1029">
        <f t="shared" si="17"/>
        <v>233.46804519108838</v>
      </c>
      <c r="AM47" s="303">
        <f t="shared" si="18"/>
        <v>0</v>
      </c>
      <c r="AN47" s="1029">
        <f t="shared" si="19"/>
        <v>2282.9817454960657</v>
      </c>
      <c r="AO47" s="1029">
        <f t="shared" si="20"/>
        <v>105.08081445231811</v>
      </c>
      <c r="AP47" s="1038">
        <f t="shared" si="21"/>
        <v>70.053876301545401</v>
      </c>
      <c r="AR47" s="1037">
        <v>0</v>
      </c>
      <c r="AS47" s="1030">
        <v>1</v>
      </c>
      <c r="AT47" s="1030">
        <f t="shared" si="22"/>
        <v>0.05</v>
      </c>
      <c r="AU47" s="1029">
        <f t="shared" si="23"/>
        <v>0</v>
      </c>
      <c r="AV47" s="1029">
        <f t="shared" si="24"/>
        <v>0</v>
      </c>
      <c r="AW47" s="303">
        <f t="shared" si="25"/>
        <v>0</v>
      </c>
      <c r="AX47" s="1045">
        <f t="shared" si="26"/>
        <v>0</v>
      </c>
      <c r="AY47" s="1045">
        <f t="shared" si="27"/>
        <v>0</v>
      </c>
      <c r="AZ47" s="1038">
        <f t="shared" si="28"/>
        <v>0</v>
      </c>
      <c r="BB47" s="317">
        <f t="shared" si="29"/>
        <v>135.32739827689787</v>
      </c>
      <c r="BC47" s="318">
        <f t="shared" si="30"/>
        <v>70.053876301545401</v>
      </c>
      <c r="BD47" s="1214">
        <f t="shared" si="31"/>
        <v>0</v>
      </c>
      <c r="BE47" s="318">
        <f t="shared" si="32"/>
        <v>205.38127457844325</v>
      </c>
      <c r="BF47" s="104">
        <v>0</v>
      </c>
      <c r="BG47" s="319">
        <f t="shared" si="33"/>
        <v>205.38127457844325</v>
      </c>
      <c r="BI47" s="317">
        <f t="shared" si="34"/>
        <v>135.32739827689787</v>
      </c>
      <c r="BJ47" s="318">
        <f t="shared" si="35"/>
        <v>70.053876301545401</v>
      </c>
      <c r="BK47" s="1214">
        <f t="shared" si="36"/>
        <v>0</v>
      </c>
      <c r="BL47" s="318">
        <f t="shared" si="37"/>
        <v>205.38127457844325</v>
      </c>
      <c r="BM47" s="104">
        <v>0</v>
      </c>
      <c r="BN47" s="319">
        <f t="shared" si="38"/>
        <v>205.38127457844325</v>
      </c>
    </row>
    <row r="48" spans="1:66">
      <c r="A48" s="127">
        <f>'Input data'!A79</f>
        <v>1979</v>
      </c>
      <c r="B48" s="988">
        <f>'Input data'!B79</f>
        <v>24.516309999999997</v>
      </c>
      <c r="C48" s="988">
        <f>'Baseline data (from input)'!B35</f>
        <v>578.73</v>
      </c>
      <c r="D48" s="899">
        <f>'Baseline data (from input)'!T35</f>
        <v>0.8</v>
      </c>
      <c r="E48" s="899">
        <f t="shared" si="41"/>
        <v>0.19892488097366726</v>
      </c>
      <c r="F48" s="899">
        <f t="shared" si="41"/>
        <v>0.26585903447659598</v>
      </c>
      <c r="G48" s="899">
        <f t="shared" si="41"/>
        <v>8.9228108703258049E-2</v>
      </c>
      <c r="H48" s="899">
        <f t="shared" si="41"/>
        <v>0</v>
      </c>
      <c r="I48" s="899">
        <f t="shared" si="41"/>
        <v>0</v>
      </c>
      <c r="J48" s="899">
        <f t="shared" si="41"/>
        <v>0</v>
      </c>
      <c r="K48" s="899">
        <f t="shared" si="41"/>
        <v>0.4459879758464787</v>
      </c>
      <c r="L48" s="996">
        <f t="shared" si="40"/>
        <v>1</v>
      </c>
      <c r="N48" s="317">
        <f t="shared" si="1"/>
        <v>11350.659269039999</v>
      </c>
      <c r="O48" s="1031">
        <f>Parameters!R150</f>
        <v>0.73</v>
      </c>
      <c r="P48" s="1031">
        <f>E48*'MSW characteristics'!$B$28+'MSW characteristics'!$B$29*'4A SWD Case 2'!F48+'4A SWD Case 2'!G48*'MSW characteristics'!$B$30+'MSW characteristics'!$B$31*'4A SWD Case 2'!H48+'4A SWD Case 2'!I48*'MSW characteristics'!$B$32+'MSW characteristics'!$B$33*'4A SWD Case 2'!J48+'4A SWD Case 2'!K48*'MSW characteristics'!$B$35</f>
        <v>0.11870178252267252</v>
      </c>
      <c r="Q48" s="1029">
        <f t="shared" si="2"/>
        <v>491.78037313552818</v>
      </c>
      <c r="R48" s="1029">
        <f t="shared" si="3"/>
        <v>491.78037313552818</v>
      </c>
      <c r="S48" s="303">
        <f t="shared" si="4"/>
        <v>0</v>
      </c>
      <c r="T48" s="1029">
        <f t="shared" si="5"/>
        <v>4715.4822507775534</v>
      </c>
      <c r="U48" s="1029">
        <f t="shared" si="6"/>
        <v>216.55382603217797</v>
      </c>
      <c r="V48" s="1038">
        <f t="shared" si="7"/>
        <v>144.36921735478532</v>
      </c>
      <c r="X48" s="317">
        <f>'Baseline data (from input)'!AS35*'4A SWD Case 2'!$D$12</f>
        <v>3389.0581866273906</v>
      </c>
      <c r="Y48" s="1031">
        <f>Parameters!S150</f>
        <v>0.71500000000000008</v>
      </c>
      <c r="Z48" s="1031">
        <f t="shared" si="8"/>
        <v>0.2</v>
      </c>
      <c r="AA48" s="1029">
        <f t="shared" si="9"/>
        <v>242.31766034385848</v>
      </c>
      <c r="AB48" s="1029">
        <f t="shared" si="10"/>
        <v>242.31766034385848</v>
      </c>
      <c r="AC48" s="303">
        <f t="shared" si="11"/>
        <v>0</v>
      </c>
      <c r="AD48" s="1029">
        <f t="shared" si="12"/>
        <v>2413.9570722577164</v>
      </c>
      <c r="AE48" s="1029">
        <f t="shared" si="13"/>
        <v>111.34233358220757</v>
      </c>
      <c r="AF48" s="1038">
        <f t="shared" si="14"/>
        <v>74.228222388138377</v>
      </c>
      <c r="AH48" s="317">
        <f>'Baseline data (from input)'!AS35*'4A SWD Case 2'!$D$12</f>
        <v>3389.0581866273906</v>
      </c>
      <c r="AI48" s="1031">
        <f>Parameters!S150</f>
        <v>0.71500000000000008</v>
      </c>
      <c r="AJ48" s="1031">
        <f t="shared" si="15"/>
        <v>0.2</v>
      </c>
      <c r="AK48" s="1029">
        <f t="shared" si="16"/>
        <v>242.31766034385848</v>
      </c>
      <c r="AL48" s="1029">
        <f t="shared" si="17"/>
        <v>242.31766034385848</v>
      </c>
      <c r="AM48" s="303">
        <f t="shared" si="18"/>
        <v>0</v>
      </c>
      <c r="AN48" s="1029">
        <f t="shared" si="19"/>
        <v>2413.9570722577164</v>
      </c>
      <c r="AO48" s="1029">
        <f t="shared" si="20"/>
        <v>111.34233358220757</v>
      </c>
      <c r="AP48" s="1038">
        <f t="shared" si="21"/>
        <v>74.228222388138377</v>
      </c>
      <c r="AR48" s="1037">
        <v>0</v>
      </c>
      <c r="AS48" s="1030">
        <v>1</v>
      </c>
      <c r="AT48" s="1030">
        <f t="shared" si="22"/>
        <v>0.05</v>
      </c>
      <c r="AU48" s="1029">
        <f t="shared" si="23"/>
        <v>0</v>
      </c>
      <c r="AV48" s="1029">
        <f t="shared" si="24"/>
        <v>0</v>
      </c>
      <c r="AW48" s="198">
        <f t="shared" si="25"/>
        <v>0</v>
      </c>
      <c r="AX48" s="1045">
        <f t="shared" si="26"/>
        <v>0</v>
      </c>
      <c r="AY48" s="1045">
        <f t="shared" si="27"/>
        <v>0</v>
      </c>
      <c r="AZ48" s="1038">
        <f t="shared" si="28"/>
        <v>0</v>
      </c>
      <c r="BB48" s="317">
        <f t="shared" si="29"/>
        <v>144.36921735478532</v>
      </c>
      <c r="BC48" s="318">
        <f t="shared" si="30"/>
        <v>74.228222388138377</v>
      </c>
      <c r="BD48" s="1214">
        <f t="shared" si="31"/>
        <v>0</v>
      </c>
      <c r="BE48" s="318">
        <f t="shared" si="32"/>
        <v>218.59743974292371</v>
      </c>
      <c r="BF48" s="104">
        <v>0</v>
      </c>
      <c r="BG48" s="319">
        <f t="shared" si="33"/>
        <v>218.59743974292371</v>
      </c>
      <c r="BI48" s="317">
        <f t="shared" si="34"/>
        <v>144.36921735478532</v>
      </c>
      <c r="BJ48" s="318">
        <f t="shared" si="35"/>
        <v>74.228222388138377</v>
      </c>
      <c r="BK48" s="1214">
        <f t="shared" si="36"/>
        <v>0</v>
      </c>
      <c r="BL48" s="318">
        <f t="shared" si="37"/>
        <v>218.59743974292371</v>
      </c>
      <c r="BM48" s="104">
        <v>0</v>
      </c>
      <c r="BN48" s="319">
        <f t="shared" si="38"/>
        <v>218.59743974292371</v>
      </c>
    </row>
    <row r="49" spans="1:66">
      <c r="A49" s="127">
        <f>'Input data'!A80</f>
        <v>1980</v>
      </c>
      <c r="B49" s="988">
        <f>'Input data'!B80</f>
        <v>25.094160000000002</v>
      </c>
      <c r="C49" s="988">
        <f>'Baseline data (from input)'!B36</f>
        <v>578.73</v>
      </c>
      <c r="D49" s="899">
        <f>'Baseline data (from input)'!T36</f>
        <v>0.8</v>
      </c>
      <c r="E49" s="899">
        <f t="shared" si="41"/>
        <v>0.19892488097366726</v>
      </c>
      <c r="F49" s="899">
        <f t="shared" si="41"/>
        <v>0.26585903447659598</v>
      </c>
      <c r="G49" s="899">
        <f t="shared" si="41"/>
        <v>8.9228108703258049E-2</v>
      </c>
      <c r="H49" s="899">
        <f t="shared" si="41"/>
        <v>0</v>
      </c>
      <c r="I49" s="899">
        <f t="shared" si="41"/>
        <v>0</v>
      </c>
      <c r="J49" s="899">
        <f t="shared" si="41"/>
        <v>0</v>
      </c>
      <c r="K49" s="899">
        <f t="shared" si="41"/>
        <v>0.4459879758464787</v>
      </c>
      <c r="L49" s="996">
        <f t="shared" si="40"/>
        <v>1</v>
      </c>
      <c r="N49" s="317">
        <f t="shared" si="1"/>
        <v>11618.194573440001</v>
      </c>
      <c r="O49" s="1031">
        <f>Parameters!R151</f>
        <v>0.73</v>
      </c>
      <c r="P49" s="1031">
        <f>E49*'MSW characteristics'!$B$28+'MSW characteristics'!$B$29*'4A SWD Case 2'!F49+'4A SWD Case 2'!G49*'MSW characteristics'!$B$30+'MSW characteristics'!$B$31*'4A SWD Case 2'!H49+'4A SWD Case 2'!I49*'MSW characteristics'!$B$32+'MSW characteristics'!$B$33*'4A SWD Case 2'!J49+'4A SWD Case 2'!K49*'MSW characteristics'!$B$35</f>
        <v>0.11870178252267252</v>
      </c>
      <c r="Q49" s="1029">
        <f t="shared" si="2"/>
        <v>503.37164803033767</v>
      </c>
      <c r="R49" s="1029">
        <f t="shared" si="3"/>
        <v>503.37164803033767</v>
      </c>
      <c r="S49" s="303">
        <f t="shared" si="4"/>
        <v>0</v>
      </c>
      <c r="T49" s="1029">
        <f t="shared" si="5"/>
        <v>4988.8771156808016</v>
      </c>
      <c r="U49" s="1029">
        <f t="shared" si="6"/>
        <v>229.97678312708967</v>
      </c>
      <c r="V49" s="1038">
        <f t="shared" si="7"/>
        <v>153.31785541805979</v>
      </c>
      <c r="X49" s="317">
        <f>'Baseline data (from input)'!AS36*'4A SWD Case 2'!$D$12</f>
        <v>3613.4336673176531</v>
      </c>
      <c r="Y49" s="1031">
        <f>Parameters!S151</f>
        <v>0.71500000000000008</v>
      </c>
      <c r="Z49" s="1031">
        <f t="shared" si="8"/>
        <v>0.2</v>
      </c>
      <c r="AA49" s="1029">
        <f t="shared" si="9"/>
        <v>258.36050721321226</v>
      </c>
      <c r="AB49" s="1029">
        <f t="shared" si="10"/>
        <v>258.36050721321226</v>
      </c>
      <c r="AC49" s="303">
        <f t="shared" si="11"/>
        <v>0</v>
      </c>
      <c r="AD49" s="1029">
        <f t="shared" si="12"/>
        <v>2554.5875038263484</v>
      </c>
      <c r="AE49" s="1029">
        <f t="shared" si="13"/>
        <v>117.73007564458031</v>
      </c>
      <c r="AF49" s="1038">
        <f t="shared" si="14"/>
        <v>78.486717096386869</v>
      </c>
      <c r="AH49" s="317">
        <f>'Baseline data (from input)'!AS36*'4A SWD Case 2'!$D$12</f>
        <v>3613.4336673176531</v>
      </c>
      <c r="AI49" s="1031">
        <f>Parameters!S151</f>
        <v>0.71500000000000008</v>
      </c>
      <c r="AJ49" s="1031">
        <f t="shared" si="15"/>
        <v>0.2</v>
      </c>
      <c r="AK49" s="1029">
        <f t="shared" si="16"/>
        <v>258.36050721321226</v>
      </c>
      <c r="AL49" s="1029">
        <f t="shared" si="17"/>
        <v>258.36050721321226</v>
      </c>
      <c r="AM49" s="303">
        <f t="shared" si="18"/>
        <v>0</v>
      </c>
      <c r="AN49" s="1029">
        <f t="shared" si="19"/>
        <v>2554.5875038263484</v>
      </c>
      <c r="AO49" s="1029">
        <f t="shared" si="20"/>
        <v>117.73007564458031</v>
      </c>
      <c r="AP49" s="1038">
        <f t="shared" si="21"/>
        <v>78.486717096386869</v>
      </c>
      <c r="AR49" s="1037">
        <v>0</v>
      </c>
      <c r="AS49" s="1030">
        <v>1</v>
      </c>
      <c r="AT49" s="1030">
        <f t="shared" si="22"/>
        <v>0.05</v>
      </c>
      <c r="AU49" s="1029">
        <f t="shared" si="23"/>
        <v>0</v>
      </c>
      <c r="AV49" s="1029">
        <f t="shared" si="24"/>
        <v>0</v>
      </c>
      <c r="AW49" s="198">
        <f t="shared" si="25"/>
        <v>0</v>
      </c>
      <c r="AX49" s="1045">
        <f t="shared" ref="AX49:AX112" si="42">AV49+(AX48*$E$8)</f>
        <v>0</v>
      </c>
      <c r="AY49" s="1045">
        <f t="shared" si="27"/>
        <v>0</v>
      </c>
      <c r="AZ49" s="1038">
        <f t="shared" si="28"/>
        <v>0</v>
      </c>
      <c r="BB49" s="317">
        <f t="shared" si="29"/>
        <v>153.31785541805979</v>
      </c>
      <c r="BC49" s="318">
        <f t="shared" si="30"/>
        <v>78.486717096386869</v>
      </c>
      <c r="BD49" s="1214">
        <f t="shared" si="31"/>
        <v>0</v>
      </c>
      <c r="BE49" s="318">
        <f t="shared" si="32"/>
        <v>231.80457251444665</v>
      </c>
      <c r="BF49" s="104">
        <v>0</v>
      </c>
      <c r="BG49" s="319">
        <f t="shared" si="33"/>
        <v>231.80457251444665</v>
      </c>
      <c r="BI49" s="317">
        <f t="shared" si="34"/>
        <v>153.31785541805979</v>
      </c>
      <c r="BJ49" s="318">
        <f t="shared" si="35"/>
        <v>78.486717096386869</v>
      </c>
      <c r="BK49" s="1214">
        <f t="shared" si="36"/>
        <v>0</v>
      </c>
      <c r="BL49" s="318">
        <f t="shared" si="37"/>
        <v>231.80457251444665</v>
      </c>
      <c r="BM49" s="104">
        <v>0</v>
      </c>
      <c r="BN49" s="319">
        <f t="shared" si="38"/>
        <v>231.80457251444665</v>
      </c>
    </row>
    <row r="50" spans="1:66">
      <c r="A50" s="127">
        <f>'Input data'!A81</f>
        <v>1981</v>
      </c>
      <c r="B50" s="988">
        <f>'Input data'!B81</f>
        <v>25.712049999999998</v>
      </c>
      <c r="C50" s="988">
        <f>'Baseline data (from input)'!B37</f>
        <v>578.73</v>
      </c>
      <c r="D50" s="899">
        <f>'Baseline data (from input)'!T37</f>
        <v>0.8</v>
      </c>
      <c r="E50" s="899">
        <f t="shared" si="41"/>
        <v>0.19892488097366726</v>
      </c>
      <c r="F50" s="899">
        <f t="shared" si="41"/>
        <v>0.26585903447659598</v>
      </c>
      <c r="G50" s="899">
        <f t="shared" si="41"/>
        <v>8.9228108703258049E-2</v>
      </c>
      <c r="H50" s="899">
        <f t="shared" si="41"/>
        <v>0</v>
      </c>
      <c r="I50" s="899">
        <f t="shared" si="41"/>
        <v>0</v>
      </c>
      <c r="J50" s="899">
        <f t="shared" si="41"/>
        <v>0</v>
      </c>
      <c r="K50" s="899">
        <f t="shared" si="41"/>
        <v>0.4459879758464787</v>
      </c>
      <c r="L50" s="996">
        <f t="shared" si="40"/>
        <v>1</v>
      </c>
      <c r="N50" s="317">
        <f t="shared" si="1"/>
        <v>11904.267757200001</v>
      </c>
      <c r="O50" s="1031">
        <f>Parameters!R152</f>
        <v>0.73</v>
      </c>
      <c r="P50" s="1031">
        <f>E50*'MSW characteristics'!$B$28+'MSW characteristics'!$B$29*'4A SWD Case 2'!F50+'4A SWD Case 2'!G50*'MSW characteristics'!$B$30+'MSW characteristics'!$B$31*'4A SWD Case 2'!H50+'4A SWD Case 2'!I50*'MSW characteristics'!$B$32+'MSW characteristics'!$B$33*'4A SWD Case 2'!J50+'4A SWD Case 2'!K50*'MSW characteristics'!$B$35</f>
        <v>0.11870178252267252</v>
      </c>
      <c r="Q50" s="1029">
        <f t="shared" si="2"/>
        <v>515.76609787848815</v>
      </c>
      <c r="R50" s="1029">
        <f t="shared" si="3"/>
        <v>515.76609787848815</v>
      </c>
      <c r="S50" s="303">
        <f t="shared" si="4"/>
        <v>0</v>
      </c>
      <c r="T50" s="1029">
        <f t="shared" si="5"/>
        <v>5261.3328055323191</v>
      </c>
      <c r="U50" s="1029">
        <f t="shared" si="6"/>
        <v>243.31040802697063</v>
      </c>
      <c r="V50" s="1038">
        <f t="shared" si="7"/>
        <v>162.2069386846471</v>
      </c>
      <c r="X50" s="317">
        <f>'Baseline data (from input)'!AS37*'4A SWD Case 2'!$D$12</f>
        <v>3807.1403580322944</v>
      </c>
      <c r="Y50" s="1031">
        <f>Parameters!S152</f>
        <v>0.71500000000000008</v>
      </c>
      <c r="Z50" s="1031">
        <f t="shared" si="8"/>
        <v>0.2</v>
      </c>
      <c r="AA50" s="1029">
        <f t="shared" si="9"/>
        <v>272.21053559930908</v>
      </c>
      <c r="AB50" s="1029">
        <f t="shared" si="10"/>
        <v>272.21053559930908</v>
      </c>
      <c r="AC50" s="303">
        <f t="shared" si="11"/>
        <v>0</v>
      </c>
      <c r="AD50" s="1029">
        <f t="shared" si="12"/>
        <v>2702.2093367007619</v>
      </c>
      <c r="AE50" s="1029">
        <f t="shared" si="13"/>
        <v>124.58870272489546</v>
      </c>
      <c r="AF50" s="1038">
        <f t="shared" si="14"/>
        <v>83.059135149930299</v>
      </c>
      <c r="AH50" s="317">
        <f>'Baseline data (from input)'!AS37*'4A SWD Case 2'!$D$12</f>
        <v>3807.1403580322944</v>
      </c>
      <c r="AI50" s="1031">
        <f>Parameters!S152</f>
        <v>0.71500000000000008</v>
      </c>
      <c r="AJ50" s="1031">
        <f t="shared" si="15"/>
        <v>0.2</v>
      </c>
      <c r="AK50" s="1029">
        <f t="shared" si="16"/>
        <v>272.21053559930908</v>
      </c>
      <c r="AL50" s="1029">
        <f t="shared" si="17"/>
        <v>272.21053559930908</v>
      </c>
      <c r="AM50" s="303">
        <f t="shared" si="18"/>
        <v>0</v>
      </c>
      <c r="AN50" s="1029">
        <f t="shared" si="19"/>
        <v>2702.2093367007619</v>
      </c>
      <c r="AO50" s="1029">
        <f t="shared" si="20"/>
        <v>124.58870272489546</v>
      </c>
      <c r="AP50" s="1038">
        <f t="shared" si="21"/>
        <v>83.059135149930299</v>
      </c>
      <c r="AR50" s="1037">
        <v>0</v>
      </c>
      <c r="AS50" s="1030">
        <v>1</v>
      </c>
      <c r="AT50" s="1030">
        <f t="shared" si="22"/>
        <v>0.05</v>
      </c>
      <c r="AU50" s="1029">
        <f t="shared" si="23"/>
        <v>0</v>
      </c>
      <c r="AV50" s="1029">
        <f t="shared" si="24"/>
        <v>0</v>
      </c>
      <c r="AW50" s="198">
        <f t="shared" si="25"/>
        <v>0</v>
      </c>
      <c r="AX50" s="1045">
        <f t="shared" si="42"/>
        <v>0</v>
      </c>
      <c r="AY50" s="1045">
        <f t="shared" si="27"/>
        <v>0</v>
      </c>
      <c r="AZ50" s="1038">
        <f t="shared" si="28"/>
        <v>0</v>
      </c>
      <c r="BB50" s="317">
        <f t="shared" si="29"/>
        <v>162.2069386846471</v>
      </c>
      <c r="BC50" s="318">
        <f t="shared" si="30"/>
        <v>83.059135149930299</v>
      </c>
      <c r="BD50" s="1214">
        <f t="shared" si="31"/>
        <v>0</v>
      </c>
      <c r="BE50" s="318">
        <f t="shared" si="32"/>
        <v>245.26607383457741</v>
      </c>
      <c r="BF50" s="104">
        <v>0</v>
      </c>
      <c r="BG50" s="319">
        <f t="shared" si="33"/>
        <v>245.26607383457741</v>
      </c>
      <c r="BI50" s="317">
        <f t="shared" si="34"/>
        <v>162.2069386846471</v>
      </c>
      <c r="BJ50" s="318">
        <f t="shared" si="35"/>
        <v>83.059135149930299</v>
      </c>
      <c r="BK50" s="1214">
        <f t="shared" si="36"/>
        <v>0</v>
      </c>
      <c r="BL50" s="318">
        <f t="shared" si="37"/>
        <v>245.26607383457741</v>
      </c>
      <c r="BM50" s="104">
        <v>0</v>
      </c>
      <c r="BN50" s="319">
        <f t="shared" si="38"/>
        <v>245.26607383457741</v>
      </c>
    </row>
    <row r="51" spans="1:66">
      <c r="A51" s="127">
        <f>'Input data'!A82</f>
        <v>1982</v>
      </c>
      <c r="B51" s="988">
        <f>'Input data'!B82</f>
        <v>26.364520000000002</v>
      </c>
      <c r="C51" s="988">
        <f>'Baseline data (from input)'!B38</f>
        <v>578.73</v>
      </c>
      <c r="D51" s="899">
        <f>'Baseline data (from input)'!T38</f>
        <v>0.8</v>
      </c>
      <c r="E51" s="899">
        <f t="shared" si="41"/>
        <v>0.19892488097366726</v>
      </c>
      <c r="F51" s="899">
        <f t="shared" si="41"/>
        <v>0.26585903447659598</v>
      </c>
      <c r="G51" s="899">
        <f t="shared" si="41"/>
        <v>8.9228108703258049E-2</v>
      </c>
      <c r="H51" s="899">
        <f t="shared" si="41"/>
        <v>0</v>
      </c>
      <c r="I51" s="899">
        <f t="shared" si="41"/>
        <v>0</v>
      </c>
      <c r="J51" s="899">
        <f t="shared" si="41"/>
        <v>0</v>
      </c>
      <c r="K51" s="899">
        <f t="shared" si="41"/>
        <v>0.4459879758464787</v>
      </c>
      <c r="L51" s="996">
        <f t="shared" si="40"/>
        <v>1</v>
      </c>
      <c r="N51" s="317">
        <f t="shared" si="1"/>
        <v>12206.350927680003</v>
      </c>
      <c r="O51" s="1031">
        <f>Parameters!R153</f>
        <v>0.73</v>
      </c>
      <c r="P51" s="1031">
        <f>E51*'MSW characteristics'!$B$28+'MSW characteristics'!$B$29*'4A SWD Case 2'!F51+'4A SWD Case 2'!G51*'MSW characteristics'!$B$30+'MSW characteristics'!$B$31*'4A SWD Case 2'!H51+'4A SWD Case 2'!I51*'MSW characteristics'!$B$32+'MSW characteristics'!$B$33*'4A SWD Case 2'!J51+'4A SWD Case 2'!K51*'MSW characteristics'!$B$35</f>
        <v>0.11870178252267252</v>
      </c>
      <c r="Q51" s="1029">
        <f t="shared" si="2"/>
        <v>528.85419882270617</v>
      </c>
      <c r="R51" s="1029">
        <f t="shared" si="3"/>
        <v>528.85419882270617</v>
      </c>
      <c r="S51" s="303">
        <f t="shared" si="4"/>
        <v>0</v>
      </c>
      <c r="T51" s="1029">
        <f t="shared" si="5"/>
        <v>5533.5887755359408</v>
      </c>
      <c r="U51" s="1029">
        <f t="shared" si="6"/>
        <v>256.59822881908411</v>
      </c>
      <c r="V51" s="1038">
        <f t="shared" si="7"/>
        <v>171.0654858793894</v>
      </c>
      <c r="X51" s="317">
        <f>'Baseline data (from input)'!AS38*'4A SWD Case 2'!$D$12</f>
        <v>3792.5441333367248</v>
      </c>
      <c r="Y51" s="1031">
        <f>Parameters!S153</f>
        <v>0.71500000000000008</v>
      </c>
      <c r="Z51" s="1031">
        <f t="shared" si="8"/>
        <v>0.2</v>
      </c>
      <c r="AA51" s="1029">
        <f t="shared" si="9"/>
        <v>271.16690553357586</v>
      </c>
      <c r="AB51" s="1029">
        <f t="shared" si="10"/>
        <v>271.16690553357586</v>
      </c>
      <c r="AC51" s="303">
        <f t="shared" si="11"/>
        <v>0</v>
      </c>
      <c r="AD51" s="1029">
        <f t="shared" si="12"/>
        <v>2841.587937763898</v>
      </c>
      <c r="AE51" s="1029">
        <f t="shared" si="13"/>
        <v>131.78830447044001</v>
      </c>
      <c r="AF51" s="1038">
        <f t="shared" si="14"/>
        <v>87.858869646960002</v>
      </c>
      <c r="AH51" s="317">
        <f>'Baseline data (from input)'!AS38*'4A SWD Case 2'!$D$12</f>
        <v>3792.5441333367248</v>
      </c>
      <c r="AI51" s="1031">
        <f>Parameters!S153</f>
        <v>0.71500000000000008</v>
      </c>
      <c r="AJ51" s="1031">
        <f t="shared" si="15"/>
        <v>0.2</v>
      </c>
      <c r="AK51" s="1029">
        <f t="shared" si="16"/>
        <v>271.16690553357586</v>
      </c>
      <c r="AL51" s="1029">
        <f t="shared" si="17"/>
        <v>271.16690553357586</v>
      </c>
      <c r="AM51" s="303">
        <f t="shared" si="18"/>
        <v>0</v>
      </c>
      <c r="AN51" s="1029">
        <f t="shared" si="19"/>
        <v>2841.587937763898</v>
      </c>
      <c r="AO51" s="1029">
        <f t="shared" si="20"/>
        <v>131.78830447044001</v>
      </c>
      <c r="AP51" s="1038">
        <f t="shared" si="21"/>
        <v>87.858869646960002</v>
      </c>
      <c r="AR51" s="1037">
        <v>0</v>
      </c>
      <c r="AS51" s="1030">
        <v>1</v>
      </c>
      <c r="AT51" s="1030">
        <f t="shared" si="22"/>
        <v>0.05</v>
      </c>
      <c r="AU51" s="1029">
        <f t="shared" si="23"/>
        <v>0</v>
      </c>
      <c r="AV51" s="1029">
        <f t="shared" si="24"/>
        <v>0</v>
      </c>
      <c r="AW51" s="198">
        <f t="shared" si="25"/>
        <v>0</v>
      </c>
      <c r="AX51" s="1045">
        <f t="shared" si="42"/>
        <v>0</v>
      </c>
      <c r="AY51" s="1045">
        <f t="shared" si="27"/>
        <v>0</v>
      </c>
      <c r="AZ51" s="1038">
        <f t="shared" si="28"/>
        <v>0</v>
      </c>
      <c r="BB51" s="317">
        <f t="shared" si="29"/>
        <v>171.0654858793894</v>
      </c>
      <c r="BC51" s="318">
        <f t="shared" si="30"/>
        <v>87.858869646960002</v>
      </c>
      <c r="BD51" s="1214">
        <f t="shared" si="31"/>
        <v>0</v>
      </c>
      <c r="BE51" s="318">
        <f t="shared" si="32"/>
        <v>258.92435552634942</v>
      </c>
      <c r="BF51" s="104">
        <v>0</v>
      </c>
      <c r="BG51" s="319">
        <f t="shared" si="33"/>
        <v>258.92435552634942</v>
      </c>
      <c r="BI51" s="317">
        <f t="shared" si="34"/>
        <v>171.0654858793894</v>
      </c>
      <c r="BJ51" s="318">
        <f t="shared" si="35"/>
        <v>87.858869646960002</v>
      </c>
      <c r="BK51" s="1214">
        <f t="shared" si="36"/>
        <v>0</v>
      </c>
      <c r="BL51" s="318">
        <f t="shared" si="37"/>
        <v>258.92435552634942</v>
      </c>
      <c r="BM51" s="104">
        <v>0</v>
      </c>
      <c r="BN51" s="319">
        <f t="shared" si="38"/>
        <v>258.92435552634942</v>
      </c>
    </row>
    <row r="52" spans="1:66">
      <c r="A52" s="127">
        <f>'Input data'!A83</f>
        <v>1983</v>
      </c>
      <c r="B52" s="988">
        <f>'Input data'!B83</f>
        <v>27.048839999999998</v>
      </c>
      <c r="C52" s="988">
        <f>'Baseline data (from input)'!B39</f>
        <v>578.73</v>
      </c>
      <c r="D52" s="899">
        <f>'Baseline data (from input)'!T39</f>
        <v>0.8</v>
      </c>
      <c r="E52" s="899">
        <f t="shared" si="41"/>
        <v>0.19892488097366726</v>
      </c>
      <c r="F52" s="899">
        <f t="shared" si="41"/>
        <v>0.26585903447659598</v>
      </c>
      <c r="G52" s="899">
        <f t="shared" si="41"/>
        <v>8.9228108703258049E-2</v>
      </c>
      <c r="H52" s="899">
        <f t="shared" si="41"/>
        <v>0</v>
      </c>
      <c r="I52" s="899">
        <f t="shared" si="41"/>
        <v>0</v>
      </c>
      <c r="J52" s="899">
        <f t="shared" si="41"/>
        <v>0</v>
      </c>
      <c r="K52" s="899">
        <f t="shared" si="41"/>
        <v>0.4459879758464787</v>
      </c>
      <c r="L52" s="996">
        <f t="shared" si="40"/>
        <v>1</v>
      </c>
      <c r="N52" s="317">
        <f t="shared" si="1"/>
        <v>12523.180138560001</v>
      </c>
      <c r="O52" s="1031">
        <f>Parameters!R154</f>
        <v>0.73</v>
      </c>
      <c r="P52" s="1031">
        <f>E52*'MSW characteristics'!$B$28+'MSW characteristics'!$B$29*'4A SWD Case 2'!F52+'4A SWD Case 2'!G52*'MSW characteristics'!$B$30+'MSW characteristics'!$B$31*'4A SWD Case 2'!H52+'4A SWD Case 2'!I52*'MSW characteristics'!$B$32+'MSW characteristics'!$B$33*'4A SWD Case 2'!J52+'4A SWD Case 2'!K52*'MSW characteristics'!$B$35</f>
        <v>0.11870178252267252</v>
      </c>
      <c r="Q52" s="1029">
        <f t="shared" si="2"/>
        <v>542.58118893435449</v>
      </c>
      <c r="R52" s="1029">
        <f t="shared" si="3"/>
        <v>542.58118893435449</v>
      </c>
      <c r="S52" s="303">
        <f t="shared" si="4"/>
        <v>0</v>
      </c>
      <c r="T52" s="1029">
        <f t="shared" si="5"/>
        <v>5806.2936553110176</v>
      </c>
      <c r="U52" s="1029">
        <f t="shared" si="6"/>
        <v>269.87630915927707</v>
      </c>
      <c r="V52" s="1038">
        <f t="shared" si="7"/>
        <v>179.91753943951804</v>
      </c>
      <c r="X52" s="317">
        <f>'Baseline data (from input)'!AS39*'4A SWD Case 2'!$D$12</f>
        <v>3722.5131191048081</v>
      </c>
      <c r="Y52" s="1031">
        <f>Parameters!S154</f>
        <v>0.71500000000000008</v>
      </c>
      <c r="Z52" s="1031">
        <f t="shared" si="8"/>
        <v>0.2</v>
      </c>
      <c r="AA52" s="1029">
        <f t="shared" si="9"/>
        <v>266.15968801599382</v>
      </c>
      <c r="AB52" s="1029">
        <f t="shared" si="10"/>
        <v>266.15968801599382</v>
      </c>
      <c r="AC52" s="303">
        <f t="shared" si="11"/>
        <v>0</v>
      </c>
      <c r="AD52" s="1029">
        <f t="shared" si="12"/>
        <v>2969.1617467233173</v>
      </c>
      <c r="AE52" s="1029">
        <f t="shared" si="13"/>
        <v>138.58587905657456</v>
      </c>
      <c r="AF52" s="1038">
        <f t="shared" si="14"/>
        <v>92.390586037716375</v>
      </c>
      <c r="AH52" s="317">
        <f>'Baseline data (from input)'!AS39*'4A SWD Case 2'!$D$12</f>
        <v>3722.5131191048081</v>
      </c>
      <c r="AI52" s="1031">
        <f>Parameters!S154</f>
        <v>0.71500000000000008</v>
      </c>
      <c r="AJ52" s="1031">
        <f t="shared" si="15"/>
        <v>0.2</v>
      </c>
      <c r="AK52" s="1029">
        <f t="shared" si="16"/>
        <v>266.15968801599382</v>
      </c>
      <c r="AL52" s="1029">
        <f t="shared" si="17"/>
        <v>266.15968801599382</v>
      </c>
      <c r="AM52" s="303">
        <f t="shared" si="18"/>
        <v>0</v>
      </c>
      <c r="AN52" s="1029">
        <f t="shared" si="19"/>
        <v>2969.1617467233173</v>
      </c>
      <c r="AO52" s="1029">
        <f t="shared" si="20"/>
        <v>138.58587905657456</v>
      </c>
      <c r="AP52" s="1038">
        <f t="shared" si="21"/>
        <v>92.390586037716375</v>
      </c>
      <c r="AR52" s="1037">
        <v>0</v>
      </c>
      <c r="AS52" s="1030">
        <v>1</v>
      </c>
      <c r="AT52" s="1030">
        <f t="shared" si="22"/>
        <v>0.05</v>
      </c>
      <c r="AU52" s="1029">
        <f t="shared" si="23"/>
        <v>0</v>
      </c>
      <c r="AV52" s="1029">
        <f t="shared" si="24"/>
        <v>0</v>
      </c>
      <c r="AW52" s="198">
        <f t="shared" si="25"/>
        <v>0</v>
      </c>
      <c r="AX52" s="1045">
        <f t="shared" si="42"/>
        <v>0</v>
      </c>
      <c r="AY52" s="1045">
        <f t="shared" si="27"/>
        <v>0</v>
      </c>
      <c r="AZ52" s="1038">
        <f t="shared" si="28"/>
        <v>0</v>
      </c>
      <c r="BB52" s="317">
        <f t="shared" si="29"/>
        <v>179.91753943951804</v>
      </c>
      <c r="BC52" s="318">
        <f t="shared" si="30"/>
        <v>92.390586037716375</v>
      </c>
      <c r="BD52" s="1214">
        <f t="shared" si="31"/>
        <v>0</v>
      </c>
      <c r="BE52" s="318">
        <f t="shared" si="32"/>
        <v>272.3081254772344</v>
      </c>
      <c r="BF52" s="104">
        <v>0</v>
      </c>
      <c r="BG52" s="319">
        <f t="shared" si="33"/>
        <v>272.3081254772344</v>
      </c>
      <c r="BI52" s="317">
        <f t="shared" si="34"/>
        <v>179.91753943951804</v>
      </c>
      <c r="BJ52" s="318">
        <f t="shared" si="35"/>
        <v>92.390586037716375</v>
      </c>
      <c r="BK52" s="1214">
        <f t="shared" si="36"/>
        <v>0</v>
      </c>
      <c r="BL52" s="318">
        <f t="shared" si="37"/>
        <v>272.3081254772344</v>
      </c>
      <c r="BM52" s="104">
        <v>0</v>
      </c>
      <c r="BN52" s="319">
        <f t="shared" si="38"/>
        <v>272.3081254772344</v>
      </c>
    </row>
    <row r="53" spans="1:66">
      <c r="A53" s="127">
        <f>'Input data'!A84</f>
        <v>1984</v>
      </c>
      <c r="B53" s="988">
        <f>'Input data'!B84</f>
        <v>27.759549999999997</v>
      </c>
      <c r="C53" s="988">
        <f>'Baseline data (from input)'!B40</f>
        <v>578.73</v>
      </c>
      <c r="D53" s="899">
        <f>'Baseline data (from input)'!T40</f>
        <v>0.8</v>
      </c>
      <c r="E53" s="899">
        <f t="shared" ref="E53:K68" si="43">E52</f>
        <v>0.19892488097366726</v>
      </c>
      <c r="F53" s="899">
        <f t="shared" si="43"/>
        <v>0.26585903447659598</v>
      </c>
      <c r="G53" s="899">
        <f t="shared" si="43"/>
        <v>8.9228108703258049E-2</v>
      </c>
      <c r="H53" s="899">
        <f t="shared" si="43"/>
        <v>0</v>
      </c>
      <c r="I53" s="899">
        <f t="shared" si="43"/>
        <v>0</v>
      </c>
      <c r="J53" s="899">
        <f t="shared" si="43"/>
        <v>0</v>
      </c>
      <c r="K53" s="899">
        <f t="shared" si="43"/>
        <v>0.4459879758464787</v>
      </c>
      <c r="L53" s="996">
        <f t="shared" si="40"/>
        <v>1</v>
      </c>
      <c r="N53" s="317">
        <f t="shared" si="1"/>
        <v>12852.2274972</v>
      </c>
      <c r="O53" s="1031">
        <f>Parameters!R155</f>
        <v>0.73</v>
      </c>
      <c r="P53" s="1031">
        <f>E53*'MSW characteristics'!$B$28+'MSW characteristics'!$B$29*'4A SWD Case 2'!F53+'4A SWD Case 2'!G53*'MSW characteristics'!$B$30+'MSW characteristics'!$B$31*'4A SWD Case 2'!H53+'4A SWD Case 2'!I53*'MSW characteristics'!$B$32+'MSW characteristics'!$B$33*'4A SWD Case 2'!J53+'4A SWD Case 2'!K53*'MSW characteristics'!$B$35</f>
        <v>0.11870178252267252</v>
      </c>
      <c r="Q53" s="1029">
        <f t="shared" si="2"/>
        <v>556.83754435615924</v>
      </c>
      <c r="R53" s="1029">
        <f t="shared" si="3"/>
        <v>556.83754435615924</v>
      </c>
      <c r="S53" s="303">
        <f t="shared" si="4"/>
        <v>0</v>
      </c>
      <c r="T53" s="1029">
        <f t="shared" si="5"/>
        <v>6079.9549165798053</v>
      </c>
      <c r="U53" s="1029">
        <f t="shared" si="6"/>
        <v>283.17628308737119</v>
      </c>
      <c r="V53" s="1038">
        <f t="shared" si="7"/>
        <v>188.78418872491412</v>
      </c>
      <c r="X53" s="317">
        <f>'Baseline data (from input)'!AS40*'4A SWD Case 2'!$D$12</f>
        <v>3912.3283405877869</v>
      </c>
      <c r="Y53" s="1031">
        <f>Parameters!S155</f>
        <v>0.71500000000000008</v>
      </c>
      <c r="Z53" s="1031">
        <f t="shared" si="8"/>
        <v>0.2</v>
      </c>
      <c r="AA53" s="1029">
        <f t="shared" si="9"/>
        <v>279.73147635202685</v>
      </c>
      <c r="AB53" s="1029">
        <f t="shared" si="10"/>
        <v>279.73147635202685</v>
      </c>
      <c r="AC53" s="303">
        <f t="shared" si="11"/>
        <v>0</v>
      </c>
      <c r="AD53" s="1029">
        <f t="shared" si="12"/>
        <v>3104.0854959371827</v>
      </c>
      <c r="AE53" s="1029">
        <f t="shared" si="13"/>
        <v>144.8077271381614</v>
      </c>
      <c r="AF53" s="1038">
        <f t="shared" si="14"/>
        <v>96.53848475877426</v>
      </c>
      <c r="AH53" s="317">
        <f>'Baseline data (from input)'!AS40*'4A SWD Case 2'!$D$12</f>
        <v>3912.3283405877869</v>
      </c>
      <c r="AI53" s="1031">
        <f>Parameters!S155</f>
        <v>0.71500000000000008</v>
      </c>
      <c r="AJ53" s="1031">
        <f t="shared" si="15"/>
        <v>0.2</v>
      </c>
      <c r="AK53" s="1029">
        <f t="shared" si="16"/>
        <v>279.73147635202685</v>
      </c>
      <c r="AL53" s="1029">
        <f t="shared" si="17"/>
        <v>279.73147635202685</v>
      </c>
      <c r="AM53" s="303">
        <f t="shared" si="18"/>
        <v>0</v>
      </c>
      <c r="AN53" s="1029">
        <f t="shared" si="19"/>
        <v>3104.0854959371827</v>
      </c>
      <c r="AO53" s="1029">
        <f t="shared" si="20"/>
        <v>144.8077271381614</v>
      </c>
      <c r="AP53" s="1038">
        <f t="shared" si="21"/>
        <v>96.53848475877426</v>
      </c>
      <c r="AR53" s="1037">
        <v>0</v>
      </c>
      <c r="AS53" s="1030">
        <v>1</v>
      </c>
      <c r="AT53" s="1030">
        <f t="shared" si="22"/>
        <v>0.05</v>
      </c>
      <c r="AU53" s="1029">
        <f t="shared" si="23"/>
        <v>0</v>
      </c>
      <c r="AV53" s="1029">
        <f t="shared" si="24"/>
        <v>0</v>
      </c>
      <c r="AW53" s="198">
        <f t="shared" si="25"/>
        <v>0</v>
      </c>
      <c r="AX53" s="1045">
        <f t="shared" si="42"/>
        <v>0</v>
      </c>
      <c r="AY53" s="1045">
        <f t="shared" si="27"/>
        <v>0</v>
      </c>
      <c r="AZ53" s="1038">
        <f t="shared" si="28"/>
        <v>0</v>
      </c>
      <c r="BB53" s="317">
        <f t="shared" si="29"/>
        <v>188.78418872491412</v>
      </c>
      <c r="BC53" s="318">
        <f t="shared" si="30"/>
        <v>96.53848475877426</v>
      </c>
      <c r="BD53" s="1214">
        <f t="shared" si="31"/>
        <v>0</v>
      </c>
      <c r="BE53" s="318">
        <f t="shared" si="32"/>
        <v>285.32267348368839</v>
      </c>
      <c r="BF53" s="104">
        <v>0</v>
      </c>
      <c r="BG53" s="319">
        <f t="shared" si="33"/>
        <v>285.32267348368839</v>
      </c>
      <c r="BI53" s="317">
        <f t="shared" si="34"/>
        <v>188.78418872491412</v>
      </c>
      <c r="BJ53" s="318">
        <f t="shared" si="35"/>
        <v>96.53848475877426</v>
      </c>
      <c r="BK53" s="1214">
        <f t="shared" si="36"/>
        <v>0</v>
      </c>
      <c r="BL53" s="318">
        <f t="shared" si="37"/>
        <v>285.32267348368839</v>
      </c>
      <c r="BM53" s="104">
        <v>0</v>
      </c>
      <c r="BN53" s="319">
        <f t="shared" si="38"/>
        <v>285.32267348368839</v>
      </c>
    </row>
    <row r="54" spans="1:66">
      <c r="A54" s="127">
        <f>'Input data'!A85</f>
        <v>1985</v>
      </c>
      <c r="B54" s="988">
        <f>'Input data'!B85</f>
        <v>28.490279999999998</v>
      </c>
      <c r="C54" s="988">
        <f>'Baseline data (from input)'!B41</f>
        <v>578.73</v>
      </c>
      <c r="D54" s="899">
        <f>'Baseline data (from input)'!T41</f>
        <v>0.8</v>
      </c>
      <c r="E54" s="899">
        <f t="shared" si="43"/>
        <v>0.19892488097366726</v>
      </c>
      <c r="F54" s="899">
        <f t="shared" si="43"/>
        <v>0.26585903447659598</v>
      </c>
      <c r="G54" s="899">
        <f t="shared" si="43"/>
        <v>8.9228108703258049E-2</v>
      </c>
      <c r="H54" s="899">
        <f t="shared" si="43"/>
        <v>0</v>
      </c>
      <c r="I54" s="899">
        <f t="shared" si="43"/>
        <v>0</v>
      </c>
      <c r="J54" s="899">
        <f t="shared" si="43"/>
        <v>0</v>
      </c>
      <c r="K54" s="899">
        <f t="shared" si="43"/>
        <v>0.4459879758464787</v>
      </c>
      <c r="L54" s="996">
        <f t="shared" si="40"/>
        <v>1</v>
      </c>
      <c r="N54" s="317">
        <f t="shared" si="1"/>
        <v>13190.543795520001</v>
      </c>
      <c r="O54" s="1031">
        <f>Parameters!R156</f>
        <v>0.73</v>
      </c>
      <c r="P54" s="1031">
        <f>E54*'MSW characteristics'!$B$28+'MSW characteristics'!$B$29*'4A SWD Case 2'!F54+'4A SWD Case 2'!G54*'MSW characteristics'!$B$30+'MSW characteristics'!$B$31*'4A SWD Case 2'!H54+'4A SWD Case 2'!I54*'MSW characteristics'!$B$32+'MSW characteristics'!$B$33*'4A SWD Case 2'!J54+'4A SWD Case 2'!K54*'MSW characteristics'!$B$35</f>
        <v>0.11870178252267252</v>
      </c>
      <c r="Q54" s="1029">
        <f t="shared" si="2"/>
        <v>571.4954872546349</v>
      </c>
      <c r="R54" s="1029">
        <f t="shared" si="3"/>
        <v>571.4954872546349</v>
      </c>
      <c r="S54" s="303">
        <f t="shared" si="4"/>
        <v>0</v>
      </c>
      <c r="T54" s="1029">
        <f t="shared" si="5"/>
        <v>6354.9275035431301</v>
      </c>
      <c r="U54" s="1029">
        <f t="shared" si="6"/>
        <v>296.52290029131041</v>
      </c>
      <c r="V54" s="1038">
        <f t="shared" si="7"/>
        <v>197.68193352754028</v>
      </c>
      <c r="X54" s="317">
        <f>'Baseline data (from input)'!AS41*'4A SWD Case 2'!$D$12</f>
        <v>3864.9311197077423</v>
      </c>
      <c r="Y54" s="1031">
        <f>Parameters!S156</f>
        <v>0.71500000000000008</v>
      </c>
      <c r="Z54" s="1031">
        <f t="shared" si="8"/>
        <v>0.2</v>
      </c>
      <c r="AA54" s="1029">
        <f t="shared" si="9"/>
        <v>276.34257505910364</v>
      </c>
      <c r="AB54" s="1029">
        <f t="shared" si="10"/>
        <v>276.34257505910364</v>
      </c>
      <c r="AC54" s="303">
        <f t="shared" si="11"/>
        <v>0</v>
      </c>
      <c r="AD54" s="1029">
        <f t="shared" si="12"/>
        <v>3229.0400349604433</v>
      </c>
      <c r="AE54" s="1029">
        <f t="shared" si="13"/>
        <v>151.38803603584296</v>
      </c>
      <c r="AF54" s="1038">
        <f t="shared" si="14"/>
        <v>100.92535735722863</v>
      </c>
      <c r="AH54" s="317">
        <f>'Baseline data (from input)'!AS41*'4A SWD Case 2'!$D$12</f>
        <v>3864.9311197077423</v>
      </c>
      <c r="AI54" s="1031">
        <f>Parameters!S156</f>
        <v>0.71500000000000008</v>
      </c>
      <c r="AJ54" s="1031">
        <f t="shared" si="15"/>
        <v>0.2</v>
      </c>
      <c r="AK54" s="1029">
        <f t="shared" si="16"/>
        <v>276.34257505910364</v>
      </c>
      <c r="AL54" s="1029">
        <f t="shared" si="17"/>
        <v>276.34257505910364</v>
      </c>
      <c r="AM54" s="303">
        <f t="shared" si="18"/>
        <v>0</v>
      </c>
      <c r="AN54" s="1029">
        <f t="shared" si="19"/>
        <v>3229.0400349604433</v>
      </c>
      <c r="AO54" s="1029">
        <f t="shared" si="20"/>
        <v>151.38803603584296</v>
      </c>
      <c r="AP54" s="1038">
        <f t="shared" si="21"/>
        <v>100.92535735722863</v>
      </c>
      <c r="AR54" s="1037">
        <v>0</v>
      </c>
      <c r="AS54" s="1030">
        <v>1</v>
      </c>
      <c r="AT54" s="1030">
        <f t="shared" si="22"/>
        <v>0.05</v>
      </c>
      <c r="AU54" s="1029">
        <f t="shared" si="23"/>
        <v>0</v>
      </c>
      <c r="AV54" s="1029">
        <f t="shared" si="24"/>
        <v>0</v>
      </c>
      <c r="AW54" s="198">
        <f t="shared" si="25"/>
        <v>0</v>
      </c>
      <c r="AX54" s="1045">
        <f t="shared" si="42"/>
        <v>0</v>
      </c>
      <c r="AY54" s="1045">
        <f t="shared" si="27"/>
        <v>0</v>
      </c>
      <c r="AZ54" s="1038">
        <f t="shared" si="28"/>
        <v>0</v>
      </c>
      <c r="BB54" s="317">
        <f t="shared" si="29"/>
        <v>197.68193352754028</v>
      </c>
      <c r="BC54" s="318">
        <f t="shared" si="30"/>
        <v>100.92535735722863</v>
      </c>
      <c r="BD54" s="1214">
        <f t="shared" si="31"/>
        <v>0</v>
      </c>
      <c r="BE54" s="318">
        <f t="shared" si="32"/>
        <v>298.60729088476893</v>
      </c>
      <c r="BF54" s="104">
        <v>0</v>
      </c>
      <c r="BG54" s="319">
        <f t="shared" si="33"/>
        <v>298.60729088476893</v>
      </c>
      <c r="BI54" s="317">
        <f t="shared" si="34"/>
        <v>197.68193352754028</v>
      </c>
      <c r="BJ54" s="318">
        <f t="shared" si="35"/>
        <v>100.92535735722863</v>
      </c>
      <c r="BK54" s="1214">
        <f t="shared" si="36"/>
        <v>0</v>
      </c>
      <c r="BL54" s="318">
        <f t="shared" si="37"/>
        <v>298.60729088476893</v>
      </c>
      <c r="BM54" s="104">
        <v>0</v>
      </c>
      <c r="BN54" s="319">
        <f t="shared" si="38"/>
        <v>298.60729088476893</v>
      </c>
    </row>
    <row r="55" spans="1:66">
      <c r="A55" s="127">
        <f>'Input data'!A86</f>
        <v>1986</v>
      </c>
      <c r="B55" s="988">
        <f>'Input data'!B86</f>
        <v>29.230110000000003</v>
      </c>
      <c r="C55" s="988">
        <f>'Baseline data (from input)'!B42</f>
        <v>578.73</v>
      </c>
      <c r="D55" s="899">
        <f>'Baseline data (from input)'!T42</f>
        <v>0.8</v>
      </c>
      <c r="E55" s="899">
        <f t="shared" si="43"/>
        <v>0.19892488097366726</v>
      </c>
      <c r="F55" s="899">
        <f t="shared" si="43"/>
        <v>0.26585903447659598</v>
      </c>
      <c r="G55" s="899">
        <f t="shared" si="43"/>
        <v>8.9228108703258049E-2</v>
      </c>
      <c r="H55" s="899">
        <f t="shared" si="43"/>
        <v>0</v>
      </c>
      <c r="I55" s="899">
        <f t="shared" si="43"/>
        <v>0</v>
      </c>
      <c r="J55" s="899">
        <f t="shared" si="43"/>
        <v>0</v>
      </c>
      <c r="K55" s="899">
        <f t="shared" si="43"/>
        <v>0.4459879758464787</v>
      </c>
      <c r="L55" s="996">
        <f t="shared" si="40"/>
        <v>1</v>
      </c>
      <c r="N55" s="317">
        <f t="shared" si="1"/>
        <v>13533.073248240004</v>
      </c>
      <c r="O55" s="1031">
        <f>Parameters!R157</f>
        <v>0.73</v>
      </c>
      <c r="P55" s="1031">
        <f>E55*'MSW characteristics'!$B$28+'MSW characteristics'!$B$29*'4A SWD Case 2'!F55+'4A SWD Case 2'!G55*'MSW characteristics'!$B$30+'MSW characteristics'!$B$31*'4A SWD Case 2'!H55+'4A SWD Case 2'!I55*'MSW characteristics'!$B$32+'MSW characteristics'!$B$33*'4A SWD Case 2'!J55+'4A SWD Case 2'!K55*'MSW characteristics'!$B$35</f>
        <v>0.11870178252267252</v>
      </c>
      <c r="Q55" s="1029">
        <f t="shared" si="2"/>
        <v>586.33596991523348</v>
      </c>
      <c r="R55" s="1029">
        <f t="shared" si="3"/>
        <v>586.33596991523348</v>
      </c>
      <c r="S55" s="303">
        <f t="shared" si="4"/>
        <v>0</v>
      </c>
      <c r="T55" s="1029">
        <f t="shared" si="5"/>
        <v>6631.3300018543241</v>
      </c>
      <c r="U55" s="1029">
        <f t="shared" si="6"/>
        <v>309.9334716040392</v>
      </c>
      <c r="V55" s="1038">
        <f t="shared" si="7"/>
        <v>206.62231440269281</v>
      </c>
      <c r="X55" s="317">
        <f>'Baseline data (from input)'!AS42*'4A SWD Case 2'!$D$12</f>
        <v>3865.6204215927955</v>
      </c>
      <c r="Y55" s="1031">
        <f>Parameters!S157</f>
        <v>0.71500000000000008</v>
      </c>
      <c r="Z55" s="1031">
        <f t="shared" si="8"/>
        <v>0.2</v>
      </c>
      <c r="AA55" s="1029">
        <f t="shared" si="9"/>
        <v>276.39186014388497</v>
      </c>
      <c r="AB55" s="1029">
        <f t="shared" si="10"/>
        <v>276.39186014388497</v>
      </c>
      <c r="AC55" s="303">
        <f t="shared" si="11"/>
        <v>0</v>
      </c>
      <c r="AD55" s="1029">
        <f t="shared" si="12"/>
        <v>3347.9497542890731</v>
      </c>
      <c r="AE55" s="1029">
        <f t="shared" si="13"/>
        <v>157.48214081525535</v>
      </c>
      <c r="AF55" s="1038">
        <f t="shared" si="14"/>
        <v>104.9880938768369</v>
      </c>
      <c r="AH55" s="317">
        <f>'Baseline data (from input)'!AS42*'4A SWD Case 2'!$D$12</f>
        <v>3865.6204215927955</v>
      </c>
      <c r="AI55" s="1031">
        <f>Parameters!S157</f>
        <v>0.71500000000000008</v>
      </c>
      <c r="AJ55" s="1031">
        <f t="shared" si="15"/>
        <v>0.2</v>
      </c>
      <c r="AK55" s="1029">
        <f t="shared" si="16"/>
        <v>276.39186014388497</v>
      </c>
      <c r="AL55" s="1029">
        <f t="shared" si="17"/>
        <v>276.39186014388497</v>
      </c>
      <c r="AM55" s="303">
        <f t="shared" si="18"/>
        <v>0</v>
      </c>
      <c r="AN55" s="1029">
        <f t="shared" si="19"/>
        <v>3347.9497542890731</v>
      </c>
      <c r="AO55" s="1029">
        <f t="shared" si="20"/>
        <v>157.48214081525535</v>
      </c>
      <c r="AP55" s="1038">
        <f t="shared" si="21"/>
        <v>104.9880938768369</v>
      </c>
      <c r="AR55" s="1037">
        <v>0</v>
      </c>
      <c r="AS55" s="1030">
        <v>1</v>
      </c>
      <c r="AT55" s="1030">
        <f t="shared" si="22"/>
        <v>0.05</v>
      </c>
      <c r="AU55" s="1029">
        <f t="shared" si="23"/>
        <v>0</v>
      </c>
      <c r="AV55" s="1029">
        <f t="shared" si="24"/>
        <v>0</v>
      </c>
      <c r="AW55" s="198">
        <f t="shared" si="25"/>
        <v>0</v>
      </c>
      <c r="AX55" s="1045">
        <f t="shared" si="42"/>
        <v>0</v>
      </c>
      <c r="AY55" s="1045">
        <f t="shared" si="27"/>
        <v>0</v>
      </c>
      <c r="AZ55" s="1038">
        <f t="shared" si="28"/>
        <v>0</v>
      </c>
      <c r="BB55" s="317">
        <f t="shared" si="29"/>
        <v>206.62231440269281</v>
      </c>
      <c r="BC55" s="318">
        <f t="shared" si="30"/>
        <v>104.9880938768369</v>
      </c>
      <c r="BD55" s="1214">
        <f t="shared" si="31"/>
        <v>0</v>
      </c>
      <c r="BE55" s="318">
        <f t="shared" si="32"/>
        <v>311.61040827952968</v>
      </c>
      <c r="BF55" s="104">
        <v>0</v>
      </c>
      <c r="BG55" s="319">
        <f t="shared" si="33"/>
        <v>311.61040827952968</v>
      </c>
      <c r="BI55" s="317">
        <f t="shared" si="34"/>
        <v>206.62231440269281</v>
      </c>
      <c r="BJ55" s="318">
        <f t="shared" si="35"/>
        <v>104.9880938768369</v>
      </c>
      <c r="BK55" s="1214">
        <f t="shared" si="36"/>
        <v>0</v>
      </c>
      <c r="BL55" s="318">
        <f t="shared" si="37"/>
        <v>311.61040827952968</v>
      </c>
      <c r="BM55" s="104">
        <v>0</v>
      </c>
      <c r="BN55" s="319">
        <f t="shared" si="38"/>
        <v>311.61040827952968</v>
      </c>
    </row>
    <row r="56" spans="1:66">
      <c r="A56" s="127">
        <f>'Input data'!A87</f>
        <v>1987</v>
      </c>
      <c r="B56" s="988">
        <f>'Input data'!B87</f>
        <v>29.96903</v>
      </c>
      <c r="C56" s="988">
        <f>'Baseline data (from input)'!B43</f>
        <v>578.73</v>
      </c>
      <c r="D56" s="899">
        <f>'Baseline data (from input)'!T43</f>
        <v>0.8</v>
      </c>
      <c r="E56" s="899">
        <f t="shared" si="43"/>
        <v>0.19892488097366726</v>
      </c>
      <c r="F56" s="899">
        <f t="shared" si="43"/>
        <v>0.26585903447659598</v>
      </c>
      <c r="G56" s="899">
        <f t="shared" si="43"/>
        <v>8.9228108703258049E-2</v>
      </c>
      <c r="H56" s="899">
        <f t="shared" si="43"/>
        <v>0</v>
      </c>
      <c r="I56" s="899">
        <f t="shared" si="43"/>
        <v>0</v>
      </c>
      <c r="J56" s="899">
        <f t="shared" si="43"/>
        <v>0</v>
      </c>
      <c r="K56" s="899">
        <f t="shared" si="43"/>
        <v>0.4459879758464787</v>
      </c>
      <c r="L56" s="996">
        <f t="shared" si="40"/>
        <v>1</v>
      </c>
      <c r="N56" s="317">
        <f t="shared" si="1"/>
        <v>13875.181385520002</v>
      </c>
      <c r="O56" s="1031">
        <f>Parameters!R158</f>
        <v>0.73</v>
      </c>
      <c r="P56" s="1031">
        <f>E56*'MSW characteristics'!$B$28+'MSW characteristics'!$B$29*'4A SWD Case 2'!F56+'4A SWD Case 2'!G56*'MSW characteristics'!$B$30+'MSW characteristics'!$B$31*'4A SWD Case 2'!H56+'4A SWD Case 2'!I56*'MSW characteristics'!$B$32+'MSW characteristics'!$B$33*'4A SWD Case 2'!J56+'4A SWD Case 2'!K56*'MSW characteristics'!$B$35</f>
        <v>0.11870178252267252</v>
      </c>
      <c r="Q56" s="1029">
        <f t="shared" si="2"/>
        <v>601.15819859961971</v>
      </c>
      <c r="R56" s="1029">
        <f t="shared" si="3"/>
        <v>601.15819859961971</v>
      </c>
      <c r="S56" s="303">
        <f t="shared" si="4"/>
        <v>0</v>
      </c>
      <c r="T56" s="1029">
        <f t="shared" si="5"/>
        <v>6909.0744199378278</v>
      </c>
      <c r="U56" s="1029">
        <f t="shared" si="6"/>
        <v>323.41378051611656</v>
      </c>
      <c r="V56" s="1038">
        <f t="shared" si="7"/>
        <v>215.60918701074436</v>
      </c>
      <c r="X56" s="317">
        <f>'Baseline data (from input)'!AS43*'4A SWD Case 2'!$D$12</f>
        <v>3946.8268712993636</v>
      </c>
      <c r="Y56" s="1031">
        <f>Parameters!S158</f>
        <v>0.71500000000000008</v>
      </c>
      <c r="Z56" s="1031">
        <f t="shared" si="8"/>
        <v>0.2</v>
      </c>
      <c r="AA56" s="1029">
        <f t="shared" si="9"/>
        <v>282.19812129790455</v>
      </c>
      <c r="AB56" s="1029">
        <f t="shared" si="10"/>
        <v>282.19812129790455</v>
      </c>
      <c r="AC56" s="303">
        <f t="shared" si="11"/>
        <v>0</v>
      </c>
      <c r="AD56" s="1029">
        <f t="shared" si="12"/>
        <v>3466.8664393276063</v>
      </c>
      <c r="AE56" s="1029">
        <f t="shared" si="13"/>
        <v>163.28143625937119</v>
      </c>
      <c r="AF56" s="1038">
        <f t="shared" si="14"/>
        <v>108.8542908395808</v>
      </c>
      <c r="AH56" s="317">
        <f>'Baseline data (from input)'!AS43*'4A SWD Case 2'!$D$12</f>
        <v>3946.8268712993636</v>
      </c>
      <c r="AI56" s="1031">
        <f>Parameters!S158</f>
        <v>0.71500000000000008</v>
      </c>
      <c r="AJ56" s="1031">
        <f t="shared" si="15"/>
        <v>0.2</v>
      </c>
      <c r="AK56" s="1029">
        <f t="shared" si="16"/>
        <v>282.19812129790455</v>
      </c>
      <c r="AL56" s="1029">
        <f t="shared" si="17"/>
        <v>282.19812129790455</v>
      </c>
      <c r="AM56" s="303">
        <f t="shared" si="18"/>
        <v>0</v>
      </c>
      <c r="AN56" s="1029">
        <f t="shared" si="19"/>
        <v>3466.8664393276063</v>
      </c>
      <c r="AO56" s="1029">
        <f t="shared" si="20"/>
        <v>163.28143625937119</v>
      </c>
      <c r="AP56" s="1038">
        <f t="shared" si="21"/>
        <v>108.8542908395808</v>
      </c>
      <c r="AR56" s="1037">
        <v>0</v>
      </c>
      <c r="AS56" s="1030">
        <v>1</v>
      </c>
      <c r="AT56" s="1030">
        <f t="shared" si="22"/>
        <v>0.05</v>
      </c>
      <c r="AU56" s="1029">
        <f t="shared" si="23"/>
        <v>0</v>
      </c>
      <c r="AV56" s="1029">
        <f t="shared" si="24"/>
        <v>0</v>
      </c>
      <c r="AW56" s="198">
        <f t="shared" si="25"/>
        <v>0</v>
      </c>
      <c r="AX56" s="1045">
        <f t="shared" si="42"/>
        <v>0</v>
      </c>
      <c r="AY56" s="1045">
        <f t="shared" si="27"/>
        <v>0</v>
      </c>
      <c r="AZ56" s="1038">
        <f t="shared" si="28"/>
        <v>0</v>
      </c>
      <c r="BB56" s="317">
        <f t="shared" si="29"/>
        <v>215.60918701074436</v>
      </c>
      <c r="BC56" s="318">
        <f t="shared" si="30"/>
        <v>108.8542908395808</v>
      </c>
      <c r="BD56" s="1214">
        <f t="shared" si="31"/>
        <v>0</v>
      </c>
      <c r="BE56" s="318">
        <f t="shared" si="32"/>
        <v>324.46347785032515</v>
      </c>
      <c r="BF56" s="104">
        <v>0</v>
      </c>
      <c r="BG56" s="319">
        <f t="shared" si="33"/>
        <v>324.46347785032515</v>
      </c>
      <c r="BI56" s="317">
        <f t="shared" si="34"/>
        <v>215.60918701074436</v>
      </c>
      <c r="BJ56" s="318">
        <f t="shared" si="35"/>
        <v>108.8542908395808</v>
      </c>
      <c r="BK56" s="1214">
        <f t="shared" si="36"/>
        <v>0</v>
      </c>
      <c r="BL56" s="318">
        <f t="shared" si="37"/>
        <v>324.46347785032515</v>
      </c>
      <c r="BM56" s="104">
        <v>0</v>
      </c>
      <c r="BN56" s="319">
        <f t="shared" si="38"/>
        <v>324.46347785032515</v>
      </c>
    </row>
    <row r="57" spans="1:66">
      <c r="A57" s="127">
        <f>'Input data'!A88</f>
        <v>1988</v>
      </c>
      <c r="B57" s="988">
        <f>'Input data'!B88</f>
        <v>30.692480000000003</v>
      </c>
      <c r="C57" s="988">
        <f>'Baseline data (from input)'!B44</f>
        <v>578.73</v>
      </c>
      <c r="D57" s="899">
        <f>'Baseline data (from input)'!T44</f>
        <v>0.8</v>
      </c>
      <c r="E57" s="899">
        <f t="shared" si="43"/>
        <v>0.19892488097366726</v>
      </c>
      <c r="F57" s="899">
        <f t="shared" si="43"/>
        <v>0.26585903447659598</v>
      </c>
      <c r="G57" s="899">
        <f t="shared" si="43"/>
        <v>8.9228108703258049E-2</v>
      </c>
      <c r="H57" s="899">
        <f t="shared" si="43"/>
        <v>0</v>
      </c>
      <c r="I57" s="899">
        <f t="shared" si="43"/>
        <v>0</v>
      </c>
      <c r="J57" s="899">
        <f t="shared" si="43"/>
        <v>0</v>
      </c>
      <c r="K57" s="899">
        <f t="shared" si="43"/>
        <v>0.4459879758464787</v>
      </c>
      <c r="L57" s="996">
        <f t="shared" si="40"/>
        <v>1</v>
      </c>
      <c r="N57" s="317">
        <f t="shared" si="1"/>
        <v>14210.127160320004</v>
      </c>
      <c r="O57" s="1031">
        <f>Parameters!R159</f>
        <v>0.73</v>
      </c>
      <c r="P57" s="1031">
        <f>E57*'MSW characteristics'!$B$28+'MSW characteristics'!$B$29*'4A SWD Case 2'!F57+'4A SWD Case 2'!G57*'MSW characteristics'!$B$30+'MSW characteristics'!$B$31*'4A SWD Case 2'!H57+'4A SWD Case 2'!I57*'MSW characteristics'!$B$32+'MSW characteristics'!$B$33*'4A SWD Case 2'!J57+'4A SWD Case 2'!K57*'MSW characteristics'!$B$35</f>
        <v>0.11870178252267252</v>
      </c>
      <c r="Q57" s="1029">
        <f t="shared" si="2"/>
        <v>615.67010968839691</v>
      </c>
      <c r="R57" s="1029">
        <f t="shared" si="3"/>
        <v>615.67010968839691</v>
      </c>
      <c r="S57" s="303">
        <f t="shared" si="4"/>
        <v>0</v>
      </c>
      <c r="T57" s="1029">
        <f t="shared" si="5"/>
        <v>7187.7849939984617</v>
      </c>
      <c r="U57" s="1029">
        <f t="shared" si="6"/>
        <v>336.95953562776333</v>
      </c>
      <c r="V57" s="1038">
        <f t="shared" si="7"/>
        <v>224.63969041850888</v>
      </c>
      <c r="X57" s="317">
        <f>'Baseline data (from input)'!AS44*'4A SWD Case 2'!$D$12</f>
        <v>4112.5988313734861</v>
      </c>
      <c r="Y57" s="1031">
        <f>Parameters!S159</f>
        <v>0.71500000000000008</v>
      </c>
      <c r="Z57" s="1031">
        <f t="shared" si="8"/>
        <v>0.2</v>
      </c>
      <c r="AA57" s="1029">
        <f t="shared" si="9"/>
        <v>294.05081644320433</v>
      </c>
      <c r="AB57" s="1029">
        <f t="shared" si="10"/>
        <v>294.05081644320433</v>
      </c>
      <c r="AC57" s="303">
        <f t="shared" si="11"/>
        <v>0</v>
      </c>
      <c r="AD57" s="1029">
        <f t="shared" si="12"/>
        <v>3591.8361843456428</v>
      </c>
      <c r="AE57" s="1029">
        <f t="shared" si="13"/>
        <v>169.08107142516781</v>
      </c>
      <c r="AF57" s="1038">
        <f t="shared" si="14"/>
        <v>112.7207142834452</v>
      </c>
      <c r="AH57" s="317">
        <f>'Baseline data (from input)'!AS44*'4A SWD Case 2'!$D$12</f>
        <v>4112.5988313734861</v>
      </c>
      <c r="AI57" s="1031">
        <f>Parameters!S159</f>
        <v>0.71500000000000008</v>
      </c>
      <c r="AJ57" s="1031">
        <f t="shared" si="15"/>
        <v>0.2</v>
      </c>
      <c r="AK57" s="1029">
        <f t="shared" si="16"/>
        <v>294.05081644320433</v>
      </c>
      <c r="AL57" s="1029">
        <f t="shared" si="17"/>
        <v>294.05081644320433</v>
      </c>
      <c r="AM57" s="303">
        <f t="shared" si="18"/>
        <v>0</v>
      </c>
      <c r="AN57" s="1029">
        <f t="shared" si="19"/>
        <v>3591.8361843456428</v>
      </c>
      <c r="AO57" s="1029">
        <f t="shared" si="20"/>
        <v>169.08107142516781</v>
      </c>
      <c r="AP57" s="1038">
        <f t="shared" si="21"/>
        <v>112.7207142834452</v>
      </c>
      <c r="AR57" s="1037">
        <v>0</v>
      </c>
      <c r="AS57" s="1030">
        <v>1</v>
      </c>
      <c r="AT57" s="1030">
        <f t="shared" si="22"/>
        <v>0.05</v>
      </c>
      <c r="AU57" s="1029">
        <f t="shared" si="23"/>
        <v>0</v>
      </c>
      <c r="AV57" s="1029">
        <f t="shared" si="24"/>
        <v>0</v>
      </c>
      <c r="AW57" s="198">
        <f t="shared" si="25"/>
        <v>0</v>
      </c>
      <c r="AX57" s="1045">
        <f t="shared" si="42"/>
        <v>0</v>
      </c>
      <c r="AY57" s="1045">
        <f t="shared" si="27"/>
        <v>0</v>
      </c>
      <c r="AZ57" s="1038">
        <f t="shared" si="28"/>
        <v>0</v>
      </c>
      <c r="BB57" s="317">
        <f t="shared" si="29"/>
        <v>224.63969041850888</v>
      </c>
      <c r="BC57" s="318">
        <f t="shared" si="30"/>
        <v>112.7207142834452</v>
      </c>
      <c r="BD57" s="1214">
        <f t="shared" si="31"/>
        <v>0</v>
      </c>
      <c r="BE57" s="318">
        <f t="shared" si="32"/>
        <v>337.36040470195405</v>
      </c>
      <c r="BF57" s="104">
        <v>0</v>
      </c>
      <c r="BG57" s="319">
        <f t="shared" si="33"/>
        <v>337.36040470195405</v>
      </c>
      <c r="BI57" s="317">
        <f t="shared" si="34"/>
        <v>224.63969041850888</v>
      </c>
      <c r="BJ57" s="318">
        <f t="shared" si="35"/>
        <v>112.7207142834452</v>
      </c>
      <c r="BK57" s="1214">
        <f t="shared" si="36"/>
        <v>0</v>
      </c>
      <c r="BL57" s="318">
        <f t="shared" si="37"/>
        <v>337.36040470195405</v>
      </c>
      <c r="BM57" s="104">
        <v>0</v>
      </c>
      <c r="BN57" s="319">
        <f t="shared" si="38"/>
        <v>337.36040470195405</v>
      </c>
    </row>
    <row r="58" spans="1:66">
      <c r="A58" s="127">
        <f>'Input data'!A89</f>
        <v>1989</v>
      </c>
      <c r="B58" s="988">
        <f>'Input data'!B89</f>
        <v>31.386810000000001</v>
      </c>
      <c r="C58" s="988">
        <f>'Baseline data (from input)'!B45</f>
        <v>578.73</v>
      </c>
      <c r="D58" s="899">
        <f>'Baseline data (from input)'!T45</f>
        <v>0.8</v>
      </c>
      <c r="E58" s="899">
        <f t="shared" si="43"/>
        <v>0.19892488097366726</v>
      </c>
      <c r="F58" s="899">
        <f t="shared" si="43"/>
        <v>0.26585903447659598</v>
      </c>
      <c r="G58" s="899">
        <f t="shared" si="43"/>
        <v>8.9228108703258049E-2</v>
      </c>
      <c r="H58" s="899">
        <f t="shared" si="43"/>
        <v>0</v>
      </c>
      <c r="I58" s="899">
        <f t="shared" si="43"/>
        <v>0</v>
      </c>
      <c r="J58" s="899">
        <f t="shared" si="43"/>
        <v>0</v>
      </c>
      <c r="K58" s="899">
        <f t="shared" si="43"/>
        <v>0.4459879758464787</v>
      </c>
      <c r="L58" s="996">
        <f t="shared" si="40"/>
        <v>1</v>
      </c>
      <c r="N58" s="317">
        <f t="shared" si="1"/>
        <v>14531.590841040001</v>
      </c>
      <c r="O58" s="1031">
        <f>Parameters!R160</f>
        <v>0.73</v>
      </c>
      <c r="P58" s="1031">
        <f>E58*'MSW characteristics'!$B$28+'MSW characteristics'!$B$29*'4A SWD Case 2'!F58+'4A SWD Case 2'!G58*'MSW characteristics'!$B$30+'MSW characteristics'!$B$31*'4A SWD Case 2'!H58+'4A SWD Case 2'!I58*'MSW characteristics'!$B$32+'MSW characteristics'!$B$33*'4A SWD Case 2'!J58+'4A SWD Case 2'!K58*'MSW characteristics'!$B$35</f>
        <v>0.11870178252267252</v>
      </c>
      <c r="Q58" s="1029">
        <f t="shared" si="2"/>
        <v>629.59789353838028</v>
      </c>
      <c r="R58" s="1029">
        <f t="shared" si="3"/>
        <v>629.59789353838028</v>
      </c>
      <c r="S58" s="303">
        <f t="shared" si="4"/>
        <v>0</v>
      </c>
      <c r="T58" s="1029">
        <f t="shared" si="5"/>
        <v>7466.8304768144053</v>
      </c>
      <c r="U58" s="1029">
        <f t="shared" si="6"/>
        <v>350.55241072243683</v>
      </c>
      <c r="V58" s="1038">
        <f t="shared" si="7"/>
        <v>233.70160714829123</v>
      </c>
      <c r="X58" s="317">
        <f>'Baseline data (from input)'!AS45*'4A SWD Case 2'!$D$12</f>
        <v>4211.0866967104384</v>
      </c>
      <c r="Y58" s="1031">
        <f>Parameters!S160</f>
        <v>0.71500000000000008</v>
      </c>
      <c r="Z58" s="1031">
        <f t="shared" si="8"/>
        <v>0.2</v>
      </c>
      <c r="AA58" s="1029">
        <f t="shared" si="9"/>
        <v>301.09269881479639</v>
      </c>
      <c r="AB58" s="1029">
        <f t="shared" si="10"/>
        <v>301.09269881479639</v>
      </c>
      <c r="AC58" s="303">
        <f t="shared" si="11"/>
        <v>0</v>
      </c>
      <c r="AD58" s="1029">
        <f t="shared" si="12"/>
        <v>3717.7529653507427</v>
      </c>
      <c r="AE58" s="1029">
        <f t="shared" si="13"/>
        <v>175.17591780969647</v>
      </c>
      <c r="AF58" s="1038">
        <f t="shared" si="14"/>
        <v>116.78394520646431</v>
      </c>
      <c r="AH58" s="317">
        <f>'Baseline data (from input)'!AS45*'4A SWD Case 2'!$D$12</f>
        <v>4211.0866967104384</v>
      </c>
      <c r="AI58" s="1031">
        <f>Parameters!S160</f>
        <v>0.71500000000000008</v>
      </c>
      <c r="AJ58" s="1031">
        <f t="shared" si="15"/>
        <v>0.2</v>
      </c>
      <c r="AK58" s="1029">
        <f t="shared" si="16"/>
        <v>301.09269881479639</v>
      </c>
      <c r="AL58" s="1029">
        <f t="shared" si="17"/>
        <v>301.09269881479639</v>
      </c>
      <c r="AM58" s="303">
        <f t="shared" si="18"/>
        <v>0</v>
      </c>
      <c r="AN58" s="1029">
        <f t="shared" si="19"/>
        <v>3717.7529653507427</v>
      </c>
      <c r="AO58" s="1029">
        <f t="shared" si="20"/>
        <v>175.17591780969647</v>
      </c>
      <c r="AP58" s="1038">
        <f t="shared" si="21"/>
        <v>116.78394520646431</v>
      </c>
      <c r="AR58" s="1037">
        <v>0</v>
      </c>
      <c r="AS58" s="1030">
        <v>1</v>
      </c>
      <c r="AT58" s="1030">
        <f t="shared" si="22"/>
        <v>0.05</v>
      </c>
      <c r="AU58" s="1029">
        <f t="shared" si="23"/>
        <v>0</v>
      </c>
      <c r="AV58" s="1029">
        <f t="shared" si="24"/>
        <v>0</v>
      </c>
      <c r="AW58" s="198">
        <f t="shared" si="25"/>
        <v>0</v>
      </c>
      <c r="AX58" s="1045">
        <f t="shared" si="42"/>
        <v>0</v>
      </c>
      <c r="AY58" s="1045">
        <f t="shared" si="27"/>
        <v>0</v>
      </c>
      <c r="AZ58" s="1038">
        <f t="shared" si="28"/>
        <v>0</v>
      </c>
      <c r="BB58" s="317">
        <f t="shared" si="29"/>
        <v>233.70160714829123</v>
      </c>
      <c r="BC58" s="318">
        <f t="shared" si="30"/>
        <v>116.78394520646431</v>
      </c>
      <c r="BD58" s="1214">
        <f t="shared" si="31"/>
        <v>0</v>
      </c>
      <c r="BE58" s="318">
        <f t="shared" si="32"/>
        <v>350.48555235475555</v>
      </c>
      <c r="BF58" s="104">
        <v>0</v>
      </c>
      <c r="BG58" s="319">
        <f t="shared" si="33"/>
        <v>350.48555235475555</v>
      </c>
      <c r="BI58" s="317">
        <f t="shared" si="34"/>
        <v>233.70160714829123</v>
      </c>
      <c r="BJ58" s="318">
        <f t="shared" si="35"/>
        <v>116.78394520646431</v>
      </c>
      <c r="BK58" s="1214">
        <f t="shared" si="36"/>
        <v>0</v>
      </c>
      <c r="BL58" s="318">
        <f t="shared" si="37"/>
        <v>350.48555235475555</v>
      </c>
      <c r="BM58" s="104">
        <v>0</v>
      </c>
      <c r="BN58" s="319">
        <f t="shared" si="38"/>
        <v>350.48555235475555</v>
      </c>
    </row>
    <row r="59" spans="1:66">
      <c r="A59" s="127">
        <f>'Input data'!A90</f>
        <v>1990</v>
      </c>
      <c r="B59" s="988">
        <f>'Input data'!B90</f>
        <v>32.032000000000004</v>
      </c>
      <c r="C59" s="988">
        <f>'Baseline data (from input)'!B46</f>
        <v>578.73</v>
      </c>
      <c r="D59" s="899">
        <f>'Baseline data (from input)'!T46</f>
        <v>0.8</v>
      </c>
      <c r="E59" s="899">
        <f t="shared" si="43"/>
        <v>0.19892488097366726</v>
      </c>
      <c r="F59" s="899">
        <f t="shared" si="43"/>
        <v>0.26585903447659598</v>
      </c>
      <c r="G59" s="899">
        <f t="shared" si="43"/>
        <v>8.9228108703258049E-2</v>
      </c>
      <c r="H59" s="899">
        <f t="shared" si="43"/>
        <v>0</v>
      </c>
      <c r="I59" s="899">
        <f t="shared" si="43"/>
        <v>0</v>
      </c>
      <c r="J59" s="899">
        <f t="shared" si="43"/>
        <v>0</v>
      </c>
      <c r="K59" s="899">
        <f t="shared" si="43"/>
        <v>0.4459879758464787</v>
      </c>
      <c r="L59" s="996">
        <f t="shared" si="40"/>
        <v>1</v>
      </c>
      <c r="N59" s="317">
        <f t="shared" si="1"/>
        <v>14830.303488000003</v>
      </c>
      <c r="O59" s="1031">
        <f>Parameters!R161</f>
        <v>0.73</v>
      </c>
      <c r="P59" s="1031">
        <f>E59*'MSW characteristics'!$B$28+'MSW characteristics'!$B$29*'4A SWD Case 2'!F59+'4A SWD Case 2'!G59*'MSW characteristics'!$B$30+'MSW characteristics'!$B$31*'4A SWD Case 2'!H59+'4A SWD Case 2'!I59*'MSW characteristics'!$B$32+'MSW characteristics'!$B$33*'4A SWD Case 2'!J59+'4A SWD Case 2'!K59*'MSW characteristics'!$B$35</f>
        <v>0.11870178252267252</v>
      </c>
      <c r="Q59" s="1029">
        <f t="shared" si="2"/>
        <v>642.53996267289995</v>
      </c>
      <c r="R59" s="1029">
        <f t="shared" si="3"/>
        <v>642.53996267289995</v>
      </c>
      <c r="S59" s="303">
        <f t="shared" si="4"/>
        <v>0</v>
      </c>
      <c r="T59" s="1029">
        <f t="shared" si="5"/>
        <v>7745.2088199774589</v>
      </c>
      <c r="U59" s="1029">
        <f t="shared" si="6"/>
        <v>364.1616195098465</v>
      </c>
      <c r="V59" s="1038">
        <f t="shared" si="7"/>
        <v>242.77441300656434</v>
      </c>
      <c r="X59" s="317">
        <f>'Baseline data (from input)'!AS46*'4A SWD Case 2'!$D$12</f>
        <v>4197.7044663843517</v>
      </c>
      <c r="Y59" s="1031">
        <f>Parameters!S161</f>
        <v>0.71500000000000008</v>
      </c>
      <c r="Z59" s="1031">
        <f t="shared" si="8"/>
        <v>0.2</v>
      </c>
      <c r="AA59" s="1029">
        <f t="shared" si="9"/>
        <v>300.13586934648123</v>
      </c>
      <c r="AB59" s="1029">
        <f t="shared" si="10"/>
        <v>300.13586934648123</v>
      </c>
      <c r="AC59" s="303">
        <f t="shared" si="11"/>
        <v>0</v>
      </c>
      <c r="AD59" s="1029">
        <f t="shared" si="12"/>
        <v>3836.5718830128912</v>
      </c>
      <c r="AE59" s="1029">
        <f t="shared" si="13"/>
        <v>181.31695168433274</v>
      </c>
      <c r="AF59" s="1038">
        <f t="shared" si="14"/>
        <v>120.87796778955516</v>
      </c>
      <c r="AH59" s="317">
        <f>'Baseline data (from input)'!AS46*'4A SWD Case 2'!$D$12</f>
        <v>4197.7044663843517</v>
      </c>
      <c r="AI59" s="1031">
        <f>Parameters!S161</f>
        <v>0.71500000000000008</v>
      </c>
      <c r="AJ59" s="1031">
        <f t="shared" si="15"/>
        <v>0.2</v>
      </c>
      <c r="AK59" s="1029">
        <f t="shared" si="16"/>
        <v>300.13586934648123</v>
      </c>
      <c r="AL59" s="1029">
        <f t="shared" si="17"/>
        <v>300.13586934648123</v>
      </c>
      <c r="AM59" s="303">
        <f t="shared" si="18"/>
        <v>0</v>
      </c>
      <c r="AN59" s="1029">
        <f t="shared" si="19"/>
        <v>3836.5718830128912</v>
      </c>
      <c r="AO59" s="1029">
        <f t="shared" si="20"/>
        <v>181.31695168433274</v>
      </c>
      <c r="AP59" s="1038">
        <f t="shared" si="21"/>
        <v>120.87796778955516</v>
      </c>
      <c r="AR59" s="1037">
        <v>0</v>
      </c>
      <c r="AS59" s="1030">
        <v>1</v>
      </c>
      <c r="AT59" s="1030">
        <f t="shared" si="22"/>
        <v>0.05</v>
      </c>
      <c r="AU59" s="1029">
        <f t="shared" si="23"/>
        <v>0</v>
      </c>
      <c r="AV59" s="1029">
        <f t="shared" si="24"/>
        <v>0</v>
      </c>
      <c r="AW59" s="198">
        <f t="shared" si="25"/>
        <v>0</v>
      </c>
      <c r="AX59" s="1045">
        <f t="shared" si="42"/>
        <v>0</v>
      </c>
      <c r="AY59" s="1045">
        <f t="shared" si="27"/>
        <v>0</v>
      </c>
      <c r="AZ59" s="1038">
        <f t="shared" si="28"/>
        <v>0</v>
      </c>
      <c r="BB59" s="317">
        <f t="shared" si="29"/>
        <v>242.77441300656434</v>
      </c>
      <c r="BC59" s="318">
        <f t="shared" si="30"/>
        <v>120.87796778955516</v>
      </c>
      <c r="BD59" s="1214">
        <f t="shared" si="31"/>
        <v>0</v>
      </c>
      <c r="BE59" s="318">
        <f t="shared" si="32"/>
        <v>363.65238079611947</v>
      </c>
      <c r="BF59" s="104">
        <v>0</v>
      </c>
      <c r="BG59" s="319">
        <f t="shared" si="33"/>
        <v>363.65238079611947</v>
      </c>
      <c r="BI59" s="317">
        <f t="shared" si="34"/>
        <v>242.77441300656434</v>
      </c>
      <c r="BJ59" s="318">
        <f t="shared" si="35"/>
        <v>120.87796778955516</v>
      </c>
      <c r="BK59" s="1214">
        <f t="shared" si="36"/>
        <v>0</v>
      </c>
      <c r="BL59" s="318">
        <f t="shared" si="37"/>
        <v>363.65238079611947</v>
      </c>
      <c r="BM59" s="104">
        <v>0</v>
      </c>
      <c r="BN59" s="319">
        <f t="shared" si="38"/>
        <v>363.65238079611947</v>
      </c>
    </row>
    <row r="60" spans="1:66">
      <c r="A60" s="127">
        <f>'Input data'!A91</f>
        <v>1991</v>
      </c>
      <c r="B60" s="988">
        <f>'Input data'!B91</f>
        <v>32.69903</v>
      </c>
      <c r="C60" s="988">
        <f>'Baseline data (from input)'!B47</f>
        <v>578.73</v>
      </c>
      <c r="D60" s="899">
        <f>'Baseline data (from input)'!T47</f>
        <v>0.8</v>
      </c>
      <c r="E60" s="899">
        <f t="shared" si="43"/>
        <v>0.19892488097366726</v>
      </c>
      <c r="F60" s="899">
        <f t="shared" si="43"/>
        <v>0.26585903447659598</v>
      </c>
      <c r="G60" s="899">
        <f t="shared" si="43"/>
        <v>8.9228108703258049E-2</v>
      </c>
      <c r="H60" s="899">
        <f t="shared" si="43"/>
        <v>0</v>
      </c>
      <c r="I60" s="899">
        <f t="shared" si="43"/>
        <v>0</v>
      </c>
      <c r="J60" s="899">
        <f t="shared" si="43"/>
        <v>0</v>
      </c>
      <c r="K60" s="899">
        <f t="shared" si="43"/>
        <v>0.4459879758464787</v>
      </c>
      <c r="L60" s="996">
        <f t="shared" si="40"/>
        <v>1</v>
      </c>
      <c r="N60" s="317">
        <f t="shared" si="1"/>
        <v>15139.127705520003</v>
      </c>
      <c r="O60" s="1031">
        <f>Parameters!R162</f>
        <v>0.73</v>
      </c>
      <c r="P60" s="1031">
        <f>E60*'MSW characteristics'!$B$28+'MSW characteristics'!$B$29*'4A SWD Case 2'!F60+'4A SWD Case 2'!G60*'MSW characteristics'!$B$30+'MSW characteristics'!$B$31*'4A SWD Case 2'!H60+'4A SWD Case 2'!I60*'MSW characteristics'!$B$32+'MSW characteristics'!$B$33*'4A SWD Case 2'!J60+'4A SWD Case 2'!K60*'MSW characteristics'!$B$35</f>
        <v>0.11870178252267252</v>
      </c>
      <c r="Q60" s="1029">
        <f t="shared" si="2"/>
        <v>655.92012723651465</v>
      </c>
      <c r="R60" s="1029">
        <f t="shared" si="3"/>
        <v>655.92012723651465</v>
      </c>
      <c r="S60" s="303">
        <f t="shared" si="4"/>
        <v>0</v>
      </c>
      <c r="T60" s="1029">
        <f t="shared" si="5"/>
        <v>8023.3906557015271</v>
      </c>
      <c r="U60" s="1029">
        <f t="shared" si="6"/>
        <v>377.73829151244638</v>
      </c>
      <c r="V60" s="1038">
        <f t="shared" si="7"/>
        <v>251.82552767496426</v>
      </c>
      <c r="X60" s="317">
        <f>'Baseline data (from input)'!AS47*'4A SWD Case 2'!$D$12</f>
        <v>4154.9626052978174</v>
      </c>
      <c r="Y60" s="1031">
        <f>Parameters!S162</f>
        <v>0.71500000000000008</v>
      </c>
      <c r="Z60" s="1031">
        <f t="shared" si="8"/>
        <v>0.2</v>
      </c>
      <c r="AA60" s="1029">
        <f t="shared" si="9"/>
        <v>297.07982627879397</v>
      </c>
      <c r="AB60" s="1029">
        <f t="shared" si="10"/>
        <v>297.07982627879397</v>
      </c>
      <c r="AC60" s="303">
        <f t="shared" si="11"/>
        <v>0</v>
      </c>
      <c r="AD60" s="1029">
        <f t="shared" si="12"/>
        <v>3946.5398906127671</v>
      </c>
      <c r="AE60" s="1029">
        <f t="shared" si="13"/>
        <v>187.11181867891801</v>
      </c>
      <c r="AF60" s="1038">
        <f t="shared" si="14"/>
        <v>124.741212452612</v>
      </c>
      <c r="AH60" s="317">
        <f>'Baseline data (from input)'!AS47*'4A SWD Case 2'!$D$12</f>
        <v>4154.9626052978174</v>
      </c>
      <c r="AI60" s="1031">
        <f>Parameters!S162</f>
        <v>0.71500000000000008</v>
      </c>
      <c r="AJ60" s="1031">
        <f t="shared" si="15"/>
        <v>0.2</v>
      </c>
      <c r="AK60" s="1029">
        <f t="shared" si="16"/>
        <v>297.07982627879397</v>
      </c>
      <c r="AL60" s="1029">
        <f t="shared" si="17"/>
        <v>297.07982627879397</v>
      </c>
      <c r="AM60" s="303">
        <f t="shared" si="18"/>
        <v>0</v>
      </c>
      <c r="AN60" s="1029">
        <f t="shared" si="19"/>
        <v>3946.5398906127671</v>
      </c>
      <c r="AO60" s="1029">
        <f t="shared" si="20"/>
        <v>187.11181867891801</v>
      </c>
      <c r="AP60" s="1038">
        <f t="shared" si="21"/>
        <v>124.741212452612</v>
      </c>
      <c r="AR60" s="1037">
        <v>0</v>
      </c>
      <c r="AS60" s="1030">
        <v>1</v>
      </c>
      <c r="AT60" s="1030">
        <f t="shared" si="22"/>
        <v>0.05</v>
      </c>
      <c r="AU60" s="1029">
        <f t="shared" si="23"/>
        <v>0</v>
      </c>
      <c r="AV60" s="1029">
        <f t="shared" si="24"/>
        <v>0</v>
      </c>
      <c r="AW60" s="198">
        <f t="shared" si="25"/>
        <v>0</v>
      </c>
      <c r="AX60" s="1045">
        <f t="shared" si="42"/>
        <v>0</v>
      </c>
      <c r="AY60" s="1045">
        <f t="shared" si="27"/>
        <v>0</v>
      </c>
      <c r="AZ60" s="1038">
        <f t="shared" si="28"/>
        <v>0</v>
      </c>
      <c r="BB60" s="317">
        <f t="shared" si="29"/>
        <v>251.82552767496426</v>
      </c>
      <c r="BC60" s="318">
        <f t="shared" si="30"/>
        <v>124.741212452612</v>
      </c>
      <c r="BD60" s="1214">
        <f t="shared" si="31"/>
        <v>0</v>
      </c>
      <c r="BE60" s="318">
        <f t="shared" si="32"/>
        <v>376.56674012757628</v>
      </c>
      <c r="BF60" s="104">
        <v>0</v>
      </c>
      <c r="BG60" s="319">
        <f t="shared" si="33"/>
        <v>376.56674012757628</v>
      </c>
      <c r="BI60" s="317">
        <f t="shared" si="34"/>
        <v>251.82552767496426</v>
      </c>
      <c r="BJ60" s="318">
        <f t="shared" si="35"/>
        <v>124.741212452612</v>
      </c>
      <c r="BK60" s="1214">
        <f t="shared" si="36"/>
        <v>0</v>
      </c>
      <c r="BL60" s="318">
        <f t="shared" si="37"/>
        <v>376.56674012757628</v>
      </c>
      <c r="BM60" s="104">
        <v>0</v>
      </c>
      <c r="BN60" s="319">
        <f t="shared" si="38"/>
        <v>376.56674012757628</v>
      </c>
    </row>
    <row r="61" spans="1:66">
      <c r="A61" s="127">
        <f>'Input data'!A92</f>
        <v>1992</v>
      </c>
      <c r="B61" s="988">
        <f>'Input data'!B92</f>
        <v>33.388809999999999</v>
      </c>
      <c r="C61" s="988">
        <f>'Baseline data (from input)'!B48</f>
        <v>578.73</v>
      </c>
      <c r="D61" s="899">
        <f>'Baseline data (from input)'!T48</f>
        <v>0.8</v>
      </c>
      <c r="E61" s="899">
        <f t="shared" si="43"/>
        <v>0.19892488097366726</v>
      </c>
      <c r="F61" s="899">
        <f t="shared" si="43"/>
        <v>0.26585903447659598</v>
      </c>
      <c r="G61" s="899">
        <f t="shared" si="43"/>
        <v>8.9228108703258049E-2</v>
      </c>
      <c r="H61" s="899">
        <f t="shared" si="43"/>
        <v>0</v>
      </c>
      <c r="I61" s="899">
        <f t="shared" si="43"/>
        <v>0</v>
      </c>
      <c r="J61" s="899">
        <f t="shared" si="43"/>
        <v>0</v>
      </c>
      <c r="K61" s="899">
        <f t="shared" si="43"/>
        <v>0.4459879758464787</v>
      </c>
      <c r="L61" s="996">
        <f t="shared" si="40"/>
        <v>1</v>
      </c>
      <c r="N61" s="317">
        <f t="shared" si="1"/>
        <v>15458.484809039999</v>
      </c>
      <c r="O61" s="1031">
        <f>Parameters!R163</f>
        <v>0.73</v>
      </c>
      <c r="P61" s="1031">
        <f>E61*'MSW characteristics'!$B$28+'MSW characteristics'!$B$29*'4A SWD Case 2'!F61+'4A SWD Case 2'!G61*'MSW characteristics'!$B$30+'MSW characteristics'!$B$31*'4A SWD Case 2'!H61+'4A SWD Case 2'!I61*'MSW characteristics'!$B$32+'MSW characteristics'!$B$33*'4A SWD Case 2'!J61+'4A SWD Case 2'!K61*'MSW characteristics'!$B$35</f>
        <v>0.11870178252267252</v>
      </c>
      <c r="Q61" s="1029">
        <f t="shared" si="2"/>
        <v>669.75664120543661</v>
      </c>
      <c r="R61" s="1029">
        <f t="shared" si="3"/>
        <v>669.75664120543661</v>
      </c>
      <c r="S61" s="303">
        <f t="shared" si="4"/>
        <v>0</v>
      </c>
      <c r="T61" s="1029">
        <f t="shared" si="5"/>
        <v>8301.8419171728056</v>
      </c>
      <c r="U61" s="1029">
        <f t="shared" si="6"/>
        <v>391.30537973415699</v>
      </c>
      <c r="V61" s="1038">
        <f t="shared" si="7"/>
        <v>260.87025315610464</v>
      </c>
      <c r="X61" s="317">
        <f>'Baseline data (from input)'!AS48*'4A SWD Case 2'!$D$12</f>
        <v>4066.1686907059261</v>
      </c>
      <c r="Y61" s="1031">
        <f>Parameters!S163</f>
        <v>0.71500000000000008</v>
      </c>
      <c r="Z61" s="1031">
        <f t="shared" si="8"/>
        <v>0.2</v>
      </c>
      <c r="AA61" s="1029">
        <f t="shared" si="9"/>
        <v>290.73106138547377</v>
      </c>
      <c r="AB61" s="1029">
        <f t="shared" si="10"/>
        <v>290.73106138547377</v>
      </c>
      <c r="AC61" s="303">
        <f t="shared" si="11"/>
        <v>0</v>
      </c>
      <c r="AD61" s="1029">
        <f t="shared" si="12"/>
        <v>4044.7959303021671</v>
      </c>
      <c r="AE61" s="1029">
        <f t="shared" si="13"/>
        <v>192.47502169607381</v>
      </c>
      <c r="AF61" s="1038">
        <f t="shared" si="14"/>
        <v>128.31668113071586</v>
      </c>
      <c r="AH61" s="317">
        <f>'Baseline data (from input)'!AS48*'4A SWD Case 2'!$D$12</f>
        <v>4066.1686907059261</v>
      </c>
      <c r="AI61" s="1031">
        <f>Parameters!S163</f>
        <v>0.71500000000000008</v>
      </c>
      <c r="AJ61" s="1031">
        <f t="shared" si="15"/>
        <v>0.2</v>
      </c>
      <c r="AK61" s="1029">
        <f t="shared" si="16"/>
        <v>290.73106138547377</v>
      </c>
      <c r="AL61" s="1029">
        <f t="shared" si="17"/>
        <v>290.73106138547377</v>
      </c>
      <c r="AM61" s="303">
        <f t="shared" si="18"/>
        <v>0</v>
      </c>
      <c r="AN61" s="1029">
        <f t="shared" si="19"/>
        <v>4044.7959303021671</v>
      </c>
      <c r="AO61" s="1029">
        <f t="shared" si="20"/>
        <v>192.47502169607381</v>
      </c>
      <c r="AP61" s="1038">
        <f t="shared" si="21"/>
        <v>128.31668113071586</v>
      </c>
      <c r="AR61" s="1037">
        <v>0</v>
      </c>
      <c r="AS61" s="1030">
        <v>1</v>
      </c>
      <c r="AT61" s="1030">
        <f t="shared" si="22"/>
        <v>0.05</v>
      </c>
      <c r="AU61" s="1029">
        <f t="shared" si="23"/>
        <v>0</v>
      </c>
      <c r="AV61" s="1029">
        <f t="shared" si="24"/>
        <v>0</v>
      </c>
      <c r="AW61" s="198">
        <f t="shared" si="25"/>
        <v>0</v>
      </c>
      <c r="AX61" s="1045">
        <f t="shared" si="42"/>
        <v>0</v>
      </c>
      <c r="AY61" s="1045">
        <f t="shared" si="27"/>
        <v>0</v>
      </c>
      <c r="AZ61" s="1038">
        <f t="shared" si="28"/>
        <v>0</v>
      </c>
      <c r="BB61" s="317">
        <f t="shared" si="29"/>
        <v>260.87025315610464</v>
      </c>
      <c r="BC61" s="318">
        <f t="shared" si="30"/>
        <v>128.31668113071586</v>
      </c>
      <c r="BD61" s="1214">
        <f t="shared" si="31"/>
        <v>0</v>
      </c>
      <c r="BE61" s="318">
        <f t="shared" si="32"/>
        <v>389.18693428682047</v>
      </c>
      <c r="BF61" s="104">
        <v>0</v>
      </c>
      <c r="BG61" s="319">
        <f t="shared" si="33"/>
        <v>389.18693428682047</v>
      </c>
      <c r="BI61" s="317">
        <f t="shared" si="34"/>
        <v>260.87025315610464</v>
      </c>
      <c r="BJ61" s="318">
        <f t="shared" si="35"/>
        <v>128.31668113071586</v>
      </c>
      <c r="BK61" s="1214">
        <f t="shared" si="36"/>
        <v>0</v>
      </c>
      <c r="BL61" s="318">
        <f t="shared" si="37"/>
        <v>389.18693428682047</v>
      </c>
      <c r="BM61" s="104">
        <v>0</v>
      </c>
      <c r="BN61" s="319">
        <f t="shared" si="38"/>
        <v>389.18693428682047</v>
      </c>
    </row>
    <row r="62" spans="1:66">
      <c r="A62" s="127">
        <f>'Input data'!A93</f>
        <v>1993</v>
      </c>
      <c r="B62" s="988">
        <f>'Input data'!B93</f>
        <v>34.101339999999993</v>
      </c>
      <c r="C62" s="988">
        <f>'Baseline data (from input)'!B49</f>
        <v>578.73</v>
      </c>
      <c r="D62" s="899">
        <f>'Baseline data (from input)'!T49</f>
        <v>0.8</v>
      </c>
      <c r="E62" s="899">
        <f t="shared" si="43"/>
        <v>0.19892488097366726</v>
      </c>
      <c r="F62" s="899">
        <f t="shared" si="43"/>
        <v>0.26585903447659598</v>
      </c>
      <c r="G62" s="899">
        <f t="shared" si="43"/>
        <v>8.9228108703258049E-2</v>
      </c>
      <c r="H62" s="899">
        <f t="shared" si="43"/>
        <v>0</v>
      </c>
      <c r="I62" s="899">
        <f t="shared" si="43"/>
        <v>0</v>
      </c>
      <c r="J62" s="899">
        <f t="shared" si="43"/>
        <v>0</v>
      </c>
      <c r="K62" s="899">
        <f t="shared" si="43"/>
        <v>0.4459879758464787</v>
      </c>
      <c r="L62" s="996">
        <f t="shared" si="40"/>
        <v>1</v>
      </c>
      <c r="N62" s="317">
        <f t="shared" si="1"/>
        <v>15788.374798559998</v>
      </c>
      <c r="O62" s="1031">
        <f>Parameters!R164</f>
        <v>0.73</v>
      </c>
      <c r="P62" s="1031">
        <f>E62*'MSW characteristics'!$B$28+'MSW characteristics'!$B$29*'4A SWD Case 2'!F62+'4A SWD Case 2'!G62*'MSW characteristics'!$B$30+'MSW characteristics'!$B$31*'4A SWD Case 2'!H62+'4A SWD Case 2'!I62*'MSW characteristics'!$B$32+'MSW characteristics'!$B$33*'4A SWD Case 2'!J62+'4A SWD Case 2'!K62*'MSW characteristics'!$B$35</f>
        <v>0.11870178252267252</v>
      </c>
      <c r="Q62" s="1029">
        <f t="shared" si="2"/>
        <v>684.04950457966606</v>
      </c>
      <c r="R62" s="1029">
        <f t="shared" si="3"/>
        <v>684.04950457966606</v>
      </c>
      <c r="S62" s="303">
        <f t="shared" si="4"/>
        <v>0</v>
      </c>
      <c r="T62" s="1029">
        <f t="shared" si="5"/>
        <v>8581.0058137478591</v>
      </c>
      <c r="U62" s="1029">
        <f t="shared" si="6"/>
        <v>404.8856080046134</v>
      </c>
      <c r="V62" s="1038">
        <f t="shared" si="7"/>
        <v>269.92373866974225</v>
      </c>
      <c r="X62" s="317">
        <f>'Baseline data (from input)'!AS49*'4A SWD Case 2'!$D$12</f>
        <v>4116.3256912019551</v>
      </c>
      <c r="Y62" s="1031">
        <f>Parameters!S164</f>
        <v>0.71500000000000008</v>
      </c>
      <c r="Z62" s="1031">
        <f t="shared" si="8"/>
        <v>0.2</v>
      </c>
      <c r="AA62" s="1029">
        <f t="shared" si="9"/>
        <v>294.31728692093981</v>
      </c>
      <c r="AB62" s="1029">
        <f t="shared" si="10"/>
        <v>294.31728692093981</v>
      </c>
      <c r="AC62" s="303">
        <f t="shared" si="11"/>
        <v>0</v>
      </c>
      <c r="AD62" s="1029">
        <f t="shared" si="12"/>
        <v>4141.8461919251004</v>
      </c>
      <c r="AE62" s="1029">
        <f t="shared" si="13"/>
        <v>197.26702529800653</v>
      </c>
      <c r="AF62" s="1038">
        <f t="shared" si="14"/>
        <v>131.51135019867101</v>
      </c>
      <c r="AH62" s="317">
        <f>'Baseline data (from input)'!AS49*'4A SWD Case 2'!$D$12</f>
        <v>4116.3256912019551</v>
      </c>
      <c r="AI62" s="1031">
        <f>Parameters!S164</f>
        <v>0.71500000000000008</v>
      </c>
      <c r="AJ62" s="1031">
        <f t="shared" si="15"/>
        <v>0.2</v>
      </c>
      <c r="AK62" s="1029">
        <f t="shared" si="16"/>
        <v>294.31728692093981</v>
      </c>
      <c r="AL62" s="1029">
        <f t="shared" si="17"/>
        <v>294.31728692093981</v>
      </c>
      <c r="AM62" s="303">
        <f t="shared" si="18"/>
        <v>0</v>
      </c>
      <c r="AN62" s="1029">
        <f t="shared" si="19"/>
        <v>4141.8461919251004</v>
      </c>
      <c r="AO62" s="1029">
        <f t="shared" si="20"/>
        <v>197.26702529800653</v>
      </c>
      <c r="AP62" s="1038">
        <f t="shared" si="21"/>
        <v>131.51135019867101</v>
      </c>
      <c r="AR62" s="1037">
        <v>0</v>
      </c>
      <c r="AS62" s="1030">
        <v>1</v>
      </c>
      <c r="AT62" s="1030">
        <f t="shared" si="22"/>
        <v>0.05</v>
      </c>
      <c r="AU62" s="1029">
        <f t="shared" si="23"/>
        <v>0</v>
      </c>
      <c r="AV62" s="1029">
        <f t="shared" si="24"/>
        <v>0</v>
      </c>
      <c r="AW62" s="198">
        <f t="shared" si="25"/>
        <v>0</v>
      </c>
      <c r="AX62" s="1045">
        <f t="shared" si="42"/>
        <v>0</v>
      </c>
      <c r="AY62" s="1045">
        <f t="shared" si="27"/>
        <v>0</v>
      </c>
      <c r="AZ62" s="1038">
        <f t="shared" si="28"/>
        <v>0</v>
      </c>
      <c r="BB62" s="317">
        <f t="shared" si="29"/>
        <v>269.92373866974225</v>
      </c>
      <c r="BC62" s="318">
        <f t="shared" si="30"/>
        <v>131.51135019867101</v>
      </c>
      <c r="BD62" s="1214">
        <f t="shared" si="31"/>
        <v>0</v>
      </c>
      <c r="BE62" s="318">
        <f t="shared" si="32"/>
        <v>401.43508886841323</v>
      </c>
      <c r="BF62" s="104">
        <v>0</v>
      </c>
      <c r="BG62" s="319">
        <f t="shared" si="33"/>
        <v>401.43508886841323</v>
      </c>
      <c r="BI62" s="317">
        <f t="shared" si="34"/>
        <v>269.92373866974225</v>
      </c>
      <c r="BJ62" s="318">
        <f t="shared" si="35"/>
        <v>131.51135019867101</v>
      </c>
      <c r="BK62" s="1214">
        <f t="shared" si="36"/>
        <v>0</v>
      </c>
      <c r="BL62" s="318">
        <f t="shared" si="37"/>
        <v>401.43508886841323</v>
      </c>
      <c r="BM62" s="104">
        <v>0</v>
      </c>
      <c r="BN62" s="319">
        <f t="shared" si="38"/>
        <v>401.43508886841323</v>
      </c>
    </row>
    <row r="63" spans="1:66">
      <c r="A63" s="127">
        <f>'Input data'!A94</f>
        <v>1994</v>
      </c>
      <c r="B63" s="988">
        <f>'Input data'!B94</f>
        <v>34.837530000000001</v>
      </c>
      <c r="C63" s="988">
        <f>'Baseline data (from input)'!B50</f>
        <v>578.73</v>
      </c>
      <c r="D63" s="899">
        <f>'Baseline data (from input)'!T50</f>
        <v>0.8</v>
      </c>
      <c r="E63" s="899">
        <f t="shared" si="43"/>
        <v>0.19892488097366726</v>
      </c>
      <c r="F63" s="899">
        <f t="shared" si="43"/>
        <v>0.26585903447659598</v>
      </c>
      <c r="G63" s="899">
        <f t="shared" si="43"/>
        <v>8.9228108703258049E-2</v>
      </c>
      <c r="H63" s="899">
        <f t="shared" si="43"/>
        <v>0</v>
      </c>
      <c r="I63" s="899">
        <f t="shared" si="43"/>
        <v>0</v>
      </c>
      <c r="J63" s="899">
        <f t="shared" si="43"/>
        <v>0</v>
      </c>
      <c r="K63" s="899">
        <f t="shared" si="43"/>
        <v>0.4459879758464787</v>
      </c>
      <c r="L63" s="996">
        <f t="shared" si="40"/>
        <v>1</v>
      </c>
      <c r="N63" s="317">
        <f t="shared" si="1"/>
        <v>16129.218989520003</v>
      </c>
      <c r="O63" s="1031">
        <f>Parameters!R165</f>
        <v>0.73</v>
      </c>
      <c r="P63" s="1031">
        <f>E63*'MSW characteristics'!$B$28+'MSW characteristics'!$B$29*'4A SWD Case 2'!F63+'4A SWD Case 2'!G63*'MSW characteristics'!$B$30+'MSW characteristics'!$B$31*'4A SWD Case 2'!H63+'4A SWD Case 2'!I63*'MSW characteristics'!$B$32+'MSW characteristics'!$B$33*'4A SWD Case 2'!J63+'4A SWD Case 2'!K63*'MSW characteristics'!$B$35</f>
        <v>0.11870178252267252</v>
      </c>
      <c r="Q63" s="1029">
        <f t="shared" si="2"/>
        <v>698.81697133541559</v>
      </c>
      <c r="R63" s="1029">
        <f t="shared" si="3"/>
        <v>698.81697133541559</v>
      </c>
      <c r="S63" s="303">
        <f t="shared" si="4"/>
        <v>0</v>
      </c>
      <c r="T63" s="1029">
        <f t="shared" si="5"/>
        <v>8861.3221931840726</v>
      </c>
      <c r="U63" s="1029">
        <f t="shared" si="6"/>
        <v>418.50059189920194</v>
      </c>
      <c r="V63" s="1038">
        <f t="shared" si="7"/>
        <v>279.00039459946794</v>
      </c>
      <c r="X63" s="317">
        <f>'Baseline data (from input)'!AS50*'4A SWD Case 2'!$D$12</f>
        <v>4248.0481565006739</v>
      </c>
      <c r="Y63" s="1031">
        <f>Parameters!S165</f>
        <v>0.71500000000000008</v>
      </c>
      <c r="Z63" s="1031">
        <f t="shared" si="8"/>
        <v>0.2</v>
      </c>
      <c r="AA63" s="1029">
        <f t="shared" si="9"/>
        <v>303.73544318979827</v>
      </c>
      <c r="AB63" s="1029">
        <f t="shared" si="10"/>
        <v>303.73544318979827</v>
      </c>
      <c r="AC63" s="303">
        <f t="shared" si="11"/>
        <v>0</v>
      </c>
      <c r="AD63" s="1029">
        <f t="shared" si="12"/>
        <v>4243.5814127051854</v>
      </c>
      <c r="AE63" s="1029">
        <f t="shared" si="13"/>
        <v>202.00022240971325</v>
      </c>
      <c r="AF63" s="1038">
        <f t="shared" si="14"/>
        <v>134.66681493980883</v>
      </c>
      <c r="AH63" s="317">
        <f>'Baseline data (from input)'!AS50*'4A SWD Case 2'!$D$12</f>
        <v>4248.0481565006739</v>
      </c>
      <c r="AI63" s="1031">
        <f>Parameters!S165</f>
        <v>0.71500000000000008</v>
      </c>
      <c r="AJ63" s="1031">
        <f t="shared" si="15"/>
        <v>0.2</v>
      </c>
      <c r="AK63" s="1029">
        <f t="shared" si="16"/>
        <v>303.73544318979827</v>
      </c>
      <c r="AL63" s="1029">
        <f t="shared" si="17"/>
        <v>303.73544318979827</v>
      </c>
      <c r="AM63" s="303">
        <f t="shared" si="18"/>
        <v>0</v>
      </c>
      <c r="AN63" s="1029">
        <f t="shared" si="19"/>
        <v>4243.5814127051854</v>
      </c>
      <c r="AO63" s="1029">
        <f t="shared" si="20"/>
        <v>202.00022240971325</v>
      </c>
      <c r="AP63" s="1038">
        <f t="shared" si="21"/>
        <v>134.66681493980883</v>
      </c>
      <c r="AR63" s="1037">
        <v>0</v>
      </c>
      <c r="AS63" s="1030">
        <v>1</v>
      </c>
      <c r="AT63" s="1030">
        <f t="shared" si="22"/>
        <v>0.05</v>
      </c>
      <c r="AU63" s="1029">
        <f t="shared" si="23"/>
        <v>0</v>
      </c>
      <c r="AV63" s="1029">
        <f t="shared" si="24"/>
        <v>0</v>
      </c>
      <c r="AW63" s="198">
        <f t="shared" si="25"/>
        <v>0</v>
      </c>
      <c r="AX63" s="1045">
        <f t="shared" si="42"/>
        <v>0</v>
      </c>
      <c r="AY63" s="1045">
        <f t="shared" si="27"/>
        <v>0</v>
      </c>
      <c r="AZ63" s="1038">
        <f t="shared" si="28"/>
        <v>0</v>
      </c>
      <c r="BB63" s="317">
        <f t="shared" si="29"/>
        <v>279.00039459946794</v>
      </c>
      <c r="BC63" s="318">
        <f t="shared" si="30"/>
        <v>134.66681493980883</v>
      </c>
      <c r="BD63" s="1214">
        <f t="shared" si="31"/>
        <v>0</v>
      </c>
      <c r="BE63" s="318">
        <f t="shared" si="32"/>
        <v>413.66720953927677</v>
      </c>
      <c r="BF63" s="104">
        <v>0</v>
      </c>
      <c r="BG63" s="319">
        <f t="shared" si="33"/>
        <v>413.66720953927677</v>
      </c>
      <c r="BI63" s="317">
        <f t="shared" si="34"/>
        <v>279.00039459946794</v>
      </c>
      <c r="BJ63" s="318">
        <f t="shared" si="35"/>
        <v>134.66681493980883</v>
      </c>
      <c r="BK63" s="1214">
        <f t="shared" si="36"/>
        <v>0</v>
      </c>
      <c r="BL63" s="318">
        <f t="shared" si="37"/>
        <v>413.66720953927677</v>
      </c>
      <c r="BM63" s="104">
        <v>0</v>
      </c>
      <c r="BN63" s="319">
        <f t="shared" si="38"/>
        <v>413.66720953927677</v>
      </c>
    </row>
    <row r="64" spans="1:66">
      <c r="A64" s="127">
        <f>'Input data'!A95</f>
        <v>1995</v>
      </c>
      <c r="B64" s="988">
        <f>'Input data'!B95</f>
        <v>35.599199999999996</v>
      </c>
      <c r="C64" s="988">
        <f>'Baseline data (from input)'!B51</f>
        <v>578.73</v>
      </c>
      <c r="D64" s="899">
        <f>'Baseline data (from input)'!T51</f>
        <v>0.8</v>
      </c>
      <c r="E64" s="899">
        <f t="shared" si="43"/>
        <v>0.19892488097366726</v>
      </c>
      <c r="F64" s="899">
        <f t="shared" si="43"/>
        <v>0.26585903447659598</v>
      </c>
      <c r="G64" s="899">
        <f t="shared" si="43"/>
        <v>8.9228108703258049E-2</v>
      </c>
      <c r="H64" s="899">
        <f t="shared" si="43"/>
        <v>0</v>
      </c>
      <c r="I64" s="899">
        <f t="shared" si="43"/>
        <v>0</v>
      </c>
      <c r="J64" s="899">
        <f t="shared" si="43"/>
        <v>0</v>
      </c>
      <c r="K64" s="899">
        <f t="shared" si="43"/>
        <v>0.4459879758464787</v>
      </c>
      <c r="L64" s="996">
        <f t="shared" si="40"/>
        <v>1</v>
      </c>
      <c r="N64" s="317">
        <f t="shared" si="1"/>
        <v>16481.8600128</v>
      </c>
      <c r="O64" s="1031">
        <f>Parameters!R166</f>
        <v>0.73</v>
      </c>
      <c r="P64" s="1031">
        <f>E64*'MSW characteristics'!$B$28+'MSW characteristics'!$B$29*'4A SWD Case 2'!F64+'4A SWD Case 2'!G64*'MSW characteristics'!$B$30+'MSW characteristics'!$B$31*'4A SWD Case 2'!H64+'4A SWD Case 2'!I64*'MSW characteristics'!$B$32+'MSW characteristics'!$B$33*'4A SWD Case 2'!J64+'4A SWD Case 2'!K64*'MSW characteristics'!$B$35</f>
        <v>0.11870178252267252</v>
      </c>
      <c r="Q64" s="1029">
        <f t="shared" si="2"/>
        <v>714.09554942510908</v>
      </c>
      <c r="R64" s="1029">
        <f t="shared" si="3"/>
        <v>714.09554942510908</v>
      </c>
      <c r="S64" s="303">
        <f t="shared" si="4"/>
        <v>0</v>
      </c>
      <c r="T64" s="1029">
        <f t="shared" si="5"/>
        <v>9143.2459595629989</v>
      </c>
      <c r="U64" s="1029">
        <f t="shared" si="6"/>
        <v>432.17178304618227</v>
      </c>
      <c r="V64" s="1038">
        <f t="shared" si="7"/>
        <v>288.11452203078818</v>
      </c>
      <c r="X64" s="317">
        <f>'Baseline data (from input)'!AS51*'4A SWD Case 2'!$D$12</f>
        <v>4379.7374547066283</v>
      </c>
      <c r="Y64" s="1031">
        <f>Parameters!S166</f>
        <v>0.71500000000000008</v>
      </c>
      <c r="Z64" s="1031">
        <f t="shared" si="8"/>
        <v>0.2</v>
      </c>
      <c r="AA64" s="1029">
        <f t="shared" si="9"/>
        <v>313.15122801152398</v>
      </c>
      <c r="AB64" s="1029">
        <f t="shared" si="10"/>
        <v>313.15122801152398</v>
      </c>
      <c r="AC64" s="303">
        <f t="shared" si="11"/>
        <v>0</v>
      </c>
      <c r="AD64" s="1029">
        <f t="shared" si="12"/>
        <v>4349.7707330410049</v>
      </c>
      <c r="AE64" s="1029">
        <f t="shared" si="13"/>
        <v>206.96190767570491</v>
      </c>
      <c r="AF64" s="1038">
        <f t="shared" si="14"/>
        <v>137.9746051171366</v>
      </c>
      <c r="AH64" s="317">
        <f>'Baseline data (from input)'!AS51*'4A SWD Case 2'!$D$12</f>
        <v>4379.7374547066283</v>
      </c>
      <c r="AI64" s="1031">
        <f>Parameters!S166</f>
        <v>0.71500000000000008</v>
      </c>
      <c r="AJ64" s="1031">
        <f t="shared" si="15"/>
        <v>0.2</v>
      </c>
      <c r="AK64" s="1029">
        <f t="shared" si="16"/>
        <v>313.15122801152398</v>
      </c>
      <c r="AL64" s="1029">
        <f t="shared" si="17"/>
        <v>313.15122801152398</v>
      </c>
      <c r="AM64" s="303">
        <f t="shared" si="18"/>
        <v>0</v>
      </c>
      <c r="AN64" s="1029">
        <f t="shared" si="19"/>
        <v>4349.7707330410049</v>
      </c>
      <c r="AO64" s="1029">
        <f t="shared" si="20"/>
        <v>206.96190767570491</v>
      </c>
      <c r="AP64" s="1038">
        <f t="shared" si="21"/>
        <v>137.9746051171366</v>
      </c>
      <c r="AR64" s="1037">
        <v>0</v>
      </c>
      <c r="AS64" s="1030">
        <v>1</v>
      </c>
      <c r="AT64" s="1030">
        <f t="shared" si="22"/>
        <v>0.05</v>
      </c>
      <c r="AU64" s="1029">
        <f t="shared" si="23"/>
        <v>0</v>
      </c>
      <c r="AV64" s="1029">
        <f t="shared" si="24"/>
        <v>0</v>
      </c>
      <c r="AW64" s="198">
        <f t="shared" si="25"/>
        <v>0</v>
      </c>
      <c r="AX64" s="1045">
        <f t="shared" si="42"/>
        <v>0</v>
      </c>
      <c r="AY64" s="1045">
        <f t="shared" si="27"/>
        <v>0</v>
      </c>
      <c r="AZ64" s="1038">
        <f t="shared" si="28"/>
        <v>0</v>
      </c>
      <c r="BB64" s="317">
        <f t="shared" si="29"/>
        <v>288.11452203078818</v>
      </c>
      <c r="BC64" s="318">
        <f t="shared" si="30"/>
        <v>137.9746051171366</v>
      </c>
      <c r="BD64" s="1214">
        <f t="shared" si="31"/>
        <v>0</v>
      </c>
      <c r="BE64" s="318">
        <f t="shared" si="32"/>
        <v>426.08912714792478</v>
      </c>
      <c r="BF64" s="104">
        <v>0</v>
      </c>
      <c r="BG64" s="319">
        <f t="shared" si="33"/>
        <v>426.08912714792478</v>
      </c>
      <c r="BI64" s="317">
        <f t="shared" si="34"/>
        <v>288.11452203078818</v>
      </c>
      <c r="BJ64" s="318">
        <f t="shared" si="35"/>
        <v>137.9746051171366</v>
      </c>
      <c r="BK64" s="1214">
        <f t="shared" si="36"/>
        <v>0</v>
      </c>
      <c r="BL64" s="318">
        <f t="shared" si="37"/>
        <v>426.08912714792478</v>
      </c>
      <c r="BM64" s="104">
        <v>0</v>
      </c>
      <c r="BN64" s="319">
        <f t="shared" si="38"/>
        <v>426.08912714792478</v>
      </c>
    </row>
    <row r="65" spans="1:66">
      <c r="A65" s="127">
        <f>'Input data'!A96</f>
        <v>1996</v>
      </c>
      <c r="B65" s="988">
        <f>'Input data'!B96</f>
        <v>36.4</v>
      </c>
      <c r="C65" s="988">
        <f>'Baseline data (from input)'!B52</f>
        <v>578.73</v>
      </c>
      <c r="D65" s="899">
        <f>'Baseline data (from input)'!T52</f>
        <v>0.8</v>
      </c>
      <c r="E65" s="899">
        <f t="shared" si="43"/>
        <v>0.19892488097366726</v>
      </c>
      <c r="F65" s="899">
        <f t="shared" si="43"/>
        <v>0.26585903447659598</v>
      </c>
      <c r="G65" s="899">
        <f t="shared" si="43"/>
        <v>8.9228108703258049E-2</v>
      </c>
      <c r="H65" s="899">
        <f t="shared" si="43"/>
        <v>0</v>
      </c>
      <c r="I65" s="899">
        <f t="shared" si="43"/>
        <v>0</v>
      </c>
      <c r="J65" s="899">
        <f t="shared" si="43"/>
        <v>0</v>
      </c>
      <c r="K65" s="899">
        <f t="shared" si="43"/>
        <v>0.4459879758464787</v>
      </c>
      <c r="L65" s="996">
        <f t="shared" si="40"/>
        <v>1</v>
      </c>
      <c r="N65" s="317">
        <f t="shared" si="1"/>
        <v>16852.617600000001</v>
      </c>
      <c r="O65" s="1031">
        <f>Parameters!R167</f>
        <v>0.73</v>
      </c>
      <c r="P65" s="1031">
        <f>E65*'MSW characteristics'!$B$28+'MSW characteristics'!$B$29*'4A SWD Case 2'!F65+'4A SWD Case 2'!G65*'MSW characteristics'!$B$30+'MSW characteristics'!$B$31*'4A SWD Case 2'!H65+'4A SWD Case 2'!I65*'MSW characteristics'!$B$32+'MSW characteristics'!$B$33*'4A SWD Case 2'!J65+'4A SWD Case 2'!K65*'MSW characteristics'!$B$35</f>
        <v>0.11870178252267252</v>
      </c>
      <c r="Q65" s="1029">
        <f t="shared" si="2"/>
        <v>730.15904849193169</v>
      </c>
      <c r="R65" s="1029">
        <f t="shared" si="3"/>
        <v>730.15904849193169</v>
      </c>
      <c r="S65" s="303">
        <f t="shared" si="4"/>
        <v>0</v>
      </c>
      <c r="T65" s="1029">
        <f t="shared" si="5"/>
        <v>9427.4836406755221</v>
      </c>
      <c r="U65" s="1029">
        <f t="shared" si="6"/>
        <v>445.92136737940876</v>
      </c>
      <c r="V65" s="1038">
        <f t="shared" si="7"/>
        <v>297.28091158627251</v>
      </c>
      <c r="X65" s="317">
        <f>'Baseline data (from input)'!AS52*'4A SWD Case 2'!$D$12</f>
        <v>4568.066119753541</v>
      </c>
      <c r="Y65" s="1031">
        <f>Parameters!S167</f>
        <v>0.71500000000000008</v>
      </c>
      <c r="Z65" s="1031">
        <f t="shared" si="8"/>
        <v>0.2</v>
      </c>
      <c r="AA65" s="1029">
        <f t="shared" si="9"/>
        <v>326.61672756237823</v>
      </c>
      <c r="AB65" s="1029">
        <f t="shared" si="10"/>
        <v>326.61672756237823</v>
      </c>
      <c r="AC65" s="303">
        <f t="shared" si="11"/>
        <v>0</v>
      </c>
      <c r="AD65" s="1029">
        <f t="shared" si="12"/>
        <v>4464.2466386630222</v>
      </c>
      <c r="AE65" s="1029">
        <f t="shared" si="13"/>
        <v>212.14082194036087</v>
      </c>
      <c r="AF65" s="1038">
        <f t="shared" si="14"/>
        <v>141.42721462690724</v>
      </c>
      <c r="AH65" s="317">
        <f>'Baseline data (from input)'!AS52*'4A SWD Case 2'!$D$12</f>
        <v>4568.066119753541</v>
      </c>
      <c r="AI65" s="1031">
        <f>Parameters!S167</f>
        <v>0.71500000000000008</v>
      </c>
      <c r="AJ65" s="1031">
        <f t="shared" si="15"/>
        <v>0.2</v>
      </c>
      <c r="AK65" s="1029">
        <f t="shared" si="16"/>
        <v>326.61672756237823</v>
      </c>
      <c r="AL65" s="1029">
        <f t="shared" si="17"/>
        <v>326.61672756237823</v>
      </c>
      <c r="AM65" s="303">
        <f t="shared" si="18"/>
        <v>0</v>
      </c>
      <c r="AN65" s="1029">
        <f t="shared" si="19"/>
        <v>4464.2466386630222</v>
      </c>
      <c r="AO65" s="1029">
        <f t="shared" si="20"/>
        <v>212.14082194036087</v>
      </c>
      <c r="AP65" s="1038">
        <f t="shared" si="21"/>
        <v>141.42721462690724</v>
      </c>
      <c r="AR65" s="317">
        <f>V65*W65*X65</f>
        <v>0</v>
      </c>
      <c r="AS65" s="1030">
        <v>1</v>
      </c>
      <c r="AT65" s="1030">
        <f t="shared" si="22"/>
        <v>0.05</v>
      </c>
      <c r="AU65" s="1029">
        <f t="shared" si="23"/>
        <v>0</v>
      </c>
      <c r="AV65" s="1029">
        <f t="shared" si="24"/>
        <v>0</v>
      </c>
      <c r="AW65" s="198">
        <f t="shared" si="25"/>
        <v>0</v>
      </c>
      <c r="AX65" s="1045">
        <f t="shared" si="42"/>
        <v>0</v>
      </c>
      <c r="AY65" s="1045">
        <f t="shared" si="27"/>
        <v>0</v>
      </c>
      <c r="AZ65" s="1038">
        <f t="shared" si="28"/>
        <v>0</v>
      </c>
      <c r="BB65" s="317">
        <f t="shared" si="29"/>
        <v>297.28091158627251</v>
      </c>
      <c r="BC65" s="318">
        <f t="shared" si="30"/>
        <v>141.42721462690724</v>
      </c>
      <c r="BD65" s="1214">
        <f t="shared" si="31"/>
        <v>0</v>
      </c>
      <c r="BE65" s="318">
        <f t="shared" si="32"/>
        <v>438.70812621317975</v>
      </c>
      <c r="BF65" s="104">
        <v>0</v>
      </c>
      <c r="BG65" s="319">
        <f t="shared" si="33"/>
        <v>438.70812621317975</v>
      </c>
      <c r="BI65" s="317">
        <f t="shared" si="34"/>
        <v>297.28091158627251</v>
      </c>
      <c r="BJ65" s="318">
        <f t="shared" si="35"/>
        <v>141.42721462690724</v>
      </c>
      <c r="BK65" s="1214">
        <f t="shared" si="36"/>
        <v>0</v>
      </c>
      <c r="BL65" s="318">
        <f t="shared" si="37"/>
        <v>438.70812621317975</v>
      </c>
      <c r="BM65" s="104">
        <v>0</v>
      </c>
      <c r="BN65" s="319">
        <f t="shared" si="38"/>
        <v>438.70812621317975</v>
      </c>
    </row>
    <row r="66" spans="1:66">
      <c r="A66" s="127">
        <f>'Input data'!A97</f>
        <v>1997</v>
      </c>
      <c r="B66" s="988">
        <f>'Input data'!B97</f>
        <v>37.242660000000001</v>
      </c>
      <c r="C66" s="988">
        <f>'Baseline data (from input)'!B53</f>
        <v>578.73</v>
      </c>
      <c r="D66" s="899">
        <f>'Baseline data (from input)'!T53</f>
        <v>0.8</v>
      </c>
      <c r="E66" s="899">
        <f t="shared" si="43"/>
        <v>0.19892488097366726</v>
      </c>
      <c r="F66" s="899">
        <f t="shared" si="43"/>
        <v>0.26585903447659598</v>
      </c>
      <c r="G66" s="899">
        <f t="shared" si="43"/>
        <v>8.9228108703258049E-2</v>
      </c>
      <c r="H66" s="899">
        <f t="shared" si="43"/>
        <v>0</v>
      </c>
      <c r="I66" s="899">
        <f t="shared" si="43"/>
        <v>0</v>
      </c>
      <c r="J66" s="899">
        <f t="shared" si="43"/>
        <v>0</v>
      </c>
      <c r="K66" s="899">
        <f t="shared" si="43"/>
        <v>0.4459879758464787</v>
      </c>
      <c r="L66" s="996">
        <f t="shared" si="40"/>
        <v>1</v>
      </c>
      <c r="N66" s="317">
        <f t="shared" si="1"/>
        <v>17242.755697440003</v>
      </c>
      <c r="O66" s="1031">
        <f>Parameters!R168</f>
        <v>0.73</v>
      </c>
      <c r="P66" s="1031">
        <f>E66*'MSW characteristics'!$B$28+'MSW characteristics'!$B$29*'4A SWD Case 2'!F66+'4A SWD Case 2'!G66*'MSW characteristics'!$B$30+'MSW characteristics'!$B$31*'4A SWD Case 2'!H66+'4A SWD Case 2'!I66*'MSW characteristics'!$B$32+'MSW characteristics'!$B$33*'4A SWD Case 2'!J66+'4A SWD Case 2'!K66*'MSW characteristics'!$B$35</f>
        <v>0.11870178252267252</v>
      </c>
      <c r="Q66" s="1029">
        <f t="shared" si="2"/>
        <v>747.06223046451998</v>
      </c>
      <c r="R66" s="1029">
        <f t="shared" si="3"/>
        <v>747.06223046451998</v>
      </c>
      <c r="S66" s="303">
        <f t="shared" si="4"/>
        <v>0</v>
      </c>
      <c r="T66" s="1029">
        <f t="shared" si="5"/>
        <v>9714.7620684741942</v>
      </c>
      <c r="U66" s="1029">
        <f t="shared" si="6"/>
        <v>459.78380266584907</v>
      </c>
      <c r="V66" s="1038">
        <f t="shared" si="7"/>
        <v>306.52253511056603</v>
      </c>
      <c r="X66" s="317">
        <f>'Baseline data (from input)'!AS53*'4A SWD Case 2'!$D$12</f>
        <v>4686.8359355274115</v>
      </c>
      <c r="Y66" s="1031">
        <f>Parameters!S168</f>
        <v>0.71500000000000008</v>
      </c>
      <c r="Z66" s="1031">
        <f t="shared" si="8"/>
        <v>0.2</v>
      </c>
      <c r="AA66" s="1029">
        <f t="shared" si="9"/>
        <v>335.10876939021</v>
      </c>
      <c r="AB66" s="1029">
        <f t="shared" si="10"/>
        <v>335.10876939021</v>
      </c>
      <c r="AC66" s="303">
        <f t="shared" si="11"/>
        <v>0</v>
      </c>
      <c r="AD66" s="1029">
        <f t="shared" si="12"/>
        <v>4581.631530314884</v>
      </c>
      <c r="AE66" s="1029">
        <f t="shared" si="13"/>
        <v>217.72387773834859</v>
      </c>
      <c r="AF66" s="1038">
        <f t="shared" si="14"/>
        <v>145.14925182556573</v>
      </c>
      <c r="AH66" s="317">
        <f>'Baseline data (from input)'!AS53*'4A SWD Case 2'!$D$12</f>
        <v>4686.8359355274115</v>
      </c>
      <c r="AI66" s="1031">
        <f>Parameters!S168</f>
        <v>0.71500000000000008</v>
      </c>
      <c r="AJ66" s="1031">
        <f t="shared" si="15"/>
        <v>0.2</v>
      </c>
      <c r="AK66" s="1029">
        <f t="shared" si="16"/>
        <v>335.10876939021</v>
      </c>
      <c r="AL66" s="1029">
        <f t="shared" si="17"/>
        <v>335.10876939021</v>
      </c>
      <c r="AM66" s="303">
        <f t="shared" si="18"/>
        <v>0</v>
      </c>
      <c r="AN66" s="1029">
        <f t="shared" si="19"/>
        <v>4581.631530314884</v>
      </c>
      <c r="AO66" s="1029">
        <f t="shared" si="20"/>
        <v>217.72387773834859</v>
      </c>
      <c r="AP66" s="1038">
        <f t="shared" si="21"/>
        <v>145.14925182556573</v>
      </c>
      <c r="AR66" s="317">
        <f>V66*W66*X66</f>
        <v>0</v>
      </c>
      <c r="AS66" s="1030">
        <v>1</v>
      </c>
      <c r="AT66" s="1030">
        <f t="shared" si="22"/>
        <v>0.05</v>
      </c>
      <c r="AU66" s="1029">
        <f t="shared" si="23"/>
        <v>0</v>
      </c>
      <c r="AV66" s="1029">
        <f t="shared" si="24"/>
        <v>0</v>
      </c>
      <c r="AW66" s="198">
        <f t="shared" si="25"/>
        <v>0</v>
      </c>
      <c r="AX66" s="1045">
        <f t="shared" si="42"/>
        <v>0</v>
      </c>
      <c r="AY66" s="1045">
        <f t="shared" si="27"/>
        <v>0</v>
      </c>
      <c r="AZ66" s="1038">
        <f t="shared" si="28"/>
        <v>0</v>
      </c>
      <c r="BB66" s="317">
        <f t="shared" si="29"/>
        <v>306.52253511056603</v>
      </c>
      <c r="BC66" s="318">
        <f t="shared" si="30"/>
        <v>145.14925182556573</v>
      </c>
      <c r="BD66" s="1214">
        <f t="shared" si="31"/>
        <v>0</v>
      </c>
      <c r="BE66" s="318">
        <f t="shared" si="32"/>
        <v>451.67178693613175</v>
      </c>
      <c r="BF66" s="104">
        <v>0</v>
      </c>
      <c r="BG66" s="319">
        <f t="shared" si="33"/>
        <v>451.67178693613175</v>
      </c>
      <c r="BI66" s="317">
        <f t="shared" si="34"/>
        <v>306.52253511056603</v>
      </c>
      <c r="BJ66" s="318">
        <f t="shared" si="35"/>
        <v>145.14925182556573</v>
      </c>
      <c r="BK66" s="1214">
        <f t="shared" si="36"/>
        <v>0</v>
      </c>
      <c r="BL66" s="318">
        <f t="shared" si="37"/>
        <v>451.67178693613175</v>
      </c>
      <c r="BM66" s="104">
        <v>0</v>
      </c>
      <c r="BN66" s="319">
        <f t="shared" si="38"/>
        <v>451.67178693613175</v>
      </c>
    </row>
    <row r="67" spans="1:66">
      <c r="A67" s="127">
        <f>'Input data'!A98</f>
        <v>1998</v>
      </c>
      <c r="B67" s="988">
        <f>'Input data'!B98</f>
        <v>38.128999999999998</v>
      </c>
      <c r="C67" s="988">
        <f>'Baseline data (from input)'!B54</f>
        <v>578.73</v>
      </c>
      <c r="D67" s="899">
        <f>'Baseline data (from input)'!T54</f>
        <v>0.8</v>
      </c>
      <c r="E67" s="899">
        <f t="shared" si="43"/>
        <v>0.19892488097366726</v>
      </c>
      <c r="F67" s="899">
        <f t="shared" si="43"/>
        <v>0.26585903447659598</v>
      </c>
      <c r="G67" s="899">
        <f t="shared" si="43"/>
        <v>8.9228108703258049E-2</v>
      </c>
      <c r="H67" s="899">
        <f t="shared" si="43"/>
        <v>0</v>
      </c>
      <c r="I67" s="899">
        <f t="shared" si="43"/>
        <v>0</v>
      </c>
      <c r="J67" s="899">
        <f t="shared" si="43"/>
        <v>0</v>
      </c>
      <c r="K67" s="899">
        <f t="shared" si="43"/>
        <v>0.4459879758464787</v>
      </c>
      <c r="L67" s="996">
        <f t="shared" si="40"/>
        <v>1</v>
      </c>
      <c r="N67" s="317">
        <f t="shared" si="1"/>
        <v>17653.116936000002</v>
      </c>
      <c r="O67" s="1031">
        <f>Parameters!R169</f>
        <v>0.73</v>
      </c>
      <c r="P67" s="1031">
        <f>E67*'MSW characteristics'!$B$28+'MSW characteristics'!$B$29*'4A SWD Case 2'!F67+'4A SWD Case 2'!G67*'MSW characteristics'!$B$30+'MSW characteristics'!$B$31*'4A SWD Case 2'!H67+'4A SWD Case 2'!I67*'MSW characteristics'!$B$32+'MSW characteristics'!$B$33*'4A SWD Case 2'!J67+'4A SWD Case 2'!K67*'MSW characteristics'!$B$35</f>
        <v>0.11870178252267252</v>
      </c>
      <c r="Q67" s="1029">
        <f t="shared" si="2"/>
        <v>764.84160329529846</v>
      </c>
      <c r="R67" s="1029">
        <f t="shared" si="3"/>
        <v>764.84160329529846</v>
      </c>
      <c r="S67" s="303">
        <f t="shared" si="4"/>
        <v>0</v>
      </c>
      <c r="T67" s="1029">
        <f t="shared" si="5"/>
        <v>10005.809134851374</v>
      </c>
      <c r="U67" s="1029">
        <f t="shared" si="6"/>
        <v>473.79453691812034</v>
      </c>
      <c r="V67" s="1038">
        <f t="shared" si="7"/>
        <v>315.86302461208021</v>
      </c>
      <c r="X67" s="317">
        <f>'Baseline data (from input)'!AS54*'4A SWD Case 2'!$D$12</f>
        <v>4710.2701576209138</v>
      </c>
      <c r="Y67" s="1031">
        <f>Parameters!S169</f>
        <v>0.71500000000000008</v>
      </c>
      <c r="Z67" s="1031">
        <f t="shared" si="8"/>
        <v>0.2</v>
      </c>
      <c r="AA67" s="1029">
        <f t="shared" si="9"/>
        <v>336.78431626989538</v>
      </c>
      <c r="AB67" s="1029">
        <f t="shared" si="10"/>
        <v>336.78431626989538</v>
      </c>
      <c r="AC67" s="303">
        <f t="shared" si="11"/>
        <v>0</v>
      </c>
      <c r="AD67" s="1029">
        <f t="shared" si="12"/>
        <v>4694.9670401256481</v>
      </c>
      <c r="AE67" s="1029">
        <f t="shared" si="13"/>
        <v>223.44880645913122</v>
      </c>
      <c r="AF67" s="1038">
        <f t="shared" si="14"/>
        <v>148.96587097275415</v>
      </c>
      <c r="AH67" s="317">
        <f>'Baseline data (from input)'!AS54*'4A SWD Case 2'!$D$12</f>
        <v>4710.2701576209138</v>
      </c>
      <c r="AI67" s="1031">
        <f>Parameters!S169</f>
        <v>0.71500000000000008</v>
      </c>
      <c r="AJ67" s="1031">
        <f t="shared" si="15"/>
        <v>0.2</v>
      </c>
      <c r="AK67" s="1029">
        <f t="shared" si="16"/>
        <v>336.78431626989538</v>
      </c>
      <c r="AL67" s="1029">
        <f t="shared" si="17"/>
        <v>336.78431626989538</v>
      </c>
      <c r="AM67" s="303">
        <f t="shared" si="18"/>
        <v>0</v>
      </c>
      <c r="AN67" s="1029">
        <f t="shared" si="19"/>
        <v>4694.9670401256481</v>
      </c>
      <c r="AO67" s="1029">
        <f t="shared" si="20"/>
        <v>223.44880645913122</v>
      </c>
      <c r="AP67" s="1038">
        <f t="shared" si="21"/>
        <v>148.96587097275415</v>
      </c>
      <c r="AR67" s="317">
        <f>V67*W67*X67</f>
        <v>0</v>
      </c>
      <c r="AS67" s="1030">
        <v>1</v>
      </c>
      <c r="AT67" s="1030">
        <f t="shared" si="22"/>
        <v>0.05</v>
      </c>
      <c r="AU67" s="1029">
        <f t="shared" si="23"/>
        <v>0</v>
      </c>
      <c r="AV67" s="1029">
        <f t="shared" si="24"/>
        <v>0</v>
      </c>
      <c r="AW67" s="198">
        <f t="shared" si="25"/>
        <v>0</v>
      </c>
      <c r="AX67" s="1045">
        <f t="shared" si="42"/>
        <v>0</v>
      </c>
      <c r="AY67" s="1045">
        <f t="shared" si="27"/>
        <v>0</v>
      </c>
      <c r="AZ67" s="1038">
        <f t="shared" si="28"/>
        <v>0</v>
      </c>
      <c r="BB67" s="317">
        <f t="shared" si="29"/>
        <v>315.86302461208021</v>
      </c>
      <c r="BC67" s="318">
        <f t="shared" si="30"/>
        <v>148.96587097275415</v>
      </c>
      <c r="BD67" s="1214">
        <f t="shared" si="31"/>
        <v>0</v>
      </c>
      <c r="BE67" s="318">
        <f t="shared" si="32"/>
        <v>464.82889558483436</v>
      </c>
      <c r="BF67" s="104">
        <v>0</v>
      </c>
      <c r="BG67" s="319">
        <f t="shared" si="33"/>
        <v>464.82889558483436</v>
      </c>
      <c r="BI67" s="317">
        <f t="shared" si="34"/>
        <v>315.86302461208021</v>
      </c>
      <c r="BJ67" s="318">
        <f t="shared" si="35"/>
        <v>148.96587097275415</v>
      </c>
      <c r="BK67" s="1214">
        <f t="shared" si="36"/>
        <v>0</v>
      </c>
      <c r="BL67" s="318">
        <f t="shared" si="37"/>
        <v>464.82889558483436</v>
      </c>
      <c r="BM67" s="104">
        <v>0</v>
      </c>
      <c r="BN67" s="319">
        <f t="shared" si="38"/>
        <v>464.82889558483436</v>
      </c>
    </row>
    <row r="68" spans="1:66" ht="15" thickBot="1">
      <c r="A68" s="127">
        <f>'Input data'!A99</f>
        <v>1999</v>
      </c>
      <c r="B68" s="988">
        <f>'Input data'!B99</f>
        <v>39.059930000000001</v>
      </c>
      <c r="C68" s="988">
        <f>'Baseline data (from input)'!B55</f>
        <v>578.73</v>
      </c>
      <c r="D68" s="899">
        <f>'Baseline data (from input)'!T55</f>
        <v>0.8</v>
      </c>
      <c r="E68" s="899">
        <f t="shared" si="43"/>
        <v>0.19892488097366726</v>
      </c>
      <c r="F68" s="899">
        <f t="shared" si="43"/>
        <v>0.26585903447659598</v>
      </c>
      <c r="G68" s="899">
        <f t="shared" si="43"/>
        <v>8.9228108703258049E-2</v>
      </c>
      <c r="H68" s="899">
        <f t="shared" si="43"/>
        <v>0</v>
      </c>
      <c r="I68" s="899">
        <f t="shared" si="43"/>
        <v>0</v>
      </c>
      <c r="J68" s="899">
        <f t="shared" si="43"/>
        <v>0</v>
      </c>
      <c r="K68" s="899">
        <f t="shared" si="43"/>
        <v>0.4459879758464787</v>
      </c>
      <c r="L68" s="996">
        <f t="shared" si="40"/>
        <v>1</v>
      </c>
      <c r="N68" s="1039">
        <f t="shared" si="1"/>
        <v>18084.122631120001</v>
      </c>
      <c r="O68" s="1040">
        <f>Parameters!R170</f>
        <v>0.73</v>
      </c>
      <c r="P68" s="1040">
        <f>E68*'MSW characteristics'!$B$28+'MSW characteristics'!$B$29*'4A SWD Case 2'!F68+'4A SWD Case 2'!G68*'MSW characteristics'!$B$30+'MSW characteristics'!$B$31*'4A SWD Case 2'!H68+'4A SWD Case 2'!I68*'MSW characteristics'!$B$32+'MSW characteristics'!$B$33*'4A SWD Case 2'!J68+'4A SWD Case 2'!K68*'MSW characteristics'!$B$35</f>
        <v>0.11870178252267252</v>
      </c>
      <c r="Q68" s="1041">
        <f t="shared" si="2"/>
        <v>783.51542096047967</v>
      </c>
      <c r="R68" s="1041">
        <f t="shared" si="3"/>
        <v>783.51542096047967</v>
      </c>
      <c r="S68" s="1042">
        <f t="shared" si="4"/>
        <v>0</v>
      </c>
      <c r="T68" s="1041">
        <f t="shared" si="5"/>
        <v>10301.335485969139</v>
      </c>
      <c r="U68" s="1041">
        <f t="shared" si="6"/>
        <v>487.98906984271429</v>
      </c>
      <c r="V68" s="1043">
        <f t="shared" si="7"/>
        <v>325.32604656180951</v>
      </c>
      <c r="X68" s="1039">
        <f>'Baseline data (from input)'!AS55*'4A SWD Case 2'!$D$12</f>
        <v>4823.3164645331717</v>
      </c>
      <c r="Y68" s="1040">
        <f>Parameters!S170</f>
        <v>0.71500000000000008</v>
      </c>
      <c r="Z68" s="1040">
        <f t="shared" si="8"/>
        <v>0.2</v>
      </c>
      <c r="AA68" s="1041">
        <f t="shared" si="9"/>
        <v>344.86712721412187</v>
      </c>
      <c r="AB68" s="1041">
        <f t="shared" si="10"/>
        <v>344.86712721412187</v>
      </c>
      <c r="AC68" s="1042">
        <f t="shared" si="11"/>
        <v>0</v>
      </c>
      <c r="AD68" s="1041">
        <f t="shared" si="12"/>
        <v>4810.8579228426624</v>
      </c>
      <c r="AE68" s="1041">
        <f t="shared" si="13"/>
        <v>228.97624449710716</v>
      </c>
      <c r="AF68" s="1043">
        <f t="shared" si="14"/>
        <v>152.6508296647381</v>
      </c>
      <c r="AH68" s="1039">
        <f>'Baseline data (from input)'!AS55*'4A SWD Case 2'!$D$12</f>
        <v>4823.3164645331717</v>
      </c>
      <c r="AI68" s="1040">
        <f>Parameters!S170</f>
        <v>0.71500000000000008</v>
      </c>
      <c r="AJ68" s="1040">
        <f t="shared" si="15"/>
        <v>0.2</v>
      </c>
      <c r="AK68" s="1041">
        <f t="shared" si="16"/>
        <v>344.86712721412187</v>
      </c>
      <c r="AL68" s="1041">
        <f t="shared" si="17"/>
        <v>344.86712721412187</v>
      </c>
      <c r="AM68" s="1042">
        <f t="shared" si="18"/>
        <v>0</v>
      </c>
      <c r="AN68" s="1041">
        <f t="shared" si="19"/>
        <v>4810.8579228426624</v>
      </c>
      <c r="AO68" s="1041">
        <f t="shared" si="20"/>
        <v>228.97624449710716</v>
      </c>
      <c r="AP68" s="1043">
        <f t="shared" si="21"/>
        <v>152.6508296647381</v>
      </c>
      <c r="AR68" s="1039">
        <f>V68*W68*X68</f>
        <v>0</v>
      </c>
      <c r="AS68" s="1046">
        <v>1</v>
      </c>
      <c r="AT68" s="1046">
        <f t="shared" si="22"/>
        <v>0.05</v>
      </c>
      <c r="AU68" s="1041">
        <f t="shared" si="23"/>
        <v>0</v>
      </c>
      <c r="AV68" s="1041">
        <f t="shared" si="24"/>
        <v>0</v>
      </c>
      <c r="AW68" s="1047">
        <f t="shared" si="25"/>
        <v>0</v>
      </c>
      <c r="AX68" s="1048">
        <f t="shared" si="42"/>
        <v>0</v>
      </c>
      <c r="AY68" s="1048">
        <f t="shared" si="27"/>
        <v>0</v>
      </c>
      <c r="AZ68" s="1043">
        <f t="shared" si="28"/>
        <v>0</v>
      </c>
      <c r="BB68" s="317">
        <f t="shared" si="29"/>
        <v>325.32604656180951</v>
      </c>
      <c r="BC68" s="318">
        <f t="shared" si="30"/>
        <v>152.6508296647381</v>
      </c>
      <c r="BD68" s="1214">
        <f t="shared" si="31"/>
        <v>0</v>
      </c>
      <c r="BE68" s="318">
        <f t="shared" si="32"/>
        <v>477.97687622654757</v>
      </c>
      <c r="BF68" s="104">
        <v>0</v>
      </c>
      <c r="BG68" s="319">
        <f t="shared" si="33"/>
        <v>477.97687622654757</v>
      </c>
      <c r="BI68" s="317">
        <f t="shared" si="34"/>
        <v>325.32604656180951</v>
      </c>
      <c r="BJ68" s="318">
        <f t="shared" si="35"/>
        <v>152.6508296647381</v>
      </c>
      <c r="BK68" s="1214">
        <f t="shared" si="36"/>
        <v>0</v>
      </c>
      <c r="BL68" s="318">
        <f t="shared" si="37"/>
        <v>477.97687622654757</v>
      </c>
      <c r="BM68" s="104">
        <v>0</v>
      </c>
      <c r="BN68" s="319">
        <f t="shared" si="38"/>
        <v>477.97687622654757</v>
      </c>
    </row>
    <row r="69" spans="1:66">
      <c r="A69" s="1002">
        <f>'Input data'!A100</f>
        <v>2000</v>
      </c>
      <c r="B69" s="1003">
        <f>'Input data'!B100</f>
        <v>44</v>
      </c>
      <c r="C69" s="1003">
        <f>'Baseline data (from input)'!B56</f>
        <v>578.73</v>
      </c>
      <c r="D69" s="1004">
        <f>'Baseline data (from input)'!T56</f>
        <v>0.8</v>
      </c>
      <c r="E69" s="1004">
        <f t="shared" ref="E69:K84" si="44">E68</f>
        <v>0.19892488097366726</v>
      </c>
      <c r="F69" s="1004">
        <f t="shared" si="44"/>
        <v>0.26585903447659598</v>
      </c>
      <c r="G69" s="1004">
        <f t="shared" si="44"/>
        <v>8.9228108703258049E-2</v>
      </c>
      <c r="H69" s="1004">
        <f t="shared" si="44"/>
        <v>0</v>
      </c>
      <c r="I69" s="1004">
        <f t="shared" si="44"/>
        <v>0</v>
      </c>
      <c r="J69" s="1004">
        <f t="shared" si="44"/>
        <v>0</v>
      </c>
      <c r="K69" s="1004">
        <f t="shared" si="44"/>
        <v>0.4459879758464787</v>
      </c>
      <c r="L69" s="1005">
        <f t="shared" si="40"/>
        <v>1</v>
      </c>
      <c r="N69" s="1013">
        <f t="shared" si="1"/>
        <v>20371.296000000002</v>
      </c>
      <c r="O69" s="1007">
        <f>Parameters!R171</f>
        <v>0.73</v>
      </c>
      <c r="P69" s="1007">
        <f>E69*'MSW characteristics'!$B$28+'MSW characteristics'!$B$29*'4A SWD Case 2'!F69+'4A SWD Case 2'!G69*'MSW characteristics'!$B$30+'MSW characteristics'!$B$31*'4A SWD Case 2'!H69+'4A SWD Case 2'!I69*'MSW characteristics'!$B$32+'MSW characteristics'!$B$33*'4A SWD Case 2'!J69+'4A SWD Case 2'!K69*'MSW characteristics'!$B$35</f>
        <v>0.11870178252267252</v>
      </c>
      <c r="Q69" s="1006">
        <f t="shared" si="2"/>
        <v>882.60983883640097</v>
      </c>
      <c r="R69" s="1006">
        <f t="shared" si="3"/>
        <v>882.60983883640097</v>
      </c>
      <c r="S69" s="1008">
        <f t="shared" si="4"/>
        <v>0</v>
      </c>
      <c r="T69" s="1006">
        <f t="shared" si="5"/>
        <v>10681.543264743608</v>
      </c>
      <c r="U69" s="1006">
        <f t="shared" si="6"/>
        <v>502.40206006193176</v>
      </c>
      <c r="V69" s="1019">
        <f t="shared" si="7"/>
        <v>334.93470670795449</v>
      </c>
      <c r="X69" s="1009">
        <f>'Baseline data (from input)'!AS56*'4A SWD Case 2'!$D$12</f>
        <v>5025.8959237020454</v>
      </c>
      <c r="Y69" s="1010">
        <f>Parameters!S171</f>
        <v>0.71500000000000008</v>
      </c>
      <c r="Z69" s="1010">
        <f t="shared" si="8"/>
        <v>0.2</v>
      </c>
      <c r="AA69" s="1011">
        <f t="shared" si="9"/>
        <v>359.35155854469633</v>
      </c>
      <c r="AB69" s="1011">
        <f t="shared" si="10"/>
        <v>359.35155854469633</v>
      </c>
      <c r="AC69" s="1012">
        <f t="shared" si="11"/>
        <v>0</v>
      </c>
      <c r="AD69" s="1011">
        <f t="shared" si="12"/>
        <v>4935.5811718450232</v>
      </c>
      <c r="AE69" s="1011">
        <f t="shared" si="13"/>
        <v>234.62830954233621</v>
      </c>
      <c r="AF69" s="1018">
        <f t="shared" si="14"/>
        <v>156.41887302822414</v>
      </c>
      <c r="AH69" s="1009">
        <f>'Baseline data (from input)'!AS56*'4A SWD Case 2'!$D$12</f>
        <v>5025.8959237020454</v>
      </c>
      <c r="AI69" s="1010">
        <f>Parameters!S171</f>
        <v>0.71500000000000008</v>
      </c>
      <c r="AJ69" s="1010">
        <f t="shared" si="15"/>
        <v>0.2</v>
      </c>
      <c r="AK69" s="1011">
        <f t="shared" si="16"/>
        <v>359.35155854469633</v>
      </c>
      <c r="AL69" s="1011">
        <f t="shared" si="17"/>
        <v>359.35155854469633</v>
      </c>
      <c r="AM69" s="1012">
        <f t="shared" si="18"/>
        <v>0</v>
      </c>
      <c r="AN69" s="1011">
        <f t="shared" si="19"/>
        <v>4935.5811718450232</v>
      </c>
      <c r="AO69" s="1011">
        <f t="shared" si="20"/>
        <v>234.62830954233621</v>
      </c>
      <c r="AP69" s="1018">
        <f t="shared" si="21"/>
        <v>156.41887302822414</v>
      </c>
      <c r="AR69" s="1021">
        <v>501</v>
      </c>
      <c r="AS69" s="1007">
        <v>1</v>
      </c>
      <c r="AT69" s="1007">
        <f t="shared" si="22"/>
        <v>0.05</v>
      </c>
      <c r="AU69" s="1006">
        <f t="shared" si="23"/>
        <v>12.525</v>
      </c>
      <c r="AV69" s="1006">
        <f t="shared" si="24"/>
        <v>12.525</v>
      </c>
      <c r="AW69" s="1008">
        <f t="shared" si="25"/>
        <v>0</v>
      </c>
      <c r="AX69" s="1006">
        <f t="shared" si="42"/>
        <v>12.525</v>
      </c>
      <c r="AY69" s="1006">
        <f>AW69+AX68*(1-$E$8)</f>
        <v>0</v>
      </c>
      <c r="AZ69" s="1022">
        <f>AY69*16/12*$E$11</f>
        <v>0</v>
      </c>
      <c r="BB69" s="1211">
        <f t="shared" si="29"/>
        <v>334.93470670795449</v>
      </c>
      <c r="BC69" s="1025">
        <f t="shared" si="30"/>
        <v>156.41887302822414</v>
      </c>
      <c r="BD69" s="1215">
        <f>AZ69</f>
        <v>0</v>
      </c>
      <c r="BE69" s="1025">
        <f t="shared" si="32"/>
        <v>491.35357973617863</v>
      </c>
      <c r="BF69" s="115">
        <v>0</v>
      </c>
      <c r="BG69" s="1204">
        <f t="shared" si="33"/>
        <v>491.35357973617863</v>
      </c>
      <c r="BI69" s="1211">
        <f t="shared" si="34"/>
        <v>334.93470670795449</v>
      </c>
      <c r="BJ69" s="1025">
        <f t="shared" si="35"/>
        <v>156.41887302822414</v>
      </c>
      <c r="BK69" s="1215">
        <f t="shared" si="36"/>
        <v>0</v>
      </c>
      <c r="BL69" s="1025">
        <f t="shared" si="37"/>
        <v>491.35357973617863</v>
      </c>
      <c r="BM69" s="115">
        <v>0</v>
      </c>
      <c r="BN69" s="1204">
        <f t="shared" si="38"/>
        <v>491.35357973617863</v>
      </c>
    </row>
    <row r="70" spans="1:66">
      <c r="A70" s="941">
        <f>'Input data'!A101</f>
        <v>2001</v>
      </c>
      <c r="B70" s="989">
        <f>'Input data'!B101</f>
        <v>44.91</v>
      </c>
      <c r="C70" s="989">
        <f>'Baseline data (from input)'!B57</f>
        <v>578.73</v>
      </c>
      <c r="D70" s="990">
        <f>'Baseline data (from input)'!T57</f>
        <v>0.8</v>
      </c>
      <c r="E70" s="990">
        <f t="shared" si="44"/>
        <v>0.19892488097366726</v>
      </c>
      <c r="F70" s="990">
        <f t="shared" si="44"/>
        <v>0.26585903447659598</v>
      </c>
      <c r="G70" s="990">
        <f t="shared" si="44"/>
        <v>8.9228108703258049E-2</v>
      </c>
      <c r="H70" s="990">
        <f t="shared" si="44"/>
        <v>0</v>
      </c>
      <c r="I70" s="990">
        <f t="shared" si="44"/>
        <v>0</v>
      </c>
      <c r="J70" s="990">
        <f t="shared" si="44"/>
        <v>0</v>
      </c>
      <c r="K70" s="990">
        <f t="shared" si="44"/>
        <v>0.4459879758464787</v>
      </c>
      <c r="L70" s="997">
        <f t="shared" si="40"/>
        <v>1</v>
      </c>
      <c r="N70" s="1013">
        <f t="shared" si="1"/>
        <v>20792.611440000001</v>
      </c>
      <c r="O70" s="1007">
        <f>Parameters!R172</f>
        <v>0.73</v>
      </c>
      <c r="P70" s="1007">
        <f>E70*'MSW characteristics'!$B$28+'MSW characteristics'!$B$29*'4A SWD Case 2'!F70+'4A SWD Case 2'!G70*'MSW characteristics'!$B$30+'MSW characteristics'!$B$31*'4A SWD Case 2'!H70+'4A SWD Case 2'!I70*'MSW characteristics'!$B$32+'MSW characteristics'!$B$33*'4A SWD Case 2'!J70+'4A SWD Case 2'!K70*'MSW characteristics'!$B$35</f>
        <v>0.11870178252267252</v>
      </c>
      <c r="Q70" s="1006">
        <f t="shared" si="2"/>
        <v>900.86381504869917</v>
      </c>
      <c r="R70" s="1006">
        <f t="shared" si="3"/>
        <v>900.86381504869917</v>
      </c>
      <c r="S70" s="1008">
        <f t="shared" si="4"/>
        <v>0</v>
      </c>
      <c r="T70" s="1006">
        <f t="shared" si="5"/>
        <v>11061.462067550239</v>
      </c>
      <c r="U70" s="1006">
        <f t="shared" si="6"/>
        <v>520.94501224206783</v>
      </c>
      <c r="V70" s="1019">
        <f t="shared" si="7"/>
        <v>347.29667482804524</v>
      </c>
      <c r="X70" s="1013">
        <f>'Baseline data (from input)'!AS57*'4A SWD Case 2'!$D$12</f>
        <v>5161.5948405850759</v>
      </c>
      <c r="Y70" s="1007">
        <f>Parameters!S172</f>
        <v>0.71500000000000008</v>
      </c>
      <c r="Z70" s="1007">
        <f t="shared" si="8"/>
        <v>0.2</v>
      </c>
      <c r="AA70" s="1006">
        <f t="shared" si="9"/>
        <v>369.05403110183295</v>
      </c>
      <c r="AB70" s="1006">
        <f t="shared" si="10"/>
        <v>369.05403110183295</v>
      </c>
      <c r="AC70" s="1008">
        <f t="shared" si="11"/>
        <v>0</v>
      </c>
      <c r="AD70" s="1006">
        <f t="shared" si="12"/>
        <v>5063.9240687725342</v>
      </c>
      <c r="AE70" s="1006">
        <f t="shared" si="13"/>
        <v>240.7111341743221</v>
      </c>
      <c r="AF70" s="1019">
        <f t="shared" si="14"/>
        <v>160.47408944954807</v>
      </c>
      <c r="AH70" s="1013">
        <f>'Baseline data (from input)'!AS57*'4A SWD Case 2'!$D$12</f>
        <v>5161.5948405850759</v>
      </c>
      <c r="AI70" s="1007">
        <f>Parameters!S172</f>
        <v>0.71500000000000008</v>
      </c>
      <c r="AJ70" s="1007">
        <f t="shared" si="15"/>
        <v>0.2</v>
      </c>
      <c r="AK70" s="1006">
        <f t="shared" si="16"/>
        <v>369.05403110183295</v>
      </c>
      <c r="AL70" s="1006">
        <f t="shared" si="17"/>
        <v>369.05403110183295</v>
      </c>
      <c r="AM70" s="1008">
        <f t="shared" si="18"/>
        <v>0</v>
      </c>
      <c r="AN70" s="1006">
        <f t="shared" si="19"/>
        <v>5063.9240687725342</v>
      </c>
      <c r="AO70" s="1006">
        <f t="shared" si="20"/>
        <v>240.7111341743221</v>
      </c>
      <c r="AP70" s="1019">
        <f t="shared" si="21"/>
        <v>160.47408944954807</v>
      </c>
      <c r="AR70" s="1021">
        <v>501</v>
      </c>
      <c r="AS70" s="1007">
        <v>1</v>
      </c>
      <c r="AT70" s="1007">
        <f t="shared" si="22"/>
        <v>0.05</v>
      </c>
      <c r="AU70" s="1006">
        <f t="shared" si="23"/>
        <v>12.525</v>
      </c>
      <c r="AV70" s="1006">
        <f t="shared" si="24"/>
        <v>12.525</v>
      </c>
      <c r="AW70" s="1008">
        <f t="shared" si="25"/>
        <v>0</v>
      </c>
      <c r="AX70" s="1006">
        <f t="shared" si="42"/>
        <v>24.320600783142716</v>
      </c>
      <c r="AY70" s="1006">
        <f>AW70+AX69*(1-$E$8)</f>
        <v>0.72939921685728482</v>
      </c>
      <c r="AZ70" s="1022">
        <f t="shared" ref="AZ70:AZ119" si="45">AY70*16/12*$E$11</f>
        <v>0.48626614457152323</v>
      </c>
      <c r="BB70" s="317">
        <f t="shared" si="29"/>
        <v>347.29667482804524</v>
      </c>
      <c r="BC70" s="318">
        <f t="shared" si="30"/>
        <v>160.47408944954807</v>
      </c>
      <c r="BD70" s="1214">
        <f t="shared" ref="BD70:BD86" si="46">AZ70</f>
        <v>0.48626614457152323</v>
      </c>
      <c r="BE70" s="318">
        <f t="shared" si="32"/>
        <v>508.25703042216486</v>
      </c>
      <c r="BF70" s="104">
        <v>0</v>
      </c>
      <c r="BG70" s="1205">
        <f t="shared" si="33"/>
        <v>508.25703042216486</v>
      </c>
      <c r="BI70" s="317">
        <f t="shared" si="34"/>
        <v>347.29667482804524</v>
      </c>
      <c r="BJ70" s="318">
        <f t="shared" si="35"/>
        <v>160.47408944954807</v>
      </c>
      <c r="BK70" s="1214">
        <f t="shared" si="36"/>
        <v>0.48626614457152323</v>
      </c>
      <c r="BL70" s="318">
        <f t="shared" si="37"/>
        <v>508.25703042216486</v>
      </c>
      <c r="BM70" s="104">
        <v>0</v>
      </c>
      <c r="BN70" s="1205">
        <f t="shared" si="38"/>
        <v>508.25703042216486</v>
      </c>
    </row>
    <row r="71" spans="1:66">
      <c r="A71" s="941">
        <f>'Input data'!A102</f>
        <v>2002</v>
      </c>
      <c r="B71" s="989">
        <f>'Input data'!B102</f>
        <v>45.533000000000001</v>
      </c>
      <c r="C71" s="989">
        <f>'Baseline data (from input)'!B58</f>
        <v>578.73</v>
      </c>
      <c r="D71" s="990">
        <f>'Baseline data (from input)'!T58</f>
        <v>0.8</v>
      </c>
      <c r="E71" s="990">
        <f t="shared" si="44"/>
        <v>0.19892488097366726</v>
      </c>
      <c r="F71" s="990">
        <f t="shared" si="44"/>
        <v>0.26585903447659598</v>
      </c>
      <c r="G71" s="990">
        <f t="shared" si="44"/>
        <v>8.9228108703258049E-2</v>
      </c>
      <c r="H71" s="990">
        <f t="shared" si="44"/>
        <v>0</v>
      </c>
      <c r="I71" s="990">
        <f t="shared" si="44"/>
        <v>0</v>
      </c>
      <c r="J71" s="990">
        <f t="shared" si="44"/>
        <v>0</v>
      </c>
      <c r="K71" s="990">
        <f t="shared" si="44"/>
        <v>0.4459879758464787</v>
      </c>
      <c r="L71" s="997">
        <f t="shared" si="40"/>
        <v>1</v>
      </c>
      <c r="N71" s="1013">
        <f t="shared" si="1"/>
        <v>21081.050472000003</v>
      </c>
      <c r="O71" s="1007">
        <f>Parameters!R173</f>
        <v>0.73</v>
      </c>
      <c r="P71" s="1007">
        <f>E71*'MSW characteristics'!$B$28+'MSW characteristics'!$B$29*'4A SWD Case 2'!F71+'4A SWD Case 2'!G71*'MSW characteristics'!$B$30+'MSW characteristics'!$B$31*'4A SWD Case 2'!H71+'4A SWD Case 2'!I71*'MSW characteristics'!$B$32+'MSW characteristics'!$B$33*'4A SWD Case 2'!J71+'4A SWD Case 2'!K71*'MSW characteristics'!$B$35</f>
        <v>0.11870178252267252</v>
      </c>
      <c r="Q71" s="1006">
        <f t="shared" si="2"/>
        <v>913.36076799404191</v>
      </c>
      <c r="R71" s="1006">
        <f t="shared" si="3"/>
        <v>913.36076799404191</v>
      </c>
      <c r="S71" s="1008">
        <f t="shared" si="4"/>
        <v>0</v>
      </c>
      <c r="T71" s="1006">
        <f t="shared" si="5"/>
        <v>11435.348964646333</v>
      </c>
      <c r="U71" s="1006">
        <f t="shared" si="6"/>
        <v>539.47387089794699</v>
      </c>
      <c r="V71" s="1019">
        <f t="shared" si="7"/>
        <v>359.64924726529802</v>
      </c>
      <c r="X71" s="1013">
        <f>'Baseline data (from input)'!AS58*'4A SWD Case 2'!$D$12</f>
        <v>5352.5935851478289</v>
      </c>
      <c r="Y71" s="1007">
        <f>Parameters!S173</f>
        <v>0.71500000000000008</v>
      </c>
      <c r="Z71" s="1007">
        <f t="shared" si="8"/>
        <v>0.2</v>
      </c>
      <c r="AA71" s="1006">
        <f t="shared" si="9"/>
        <v>382.71044133806981</v>
      </c>
      <c r="AB71" s="1006">
        <f t="shared" si="10"/>
        <v>382.71044133806981</v>
      </c>
      <c r="AC71" s="1008">
        <f t="shared" si="11"/>
        <v>0</v>
      </c>
      <c r="AD71" s="1006">
        <f t="shared" si="12"/>
        <v>5199.6640189918817</v>
      </c>
      <c r="AE71" s="1006">
        <f t="shared" si="13"/>
        <v>246.97049111872235</v>
      </c>
      <c r="AF71" s="1019">
        <f t="shared" si="14"/>
        <v>164.64699407914824</v>
      </c>
      <c r="AH71" s="1013">
        <f>'Baseline data (from input)'!AS58*'4A SWD Case 2'!$D$12</f>
        <v>5352.5935851478289</v>
      </c>
      <c r="AI71" s="1007">
        <f>Parameters!S173</f>
        <v>0.71500000000000008</v>
      </c>
      <c r="AJ71" s="1007">
        <f t="shared" si="15"/>
        <v>0.2</v>
      </c>
      <c r="AK71" s="1006">
        <f t="shared" si="16"/>
        <v>382.71044133806981</v>
      </c>
      <c r="AL71" s="1006">
        <f t="shared" si="17"/>
        <v>382.71044133806981</v>
      </c>
      <c r="AM71" s="1008">
        <f t="shared" si="18"/>
        <v>0</v>
      </c>
      <c r="AN71" s="1006">
        <f t="shared" si="19"/>
        <v>5199.6640189918817</v>
      </c>
      <c r="AO71" s="1006">
        <f t="shared" si="20"/>
        <v>246.97049111872235</v>
      </c>
      <c r="AP71" s="1019">
        <f t="shared" si="21"/>
        <v>164.64699407914824</v>
      </c>
      <c r="AR71" s="1021">
        <v>501</v>
      </c>
      <c r="AS71" s="1007">
        <v>1</v>
      </c>
      <c r="AT71" s="1007">
        <f t="shared" si="22"/>
        <v>0.05</v>
      </c>
      <c r="AU71" s="1006">
        <f t="shared" si="23"/>
        <v>12.525</v>
      </c>
      <c r="AV71" s="1006">
        <f t="shared" si="24"/>
        <v>12.525</v>
      </c>
      <c r="AW71" s="1008">
        <f t="shared" si="25"/>
        <v>0</v>
      </c>
      <c r="AX71" s="1006">
        <f t="shared" si="42"/>
        <v>35.429279253025115</v>
      </c>
      <c r="AY71" s="1006">
        <f t="shared" ref="AY71:AY119" si="47">AW71+AX70*(1-$E$8)</f>
        <v>1.416321530117602</v>
      </c>
      <c r="AZ71" s="1022">
        <f t="shared" si="45"/>
        <v>0.94421435341173465</v>
      </c>
      <c r="BB71" s="317">
        <f t="shared" si="29"/>
        <v>359.64924726529802</v>
      </c>
      <c r="BC71" s="318">
        <f t="shared" si="30"/>
        <v>164.64699407914824</v>
      </c>
      <c r="BD71" s="1214">
        <f t="shared" si="46"/>
        <v>0.94421435341173465</v>
      </c>
      <c r="BE71" s="318">
        <f t="shared" si="32"/>
        <v>525.24045569785801</v>
      </c>
      <c r="BF71" s="104">
        <v>0</v>
      </c>
      <c r="BG71" s="1205">
        <f t="shared" si="33"/>
        <v>525.24045569785801</v>
      </c>
      <c r="BI71" s="317">
        <f t="shared" si="34"/>
        <v>359.64924726529802</v>
      </c>
      <c r="BJ71" s="318">
        <f t="shared" si="35"/>
        <v>164.64699407914824</v>
      </c>
      <c r="BK71" s="1214">
        <f t="shared" si="36"/>
        <v>0.94421435341173465</v>
      </c>
      <c r="BL71" s="318">
        <f t="shared" si="37"/>
        <v>525.24045569785801</v>
      </c>
      <c r="BM71" s="104">
        <v>0</v>
      </c>
      <c r="BN71" s="1205">
        <f t="shared" si="38"/>
        <v>525.24045569785801</v>
      </c>
    </row>
    <row r="72" spans="1:66">
      <c r="A72" s="941">
        <f>'Input data'!A103</f>
        <v>2003</v>
      </c>
      <c r="B72" s="989">
        <f>'Input data'!B103</f>
        <v>46.116</v>
      </c>
      <c r="C72" s="989">
        <f>'Baseline data (from input)'!B59</f>
        <v>578.73</v>
      </c>
      <c r="D72" s="990">
        <f>'Baseline data (from input)'!T59</f>
        <v>0.8</v>
      </c>
      <c r="E72" s="990">
        <f t="shared" si="44"/>
        <v>0.19892488097366726</v>
      </c>
      <c r="F72" s="990">
        <f t="shared" si="44"/>
        <v>0.26585903447659598</v>
      </c>
      <c r="G72" s="990">
        <f t="shared" si="44"/>
        <v>8.9228108703258049E-2</v>
      </c>
      <c r="H72" s="990">
        <f t="shared" si="44"/>
        <v>0</v>
      </c>
      <c r="I72" s="990">
        <f t="shared" si="44"/>
        <v>0</v>
      </c>
      <c r="J72" s="990">
        <f t="shared" si="44"/>
        <v>0</v>
      </c>
      <c r="K72" s="990">
        <f t="shared" si="44"/>
        <v>0.4459879758464787</v>
      </c>
      <c r="L72" s="997">
        <f t="shared" si="40"/>
        <v>1</v>
      </c>
      <c r="N72" s="1013">
        <f t="shared" si="1"/>
        <v>21350.970144000003</v>
      </c>
      <c r="O72" s="1007">
        <f>Parameters!R174</f>
        <v>0.73</v>
      </c>
      <c r="P72" s="1007">
        <f>E72*'MSW characteristics'!$B$28+'MSW characteristics'!$B$29*'4A SWD Case 2'!F72+'4A SWD Case 2'!G72*'MSW characteristics'!$B$30+'MSW characteristics'!$B$31*'4A SWD Case 2'!H72+'4A SWD Case 2'!I72*'MSW characteristics'!$B$32+'MSW characteristics'!$B$33*'4A SWD Case 2'!J72+'4A SWD Case 2'!K72*'MSW characteristics'!$B$35</f>
        <v>0.11870178252267252</v>
      </c>
      <c r="Q72" s="1006">
        <f t="shared" si="2"/>
        <v>925.0553483586242</v>
      </c>
      <c r="R72" s="1006">
        <f t="shared" si="3"/>
        <v>925.0553483586242</v>
      </c>
      <c r="S72" s="1008">
        <f t="shared" si="4"/>
        <v>0</v>
      </c>
      <c r="T72" s="1006">
        <f t="shared" si="5"/>
        <v>11802.695762963991</v>
      </c>
      <c r="U72" s="1006">
        <f t="shared" si="6"/>
        <v>557.70855004096575</v>
      </c>
      <c r="V72" s="1019">
        <f t="shared" si="7"/>
        <v>371.80570002731048</v>
      </c>
      <c r="X72" s="1013">
        <f>'Baseline data (from input)'!AS59*'4A SWD Case 2'!$D$12</f>
        <v>5510.4458058558248</v>
      </c>
      <c r="Y72" s="1007">
        <f>Parameters!S174</f>
        <v>0.71500000000000008</v>
      </c>
      <c r="Z72" s="1007">
        <f t="shared" si="8"/>
        <v>0.2</v>
      </c>
      <c r="AA72" s="1006">
        <f t="shared" si="9"/>
        <v>393.99687511869149</v>
      </c>
      <c r="AB72" s="1006">
        <f t="shared" si="10"/>
        <v>393.99687511869149</v>
      </c>
      <c r="AC72" s="1008">
        <f t="shared" si="11"/>
        <v>0</v>
      </c>
      <c r="AD72" s="1006">
        <f t="shared" si="12"/>
        <v>5340.0702875014085</v>
      </c>
      <c r="AE72" s="1006">
        <f t="shared" si="13"/>
        <v>253.59060660916435</v>
      </c>
      <c r="AF72" s="1019">
        <f t="shared" si="14"/>
        <v>169.06040440610957</v>
      </c>
      <c r="AH72" s="1013">
        <f>'Baseline data (from input)'!AS59*'4A SWD Case 2'!$D$12</f>
        <v>5510.4458058558248</v>
      </c>
      <c r="AI72" s="1007">
        <f>Parameters!S174</f>
        <v>0.71500000000000008</v>
      </c>
      <c r="AJ72" s="1007">
        <f t="shared" si="15"/>
        <v>0.2</v>
      </c>
      <c r="AK72" s="1006">
        <f t="shared" si="16"/>
        <v>393.99687511869149</v>
      </c>
      <c r="AL72" s="1006">
        <f t="shared" si="17"/>
        <v>393.99687511869149</v>
      </c>
      <c r="AM72" s="1008">
        <f t="shared" si="18"/>
        <v>0</v>
      </c>
      <c r="AN72" s="1006">
        <f t="shared" si="19"/>
        <v>5340.0702875014085</v>
      </c>
      <c r="AO72" s="1006">
        <f t="shared" si="20"/>
        <v>253.59060660916435</v>
      </c>
      <c r="AP72" s="1019">
        <f t="shared" si="21"/>
        <v>169.06040440610957</v>
      </c>
      <c r="AR72" s="1021">
        <v>501</v>
      </c>
      <c r="AS72" s="1007">
        <v>1</v>
      </c>
      <c r="AT72" s="1007">
        <f t="shared" si="22"/>
        <v>0.05</v>
      </c>
      <c r="AU72" s="1006">
        <f t="shared" si="23"/>
        <v>12.525</v>
      </c>
      <c r="AV72" s="1006">
        <f t="shared" si="24"/>
        <v>12.525</v>
      </c>
      <c r="AW72" s="1008">
        <f t="shared" si="25"/>
        <v>0</v>
      </c>
      <c r="AX72" s="1006">
        <f t="shared" si="42"/>
        <v>45.891038650951295</v>
      </c>
      <c r="AY72" s="1006">
        <f t="shared" si="47"/>
        <v>2.0632406020738179</v>
      </c>
      <c r="AZ72" s="1022">
        <f t="shared" si="45"/>
        <v>1.3754937347158787</v>
      </c>
      <c r="BB72" s="317">
        <f t="shared" si="29"/>
        <v>371.80570002731048</v>
      </c>
      <c r="BC72" s="318">
        <f t="shared" si="30"/>
        <v>169.06040440610957</v>
      </c>
      <c r="BD72" s="1214">
        <f t="shared" si="46"/>
        <v>1.3754937347158787</v>
      </c>
      <c r="BE72" s="318">
        <f t="shared" si="32"/>
        <v>542.24159816813597</v>
      </c>
      <c r="BF72" s="104">
        <v>0</v>
      </c>
      <c r="BG72" s="1205">
        <f t="shared" si="33"/>
        <v>542.24159816813597</v>
      </c>
      <c r="BI72" s="317">
        <f t="shared" si="34"/>
        <v>371.80570002731048</v>
      </c>
      <c r="BJ72" s="318">
        <f t="shared" si="35"/>
        <v>169.06040440610957</v>
      </c>
      <c r="BK72" s="1214">
        <f t="shared" si="36"/>
        <v>1.3754937347158787</v>
      </c>
      <c r="BL72" s="318">
        <f t="shared" si="37"/>
        <v>542.24159816813597</v>
      </c>
      <c r="BM72" s="104">
        <v>0</v>
      </c>
      <c r="BN72" s="1205">
        <f t="shared" si="38"/>
        <v>542.24159816813597</v>
      </c>
    </row>
    <row r="73" spans="1:66">
      <c r="A73" s="941">
        <f>'Input data'!A104</f>
        <v>2004</v>
      </c>
      <c r="B73" s="989">
        <f>'Input data'!B104</f>
        <v>46.664999999999999</v>
      </c>
      <c r="C73" s="989">
        <f>'Baseline data (from input)'!B60</f>
        <v>578.73</v>
      </c>
      <c r="D73" s="990">
        <f>'Baseline data (from input)'!T60</f>
        <v>0.8</v>
      </c>
      <c r="E73" s="990">
        <f t="shared" si="44"/>
        <v>0.19892488097366726</v>
      </c>
      <c r="F73" s="990">
        <f t="shared" si="44"/>
        <v>0.26585903447659598</v>
      </c>
      <c r="G73" s="990">
        <f t="shared" si="44"/>
        <v>8.9228108703258049E-2</v>
      </c>
      <c r="H73" s="990">
        <f t="shared" si="44"/>
        <v>0</v>
      </c>
      <c r="I73" s="990">
        <f t="shared" si="44"/>
        <v>0</v>
      </c>
      <c r="J73" s="990">
        <f t="shared" si="44"/>
        <v>0</v>
      </c>
      <c r="K73" s="990">
        <f t="shared" si="44"/>
        <v>0.4459879758464787</v>
      </c>
      <c r="L73" s="997">
        <f t="shared" si="40"/>
        <v>1</v>
      </c>
      <c r="N73" s="1013">
        <f t="shared" si="1"/>
        <v>21605.148360000003</v>
      </c>
      <c r="O73" s="1007">
        <f>Parameters!R175</f>
        <v>0.73</v>
      </c>
      <c r="P73" s="1007">
        <f>E73*'MSW characteristics'!$B$28+'MSW characteristics'!$B$29*'4A SWD Case 2'!F73+'4A SWD Case 2'!G73*'MSW characteristics'!$B$30+'MSW characteristics'!$B$31*'4A SWD Case 2'!H73+'4A SWD Case 2'!I73*'MSW characteristics'!$B$32+'MSW characteristics'!$B$33*'4A SWD Case 2'!J73+'4A SWD Case 2'!K73*'MSW characteristics'!$B$35</f>
        <v>0.11870178252267252</v>
      </c>
      <c r="Q73" s="1006">
        <f t="shared" si="2"/>
        <v>936.06791202956026</v>
      </c>
      <c r="R73" s="1006">
        <f t="shared" si="3"/>
        <v>936.06791202956026</v>
      </c>
      <c r="S73" s="1008">
        <f t="shared" si="4"/>
        <v>0</v>
      </c>
      <c r="T73" s="1006">
        <f t="shared" si="5"/>
        <v>12163.139410190814</v>
      </c>
      <c r="U73" s="1006">
        <f t="shared" si="6"/>
        <v>575.62426480273814</v>
      </c>
      <c r="V73" s="1019">
        <f t="shared" si="7"/>
        <v>383.74950986849211</v>
      </c>
      <c r="X73" s="1013">
        <f>'Baseline data (from input)'!AS60*'4A SWD Case 2'!$D$12</f>
        <v>5761.4219665681694</v>
      </c>
      <c r="Y73" s="1007">
        <f>Parameters!S175</f>
        <v>0.71500000000000008</v>
      </c>
      <c r="Z73" s="1007">
        <f t="shared" si="8"/>
        <v>0.2</v>
      </c>
      <c r="AA73" s="1006">
        <f t="shared" si="9"/>
        <v>411.94167060962417</v>
      </c>
      <c r="AB73" s="1006">
        <f t="shared" si="10"/>
        <v>411.94167060962417</v>
      </c>
      <c r="AC73" s="1008">
        <f t="shared" si="11"/>
        <v>0</v>
      </c>
      <c r="AD73" s="1006">
        <f t="shared" si="12"/>
        <v>5491.5736569829514</v>
      </c>
      <c r="AE73" s="1006">
        <f t="shared" si="13"/>
        <v>260.43830112808126</v>
      </c>
      <c r="AF73" s="1019">
        <f t="shared" si="14"/>
        <v>173.6255340853875</v>
      </c>
      <c r="AH73" s="1013">
        <f>'Baseline data (from input)'!AS60*'4A SWD Case 2'!$D$12</f>
        <v>5761.4219665681694</v>
      </c>
      <c r="AI73" s="1007">
        <f>Parameters!S175</f>
        <v>0.71500000000000008</v>
      </c>
      <c r="AJ73" s="1007">
        <f t="shared" si="15"/>
        <v>0.2</v>
      </c>
      <c r="AK73" s="1006">
        <f t="shared" si="16"/>
        <v>411.94167060962417</v>
      </c>
      <c r="AL73" s="1006">
        <f t="shared" si="17"/>
        <v>411.94167060962417</v>
      </c>
      <c r="AM73" s="1008">
        <f t="shared" si="18"/>
        <v>0</v>
      </c>
      <c r="AN73" s="1006">
        <f t="shared" si="19"/>
        <v>5491.5736569829514</v>
      </c>
      <c r="AO73" s="1006">
        <f t="shared" si="20"/>
        <v>260.43830112808126</v>
      </c>
      <c r="AP73" s="1019">
        <f t="shared" si="21"/>
        <v>173.6255340853875</v>
      </c>
      <c r="AR73" s="1021">
        <v>501</v>
      </c>
      <c r="AS73" s="1007">
        <v>1</v>
      </c>
      <c r="AT73" s="1007">
        <f t="shared" si="22"/>
        <v>0.05</v>
      </c>
      <c r="AU73" s="1006">
        <f t="shared" si="23"/>
        <v>12.525</v>
      </c>
      <c r="AV73" s="1006">
        <f t="shared" si="24"/>
        <v>12.525</v>
      </c>
      <c r="AW73" s="1008">
        <f t="shared" si="25"/>
        <v>0</v>
      </c>
      <c r="AX73" s="1006">
        <f t="shared" si="42"/>
        <v>55.743552610809878</v>
      </c>
      <c r="AY73" s="1006">
        <f t="shared" si="47"/>
        <v>2.6724860401414179</v>
      </c>
      <c r="AZ73" s="1022">
        <f t="shared" si="45"/>
        <v>1.7816573600942787</v>
      </c>
      <c r="BB73" s="317">
        <f t="shared" si="29"/>
        <v>383.74950986849211</v>
      </c>
      <c r="BC73" s="318">
        <f t="shared" si="30"/>
        <v>173.6255340853875</v>
      </c>
      <c r="BD73" s="1214">
        <f t="shared" si="46"/>
        <v>1.7816573600942787</v>
      </c>
      <c r="BE73" s="318">
        <f t="shared" si="32"/>
        <v>559.15670131397394</v>
      </c>
      <c r="BF73" s="104">
        <v>0</v>
      </c>
      <c r="BG73" s="1205">
        <f t="shared" si="33"/>
        <v>559.15670131397394</v>
      </c>
      <c r="BI73" s="317">
        <f t="shared" si="34"/>
        <v>383.74950986849211</v>
      </c>
      <c r="BJ73" s="318">
        <f t="shared" si="35"/>
        <v>173.6255340853875</v>
      </c>
      <c r="BK73" s="1214">
        <f t="shared" si="36"/>
        <v>1.7816573600942787</v>
      </c>
      <c r="BL73" s="318">
        <f t="shared" si="37"/>
        <v>559.15670131397394</v>
      </c>
      <c r="BM73" s="104">
        <v>0</v>
      </c>
      <c r="BN73" s="1205">
        <f t="shared" si="38"/>
        <v>559.15670131397394</v>
      </c>
    </row>
    <row r="74" spans="1:66">
      <c r="A74" s="941">
        <f>'Input data'!A105</f>
        <v>2005</v>
      </c>
      <c r="B74" s="989">
        <f>'Input data'!B105</f>
        <v>47.198</v>
      </c>
      <c r="C74" s="989">
        <f>'Baseline data (from input)'!B61</f>
        <v>578.73</v>
      </c>
      <c r="D74" s="990">
        <f>'Baseline data (from input)'!T61</f>
        <v>0.8</v>
      </c>
      <c r="E74" s="990">
        <f t="shared" si="44"/>
        <v>0.19892488097366726</v>
      </c>
      <c r="F74" s="990">
        <f t="shared" si="44"/>
        <v>0.26585903447659598</v>
      </c>
      <c r="G74" s="990">
        <f t="shared" si="44"/>
        <v>8.9228108703258049E-2</v>
      </c>
      <c r="H74" s="990">
        <f t="shared" si="44"/>
        <v>0</v>
      </c>
      <c r="I74" s="990">
        <f t="shared" si="44"/>
        <v>0</v>
      </c>
      <c r="J74" s="990">
        <f t="shared" si="44"/>
        <v>0</v>
      </c>
      <c r="K74" s="990">
        <f t="shared" si="44"/>
        <v>0.4459879758464787</v>
      </c>
      <c r="L74" s="997">
        <f t="shared" si="40"/>
        <v>1</v>
      </c>
      <c r="N74" s="1013">
        <f t="shared" si="1"/>
        <v>21851.918832000003</v>
      </c>
      <c r="O74" s="1007">
        <f>Parameters!R176</f>
        <v>0.73</v>
      </c>
      <c r="P74" s="1007">
        <f>E74*'MSW characteristics'!$B$28+'MSW characteristics'!$B$29*'4A SWD Case 2'!F74+'4A SWD Case 2'!G74*'MSW characteristics'!$B$30+'MSW characteristics'!$B$31*'4A SWD Case 2'!H74+'4A SWD Case 2'!I74*'MSW characteristics'!$B$32+'MSW characteristics'!$B$33*'4A SWD Case 2'!J74+'4A SWD Case 2'!K74*'MSW characteristics'!$B$35</f>
        <v>0.11870178252267252</v>
      </c>
      <c r="Q74" s="1006">
        <f t="shared" si="2"/>
        <v>946.75952666819205</v>
      </c>
      <c r="R74" s="1006">
        <f t="shared" si="3"/>
        <v>946.75952666819205</v>
      </c>
      <c r="S74" s="1008">
        <f t="shared" si="4"/>
        <v>0</v>
      </c>
      <c r="T74" s="1006">
        <f t="shared" si="5"/>
        <v>12516.695627945954</v>
      </c>
      <c r="U74" s="1006">
        <f t="shared" si="6"/>
        <v>593.20330891305184</v>
      </c>
      <c r="V74" s="1019">
        <f t="shared" si="7"/>
        <v>395.46887260870125</v>
      </c>
      <c r="X74" s="1013">
        <f>'Baseline data (from input)'!AS61*'4A SWD Case 2'!$D$12</f>
        <v>6065.4554481159084</v>
      </c>
      <c r="Y74" s="1007">
        <f>Parameters!S176</f>
        <v>0.71500000000000008</v>
      </c>
      <c r="Z74" s="1007">
        <f t="shared" si="8"/>
        <v>0.2</v>
      </c>
      <c r="AA74" s="1006">
        <f t="shared" si="9"/>
        <v>433.6800645402875</v>
      </c>
      <c r="AB74" s="1006">
        <f t="shared" si="10"/>
        <v>433.6800645402875</v>
      </c>
      <c r="AC74" s="1008">
        <f t="shared" si="11"/>
        <v>0</v>
      </c>
      <c r="AD74" s="1006">
        <f t="shared" si="12"/>
        <v>5657.4265138754618</v>
      </c>
      <c r="AE74" s="1006">
        <f t="shared" si="13"/>
        <v>267.82720764777707</v>
      </c>
      <c r="AF74" s="1019">
        <f t="shared" si="14"/>
        <v>178.55147176518471</v>
      </c>
      <c r="AH74" s="1013">
        <f>'Baseline data (from input)'!AS61*'4A SWD Case 2'!$D$12</f>
        <v>6065.4554481159084</v>
      </c>
      <c r="AI74" s="1007">
        <f>Parameters!S176</f>
        <v>0.71500000000000008</v>
      </c>
      <c r="AJ74" s="1007">
        <f t="shared" si="15"/>
        <v>0.2</v>
      </c>
      <c r="AK74" s="1006">
        <f t="shared" si="16"/>
        <v>433.6800645402875</v>
      </c>
      <c r="AL74" s="1006">
        <f t="shared" si="17"/>
        <v>433.6800645402875</v>
      </c>
      <c r="AM74" s="1008">
        <f t="shared" si="18"/>
        <v>0</v>
      </c>
      <c r="AN74" s="1006">
        <f t="shared" si="19"/>
        <v>5657.4265138754618</v>
      </c>
      <c r="AO74" s="1006">
        <f t="shared" si="20"/>
        <v>267.82720764777707</v>
      </c>
      <c r="AP74" s="1019">
        <f t="shared" si="21"/>
        <v>178.55147176518471</v>
      </c>
      <c r="AR74" s="1021">
        <v>501</v>
      </c>
      <c r="AS74" s="1007">
        <v>1</v>
      </c>
      <c r="AT74" s="1007">
        <f t="shared" si="22"/>
        <v>0.05</v>
      </c>
      <c r="AU74" s="1006">
        <f t="shared" si="23"/>
        <v>12.525</v>
      </c>
      <c r="AV74" s="1006">
        <f t="shared" si="24"/>
        <v>12.525</v>
      </c>
      <c r="AW74" s="1008">
        <f t="shared" si="25"/>
        <v>0</v>
      </c>
      <c r="AX74" s="1006">
        <f t="shared" si="42"/>
        <v>65.022300824848401</v>
      </c>
      <c r="AY74" s="1006">
        <f t="shared" si="47"/>
        <v>3.2462517859614834</v>
      </c>
      <c r="AZ74" s="1022">
        <f t="shared" si="45"/>
        <v>2.1641678573076555</v>
      </c>
      <c r="BB74" s="317">
        <f t="shared" si="29"/>
        <v>395.46887260870125</v>
      </c>
      <c r="BC74" s="318">
        <f t="shared" si="30"/>
        <v>178.55147176518471</v>
      </c>
      <c r="BD74" s="1214">
        <f t="shared" si="46"/>
        <v>2.1641678573076555</v>
      </c>
      <c r="BE74" s="318">
        <f t="shared" si="32"/>
        <v>576.18451223119371</v>
      </c>
      <c r="BF74" s="104">
        <v>0</v>
      </c>
      <c r="BG74" s="1205">
        <f t="shared" si="33"/>
        <v>576.18451223119371</v>
      </c>
      <c r="BI74" s="317">
        <f t="shared" si="34"/>
        <v>395.46887260870125</v>
      </c>
      <c r="BJ74" s="318">
        <f t="shared" si="35"/>
        <v>178.55147176518471</v>
      </c>
      <c r="BK74" s="1214">
        <f t="shared" si="36"/>
        <v>2.1641678573076555</v>
      </c>
      <c r="BL74" s="318">
        <f t="shared" si="37"/>
        <v>576.18451223119371</v>
      </c>
      <c r="BM74" s="104">
        <v>0</v>
      </c>
      <c r="BN74" s="1205">
        <f t="shared" si="38"/>
        <v>576.18451223119371</v>
      </c>
    </row>
    <row r="75" spans="1:66">
      <c r="A75" s="941">
        <f>'Input data'!A106</f>
        <v>2006</v>
      </c>
      <c r="B75" s="989">
        <f>'Input data'!B106</f>
        <v>47.731000000000002</v>
      </c>
      <c r="C75" s="989">
        <f>'Baseline data (from input)'!B62</f>
        <v>578.73</v>
      </c>
      <c r="D75" s="990">
        <f>'Baseline data (from input)'!T62</f>
        <v>0.8</v>
      </c>
      <c r="E75" s="990">
        <f t="shared" si="44"/>
        <v>0.19892488097366726</v>
      </c>
      <c r="F75" s="990">
        <f t="shared" si="44"/>
        <v>0.26585903447659598</v>
      </c>
      <c r="G75" s="990">
        <f t="shared" si="44"/>
        <v>8.9228108703258049E-2</v>
      </c>
      <c r="H75" s="990">
        <f t="shared" si="44"/>
        <v>0</v>
      </c>
      <c r="I75" s="990">
        <f t="shared" si="44"/>
        <v>0</v>
      </c>
      <c r="J75" s="990">
        <f t="shared" si="44"/>
        <v>0</v>
      </c>
      <c r="K75" s="990">
        <f t="shared" si="44"/>
        <v>0.4459879758464787</v>
      </c>
      <c r="L75" s="997">
        <f t="shared" si="40"/>
        <v>1</v>
      </c>
      <c r="N75" s="1013">
        <f t="shared" si="1"/>
        <v>22098.689304000003</v>
      </c>
      <c r="O75" s="1007">
        <f>Parameters!R177</f>
        <v>0.73</v>
      </c>
      <c r="P75" s="1007">
        <f>E75*'MSW characteristics'!$B$28+'MSW characteristics'!$B$29*'4A SWD Case 2'!F75+'4A SWD Case 2'!G75*'MSW characteristics'!$B$30+'MSW characteristics'!$B$31*'4A SWD Case 2'!H75+'4A SWD Case 2'!I75*'MSW characteristics'!$B$32+'MSW characteristics'!$B$33*'4A SWD Case 2'!J75+'4A SWD Case 2'!K75*'MSW characteristics'!$B$35</f>
        <v>0.11870178252267252</v>
      </c>
      <c r="Q75" s="1006">
        <f t="shared" si="2"/>
        <v>957.45114130682396</v>
      </c>
      <c r="R75" s="1006">
        <f t="shared" si="3"/>
        <v>957.45114130682396</v>
      </c>
      <c r="S75" s="1008">
        <f t="shared" si="4"/>
        <v>0</v>
      </c>
      <c r="T75" s="1006">
        <f t="shared" si="5"/>
        <v>12863.700320128457</v>
      </c>
      <c r="U75" s="1006">
        <f t="shared" si="6"/>
        <v>610.44644912432091</v>
      </c>
      <c r="V75" s="1019">
        <f t="shared" si="7"/>
        <v>406.96429941621392</v>
      </c>
      <c r="X75" s="1013">
        <f>'Baseline data (from input)'!AS62*'4A SWD Case 2'!$D$12</f>
        <v>6405.351298403808</v>
      </c>
      <c r="Y75" s="1007">
        <f>Parameters!S177</f>
        <v>0.71500000000000008</v>
      </c>
      <c r="Z75" s="1007">
        <f t="shared" si="8"/>
        <v>0.2</v>
      </c>
      <c r="AA75" s="1006">
        <f t="shared" si="9"/>
        <v>457.98261783587236</v>
      </c>
      <c r="AB75" s="1006">
        <f t="shared" si="10"/>
        <v>457.98261783587236</v>
      </c>
      <c r="AC75" s="1008">
        <f t="shared" si="11"/>
        <v>0</v>
      </c>
      <c r="AD75" s="1006">
        <f t="shared" si="12"/>
        <v>5839.4931847847092</v>
      </c>
      <c r="AE75" s="1006">
        <f t="shared" si="13"/>
        <v>275.91594692662551</v>
      </c>
      <c r="AF75" s="1019">
        <f t="shared" si="14"/>
        <v>183.94396461775034</v>
      </c>
      <c r="AH75" s="1013">
        <f>'Baseline data (from input)'!AS62*'4A SWD Case 2'!$D$12</f>
        <v>6405.351298403808</v>
      </c>
      <c r="AI75" s="1007">
        <f>Parameters!S177</f>
        <v>0.71500000000000008</v>
      </c>
      <c r="AJ75" s="1007">
        <f t="shared" si="15"/>
        <v>0.2</v>
      </c>
      <c r="AK75" s="1006">
        <f t="shared" si="16"/>
        <v>457.98261783587236</v>
      </c>
      <c r="AL75" s="1006">
        <f t="shared" si="17"/>
        <v>457.98261783587236</v>
      </c>
      <c r="AM75" s="1008">
        <f t="shared" si="18"/>
        <v>0</v>
      </c>
      <c r="AN75" s="1006">
        <f t="shared" si="19"/>
        <v>5839.4931847847092</v>
      </c>
      <c r="AO75" s="1006">
        <f t="shared" si="20"/>
        <v>275.91594692662551</v>
      </c>
      <c r="AP75" s="1019">
        <f t="shared" si="21"/>
        <v>183.94396461775034</v>
      </c>
      <c r="AR75" s="1021">
        <v>501</v>
      </c>
      <c r="AS75" s="1007">
        <v>1</v>
      </c>
      <c r="AT75" s="1007">
        <f t="shared" si="22"/>
        <v>0.05</v>
      </c>
      <c r="AU75" s="1006">
        <f t="shared" si="23"/>
        <v>12.525</v>
      </c>
      <c r="AV75" s="1006">
        <f t="shared" si="24"/>
        <v>12.525</v>
      </c>
      <c r="AW75" s="1008">
        <f t="shared" si="25"/>
        <v>0</v>
      </c>
      <c r="AX75" s="1006">
        <f t="shared" si="42"/>
        <v>73.760696808888071</v>
      </c>
      <c r="AY75" s="1006">
        <f t="shared" si="47"/>
        <v>3.7866040159603358</v>
      </c>
      <c r="AZ75" s="1022">
        <f t="shared" si="45"/>
        <v>2.5244026773068904</v>
      </c>
      <c r="BB75" s="317">
        <f t="shared" si="29"/>
        <v>406.96429941621392</v>
      </c>
      <c r="BC75" s="318">
        <f t="shared" si="30"/>
        <v>183.94396461775034</v>
      </c>
      <c r="BD75" s="1214">
        <f t="shared" si="46"/>
        <v>2.5244026773068904</v>
      </c>
      <c r="BE75" s="318">
        <f t="shared" si="32"/>
        <v>593.43266671127117</v>
      </c>
      <c r="BF75" s="104">
        <v>0</v>
      </c>
      <c r="BG75" s="1205">
        <f t="shared" si="33"/>
        <v>593.43266671127117</v>
      </c>
      <c r="BI75" s="317">
        <f t="shared" si="34"/>
        <v>406.96429941621392</v>
      </c>
      <c r="BJ75" s="318">
        <f t="shared" si="35"/>
        <v>183.94396461775034</v>
      </c>
      <c r="BK75" s="1214">
        <f t="shared" si="36"/>
        <v>2.5244026773068904</v>
      </c>
      <c r="BL75" s="318">
        <f t="shared" si="37"/>
        <v>593.43266671127117</v>
      </c>
      <c r="BM75" s="104">
        <v>0</v>
      </c>
      <c r="BN75" s="1205">
        <f t="shared" si="38"/>
        <v>593.43266671127117</v>
      </c>
    </row>
    <row r="76" spans="1:66">
      <c r="A76" s="941">
        <f>'Input data'!A107</f>
        <v>2007</v>
      </c>
      <c r="B76" s="989">
        <f>'Input data'!B107</f>
        <v>48.256999999999998</v>
      </c>
      <c r="C76" s="989">
        <f>'Baseline data (from input)'!B63</f>
        <v>578.73</v>
      </c>
      <c r="D76" s="990">
        <f>'Baseline data (from input)'!T63</f>
        <v>0.8</v>
      </c>
      <c r="E76" s="990">
        <f t="shared" si="44"/>
        <v>0.19892488097366726</v>
      </c>
      <c r="F76" s="990">
        <f t="shared" si="44"/>
        <v>0.26585903447659598</v>
      </c>
      <c r="G76" s="990">
        <f t="shared" si="44"/>
        <v>8.9228108703258049E-2</v>
      </c>
      <c r="H76" s="990">
        <f t="shared" si="44"/>
        <v>0</v>
      </c>
      <c r="I76" s="990">
        <f t="shared" si="44"/>
        <v>0</v>
      </c>
      <c r="J76" s="990">
        <f t="shared" si="44"/>
        <v>0</v>
      </c>
      <c r="K76" s="990">
        <f t="shared" si="44"/>
        <v>0.4459879758464787</v>
      </c>
      <c r="L76" s="997">
        <f t="shared" si="40"/>
        <v>1</v>
      </c>
      <c r="N76" s="1013">
        <f t="shared" si="1"/>
        <v>22342.218888000003</v>
      </c>
      <c r="O76" s="1007">
        <f>Parameters!R178</f>
        <v>0.73</v>
      </c>
      <c r="P76" s="1007">
        <f>E76*'MSW characteristics'!$B$28+'MSW characteristics'!$B$29*'4A SWD Case 2'!F76+'4A SWD Case 2'!G76*'MSW characteristics'!$B$30+'MSW characteristics'!$B$31*'4A SWD Case 2'!H76+'4A SWD Case 2'!I76*'MSW characteristics'!$B$32+'MSW characteristics'!$B$33*'4A SWD Case 2'!J76+'4A SWD Case 2'!K76*'MSW characteristics'!$B$35</f>
        <v>0.11870178252267252</v>
      </c>
      <c r="Q76" s="1006">
        <f t="shared" si="2"/>
        <v>968.00234074382274</v>
      </c>
      <c r="R76" s="1006">
        <f t="shared" si="3"/>
        <v>968.00234074382274</v>
      </c>
      <c r="S76" s="1008">
        <f t="shared" si="4"/>
        <v>0</v>
      </c>
      <c r="T76" s="1006">
        <f t="shared" si="5"/>
        <v>13204.332593209265</v>
      </c>
      <c r="U76" s="1006">
        <f t="shared" si="6"/>
        <v>627.3700676630142</v>
      </c>
      <c r="V76" s="1019">
        <f t="shared" si="7"/>
        <v>418.24671177534282</v>
      </c>
      <c r="X76" s="1013">
        <f>'Baseline data (from input)'!AS63*'4A SWD Case 2'!$D$12</f>
        <v>6748.7086104885984</v>
      </c>
      <c r="Y76" s="1007">
        <f>Parameters!S178</f>
        <v>0.71500000000000008</v>
      </c>
      <c r="Z76" s="1007">
        <f t="shared" si="8"/>
        <v>0.2</v>
      </c>
      <c r="AA76" s="1006">
        <f t="shared" si="9"/>
        <v>482.53266564993487</v>
      </c>
      <c r="AB76" s="1006">
        <f t="shared" si="10"/>
        <v>482.53266564993487</v>
      </c>
      <c r="AC76" s="1008">
        <f t="shared" si="11"/>
        <v>0</v>
      </c>
      <c r="AD76" s="1006">
        <f t="shared" si="12"/>
        <v>6037.2304071885355</v>
      </c>
      <c r="AE76" s="1006">
        <f t="shared" si="13"/>
        <v>284.79544324610862</v>
      </c>
      <c r="AF76" s="1019">
        <f t="shared" si="14"/>
        <v>189.86362883073909</v>
      </c>
      <c r="AH76" s="1013">
        <f>'Baseline data (from input)'!AS63*'4A SWD Case 2'!$D$12</f>
        <v>6748.7086104885984</v>
      </c>
      <c r="AI76" s="1007">
        <f>Parameters!S178</f>
        <v>0.71500000000000008</v>
      </c>
      <c r="AJ76" s="1007">
        <f t="shared" si="15"/>
        <v>0.2</v>
      </c>
      <c r="AK76" s="1006">
        <f t="shared" si="16"/>
        <v>482.53266564993487</v>
      </c>
      <c r="AL76" s="1006">
        <f t="shared" si="17"/>
        <v>482.53266564993487</v>
      </c>
      <c r="AM76" s="1008">
        <f t="shared" si="18"/>
        <v>0</v>
      </c>
      <c r="AN76" s="1006">
        <f t="shared" si="19"/>
        <v>6037.2304071885355</v>
      </c>
      <c r="AO76" s="1006">
        <f t="shared" si="20"/>
        <v>284.79544324610862</v>
      </c>
      <c r="AP76" s="1019">
        <f t="shared" si="21"/>
        <v>189.86362883073909</v>
      </c>
      <c r="AR76" s="1021">
        <v>501</v>
      </c>
      <c r="AS76" s="1007">
        <v>1</v>
      </c>
      <c r="AT76" s="1007">
        <f t="shared" si="22"/>
        <v>0.05</v>
      </c>
      <c r="AU76" s="1006">
        <f t="shared" si="23"/>
        <v>12.525</v>
      </c>
      <c r="AV76" s="1006">
        <f t="shared" si="24"/>
        <v>12.525</v>
      </c>
      <c r="AW76" s="1008">
        <f t="shared" si="25"/>
        <v>0</v>
      </c>
      <c r="AX76" s="1006">
        <f t="shared" si="42"/>
        <v>81.990208227071662</v>
      </c>
      <c r="AY76" s="1006">
        <f t="shared" si="47"/>
        <v>4.2954885818164135</v>
      </c>
      <c r="AZ76" s="1022">
        <f t="shared" si="45"/>
        <v>2.8636590545442755</v>
      </c>
      <c r="BB76" s="317">
        <f t="shared" si="29"/>
        <v>418.24671177534282</v>
      </c>
      <c r="BC76" s="318">
        <f t="shared" si="30"/>
        <v>189.86362883073909</v>
      </c>
      <c r="BD76" s="1214">
        <f t="shared" si="46"/>
        <v>2.8636590545442755</v>
      </c>
      <c r="BE76" s="318">
        <f t="shared" si="32"/>
        <v>610.97399966062619</v>
      </c>
      <c r="BF76" s="104">
        <v>0</v>
      </c>
      <c r="BG76" s="1205">
        <f t="shared" si="33"/>
        <v>610.97399966062619</v>
      </c>
      <c r="BI76" s="317">
        <f t="shared" si="34"/>
        <v>418.24671177534282</v>
      </c>
      <c r="BJ76" s="318">
        <f t="shared" si="35"/>
        <v>189.86362883073909</v>
      </c>
      <c r="BK76" s="1214">
        <f t="shared" si="36"/>
        <v>2.8636590545442755</v>
      </c>
      <c r="BL76" s="318">
        <f t="shared" si="37"/>
        <v>610.97399966062619</v>
      </c>
      <c r="BM76" s="104">
        <v>0</v>
      </c>
      <c r="BN76" s="1205">
        <f t="shared" si="38"/>
        <v>610.97399966062619</v>
      </c>
    </row>
    <row r="77" spans="1:66">
      <c r="A77" s="941">
        <f>'Input data'!A108</f>
        <v>2008</v>
      </c>
      <c r="B77" s="989">
        <f>'Input data'!B108</f>
        <v>48.792999999999999</v>
      </c>
      <c r="C77" s="989">
        <f>'Baseline data (from input)'!B64</f>
        <v>578.73</v>
      </c>
      <c r="D77" s="990">
        <f>'Baseline data (from input)'!T64</f>
        <v>0.8</v>
      </c>
      <c r="E77" s="990">
        <f t="shared" si="44"/>
        <v>0.19892488097366726</v>
      </c>
      <c r="F77" s="990">
        <f t="shared" si="44"/>
        <v>0.26585903447659598</v>
      </c>
      <c r="G77" s="990">
        <f t="shared" si="44"/>
        <v>8.9228108703258049E-2</v>
      </c>
      <c r="H77" s="990">
        <f t="shared" si="44"/>
        <v>0</v>
      </c>
      <c r="I77" s="990">
        <f t="shared" si="44"/>
        <v>0</v>
      </c>
      <c r="J77" s="990">
        <f t="shared" si="44"/>
        <v>0</v>
      </c>
      <c r="K77" s="990">
        <f t="shared" si="44"/>
        <v>0.4459879758464787</v>
      </c>
      <c r="L77" s="997">
        <f t="shared" si="40"/>
        <v>1</v>
      </c>
      <c r="N77" s="1013">
        <f t="shared" si="1"/>
        <v>22590.378312000001</v>
      </c>
      <c r="O77" s="1007">
        <f>Parameters!R179</f>
        <v>0.73</v>
      </c>
      <c r="P77" s="1007">
        <f>E77*'MSW characteristics'!$B$28+'MSW characteristics'!$B$29*'4A SWD Case 2'!F77+'4A SWD Case 2'!G77*'MSW characteristics'!$B$30+'MSW characteristics'!$B$31*'4A SWD Case 2'!H77+'4A SWD Case 2'!I77*'MSW characteristics'!$B$32+'MSW characteristics'!$B$33*'4A SWD Case 2'!J77+'4A SWD Case 2'!K77*'MSW characteristics'!$B$35</f>
        <v>0.11870178252267252</v>
      </c>
      <c r="Q77" s="1006">
        <f t="shared" si="2"/>
        <v>978.75413332601147</v>
      </c>
      <c r="R77" s="1006">
        <f t="shared" si="3"/>
        <v>978.75413332601147</v>
      </c>
      <c r="S77" s="1008">
        <f t="shared" si="4"/>
        <v>0</v>
      </c>
      <c r="T77" s="1006">
        <f t="shared" si="5"/>
        <v>13539.10382688048</v>
      </c>
      <c r="U77" s="1006">
        <f t="shared" si="6"/>
        <v>643.98289965479512</v>
      </c>
      <c r="V77" s="1019">
        <f t="shared" si="7"/>
        <v>429.32193310319673</v>
      </c>
      <c r="X77" s="1013">
        <f>'Baseline data (from input)'!AS64*'4A SWD Case 2'!$D$12</f>
        <v>6964.0630566631799</v>
      </c>
      <c r="Y77" s="1007">
        <f>Parameters!S179</f>
        <v>0.71500000000000008</v>
      </c>
      <c r="Z77" s="1007">
        <f t="shared" si="8"/>
        <v>0.2</v>
      </c>
      <c r="AA77" s="1006">
        <f t="shared" si="9"/>
        <v>497.93050855141746</v>
      </c>
      <c r="AB77" s="1006">
        <f t="shared" si="10"/>
        <v>497.93050855141746</v>
      </c>
      <c r="AC77" s="1008">
        <f t="shared" si="11"/>
        <v>0</v>
      </c>
      <c r="AD77" s="1006">
        <f t="shared" si="12"/>
        <v>6240.721714359579</v>
      </c>
      <c r="AE77" s="1006">
        <f t="shared" si="13"/>
        <v>294.43920138037356</v>
      </c>
      <c r="AF77" s="1019">
        <f t="shared" si="14"/>
        <v>196.29280092024905</v>
      </c>
      <c r="AH77" s="1013">
        <f>'Baseline data (from input)'!AS64*'4A SWD Case 2'!$D$12</f>
        <v>6964.0630566631799</v>
      </c>
      <c r="AI77" s="1007">
        <f>Parameters!S179</f>
        <v>0.71500000000000008</v>
      </c>
      <c r="AJ77" s="1007">
        <f t="shared" si="15"/>
        <v>0.2</v>
      </c>
      <c r="AK77" s="1006">
        <f t="shared" si="16"/>
        <v>497.93050855141746</v>
      </c>
      <c r="AL77" s="1006">
        <f t="shared" si="17"/>
        <v>497.93050855141746</v>
      </c>
      <c r="AM77" s="1008">
        <f t="shared" si="18"/>
        <v>0</v>
      </c>
      <c r="AN77" s="1006">
        <f t="shared" si="19"/>
        <v>6240.721714359579</v>
      </c>
      <c r="AO77" s="1006">
        <f t="shared" si="20"/>
        <v>294.43920138037356</v>
      </c>
      <c r="AP77" s="1019">
        <f t="shared" si="21"/>
        <v>196.29280092024905</v>
      </c>
      <c r="AR77" s="1021">
        <v>501</v>
      </c>
      <c r="AS77" s="1007">
        <v>1</v>
      </c>
      <c r="AT77" s="1007">
        <f t="shared" si="22"/>
        <v>0.05</v>
      </c>
      <c r="AU77" s="1006">
        <f t="shared" si="23"/>
        <v>12.525</v>
      </c>
      <c r="AV77" s="1006">
        <f t="shared" si="24"/>
        <v>12.525</v>
      </c>
      <c r="AW77" s="1008">
        <f t="shared" si="25"/>
        <v>0</v>
      </c>
      <c r="AX77" s="1006">
        <f t="shared" si="42"/>
        <v>89.740470209443586</v>
      </c>
      <c r="AY77" s="1006">
        <f t="shared" si="47"/>
        <v>4.7747380176280858</v>
      </c>
      <c r="AZ77" s="1022">
        <f t="shared" si="45"/>
        <v>3.183158678418724</v>
      </c>
      <c r="BB77" s="317">
        <f t="shared" si="29"/>
        <v>429.32193310319673</v>
      </c>
      <c r="BC77" s="318">
        <f t="shared" si="30"/>
        <v>196.29280092024905</v>
      </c>
      <c r="BD77" s="1214">
        <f t="shared" si="46"/>
        <v>3.183158678418724</v>
      </c>
      <c r="BE77" s="318">
        <f t="shared" si="32"/>
        <v>628.7978927018645</v>
      </c>
      <c r="BF77" s="104">
        <v>0</v>
      </c>
      <c r="BG77" s="1205">
        <f t="shared" si="33"/>
        <v>628.7978927018645</v>
      </c>
      <c r="BI77" s="317">
        <f t="shared" si="34"/>
        <v>429.32193310319673</v>
      </c>
      <c r="BJ77" s="318">
        <f t="shared" si="35"/>
        <v>196.29280092024905</v>
      </c>
      <c r="BK77" s="1214">
        <f t="shared" si="36"/>
        <v>3.183158678418724</v>
      </c>
      <c r="BL77" s="318">
        <f t="shared" si="37"/>
        <v>628.7978927018645</v>
      </c>
      <c r="BM77" s="104">
        <v>0</v>
      </c>
      <c r="BN77" s="1205">
        <f t="shared" si="38"/>
        <v>628.7978927018645</v>
      </c>
    </row>
    <row r="78" spans="1:66">
      <c r="A78" s="941">
        <f>'Input data'!A109</f>
        <v>2009</v>
      </c>
      <c r="B78" s="989">
        <f>'Input data'!B109</f>
        <v>49.32</v>
      </c>
      <c r="C78" s="989">
        <f>'Baseline data (from input)'!B65</f>
        <v>578.73</v>
      </c>
      <c r="D78" s="990">
        <f>'Baseline data (from input)'!T65</f>
        <v>0.8</v>
      </c>
      <c r="E78" s="990">
        <f t="shared" si="44"/>
        <v>0.19892488097366726</v>
      </c>
      <c r="F78" s="990">
        <f t="shared" si="44"/>
        <v>0.26585903447659598</v>
      </c>
      <c r="G78" s="990">
        <f t="shared" si="44"/>
        <v>8.9228108703258049E-2</v>
      </c>
      <c r="H78" s="990">
        <f t="shared" si="44"/>
        <v>0</v>
      </c>
      <c r="I78" s="990">
        <f t="shared" si="44"/>
        <v>0</v>
      </c>
      <c r="J78" s="990">
        <f t="shared" si="44"/>
        <v>0</v>
      </c>
      <c r="K78" s="990">
        <f t="shared" si="44"/>
        <v>0.4459879758464787</v>
      </c>
      <c r="L78" s="997">
        <f t="shared" si="40"/>
        <v>1</v>
      </c>
      <c r="N78" s="1013">
        <f t="shared" si="1"/>
        <v>22834.370880000002</v>
      </c>
      <c r="O78" s="1007">
        <f>Parameters!R180</f>
        <v>0.73</v>
      </c>
      <c r="P78" s="1007">
        <f>E78*'MSW characteristics'!$B$28+'MSW characteristics'!$B$29*'4A SWD Case 2'!F78+'4A SWD Case 2'!G78*'MSW characteristics'!$B$30+'MSW characteristics'!$B$31*'4A SWD Case 2'!H78+'4A SWD Case 2'!I78*'MSW characteristics'!$B$32+'MSW characteristics'!$B$33*'4A SWD Case 2'!J78+'4A SWD Case 2'!K78*'MSW characteristics'!$B$35</f>
        <v>0.11870178252267252</v>
      </c>
      <c r="Q78" s="1006">
        <f t="shared" si="2"/>
        <v>989.32539207752939</v>
      </c>
      <c r="R78" s="1006">
        <f t="shared" si="3"/>
        <v>989.32539207752939</v>
      </c>
      <c r="S78" s="1008">
        <f t="shared" si="4"/>
        <v>0</v>
      </c>
      <c r="T78" s="1006">
        <f t="shared" si="5"/>
        <v>13868.119333576464</v>
      </c>
      <c r="U78" s="1006">
        <f t="shared" si="6"/>
        <v>660.30988538154622</v>
      </c>
      <c r="V78" s="1019">
        <f t="shared" si="7"/>
        <v>440.20659025436413</v>
      </c>
      <c r="X78" s="1013">
        <f>'Baseline data (from input)'!AS65*'4A SWD Case 2'!$D$12</f>
        <v>6856.9495455756096</v>
      </c>
      <c r="Y78" s="1007">
        <f>Parameters!S180</f>
        <v>0.71500000000000008</v>
      </c>
      <c r="Z78" s="1007">
        <f t="shared" si="8"/>
        <v>0.2</v>
      </c>
      <c r="AA78" s="1006">
        <f t="shared" si="9"/>
        <v>490.27189250865615</v>
      </c>
      <c r="AB78" s="1006">
        <f t="shared" si="10"/>
        <v>490.27189250865615</v>
      </c>
      <c r="AC78" s="1008">
        <f t="shared" si="11"/>
        <v>0</v>
      </c>
      <c r="AD78" s="1006">
        <f t="shared" si="12"/>
        <v>6426.6300173280279</v>
      </c>
      <c r="AE78" s="1006">
        <f t="shared" si="13"/>
        <v>304.36358954020733</v>
      </c>
      <c r="AF78" s="1019">
        <f t="shared" si="14"/>
        <v>202.90905969347156</v>
      </c>
      <c r="AH78" s="1013">
        <f>'Baseline data (from input)'!AS65*'4A SWD Case 2'!$D$12</f>
        <v>6856.9495455756096</v>
      </c>
      <c r="AI78" s="1007">
        <f>Parameters!S180</f>
        <v>0.71500000000000008</v>
      </c>
      <c r="AJ78" s="1007">
        <f t="shared" si="15"/>
        <v>0.2</v>
      </c>
      <c r="AK78" s="1006">
        <f t="shared" si="16"/>
        <v>490.27189250865615</v>
      </c>
      <c r="AL78" s="1006">
        <f t="shared" si="17"/>
        <v>490.27189250865615</v>
      </c>
      <c r="AM78" s="1008">
        <f t="shared" si="18"/>
        <v>0</v>
      </c>
      <c r="AN78" s="1006">
        <f t="shared" si="19"/>
        <v>6426.6300173280279</v>
      </c>
      <c r="AO78" s="1006">
        <f t="shared" si="20"/>
        <v>304.36358954020733</v>
      </c>
      <c r="AP78" s="1019">
        <f t="shared" si="21"/>
        <v>202.90905969347156</v>
      </c>
      <c r="AR78" s="1021">
        <v>501</v>
      </c>
      <c r="AS78" s="1007">
        <v>1</v>
      </c>
      <c r="AT78" s="1007">
        <f t="shared" si="22"/>
        <v>0.05</v>
      </c>
      <c r="AU78" s="1006">
        <f t="shared" si="23"/>
        <v>12.525</v>
      </c>
      <c r="AV78" s="1006">
        <f t="shared" si="24"/>
        <v>12.525</v>
      </c>
      <c r="AW78" s="1008">
        <f t="shared" si="25"/>
        <v>0</v>
      </c>
      <c r="AX78" s="1006">
        <f t="shared" si="42"/>
        <v>97.039392070427809</v>
      </c>
      <c r="AY78" s="1006">
        <f t="shared" si="47"/>
        <v>5.2260781390157804</v>
      </c>
      <c r="AZ78" s="1022">
        <f t="shared" si="45"/>
        <v>3.484052092677187</v>
      </c>
      <c r="BB78" s="317">
        <f t="shared" si="29"/>
        <v>440.20659025436413</v>
      </c>
      <c r="BC78" s="318">
        <f t="shared" si="30"/>
        <v>202.90905969347156</v>
      </c>
      <c r="BD78" s="1214">
        <f t="shared" si="46"/>
        <v>3.484052092677187</v>
      </c>
      <c r="BE78" s="318">
        <f t="shared" si="32"/>
        <v>646.59970204051285</v>
      </c>
      <c r="BF78" s="104">
        <v>0</v>
      </c>
      <c r="BG78" s="1205">
        <f t="shared" si="33"/>
        <v>646.59970204051285</v>
      </c>
      <c r="BI78" s="317">
        <f t="shared" si="34"/>
        <v>440.20659025436413</v>
      </c>
      <c r="BJ78" s="318">
        <f t="shared" si="35"/>
        <v>202.90905969347156</v>
      </c>
      <c r="BK78" s="1214">
        <f t="shared" si="36"/>
        <v>3.484052092677187</v>
      </c>
      <c r="BL78" s="318">
        <f t="shared" si="37"/>
        <v>646.59970204051285</v>
      </c>
      <c r="BM78" s="104">
        <v>0</v>
      </c>
      <c r="BN78" s="1205">
        <f t="shared" si="38"/>
        <v>646.59970204051285</v>
      </c>
    </row>
    <row r="79" spans="1:66">
      <c r="A79" s="941">
        <f>'Input data'!A110</f>
        <v>2010</v>
      </c>
      <c r="B79" s="989">
        <f>'Input data'!B110</f>
        <v>49.87</v>
      </c>
      <c r="C79" s="989">
        <f>'Baseline data (from input)'!B66</f>
        <v>559.42164173673609</v>
      </c>
      <c r="D79" s="990">
        <f>'Baseline data (from input)'!T66</f>
        <v>0.75808980601378384</v>
      </c>
      <c r="E79" s="990">
        <f t="shared" si="44"/>
        <v>0.19892488097366726</v>
      </c>
      <c r="F79" s="990">
        <f t="shared" si="44"/>
        <v>0.26585903447659598</v>
      </c>
      <c r="G79" s="990">
        <f t="shared" si="44"/>
        <v>8.9228108703258049E-2</v>
      </c>
      <c r="H79" s="990">
        <f t="shared" si="44"/>
        <v>0</v>
      </c>
      <c r="I79" s="990">
        <f t="shared" si="44"/>
        <v>0</v>
      </c>
      <c r="J79" s="990">
        <f t="shared" si="44"/>
        <v>0</v>
      </c>
      <c r="K79" s="990">
        <f t="shared" si="44"/>
        <v>0.4459879758464787</v>
      </c>
      <c r="L79" s="997">
        <f t="shared" si="40"/>
        <v>1</v>
      </c>
      <c r="N79" s="1013">
        <f t="shared" si="1"/>
        <v>21149.460253503403</v>
      </c>
      <c r="O79" s="1007">
        <f>Parameters!R181</f>
        <v>0.73</v>
      </c>
      <c r="P79" s="1007">
        <f>E79*'MSW characteristics'!$B$28+'MSW characteristics'!$B$29*'4A SWD Case 2'!F79+'4A SWD Case 2'!G79*'MSW characteristics'!$B$30+'MSW characteristics'!$B$31*'4A SWD Case 2'!H79+'4A SWD Case 2'!I79*'MSW characteristics'!$B$32+'MSW characteristics'!$B$33*'4A SWD Case 2'!J79+'4A SWD Case 2'!K79*'MSW characteristics'!$B$35</f>
        <v>0.11870178252267252</v>
      </c>
      <c r="Q79" s="1006">
        <f t="shared" si="2"/>
        <v>916.32470049139249</v>
      </c>
      <c r="R79" s="1006">
        <f t="shared" si="3"/>
        <v>916.32470049139249</v>
      </c>
      <c r="S79" s="1008">
        <f t="shared" si="4"/>
        <v>0</v>
      </c>
      <c r="T79" s="1006">
        <f t="shared" si="5"/>
        <v>14108.087873076558</v>
      </c>
      <c r="U79" s="1006">
        <f t="shared" si="6"/>
        <v>676.35616099129857</v>
      </c>
      <c r="V79" s="1019">
        <f t="shared" si="7"/>
        <v>450.90410732753236</v>
      </c>
      <c r="X79" s="1013">
        <f>'Baseline data (from input)'!AS66*'4A SWD Case 2'!$D$12</f>
        <v>7065.3823538129036</v>
      </c>
      <c r="Y79" s="1007">
        <f>Parameters!S181</f>
        <v>0.71500000000000008</v>
      </c>
      <c r="Z79" s="1007">
        <f t="shared" si="8"/>
        <v>0.2</v>
      </c>
      <c r="AA79" s="1006">
        <f t="shared" si="9"/>
        <v>505.17483829762267</v>
      </c>
      <c r="AB79" s="1006">
        <f t="shared" si="10"/>
        <v>505.17483829762267</v>
      </c>
      <c r="AC79" s="1008">
        <f t="shared" si="11"/>
        <v>0</v>
      </c>
      <c r="AD79" s="1006">
        <f t="shared" si="12"/>
        <v>6618.374411159577</v>
      </c>
      <c r="AE79" s="1006">
        <f t="shared" si="13"/>
        <v>313.43044446607416</v>
      </c>
      <c r="AF79" s="1019">
        <f t="shared" si="14"/>
        <v>208.95362964404944</v>
      </c>
      <c r="AH79" s="1013">
        <f>'Baseline data (from input)'!AS66*'4A SWD Case 2'!$D$12</f>
        <v>7065.3823538129036</v>
      </c>
      <c r="AI79" s="1007">
        <f>Parameters!S181</f>
        <v>0.71500000000000008</v>
      </c>
      <c r="AJ79" s="1007">
        <f t="shared" si="15"/>
        <v>0.2</v>
      </c>
      <c r="AK79" s="1006">
        <f t="shared" si="16"/>
        <v>505.17483829762267</v>
      </c>
      <c r="AL79" s="1006">
        <f t="shared" si="17"/>
        <v>505.17483829762267</v>
      </c>
      <c r="AM79" s="1008">
        <f t="shared" si="18"/>
        <v>0</v>
      </c>
      <c r="AN79" s="1006">
        <f t="shared" si="19"/>
        <v>6618.374411159577</v>
      </c>
      <c r="AO79" s="1006">
        <f t="shared" si="20"/>
        <v>313.43044446607416</v>
      </c>
      <c r="AP79" s="1019">
        <f t="shared" si="21"/>
        <v>208.95362964404944</v>
      </c>
      <c r="AR79" s="1021">
        <v>501</v>
      </c>
      <c r="AS79" s="1007">
        <v>1</v>
      </c>
      <c r="AT79" s="1007">
        <f t="shared" si="22"/>
        <v>0.05</v>
      </c>
      <c r="AU79" s="1006">
        <f t="shared" si="23"/>
        <v>12.525</v>
      </c>
      <c r="AV79" s="1006">
        <f t="shared" si="24"/>
        <v>12.525</v>
      </c>
      <c r="AW79" s="1008">
        <f t="shared" si="25"/>
        <v>0</v>
      </c>
      <c r="AX79" s="1006">
        <f t="shared" si="42"/>
        <v>103.91325781250549</v>
      </c>
      <c r="AY79" s="1006">
        <f t="shared" si="47"/>
        <v>5.6511342579223198</v>
      </c>
      <c r="AZ79" s="1022">
        <f t="shared" si="45"/>
        <v>3.76742283861488</v>
      </c>
      <c r="BB79" s="317">
        <f t="shared" si="29"/>
        <v>450.90410732753236</v>
      </c>
      <c r="BC79" s="318">
        <f t="shared" si="30"/>
        <v>208.95362964404944</v>
      </c>
      <c r="BD79" s="1214">
        <f t="shared" si="46"/>
        <v>3.76742283861488</v>
      </c>
      <c r="BE79" s="318">
        <f t="shared" si="32"/>
        <v>663.62515981019658</v>
      </c>
      <c r="BF79" s="104">
        <v>0</v>
      </c>
      <c r="BG79" s="1205">
        <f t="shared" si="33"/>
        <v>663.62515981019658</v>
      </c>
      <c r="BI79" s="317">
        <f t="shared" si="34"/>
        <v>450.90410732753236</v>
      </c>
      <c r="BJ79" s="318">
        <f t="shared" si="35"/>
        <v>208.95362964404944</v>
      </c>
      <c r="BK79" s="1214">
        <f t="shared" si="36"/>
        <v>3.76742283861488</v>
      </c>
      <c r="BL79" s="318">
        <f t="shared" si="37"/>
        <v>663.62515981019658</v>
      </c>
      <c r="BM79" s="104">
        <v>0</v>
      </c>
      <c r="BN79" s="1205">
        <f t="shared" si="38"/>
        <v>663.62515981019658</v>
      </c>
    </row>
    <row r="80" spans="1:66">
      <c r="A80" s="941">
        <f>'Input data'!A111</f>
        <v>2011</v>
      </c>
      <c r="B80" s="989">
        <f>'Input data'!B111</f>
        <v>51.771000000000001</v>
      </c>
      <c r="C80" s="989">
        <f>'Baseline data (from input)'!B67</f>
        <v>540.11328347347217</v>
      </c>
      <c r="D80" s="990">
        <f>'Baseline data (from input)'!T67</f>
        <v>0.71617961202756764</v>
      </c>
      <c r="E80" s="990">
        <f t="shared" si="44"/>
        <v>0.19892488097366726</v>
      </c>
      <c r="F80" s="990">
        <f t="shared" si="44"/>
        <v>0.26585903447659598</v>
      </c>
      <c r="G80" s="990">
        <f t="shared" si="44"/>
        <v>8.9228108703258049E-2</v>
      </c>
      <c r="H80" s="990">
        <f t="shared" si="44"/>
        <v>0</v>
      </c>
      <c r="I80" s="990">
        <f t="shared" si="44"/>
        <v>0</v>
      </c>
      <c r="J80" s="990">
        <f t="shared" si="44"/>
        <v>0</v>
      </c>
      <c r="K80" s="990">
        <f t="shared" si="44"/>
        <v>0.4459879758464787</v>
      </c>
      <c r="L80" s="997">
        <f t="shared" si="40"/>
        <v>1</v>
      </c>
      <c r="N80" s="1013">
        <f t="shared" si="1"/>
        <v>20025.960984172027</v>
      </c>
      <c r="O80" s="1007">
        <f>Parameters!R182</f>
        <v>0.73</v>
      </c>
      <c r="P80" s="1007">
        <f>E80*'MSW characteristics'!$B$28+'MSW characteristics'!$B$29*'4A SWD Case 2'!F80+'4A SWD Case 2'!G80*'MSW characteristics'!$B$30+'MSW characteristics'!$B$31*'4A SWD Case 2'!H80+'4A SWD Case 2'!I80*'MSW characteristics'!$B$32+'MSW characteristics'!$B$33*'4A SWD Case 2'!J80+'4A SWD Case 2'!K80*'MSW characteristics'!$B$35</f>
        <v>0.11870178252267252</v>
      </c>
      <c r="Q80" s="1006">
        <f t="shared" si="2"/>
        <v>867.64780192601017</v>
      </c>
      <c r="R80" s="1006">
        <f t="shared" si="3"/>
        <v>867.64780192601017</v>
      </c>
      <c r="S80" s="1008">
        <f t="shared" si="4"/>
        <v>0</v>
      </c>
      <c r="T80" s="1006">
        <f t="shared" si="5"/>
        <v>14287.676110238128</v>
      </c>
      <c r="U80" s="1006">
        <f t="shared" si="6"/>
        <v>688.05956476444135</v>
      </c>
      <c r="V80" s="1019">
        <f t="shared" si="7"/>
        <v>458.70637650962755</v>
      </c>
      <c r="X80" s="1013">
        <f>'Baseline data (from input)'!AS67*'4A SWD Case 2'!$D$12</f>
        <v>7297.4213901873172</v>
      </c>
      <c r="Y80" s="1007">
        <f>Parameters!S182</f>
        <v>0.71500000000000008</v>
      </c>
      <c r="Z80" s="1007">
        <f t="shared" si="8"/>
        <v>0.2</v>
      </c>
      <c r="AA80" s="1006">
        <f t="shared" si="9"/>
        <v>521.76562939839334</v>
      </c>
      <c r="AB80" s="1006">
        <f t="shared" si="10"/>
        <v>521.76562939839334</v>
      </c>
      <c r="AC80" s="1008">
        <f t="shared" si="11"/>
        <v>0</v>
      </c>
      <c r="AD80" s="1006">
        <f t="shared" si="12"/>
        <v>6817.3581116559699</v>
      </c>
      <c r="AE80" s="1006">
        <f t="shared" si="13"/>
        <v>322.78192890200057</v>
      </c>
      <c r="AF80" s="1019">
        <f t="shared" si="14"/>
        <v>215.18795260133371</v>
      </c>
      <c r="AH80" s="1013">
        <f>'Baseline data (from input)'!AS67*'4A SWD Case 2'!$D$12</f>
        <v>7297.4213901873172</v>
      </c>
      <c r="AI80" s="1007">
        <f>Parameters!S182</f>
        <v>0.71500000000000008</v>
      </c>
      <c r="AJ80" s="1007">
        <f t="shared" si="15"/>
        <v>0.2</v>
      </c>
      <c r="AK80" s="1006">
        <f t="shared" si="16"/>
        <v>521.76562939839334</v>
      </c>
      <c r="AL80" s="1006">
        <f t="shared" si="17"/>
        <v>521.76562939839334</v>
      </c>
      <c r="AM80" s="1008">
        <f t="shared" si="18"/>
        <v>0</v>
      </c>
      <c r="AN80" s="1006">
        <f t="shared" si="19"/>
        <v>6817.3581116559699</v>
      </c>
      <c r="AO80" s="1006">
        <f t="shared" si="20"/>
        <v>322.78192890200057</v>
      </c>
      <c r="AP80" s="1019">
        <f t="shared" si="21"/>
        <v>215.18795260133371</v>
      </c>
      <c r="AR80" s="1021">
        <v>501</v>
      </c>
      <c r="AS80" s="1007">
        <v>1</v>
      </c>
      <c r="AT80" s="1007">
        <f t="shared" si="22"/>
        <v>0.05</v>
      </c>
      <c r="AU80" s="1006">
        <f t="shared" si="23"/>
        <v>12.525</v>
      </c>
      <c r="AV80" s="1006">
        <f t="shared" si="24"/>
        <v>12.525</v>
      </c>
      <c r="AW80" s="1008">
        <f t="shared" si="25"/>
        <v>0</v>
      </c>
      <c r="AX80" s="1006">
        <f t="shared" si="42"/>
        <v>110.38682077701402</v>
      </c>
      <c r="AY80" s="1006">
        <f t="shared" si="47"/>
        <v>6.0514370354914675</v>
      </c>
      <c r="AZ80" s="1022">
        <f t="shared" si="45"/>
        <v>4.034291356994312</v>
      </c>
      <c r="BB80" s="317">
        <f t="shared" si="29"/>
        <v>458.70637650962755</v>
      </c>
      <c r="BC80" s="318">
        <f t="shared" si="30"/>
        <v>215.18795260133371</v>
      </c>
      <c r="BD80" s="1214">
        <f t="shared" si="46"/>
        <v>4.034291356994312</v>
      </c>
      <c r="BE80" s="318">
        <f t="shared" si="32"/>
        <v>677.92862046795562</v>
      </c>
      <c r="BF80" s="104">
        <v>0</v>
      </c>
      <c r="BG80" s="1205">
        <f t="shared" si="33"/>
        <v>677.92862046795562</v>
      </c>
      <c r="BI80" s="317">
        <f t="shared" si="34"/>
        <v>458.70637650962755</v>
      </c>
      <c r="BJ80" s="318">
        <f t="shared" si="35"/>
        <v>215.18795260133371</v>
      </c>
      <c r="BK80" s="1214">
        <f t="shared" si="36"/>
        <v>4.034291356994312</v>
      </c>
      <c r="BL80" s="318">
        <f t="shared" si="37"/>
        <v>677.92862046795562</v>
      </c>
      <c r="BM80" s="104">
        <v>0</v>
      </c>
      <c r="BN80" s="1205">
        <f t="shared" si="38"/>
        <v>677.92862046795562</v>
      </c>
    </row>
    <row r="81" spans="1:66">
      <c r="A81" s="941">
        <f>'Input data'!A112</f>
        <v>2012</v>
      </c>
      <c r="B81" s="989">
        <f>'Input data'!B112</f>
        <v>52.325000000000003</v>
      </c>
      <c r="C81" s="989">
        <f>'Baseline data (from input)'!B68</f>
        <v>520.80492521020824</v>
      </c>
      <c r="D81" s="990">
        <f>'Baseline data (from input)'!T68</f>
        <v>0.67426941804135143</v>
      </c>
      <c r="E81" s="990">
        <f t="shared" si="44"/>
        <v>0.19892488097366726</v>
      </c>
      <c r="F81" s="990">
        <f t="shared" si="44"/>
        <v>0.26585903447659598</v>
      </c>
      <c r="G81" s="990">
        <f t="shared" si="44"/>
        <v>8.9228108703258049E-2</v>
      </c>
      <c r="H81" s="990">
        <f t="shared" si="44"/>
        <v>0</v>
      </c>
      <c r="I81" s="990">
        <f t="shared" si="44"/>
        <v>0</v>
      </c>
      <c r="J81" s="990">
        <f t="shared" si="44"/>
        <v>0</v>
      </c>
      <c r="K81" s="990">
        <f t="shared" si="44"/>
        <v>0.4459879758464787</v>
      </c>
      <c r="L81" s="997">
        <f t="shared" si="40"/>
        <v>1</v>
      </c>
      <c r="N81" s="1013">
        <f t="shared" si="1"/>
        <v>18374.59528039318</v>
      </c>
      <c r="O81" s="1007">
        <f>Parameters!R183</f>
        <v>0.73</v>
      </c>
      <c r="P81" s="1007">
        <f>E81*'MSW characteristics'!$B$28+'MSW characteristics'!$B$29*'4A SWD Case 2'!F81+'4A SWD Case 2'!G81*'MSW characteristics'!$B$30+'MSW characteristics'!$B$31*'4A SWD Case 2'!H81+'4A SWD Case 2'!I81*'MSW characteristics'!$B$32+'MSW characteristics'!$B$33*'4A SWD Case 2'!J81+'4A SWD Case 2'!K81*'MSW characteristics'!$B$35</f>
        <v>0.11870178252267252</v>
      </c>
      <c r="Q81" s="1006">
        <f t="shared" si="2"/>
        <v>796.10048271410494</v>
      </c>
      <c r="R81" s="1006">
        <f t="shared" si="3"/>
        <v>796.10048271410494</v>
      </c>
      <c r="S81" s="1008">
        <f t="shared" si="4"/>
        <v>0</v>
      </c>
      <c r="T81" s="1006">
        <f t="shared" si="5"/>
        <v>14386.958406508518</v>
      </c>
      <c r="U81" s="1006">
        <f t="shared" si="6"/>
        <v>696.81818644371333</v>
      </c>
      <c r="V81" s="1019">
        <f t="shared" si="7"/>
        <v>464.54545762914222</v>
      </c>
      <c r="X81" s="1013">
        <f>'Baseline data (from input)'!AS68*'4A SWD Case 2'!$D$12</f>
        <v>7458.9778839068131</v>
      </c>
      <c r="Y81" s="1007">
        <f>Parameters!S183</f>
        <v>0.71500000000000008</v>
      </c>
      <c r="Z81" s="1007">
        <f t="shared" si="8"/>
        <v>0.2</v>
      </c>
      <c r="AA81" s="1006">
        <f t="shared" si="9"/>
        <v>533.31691869933729</v>
      </c>
      <c r="AB81" s="1006">
        <f t="shared" si="10"/>
        <v>533.31691869933729</v>
      </c>
      <c r="AC81" s="1008">
        <f t="shared" si="11"/>
        <v>0</v>
      </c>
      <c r="AD81" s="1006">
        <f t="shared" si="12"/>
        <v>7018.1885518651197</v>
      </c>
      <c r="AE81" s="1006">
        <f t="shared" si="13"/>
        <v>332.48647849018721</v>
      </c>
      <c r="AF81" s="1019">
        <f t="shared" si="14"/>
        <v>221.65765232679146</v>
      </c>
      <c r="AH81" s="1013">
        <f>'Baseline data (from input)'!AS68*'4A SWD Case 2'!$D$12</f>
        <v>7458.9778839068131</v>
      </c>
      <c r="AI81" s="1007">
        <f>Parameters!S183</f>
        <v>0.71500000000000008</v>
      </c>
      <c r="AJ81" s="1007">
        <f t="shared" si="15"/>
        <v>0.2</v>
      </c>
      <c r="AK81" s="1006">
        <f t="shared" si="16"/>
        <v>533.31691869933729</v>
      </c>
      <c r="AL81" s="1006">
        <f t="shared" si="17"/>
        <v>533.31691869933729</v>
      </c>
      <c r="AM81" s="1008">
        <f t="shared" si="18"/>
        <v>0</v>
      </c>
      <c r="AN81" s="1006">
        <f t="shared" si="19"/>
        <v>7018.1885518651197</v>
      </c>
      <c r="AO81" s="1006">
        <f t="shared" si="20"/>
        <v>332.48647849018721</v>
      </c>
      <c r="AP81" s="1019">
        <f t="shared" si="21"/>
        <v>221.65765232679146</v>
      </c>
      <c r="AR81" s="1021">
        <v>501</v>
      </c>
      <c r="AS81" s="1007">
        <v>1</v>
      </c>
      <c r="AT81" s="1007">
        <f t="shared" si="22"/>
        <v>0.05</v>
      </c>
      <c r="AU81" s="1006">
        <f t="shared" si="23"/>
        <v>12.525</v>
      </c>
      <c r="AV81" s="1006">
        <f t="shared" si="24"/>
        <v>12.525</v>
      </c>
      <c r="AW81" s="1008">
        <f t="shared" si="25"/>
        <v>0</v>
      </c>
      <c r="AX81" s="1006">
        <f t="shared" si="42"/>
        <v>116.48339278291267</v>
      </c>
      <c r="AY81" s="1006">
        <f t="shared" si="47"/>
        <v>6.428427994101356</v>
      </c>
      <c r="AZ81" s="1022">
        <f t="shared" si="45"/>
        <v>4.2856186627342376</v>
      </c>
      <c r="BB81" s="317">
        <f t="shared" si="29"/>
        <v>464.54545762914222</v>
      </c>
      <c r="BC81" s="318">
        <f t="shared" si="30"/>
        <v>221.65765232679146</v>
      </c>
      <c r="BD81" s="1214">
        <f t="shared" si="46"/>
        <v>4.2856186627342376</v>
      </c>
      <c r="BE81" s="318">
        <f t="shared" si="32"/>
        <v>690.48872861866789</v>
      </c>
      <c r="BF81" s="104">
        <v>0</v>
      </c>
      <c r="BG81" s="1205">
        <f t="shared" si="33"/>
        <v>690.48872861866789</v>
      </c>
      <c r="BI81" s="317">
        <f t="shared" si="34"/>
        <v>464.54545762914222</v>
      </c>
      <c r="BJ81" s="318">
        <f t="shared" si="35"/>
        <v>221.65765232679146</v>
      </c>
      <c r="BK81" s="1214">
        <f t="shared" si="36"/>
        <v>4.2856186627342376</v>
      </c>
      <c r="BL81" s="318">
        <f t="shared" si="37"/>
        <v>690.48872861866789</v>
      </c>
      <c r="BM81" s="104">
        <v>0</v>
      </c>
      <c r="BN81" s="1205">
        <f t="shared" si="38"/>
        <v>690.48872861866789</v>
      </c>
    </row>
    <row r="82" spans="1:66">
      <c r="A82" s="941">
        <f>'Input data'!A113</f>
        <v>2013</v>
      </c>
      <c r="B82" s="989">
        <f>'Input data'!B113</f>
        <v>53.103999999999999</v>
      </c>
      <c r="C82" s="989">
        <f>'Baseline data (from input)'!B69</f>
        <v>501.49656694694431</v>
      </c>
      <c r="D82" s="990">
        <f>'Baseline data (from input)'!T69</f>
        <v>0.63235922405513523</v>
      </c>
      <c r="E82" s="990">
        <f t="shared" si="44"/>
        <v>0.19892488097366726</v>
      </c>
      <c r="F82" s="990">
        <f t="shared" si="44"/>
        <v>0.26585903447659598</v>
      </c>
      <c r="G82" s="990">
        <f t="shared" si="44"/>
        <v>8.9228108703258049E-2</v>
      </c>
      <c r="H82" s="990">
        <f t="shared" si="44"/>
        <v>0</v>
      </c>
      <c r="I82" s="990">
        <f t="shared" si="44"/>
        <v>0</v>
      </c>
      <c r="J82" s="990">
        <f t="shared" si="44"/>
        <v>0</v>
      </c>
      <c r="K82" s="990">
        <f t="shared" si="44"/>
        <v>0.4459879758464787</v>
      </c>
      <c r="L82" s="997">
        <f t="shared" si="40"/>
        <v>1</v>
      </c>
      <c r="N82" s="1013">
        <f t="shared" si="1"/>
        <v>16840.658038780697</v>
      </c>
      <c r="O82" s="1007">
        <f>Parameters!R184</f>
        <v>0.73</v>
      </c>
      <c r="P82" s="1007">
        <f>E82*'MSW characteristics'!$B$28+'MSW characteristics'!$B$29*'4A SWD Case 2'!F82+'4A SWD Case 2'!G82*'MSW characteristics'!$B$30+'MSW characteristics'!$B$31*'4A SWD Case 2'!H82+'4A SWD Case 2'!I82*'MSW characteristics'!$B$32+'MSW characteristics'!$B$33*'4A SWD Case 2'!J82+'4A SWD Case 2'!K82*'MSW characteristics'!$B$35</f>
        <v>0.11870178252267252</v>
      </c>
      <c r="Q82" s="1006">
        <f t="shared" si="2"/>
        <v>729.64088674118568</v>
      </c>
      <c r="R82" s="1006">
        <f t="shared" si="3"/>
        <v>729.64088674118568</v>
      </c>
      <c r="S82" s="1008">
        <f t="shared" si="4"/>
        <v>0</v>
      </c>
      <c r="T82" s="1006">
        <f t="shared" si="5"/>
        <v>14414.939052079993</v>
      </c>
      <c r="U82" s="1006">
        <f t="shared" si="6"/>
        <v>701.66024116971084</v>
      </c>
      <c r="V82" s="1019">
        <f t="shared" si="7"/>
        <v>467.77349411314054</v>
      </c>
      <c r="X82" s="1013">
        <f>'Baseline data (from input)'!AS69*'4A SWD Case 2'!$D$12</f>
        <v>7643.7780706987032</v>
      </c>
      <c r="Y82" s="1007">
        <f>Parameters!S184</f>
        <v>0.71500000000000008</v>
      </c>
      <c r="Z82" s="1007">
        <f t="shared" si="8"/>
        <v>0.2</v>
      </c>
      <c r="AA82" s="1006">
        <f t="shared" si="9"/>
        <v>546.53013205495745</v>
      </c>
      <c r="AB82" s="1006">
        <f t="shared" si="10"/>
        <v>546.53013205495745</v>
      </c>
      <c r="AC82" s="1008">
        <f t="shared" si="11"/>
        <v>0</v>
      </c>
      <c r="AD82" s="1006">
        <f t="shared" si="12"/>
        <v>7222.437589283114</v>
      </c>
      <c r="AE82" s="1006">
        <f t="shared" si="13"/>
        <v>342.28109463696239</v>
      </c>
      <c r="AF82" s="1019">
        <f t="shared" si="14"/>
        <v>228.18739642464161</v>
      </c>
      <c r="AH82" s="1013">
        <f>'Baseline data (from input)'!AS69*'4A SWD Case 2'!$D$12</f>
        <v>7643.7780706987032</v>
      </c>
      <c r="AI82" s="1007">
        <f>Parameters!S184</f>
        <v>0.71500000000000008</v>
      </c>
      <c r="AJ82" s="1007">
        <f t="shared" si="15"/>
        <v>0.2</v>
      </c>
      <c r="AK82" s="1006">
        <f t="shared" si="16"/>
        <v>546.53013205495745</v>
      </c>
      <c r="AL82" s="1006">
        <f t="shared" si="17"/>
        <v>546.53013205495745</v>
      </c>
      <c r="AM82" s="1008">
        <f t="shared" si="18"/>
        <v>0</v>
      </c>
      <c r="AN82" s="1006">
        <f t="shared" si="19"/>
        <v>7222.437589283114</v>
      </c>
      <c r="AO82" s="1006">
        <f t="shared" si="20"/>
        <v>342.28109463696239</v>
      </c>
      <c r="AP82" s="1019">
        <f t="shared" si="21"/>
        <v>228.18739642464161</v>
      </c>
      <c r="AR82" s="1021">
        <v>501</v>
      </c>
      <c r="AS82" s="1007">
        <v>1</v>
      </c>
      <c r="AT82" s="1007">
        <f t="shared" si="22"/>
        <v>0.05</v>
      </c>
      <c r="AU82" s="1006">
        <f t="shared" si="23"/>
        <v>12.525</v>
      </c>
      <c r="AV82" s="1006">
        <f t="shared" si="24"/>
        <v>12.525</v>
      </c>
      <c r="AW82" s="1008">
        <f t="shared" si="25"/>
        <v>0</v>
      </c>
      <c r="AX82" s="1006">
        <f t="shared" si="42"/>
        <v>122.2249280745106</v>
      </c>
      <c r="AY82" s="1006">
        <f t="shared" si="47"/>
        <v>6.783464708402076</v>
      </c>
      <c r="AZ82" s="1022">
        <f t="shared" si="45"/>
        <v>4.5223098056013837</v>
      </c>
      <c r="BB82" s="317">
        <f t="shared" si="29"/>
        <v>467.77349411314054</v>
      </c>
      <c r="BC82" s="318">
        <f t="shared" si="30"/>
        <v>228.18739642464161</v>
      </c>
      <c r="BD82" s="1214">
        <f t="shared" si="46"/>
        <v>4.5223098056013837</v>
      </c>
      <c r="BE82" s="318">
        <f t="shared" si="32"/>
        <v>700.48320034338349</v>
      </c>
      <c r="BF82" s="104">
        <v>0</v>
      </c>
      <c r="BG82" s="1205">
        <f t="shared" si="33"/>
        <v>700.48320034338349</v>
      </c>
      <c r="BI82" s="317">
        <f t="shared" si="34"/>
        <v>467.77349411314054</v>
      </c>
      <c r="BJ82" s="318">
        <f t="shared" si="35"/>
        <v>228.18739642464161</v>
      </c>
      <c r="BK82" s="1214">
        <f t="shared" si="36"/>
        <v>4.5223098056013837</v>
      </c>
      <c r="BL82" s="318">
        <f t="shared" si="37"/>
        <v>700.48320034338349</v>
      </c>
      <c r="BM82" s="104">
        <v>0</v>
      </c>
      <c r="BN82" s="1205">
        <f t="shared" si="38"/>
        <v>700.48320034338349</v>
      </c>
    </row>
    <row r="83" spans="1:66">
      <c r="A83" s="941">
        <f>'Input data'!A114</f>
        <v>2014</v>
      </c>
      <c r="B83" s="989">
        <f>'Input data'!B114</f>
        <v>53.911999999999999</v>
      </c>
      <c r="C83" s="989">
        <f>'Baseline data (from input)'!B70</f>
        <v>482.18820868368039</v>
      </c>
      <c r="D83" s="990">
        <f>'Baseline data (from input)'!T70</f>
        <v>0.59044903006891902</v>
      </c>
      <c r="E83" s="990">
        <f t="shared" si="44"/>
        <v>0.19892488097366726</v>
      </c>
      <c r="F83" s="990">
        <f t="shared" si="44"/>
        <v>0.26585903447659598</v>
      </c>
      <c r="G83" s="990">
        <f t="shared" si="44"/>
        <v>8.9228108703258049E-2</v>
      </c>
      <c r="H83" s="990">
        <f t="shared" si="44"/>
        <v>0</v>
      </c>
      <c r="I83" s="990">
        <f t="shared" si="44"/>
        <v>0</v>
      </c>
      <c r="J83" s="990">
        <f t="shared" si="44"/>
        <v>0</v>
      </c>
      <c r="K83" s="990">
        <f t="shared" si="44"/>
        <v>0.4459879758464787</v>
      </c>
      <c r="L83" s="997">
        <f t="shared" si="40"/>
        <v>1</v>
      </c>
      <c r="N83" s="1013">
        <f t="shared" si="1"/>
        <v>15349.153981617965</v>
      </c>
      <c r="O83" s="1007">
        <f>Parameters!R185</f>
        <v>0.73</v>
      </c>
      <c r="P83" s="1007">
        <f>E83*'MSW characteristics'!$B$28+'MSW characteristics'!$B$29*'4A SWD Case 2'!F83+'4A SWD Case 2'!G83*'MSW characteristics'!$B$30+'MSW characteristics'!$B$31*'4A SWD Case 2'!H83+'4A SWD Case 2'!I83*'MSW characteristics'!$B$32+'MSW characteristics'!$B$33*'4A SWD Case 2'!J83+'4A SWD Case 2'!K83*'MSW characteristics'!$B$35</f>
        <v>0.11870178252267252</v>
      </c>
      <c r="Q83" s="1006">
        <f t="shared" si="2"/>
        <v>665.01975730905542</v>
      </c>
      <c r="R83" s="1006">
        <f t="shared" si="3"/>
        <v>665.01975730905542</v>
      </c>
      <c r="S83" s="1008">
        <f t="shared" si="4"/>
        <v>0</v>
      </c>
      <c r="T83" s="1006">
        <f t="shared" si="5"/>
        <v>14376.933936031975</v>
      </c>
      <c r="U83" s="1006">
        <f t="shared" si="6"/>
        <v>703.02487335707326</v>
      </c>
      <c r="V83" s="1019">
        <f t="shared" si="7"/>
        <v>468.68324890471553</v>
      </c>
      <c r="X83" s="1013">
        <f>'Baseline data (from input)'!AS70*'4A SWD Case 2'!$D$12</f>
        <v>7787.333969742368</v>
      </c>
      <c r="Y83" s="1007">
        <f>Parameters!S185</f>
        <v>0.71500000000000008</v>
      </c>
      <c r="Z83" s="1007">
        <f t="shared" si="8"/>
        <v>0.2</v>
      </c>
      <c r="AA83" s="1006">
        <f t="shared" si="9"/>
        <v>556.79437883657943</v>
      </c>
      <c r="AB83" s="1006">
        <f t="shared" si="10"/>
        <v>556.79437883657943</v>
      </c>
      <c r="AC83" s="1008">
        <f t="shared" si="11"/>
        <v>0</v>
      </c>
      <c r="AD83" s="1006">
        <f t="shared" si="12"/>
        <v>7426.9895303826797</v>
      </c>
      <c r="AE83" s="1006">
        <f t="shared" si="13"/>
        <v>352.24243773701318</v>
      </c>
      <c r="AF83" s="1019">
        <f t="shared" si="14"/>
        <v>234.82829182467546</v>
      </c>
      <c r="AH83" s="1013">
        <f>'Baseline data (from input)'!AS70*'4A SWD Case 2'!$D$12</f>
        <v>7787.333969742368</v>
      </c>
      <c r="AI83" s="1007">
        <f>Parameters!S185</f>
        <v>0.71500000000000008</v>
      </c>
      <c r="AJ83" s="1007">
        <f t="shared" si="15"/>
        <v>0.2</v>
      </c>
      <c r="AK83" s="1006">
        <f t="shared" si="16"/>
        <v>556.79437883657943</v>
      </c>
      <c r="AL83" s="1006">
        <f t="shared" si="17"/>
        <v>556.79437883657943</v>
      </c>
      <c r="AM83" s="1008">
        <f t="shared" si="18"/>
        <v>0</v>
      </c>
      <c r="AN83" s="1006">
        <f t="shared" si="19"/>
        <v>7426.9895303826797</v>
      </c>
      <c r="AO83" s="1006">
        <f t="shared" si="20"/>
        <v>352.24243773701318</v>
      </c>
      <c r="AP83" s="1019">
        <f t="shared" si="21"/>
        <v>234.82829182467546</v>
      </c>
      <c r="AR83" s="1021">
        <v>501</v>
      </c>
      <c r="AS83" s="1007">
        <v>1</v>
      </c>
      <c r="AT83" s="1007">
        <f t="shared" si="22"/>
        <v>0.05</v>
      </c>
      <c r="AU83" s="1006">
        <f t="shared" si="23"/>
        <v>12.525</v>
      </c>
      <c r="AV83" s="1006">
        <f t="shared" si="24"/>
        <v>12.525</v>
      </c>
      <c r="AW83" s="1008">
        <f t="shared" si="25"/>
        <v>0</v>
      </c>
      <c r="AX83" s="1006">
        <f t="shared" si="42"/>
        <v>127.63210238045983</v>
      </c>
      <c r="AY83" s="1006">
        <f t="shared" si="47"/>
        <v>7.1178256940507776</v>
      </c>
      <c r="AZ83" s="1022">
        <f t="shared" si="45"/>
        <v>4.7452171293671848</v>
      </c>
      <c r="BB83" s="317">
        <f t="shared" si="29"/>
        <v>468.68324890471553</v>
      </c>
      <c r="BC83" s="318">
        <f t="shared" si="30"/>
        <v>234.82829182467546</v>
      </c>
      <c r="BD83" s="1214">
        <f t="shared" si="46"/>
        <v>4.7452171293671848</v>
      </c>
      <c r="BE83" s="318">
        <f t="shared" ref="BE83:BE119" si="48">SUM(BB83:BD83)</f>
        <v>708.25675785875819</v>
      </c>
      <c r="BF83" s="104">
        <v>0</v>
      </c>
      <c r="BG83" s="1205">
        <f t="shared" si="33"/>
        <v>708.25675785875819</v>
      </c>
      <c r="BI83" s="317">
        <f t="shared" si="34"/>
        <v>468.68324890471553</v>
      </c>
      <c r="BJ83" s="318">
        <f t="shared" si="35"/>
        <v>234.82829182467546</v>
      </c>
      <c r="BK83" s="1214">
        <f t="shared" si="36"/>
        <v>4.7452171293671848</v>
      </c>
      <c r="BL83" s="318">
        <f t="shared" ref="BL83:BL119" si="49">SUM(BI83:BK83)</f>
        <v>708.25675785875819</v>
      </c>
      <c r="BM83" s="104">
        <v>0</v>
      </c>
      <c r="BN83" s="1205">
        <f t="shared" si="38"/>
        <v>708.25675785875819</v>
      </c>
    </row>
    <row r="84" spans="1:66">
      <c r="A84" s="941">
        <f>'Input data'!A115</f>
        <v>2015</v>
      </c>
      <c r="B84" s="989">
        <f>'Input data'!B115</f>
        <v>54.75</v>
      </c>
      <c r="C84" s="989">
        <f>'Baseline data (from input)'!B71</f>
        <v>462.87985042041646</v>
      </c>
      <c r="D84" s="990">
        <f>'Baseline data (from input)'!T71</f>
        <v>0.54853883608270282</v>
      </c>
      <c r="E84" s="990">
        <f t="shared" si="44"/>
        <v>0.19892488097366726</v>
      </c>
      <c r="F84" s="990">
        <f t="shared" si="44"/>
        <v>0.26585903447659598</v>
      </c>
      <c r="G84" s="990">
        <f t="shared" si="44"/>
        <v>8.9228108703258049E-2</v>
      </c>
      <c r="H84" s="990">
        <f t="shared" si="44"/>
        <v>0</v>
      </c>
      <c r="I84" s="990">
        <f t="shared" si="44"/>
        <v>0</v>
      </c>
      <c r="J84" s="990">
        <f t="shared" si="44"/>
        <v>0</v>
      </c>
      <c r="K84" s="990">
        <f t="shared" si="44"/>
        <v>0.4459879758464787</v>
      </c>
      <c r="L84" s="997">
        <f t="shared" si="40"/>
        <v>1</v>
      </c>
      <c r="N84" s="1013">
        <f t="shared" ref="N84:N119" si="50">B84*C84*D84</f>
        <v>13901.439698167358</v>
      </c>
      <c r="O84" s="1007">
        <f>Parameters!R186</f>
        <v>0.73</v>
      </c>
      <c r="P84" s="1007">
        <f>E84*'MSW characteristics'!$B$28+'MSW characteristics'!$B$29*'4A SWD Case 2'!F84+'4A SWD Case 2'!G84*'MSW characteristics'!$B$30+'MSW characteristics'!$B$31*'4A SWD Case 2'!H84+'4A SWD Case 2'!I84*'MSW characteristics'!$B$32+'MSW characteristics'!$B$33*'4A SWD Case 2'!J84+'4A SWD Case 2'!K84*'MSW characteristics'!$B$35</f>
        <v>0.11870178252267252</v>
      </c>
      <c r="Q84" s="1006">
        <f t="shared" ref="Q84:Q119" si="51">N84*P84*O84*$C$4</f>
        <v>602.29587020842644</v>
      </c>
      <c r="R84" s="1006">
        <f t="shared" ref="R84:R119" si="52">Q84*$C$10</f>
        <v>602.29587020842644</v>
      </c>
      <c r="S84" s="1008">
        <f t="shared" ref="S84:S119" si="53">Q84*(1-$C$10)</f>
        <v>0</v>
      </c>
      <c r="T84" s="1006">
        <f t="shared" ref="T84:T114" si="54">R84+(T83*$C$8)</f>
        <v>14278.058464264908</v>
      </c>
      <c r="U84" s="1006">
        <f t="shared" ref="U84:U119" si="55">S84+T83*(1-$C$8)</f>
        <v>701.17134197549422</v>
      </c>
      <c r="V84" s="1019">
        <f t="shared" ref="V84:V119" si="56">U84*16/12*$C$11</f>
        <v>467.44756131699614</v>
      </c>
      <c r="X84" s="1013">
        <f>'Baseline data (from input)'!AS71*'4A SWD Case 2'!$D$12</f>
        <v>7886.5522594566928</v>
      </c>
      <c r="Y84" s="1007">
        <f>Parameters!S186</f>
        <v>0.71500000000000008</v>
      </c>
      <c r="Z84" s="1007">
        <f t="shared" ref="Z84:Z119" si="57">$D$3</f>
        <v>0.2</v>
      </c>
      <c r="AA84" s="1006">
        <f t="shared" ref="AA84:AA119" si="58">X84*Z84*Y84*$D$4</f>
        <v>563.88848655115362</v>
      </c>
      <c r="AB84" s="1006">
        <f t="shared" ref="AB84:AB119" si="59">AA84*$D$10</f>
        <v>563.88848655115362</v>
      </c>
      <c r="AC84" s="1008">
        <f t="shared" ref="AC84:AC119" si="60">AA84*(1-$D$10)</f>
        <v>0</v>
      </c>
      <c r="AD84" s="1006">
        <f t="shared" ref="AD84:AD119" si="61">AB84+(AD83*$D$8)</f>
        <v>7628.6594633098985</v>
      </c>
      <c r="AE84" s="1006">
        <f t="shared" ref="AE84:AE119" si="62">AC84+AD83*(1-$D$8)</f>
        <v>362.21855362393507</v>
      </c>
      <c r="AF84" s="1019">
        <f t="shared" ref="AF84:AF119" si="63">AE84*16/12*$D$11</f>
        <v>241.47903574929003</v>
      </c>
      <c r="AH84" s="1013">
        <f>'Baseline data (from input)'!AS71*'4A SWD Case 2'!$D$12</f>
        <v>7886.5522594566928</v>
      </c>
      <c r="AI84" s="1007">
        <f>Parameters!S186</f>
        <v>0.71500000000000008</v>
      </c>
      <c r="AJ84" s="1007">
        <f t="shared" ref="AJ84:AJ119" si="64">$D$3</f>
        <v>0.2</v>
      </c>
      <c r="AK84" s="1006">
        <f t="shared" ref="AK84:AK119" si="65">AH84*AJ84*AI84*$D$4</f>
        <v>563.88848655115362</v>
      </c>
      <c r="AL84" s="1006">
        <f t="shared" ref="AL84:AL119" si="66">AK84*$D$10</f>
        <v>563.88848655115362</v>
      </c>
      <c r="AM84" s="1008">
        <f t="shared" ref="AM84:AM119" si="67">AK84*(1-$D$10)</f>
        <v>0</v>
      </c>
      <c r="AN84" s="1006">
        <f t="shared" ref="AN84:AN119" si="68">AL84+(AN83*$D$8)</f>
        <v>7628.6594633098985</v>
      </c>
      <c r="AO84" s="1006">
        <f t="shared" ref="AO84:AO119" si="69">AM84+AN83*(1-$D$8)</f>
        <v>362.21855362393507</v>
      </c>
      <c r="AP84" s="1019">
        <f t="shared" ref="AP84:AP119" si="70">AO84*16/12*$D$11</f>
        <v>241.47903574929003</v>
      </c>
      <c r="AR84" s="1021">
        <v>501</v>
      </c>
      <c r="AS84" s="1007">
        <v>1</v>
      </c>
      <c r="AT84" s="1007">
        <f t="shared" ref="AT84:AT119" si="71">$E$3</f>
        <v>0.05</v>
      </c>
      <c r="AU84" s="1006">
        <f t="shared" ref="AU84:AU119" si="72">AR84*AT84*AS84*$E$4</f>
        <v>12.525</v>
      </c>
      <c r="AV84" s="1006">
        <f t="shared" ref="AV84:AV119" si="73">AU84*$E$10</f>
        <v>12.525</v>
      </c>
      <c r="AW84" s="1008">
        <f t="shared" ref="AW84:AW119" si="74">AU84*(1-$C$10)</f>
        <v>0</v>
      </c>
      <c r="AX84" s="1006">
        <f t="shared" si="42"/>
        <v>132.72438736871084</v>
      </c>
      <c r="AY84" s="1006">
        <f t="shared" si="47"/>
        <v>7.4327150117489973</v>
      </c>
      <c r="AZ84" s="1022">
        <f t="shared" si="45"/>
        <v>4.9551433411659982</v>
      </c>
      <c r="BB84" s="317">
        <f t="shared" ref="BB84:BB119" si="75">V84</f>
        <v>467.44756131699614</v>
      </c>
      <c r="BC84" s="318">
        <f t="shared" ref="BC84:BC119" si="76">AF84</f>
        <v>241.47903574929003</v>
      </c>
      <c r="BD84" s="1214">
        <f t="shared" si="46"/>
        <v>4.9551433411659982</v>
      </c>
      <c r="BE84" s="318">
        <f t="shared" si="48"/>
        <v>713.88174040745218</v>
      </c>
      <c r="BF84" s="104">
        <v>0</v>
      </c>
      <c r="BG84" s="1205">
        <f t="shared" ref="BG84:BG119" si="77">BE84-BF84</f>
        <v>713.88174040745218</v>
      </c>
      <c r="BI84" s="317">
        <f t="shared" ref="BI84:BI119" si="78">V84</f>
        <v>467.44756131699614</v>
      </c>
      <c r="BJ84" s="318">
        <f t="shared" ref="BJ84:BJ119" si="79">AP84</f>
        <v>241.47903574929003</v>
      </c>
      <c r="BK84" s="1214">
        <f t="shared" ref="BK84:BK119" si="80">AZ84</f>
        <v>4.9551433411659982</v>
      </c>
      <c r="BL84" s="318">
        <f t="shared" si="49"/>
        <v>713.88174040745218</v>
      </c>
      <c r="BM84" s="104">
        <v>0</v>
      </c>
      <c r="BN84" s="1205">
        <f t="shared" ref="BN84:BN119" si="81">BL84-BM84</f>
        <v>713.88174040745218</v>
      </c>
    </row>
    <row r="85" spans="1:66">
      <c r="A85" s="941">
        <f>'Input data'!A116</f>
        <v>2016</v>
      </c>
      <c r="B85" s="989">
        <f>'Input data'!B116</f>
        <v>55.62</v>
      </c>
      <c r="C85" s="989">
        <f>'Baseline data (from input)'!B72</f>
        <v>443.57149215715253</v>
      </c>
      <c r="D85" s="990">
        <f>'Baseline data (from input)'!T72</f>
        <v>0.50662864209648661</v>
      </c>
      <c r="E85" s="990">
        <f t="shared" ref="E85:K86" si="82">E84</f>
        <v>0.19892488097366726</v>
      </c>
      <c r="F85" s="990">
        <f t="shared" si="82"/>
        <v>0.26585903447659598</v>
      </c>
      <c r="G85" s="990">
        <f t="shared" si="82"/>
        <v>8.9228108703258049E-2</v>
      </c>
      <c r="H85" s="990">
        <f t="shared" si="82"/>
        <v>0</v>
      </c>
      <c r="I85" s="990">
        <f t="shared" si="82"/>
        <v>0</v>
      </c>
      <c r="J85" s="990">
        <f t="shared" si="82"/>
        <v>0</v>
      </c>
      <c r="K85" s="990">
        <f t="shared" si="82"/>
        <v>0.4459879758464787</v>
      </c>
      <c r="L85" s="997">
        <f t="shared" ref="L85:L119" si="83">SUM(E85:K85)</f>
        <v>1</v>
      </c>
      <c r="N85" s="1013">
        <f t="shared" si="50"/>
        <v>12499.261385037438</v>
      </c>
      <c r="O85" s="1007">
        <f>Parameters!R187</f>
        <v>0.73</v>
      </c>
      <c r="P85" s="1007">
        <f>E85*'MSW characteristics'!$B$28+'MSW characteristics'!$B$29*'4A SWD Case 2'!F85+'4A SWD Case 2'!G85*'MSW characteristics'!$B$30+'MSW characteristics'!$B$31*'4A SWD Case 2'!H85+'4A SWD Case 2'!I85*'MSW characteristics'!$B$32+'MSW characteristics'!$B$33*'4A SWD Case 2'!J85+'4A SWD Case 2'!K85*'MSW characteristics'!$B$35</f>
        <v>0.11870178252267252</v>
      </c>
      <c r="Q85" s="1006">
        <f t="shared" si="51"/>
        <v>541.54488141657464</v>
      </c>
      <c r="R85" s="1006">
        <f t="shared" si="52"/>
        <v>541.54488141657464</v>
      </c>
      <c r="S85" s="1008">
        <f t="shared" si="53"/>
        <v>0</v>
      </c>
      <c r="T85" s="1006">
        <f t="shared" si="54"/>
        <v>14123.254217366832</v>
      </c>
      <c r="U85" s="1006">
        <f t="shared" si="55"/>
        <v>696.34912831465101</v>
      </c>
      <c r="V85" s="1019">
        <f t="shared" si="56"/>
        <v>464.23275220976734</v>
      </c>
      <c r="X85" s="1013">
        <f>'Baseline data (from input)'!AS72*'4A SWD Case 2'!$D$12</f>
        <v>7949.6302420316342</v>
      </c>
      <c r="Y85" s="1007">
        <f>Parameters!S187</f>
        <v>0.71500000000000008</v>
      </c>
      <c r="Z85" s="1007">
        <f t="shared" si="57"/>
        <v>0.2</v>
      </c>
      <c r="AA85" s="1006">
        <f t="shared" si="58"/>
        <v>568.39856230526198</v>
      </c>
      <c r="AB85" s="1006">
        <f t="shared" si="59"/>
        <v>568.39856230526198</v>
      </c>
      <c r="AC85" s="1008">
        <f t="shared" si="60"/>
        <v>0</v>
      </c>
      <c r="AD85" s="1006">
        <f t="shared" si="61"/>
        <v>7825.0039133014625</v>
      </c>
      <c r="AE85" s="1006">
        <f t="shared" si="62"/>
        <v>372.05411231369789</v>
      </c>
      <c r="AF85" s="1019">
        <f t="shared" si="63"/>
        <v>248.03607487579859</v>
      </c>
      <c r="AH85" s="1013">
        <f>'Baseline data (from input)'!AS72*'4A SWD Case 2'!$D$12</f>
        <v>7949.6302420316342</v>
      </c>
      <c r="AI85" s="1007">
        <f>Parameters!S187</f>
        <v>0.71500000000000008</v>
      </c>
      <c r="AJ85" s="1007">
        <f t="shared" si="64"/>
        <v>0.2</v>
      </c>
      <c r="AK85" s="1006">
        <f t="shared" si="65"/>
        <v>568.39856230526198</v>
      </c>
      <c r="AL85" s="1006">
        <f t="shared" si="66"/>
        <v>568.39856230526198</v>
      </c>
      <c r="AM85" s="1008">
        <f t="shared" si="67"/>
        <v>0</v>
      </c>
      <c r="AN85" s="1006">
        <f t="shared" si="68"/>
        <v>7825.0039133014625</v>
      </c>
      <c r="AO85" s="1006">
        <f t="shared" si="69"/>
        <v>372.05411231369789</v>
      </c>
      <c r="AP85" s="1019">
        <f t="shared" si="70"/>
        <v>248.03607487579859</v>
      </c>
      <c r="AR85" s="1021">
        <v>501</v>
      </c>
      <c r="AS85" s="1007">
        <v>1</v>
      </c>
      <c r="AT85" s="1007">
        <f t="shared" si="71"/>
        <v>0.05</v>
      </c>
      <c r="AU85" s="1006">
        <f t="shared" si="72"/>
        <v>12.525</v>
      </c>
      <c r="AV85" s="1006">
        <f t="shared" si="73"/>
        <v>12.525</v>
      </c>
      <c r="AW85" s="1008">
        <f t="shared" si="74"/>
        <v>0</v>
      </c>
      <c r="AX85" s="1006">
        <f t="shared" si="42"/>
        <v>137.52012076554911</v>
      </c>
      <c r="AY85" s="1006">
        <f t="shared" si="47"/>
        <v>7.7292666031617232</v>
      </c>
      <c r="AZ85" s="1022">
        <f t="shared" si="45"/>
        <v>5.1528444021078155</v>
      </c>
      <c r="BB85" s="317">
        <f t="shared" si="75"/>
        <v>464.23275220976734</v>
      </c>
      <c r="BC85" s="318">
        <f t="shared" si="76"/>
        <v>248.03607487579859</v>
      </c>
      <c r="BD85" s="1214">
        <f t="shared" si="46"/>
        <v>5.1528444021078155</v>
      </c>
      <c r="BE85" s="318">
        <f t="shared" si="48"/>
        <v>717.42167148767373</v>
      </c>
      <c r="BF85" s="104">
        <v>0</v>
      </c>
      <c r="BG85" s="1205">
        <f t="shared" si="77"/>
        <v>717.42167148767373</v>
      </c>
      <c r="BI85" s="317">
        <f t="shared" si="78"/>
        <v>464.23275220976734</v>
      </c>
      <c r="BJ85" s="318">
        <f t="shared" si="79"/>
        <v>248.03607487579859</v>
      </c>
      <c r="BK85" s="1214">
        <f t="shared" si="80"/>
        <v>5.1528444021078155</v>
      </c>
      <c r="BL85" s="318">
        <f t="shared" si="49"/>
        <v>717.42167148767373</v>
      </c>
      <c r="BM85" s="104">
        <v>0</v>
      </c>
      <c r="BN85" s="1205">
        <f t="shared" si="81"/>
        <v>717.42167148767373</v>
      </c>
    </row>
    <row r="86" spans="1:66" ht="13.2" customHeight="1" thickBot="1">
      <c r="A86" s="941">
        <f>'Input data'!A117</f>
        <v>2017</v>
      </c>
      <c r="B86" s="989">
        <f>'Input data'!B117</f>
        <v>56.521999999999998</v>
      </c>
      <c r="C86" s="989">
        <f>'Baseline data (from input)'!B73</f>
        <v>424.26313389388866</v>
      </c>
      <c r="D86" s="1000">
        <f>'Baseline data (from input)'!T73</f>
        <v>0.46471844811027063</v>
      </c>
      <c r="E86" s="990">
        <f t="shared" si="82"/>
        <v>0.19892488097366726</v>
      </c>
      <c r="F86" s="990">
        <f t="shared" si="82"/>
        <v>0.26585903447659598</v>
      </c>
      <c r="G86" s="990">
        <f t="shared" si="82"/>
        <v>8.9228108703258049E-2</v>
      </c>
      <c r="H86" s="990">
        <f t="shared" si="82"/>
        <v>0</v>
      </c>
      <c r="I86" s="990">
        <f t="shared" si="82"/>
        <v>0</v>
      </c>
      <c r="J86" s="990">
        <f t="shared" si="82"/>
        <v>0</v>
      </c>
      <c r="K86" s="990">
        <f t="shared" si="82"/>
        <v>0.4459879758464787</v>
      </c>
      <c r="L86" s="997">
        <f t="shared" si="83"/>
        <v>1</v>
      </c>
      <c r="N86" s="1014">
        <f t="shared" si="50"/>
        <v>11144.041726220405</v>
      </c>
      <c r="O86" s="1015">
        <f>Parameters!R188</f>
        <v>0.73</v>
      </c>
      <c r="P86" s="1015">
        <f>E86*'MSW characteristics'!$B$28+'MSW characteristics'!$B$29*'4A SWD Case 2'!F86+'4A SWD Case 2'!G86*'MSW characteristics'!$B$30+'MSW characteristics'!$B$31*'4A SWD Case 2'!H86+'4A SWD Case 2'!I86*'MSW characteristics'!$B$32+'MSW characteristics'!$B$33*'4A SWD Case 2'!J86+'4A SWD Case 2'!K86*'MSW characteristics'!$B$35</f>
        <v>0.11870178252267252</v>
      </c>
      <c r="Q86" s="1016">
        <f t="shared" si="51"/>
        <v>482.82843035443193</v>
      </c>
      <c r="R86" s="1016">
        <f t="shared" si="52"/>
        <v>482.82843035443193</v>
      </c>
      <c r="S86" s="1017">
        <f t="shared" si="53"/>
        <v>0</v>
      </c>
      <c r="T86" s="1016">
        <f t="shared" si="54"/>
        <v>13917.283411617565</v>
      </c>
      <c r="U86" s="1016">
        <f t="shared" si="55"/>
        <v>688.79923610369826</v>
      </c>
      <c r="V86" s="1020">
        <f t="shared" si="56"/>
        <v>459.19949073579886</v>
      </c>
      <c r="X86" s="1014">
        <f>'Baseline data (from input)'!AS73*'4A SWD Case 2'!$D$12</f>
        <v>8044.0281056153854</v>
      </c>
      <c r="Y86" s="1015">
        <f>Parameters!S188</f>
        <v>0.71500000000000008</v>
      </c>
      <c r="Z86" s="1015">
        <f t="shared" si="57"/>
        <v>0.2</v>
      </c>
      <c r="AA86" s="1016">
        <f t="shared" si="58"/>
        <v>575.14800955150008</v>
      </c>
      <c r="AB86" s="1016">
        <f t="shared" si="59"/>
        <v>575.14800955150008</v>
      </c>
      <c r="AC86" s="1017">
        <f t="shared" si="60"/>
        <v>0</v>
      </c>
      <c r="AD86" s="1016">
        <f t="shared" si="61"/>
        <v>8018.5219787170854</v>
      </c>
      <c r="AE86" s="1016">
        <f t="shared" si="62"/>
        <v>381.62994413587728</v>
      </c>
      <c r="AF86" s="1020">
        <f t="shared" si="63"/>
        <v>254.41996275725151</v>
      </c>
      <c r="AH86" s="1014">
        <f>'Baseline data (from input)'!AS73*'4A SWD Case 2'!$D$12</f>
        <v>8044.0281056153854</v>
      </c>
      <c r="AI86" s="1015">
        <f>Parameters!S188</f>
        <v>0.71500000000000008</v>
      </c>
      <c r="AJ86" s="1015">
        <f t="shared" si="64"/>
        <v>0.2</v>
      </c>
      <c r="AK86" s="1016">
        <f t="shared" si="65"/>
        <v>575.14800955150008</v>
      </c>
      <c r="AL86" s="1016">
        <f t="shared" si="66"/>
        <v>575.14800955150008</v>
      </c>
      <c r="AM86" s="1017">
        <f t="shared" si="67"/>
        <v>0</v>
      </c>
      <c r="AN86" s="1016">
        <f t="shared" si="68"/>
        <v>8018.5219787170854</v>
      </c>
      <c r="AO86" s="1016">
        <f t="shared" si="69"/>
        <v>381.62994413587728</v>
      </c>
      <c r="AP86" s="1020">
        <f t="shared" si="70"/>
        <v>254.41996275725151</v>
      </c>
      <c r="AR86" s="1023">
        <v>501</v>
      </c>
      <c r="AS86" s="1015">
        <v>1</v>
      </c>
      <c r="AT86" s="1015">
        <f t="shared" si="71"/>
        <v>0.05</v>
      </c>
      <c r="AU86" s="1016">
        <f t="shared" si="72"/>
        <v>12.525</v>
      </c>
      <c r="AV86" s="1016">
        <f t="shared" si="73"/>
        <v>12.525</v>
      </c>
      <c r="AW86" s="1017">
        <f t="shared" si="74"/>
        <v>0</v>
      </c>
      <c r="AX86" s="1016">
        <f t="shared" si="42"/>
        <v>142.03657239121691</v>
      </c>
      <c r="AY86" s="1016">
        <f t="shared" si="47"/>
        <v>8.0085483743321948</v>
      </c>
      <c r="AZ86" s="1024">
        <f t="shared" si="45"/>
        <v>5.3390322495547968</v>
      </c>
      <c r="BB86" s="1039">
        <f t="shared" si="75"/>
        <v>459.19949073579886</v>
      </c>
      <c r="BC86" s="320">
        <f t="shared" si="76"/>
        <v>254.41996275725151</v>
      </c>
      <c r="BD86" s="1216">
        <f t="shared" si="46"/>
        <v>5.3390322495547968</v>
      </c>
      <c r="BE86" s="320">
        <f t="shared" si="48"/>
        <v>718.95848574260515</v>
      </c>
      <c r="BF86" s="163">
        <v>0</v>
      </c>
      <c r="BG86" s="1206">
        <f t="shared" si="77"/>
        <v>718.95848574260515</v>
      </c>
      <c r="BI86" s="1039">
        <f t="shared" si="78"/>
        <v>459.19949073579886</v>
      </c>
      <c r="BJ86" s="320">
        <f t="shared" si="79"/>
        <v>254.41996275725151</v>
      </c>
      <c r="BK86" s="1216">
        <f t="shared" si="80"/>
        <v>5.3390322495547968</v>
      </c>
      <c r="BL86" s="320">
        <f t="shared" si="49"/>
        <v>718.95848574260515</v>
      </c>
      <c r="BM86" s="163">
        <v>0</v>
      </c>
      <c r="BN86" s="1206">
        <f t="shared" si="81"/>
        <v>718.95848574260515</v>
      </c>
    </row>
    <row r="87" spans="1:66">
      <c r="A87" s="1049">
        <f>'Input data'!A118</f>
        <v>2018</v>
      </c>
      <c r="B87" s="942">
        <f>'Input data'!B118</f>
        <v>57.436</v>
      </c>
      <c r="C87" s="942">
        <f>'Recycling - Case 2'!AF97</f>
        <v>413.82526160426386</v>
      </c>
      <c r="D87" s="943">
        <f>'Recycling - Case 2'!AM97</f>
        <v>0.44785359440039618</v>
      </c>
      <c r="E87" s="944">
        <f>'Recycling - Case 2'!BE97</f>
        <v>0.23492828183802922</v>
      </c>
      <c r="F87" s="944">
        <f>'Recycling - Case 2'!BF97</f>
        <v>0.30174137217960728</v>
      </c>
      <c r="G87" s="944">
        <f>'Recycling - Case 2'!BG97</f>
        <v>5.9380849168749056E-2</v>
      </c>
      <c r="H87" s="944">
        <f>'Recycling - Case 2'!BH97</f>
        <v>0</v>
      </c>
      <c r="I87" s="944">
        <f>'Recycling - Case 2'!BI97</f>
        <v>0</v>
      </c>
      <c r="J87" s="944">
        <f>'Recycling - Case 2'!BJ97</f>
        <v>0</v>
      </c>
      <c r="K87" s="944">
        <f>'Recycling - Case 2'!BK97</f>
        <v>0.40394949681361447</v>
      </c>
      <c r="L87" s="945">
        <f t="shared" si="83"/>
        <v>1</v>
      </c>
      <c r="M87" s="4"/>
      <c r="N87" s="960">
        <f>B87*C87*D87</f>
        <v>10644.793704256103</v>
      </c>
      <c r="O87" s="955">
        <f>Parameters!R224</f>
        <v>0.75076923076923086</v>
      </c>
      <c r="P87" s="956">
        <f>E87*'MSW characteristics'!$B$28+'MSW characteristics'!$B$29*'4A SWD Case 2'!F87+'4A SWD Case 2'!G87*'MSW characteristics'!$B$30+'MSW characteristics'!$B$31*'4A SWD Case 2'!H87+'4A SWD Case 2'!I87*'MSW characteristics'!$B$32+'MSW characteristics'!$B$33*'4A SWD Case 2'!J87+'4A SWD Case 2'!K87*'MSW characteristics'!$B$35</f>
        <v>0.11933985637912546</v>
      </c>
      <c r="Q87" s="954">
        <f t="shared" si="51"/>
        <v>476.86915238727312</v>
      </c>
      <c r="R87" s="954">
        <f t="shared" si="52"/>
        <v>476.86915238727312</v>
      </c>
      <c r="S87" s="957">
        <f t="shared" si="53"/>
        <v>0</v>
      </c>
      <c r="T87" s="954">
        <f t="shared" si="54"/>
        <v>13715.398642633583</v>
      </c>
      <c r="U87" s="954">
        <f t="shared" si="55"/>
        <v>678.75392137125493</v>
      </c>
      <c r="V87" s="961">
        <f t="shared" si="56"/>
        <v>452.50261424750329</v>
      </c>
      <c r="X87" s="974">
        <f>'Recycling - Case 2'!AM137*'Recycling - Case 2'!C137</f>
        <v>7010.2130194456267</v>
      </c>
      <c r="Y87" s="975">
        <f>Parameters!S223</f>
        <v>0.71500000000000008</v>
      </c>
      <c r="Z87" s="975">
        <f t="shared" si="57"/>
        <v>0.2</v>
      </c>
      <c r="AA87" s="976">
        <f t="shared" si="58"/>
        <v>501.23023089036241</v>
      </c>
      <c r="AB87" s="976">
        <f t="shared" si="59"/>
        <v>501.23023089036241</v>
      </c>
      <c r="AC87" s="977">
        <f t="shared" si="60"/>
        <v>0</v>
      </c>
      <c r="AD87" s="976">
        <f t="shared" si="61"/>
        <v>8128.6842780517427</v>
      </c>
      <c r="AE87" s="976">
        <f t="shared" si="62"/>
        <v>391.06793155570563</v>
      </c>
      <c r="AF87" s="978">
        <f t="shared" si="63"/>
        <v>260.71195437047044</v>
      </c>
      <c r="AH87" s="974">
        <f>'Recycling - Case 2'!AM177*'Recycling - Case 2'!C177</f>
        <v>7010.2130194456267</v>
      </c>
      <c r="AI87" s="975">
        <f>Parameters!S223</f>
        <v>0.71500000000000008</v>
      </c>
      <c r="AJ87" s="975">
        <f t="shared" si="64"/>
        <v>0.2</v>
      </c>
      <c r="AK87" s="976">
        <f t="shared" si="65"/>
        <v>501.23023089036241</v>
      </c>
      <c r="AL87" s="976">
        <f t="shared" si="66"/>
        <v>501.23023089036241</v>
      </c>
      <c r="AM87" s="977">
        <f t="shared" si="67"/>
        <v>0</v>
      </c>
      <c r="AN87" s="976">
        <f t="shared" si="68"/>
        <v>8128.6842780517427</v>
      </c>
      <c r="AO87" s="976">
        <f t="shared" si="69"/>
        <v>391.06793155570563</v>
      </c>
      <c r="AP87" s="978">
        <f t="shared" si="70"/>
        <v>260.71195437047044</v>
      </c>
      <c r="AR87" s="1167">
        <f>'Recycling - Case 2'!G97</f>
        <v>519.60187202830946</v>
      </c>
      <c r="AS87" s="1168">
        <v>1</v>
      </c>
      <c r="AT87" s="1168">
        <f t="shared" si="71"/>
        <v>0.05</v>
      </c>
      <c r="AU87" s="1169">
        <f t="shared" si="72"/>
        <v>12.990046800707738</v>
      </c>
      <c r="AV87" s="1169">
        <f t="shared" si="73"/>
        <v>12.990046800707738</v>
      </c>
      <c r="AW87" s="1170">
        <f t="shared" si="74"/>
        <v>0</v>
      </c>
      <c r="AX87" s="1169">
        <f t="shared" si="42"/>
        <v>146.7550531506275</v>
      </c>
      <c r="AY87" s="1169">
        <f t="shared" si="47"/>
        <v>8.2715660412971381</v>
      </c>
      <c r="AZ87" s="1171">
        <f t="shared" si="45"/>
        <v>5.514377360864759</v>
      </c>
      <c r="BA87" s="4"/>
      <c r="BB87" s="1182">
        <f t="shared" si="75"/>
        <v>452.50261424750329</v>
      </c>
      <c r="BC87" s="1183">
        <f t="shared" si="76"/>
        <v>260.71195437047044</v>
      </c>
      <c r="BD87" s="1217">
        <f>AZ87</f>
        <v>5.514377360864759</v>
      </c>
      <c r="BE87" s="1183">
        <f t="shared" si="48"/>
        <v>718.72894597883851</v>
      </c>
      <c r="BF87" s="1184">
        <v>0</v>
      </c>
      <c r="BG87" s="1207">
        <f t="shared" si="77"/>
        <v>718.72894597883851</v>
      </c>
      <c r="BI87" s="1182">
        <f t="shared" si="78"/>
        <v>452.50261424750329</v>
      </c>
      <c r="BJ87" s="1183">
        <f>AP87</f>
        <v>260.71195437047044</v>
      </c>
      <c r="BK87" s="1217">
        <f t="shared" si="80"/>
        <v>5.514377360864759</v>
      </c>
      <c r="BL87" s="1183">
        <f t="shared" si="49"/>
        <v>718.72894597883851</v>
      </c>
      <c r="BM87" s="1184">
        <v>0</v>
      </c>
      <c r="BN87" s="1207">
        <f t="shared" si="81"/>
        <v>718.72894597883851</v>
      </c>
    </row>
    <row r="88" spans="1:66">
      <c r="A88" s="1050">
        <f>'Input data'!A119</f>
        <v>2019</v>
      </c>
      <c r="B88" s="946">
        <f>'Input data'!B119</f>
        <v>58.365000000000002</v>
      </c>
      <c r="C88" s="946">
        <f>'Recycling - Case 2'!AF98</f>
        <v>407.14517349880845</v>
      </c>
      <c r="D88" s="947">
        <f>'Recycling - Case 2'!AM98</f>
        <v>0.43098874069052173</v>
      </c>
      <c r="E88" s="948">
        <f>'Recycling - Case 2'!BE98</f>
        <v>0.22944564675962828</v>
      </c>
      <c r="F88" s="948">
        <f>'Recycling - Case 2'!BF98</f>
        <v>0.29887317429673499</v>
      </c>
      <c r="G88" s="948">
        <f>'Recycling - Case 2'!BG98</f>
        <v>5.9793401138845577E-2</v>
      </c>
      <c r="H88" s="948">
        <f>'Recycling - Case 2'!BH98</f>
        <v>0</v>
      </c>
      <c r="I88" s="948">
        <f>'Recycling - Case 2'!BI98</f>
        <v>0</v>
      </c>
      <c r="J88" s="948">
        <f>'Recycling - Case 2'!BJ98</f>
        <v>0</v>
      </c>
      <c r="K88" s="948">
        <f>'Recycling - Case 2'!BK98</f>
        <v>0.41188777780479113</v>
      </c>
      <c r="L88" s="949">
        <f t="shared" si="83"/>
        <v>1</v>
      </c>
      <c r="M88" s="4"/>
      <c r="N88" s="960">
        <f t="shared" si="50"/>
        <v>10241.597534805209</v>
      </c>
      <c r="O88" s="955">
        <f>Parameters!R225</f>
        <v>0.77153846153846162</v>
      </c>
      <c r="P88" s="956">
        <f>E88*'MSW characteristics'!$B$28+'MSW characteristics'!$B$29*'4A SWD Case 2'!F88+'4A SWD Case 2'!G88*'MSW characteristics'!$B$30+'MSW characteristics'!$B$31*'4A SWD Case 2'!H88+'4A SWD Case 2'!I88*'MSW characteristics'!$B$32+'MSW characteristics'!$B$33*'4A SWD Case 2'!J88+'4A SWD Case 2'!K88*'MSW characteristics'!$B$35</f>
        <v>0.11810884232882947</v>
      </c>
      <c r="Q88" s="954">
        <f t="shared" si="51"/>
        <v>466.63542235343772</v>
      </c>
      <c r="R88" s="954">
        <f t="shared" si="52"/>
        <v>466.63542235343772</v>
      </c>
      <c r="S88" s="957">
        <f t="shared" si="53"/>
        <v>0</v>
      </c>
      <c r="T88" s="954">
        <f t="shared" si="54"/>
        <v>13513.126179983656</v>
      </c>
      <c r="U88" s="954">
        <f t="shared" si="55"/>
        <v>668.90788500336566</v>
      </c>
      <c r="V88" s="961">
        <f t="shared" si="56"/>
        <v>445.93859000224376</v>
      </c>
      <c r="X88" s="974">
        <f>'Recycling - Case 2'!AM138*'Recycling - Case 2'!C138</f>
        <v>6309.2338569801323</v>
      </c>
      <c r="Y88" s="975">
        <f>Parameters!S224</f>
        <v>0.71500000000000008</v>
      </c>
      <c r="Z88" s="975">
        <f t="shared" si="57"/>
        <v>0.2</v>
      </c>
      <c r="AA88" s="976">
        <f t="shared" si="58"/>
        <v>451.11022077407955</v>
      </c>
      <c r="AB88" s="976">
        <f t="shared" si="59"/>
        <v>451.11022077407955</v>
      </c>
      <c r="AC88" s="977">
        <f t="shared" si="60"/>
        <v>0</v>
      </c>
      <c r="AD88" s="976">
        <f t="shared" si="61"/>
        <v>8183.3538885332409</v>
      </c>
      <c r="AE88" s="976">
        <f t="shared" si="62"/>
        <v>396.44061029258148</v>
      </c>
      <c r="AF88" s="978">
        <f t="shared" si="63"/>
        <v>264.29374019505434</v>
      </c>
      <c r="AH88" s="974">
        <f>'Recycling - Case 2'!AM178*'Recycling - Case 2'!C178</f>
        <v>6228.6261818808825</v>
      </c>
      <c r="AI88" s="975">
        <f>Parameters!S224</f>
        <v>0.71500000000000008</v>
      </c>
      <c r="AJ88" s="975">
        <f t="shared" si="64"/>
        <v>0.2</v>
      </c>
      <c r="AK88" s="976">
        <f t="shared" si="65"/>
        <v>445.34677200448317</v>
      </c>
      <c r="AL88" s="976">
        <f t="shared" si="66"/>
        <v>445.34677200448317</v>
      </c>
      <c r="AM88" s="977">
        <f t="shared" si="67"/>
        <v>0</v>
      </c>
      <c r="AN88" s="976">
        <f t="shared" si="68"/>
        <v>8177.5904397636441</v>
      </c>
      <c r="AO88" s="976">
        <f t="shared" si="69"/>
        <v>396.44061029258148</v>
      </c>
      <c r="AP88" s="978">
        <f t="shared" si="70"/>
        <v>264.29374019505434</v>
      </c>
      <c r="AR88" s="1172">
        <f>'Recycling - Case 2'!G98</f>
        <v>538.6763776064397</v>
      </c>
      <c r="AS88" s="1173">
        <v>1</v>
      </c>
      <c r="AT88" s="1173">
        <f t="shared" si="71"/>
        <v>0.05</v>
      </c>
      <c r="AU88" s="1174">
        <f t="shared" si="72"/>
        <v>13.466909440160993</v>
      </c>
      <c r="AV88" s="1174">
        <f t="shared" si="73"/>
        <v>13.466909440160993</v>
      </c>
      <c r="AW88" s="1175">
        <f t="shared" si="74"/>
        <v>0</v>
      </c>
      <c r="AX88" s="1174">
        <f t="shared" si="42"/>
        <v>151.67561362169334</v>
      </c>
      <c r="AY88" s="1174">
        <f t="shared" si="47"/>
        <v>8.5463489690951615</v>
      </c>
      <c r="AZ88" s="1176">
        <f t="shared" si="45"/>
        <v>5.6975659793967743</v>
      </c>
      <c r="BA88" s="4"/>
      <c r="BB88" s="1185">
        <f t="shared" si="75"/>
        <v>445.93859000224376</v>
      </c>
      <c r="BC88" s="1186">
        <f t="shared" si="76"/>
        <v>264.29374019505434</v>
      </c>
      <c r="BD88" s="1218">
        <f t="shared" ref="BD88:BD119" si="84">AZ88</f>
        <v>5.6975659793967743</v>
      </c>
      <c r="BE88" s="1186">
        <f t="shared" si="48"/>
        <v>715.92989617669491</v>
      </c>
      <c r="BF88" s="167">
        <v>0</v>
      </c>
      <c r="BG88" s="1208">
        <f t="shared" si="77"/>
        <v>715.92989617669491</v>
      </c>
      <c r="BI88" s="1185">
        <f t="shared" si="78"/>
        <v>445.93859000224376</v>
      </c>
      <c r="BJ88" s="1186">
        <f t="shared" si="79"/>
        <v>264.29374019505434</v>
      </c>
      <c r="BK88" s="1218">
        <f t="shared" si="80"/>
        <v>5.6975659793967743</v>
      </c>
      <c r="BL88" s="1186">
        <f t="shared" si="49"/>
        <v>715.92989617669491</v>
      </c>
      <c r="BM88" s="167">
        <v>0</v>
      </c>
      <c r="BN88" s="1208">
        <f t="shared" si="81"/>
        <v>715.92989617669491</v>
      </c>
    </row>
    <row r="89" spans="1:66">
      <c r="A89" s="1050">
        <f>'Input data'!A120</f>
        <v>2020</v>
      </c>
      <c r="B89" s="946">
        <f>'Input data'!B120</f>
        <v>59.308999999999997</v>
      </c>
      <c r="C89" s="946">
        <f>'Recycling - Case 2'!AF99</f>
        <v>397.78911284233521</v>
      </c>
      <c r="D89" s="947">
        <f>'Recycling - Case 2'!AM99</f>
        <v>0.40147391679341488</v>
      </c>
      <c r="E89" s="948">
        <f>'Recycling - Case 2'!BE99</f>
        <v>0.21480478945036316</v>
      </c>
      <c r="F89" s="948">
        <f>'Recycling - Case 2'!BF99</f>
        <v>0.28933636276268687</v>
      </c>
      <c r="G89" s="948">
        <f>'Recycling - Case 2'!BG99</f>
        <v>6.2137632196248523E-2</v>
      </c>
      <c r="H89" s="948">
        <f>'Recycling - Case 2'!BH99</f>
        <v>0</v>
      </c>
      <c r="I89" s="948">
        <f>'Recycling - Case 2'!BI99</f>
        <v>0</v>
      </c>
      <c r="J89" s="948">
        <f>'Recycling - Case 2'!BJ99</f>
        <v>0</v>
      </c>
      <c r="K89" s="948">
        <f>'Recycling - Case 2'!BK99</f>
        <v>0.43372121559070159</v>
      </c>
      <c r="L89" s="949">
        <f t="shared" si="83"/>
        <v>1.0000000000000002</v>
      </c>
      <c r="M89" s="4"/>
      <c r="N89" s="960">
        <f t="shared" si="50"/>
        <v>9471.7631417807024</v>
      </c>
      <c r="O89" s="955">
        <f>Parameters!R226</f>
        <v>0.79230769230769238</v>
      </c>
      <c r="P89" s="956">
        <f>E89*'MSW characteristics'!$B$28+'MSW characteristics'!$B$29*'4A SWD Case 2'!F89+'4A SWD Case 2'!G89*'MSW characteristics'!$B$30+'MSW characteristics'!$B$31*'4A SWD Case 2'!H89+'4A SWD Case 2'!I89*'MSW characteristics'!$B$32+'MSW characteristics'!$B$33*'4A SWD Case 2'!J89+'4A SWD Case 2'!K89*'MSW characteristics'!$B$35</f>
        <v>0.11494304384859126</v>
      </c>
      <c r="Q89" s="954">
        <f t="shared" si="51"/>
        <v>431.29795565886343</v>
      </c>
      <c r="R89" s="954">
        <f t="shared" si="52"/>
        <v>431.29795565886343</v>
      </c>
      <c r="S89" s="957">
        <f t="shared" si="53"/>
        <v>0</v>
      </c>
      <c r="T89" s="954">
        <f t="shared" si="54"/>
        <v>13285.381195050248</v>
      </c>
      <c r="U89" s="954">
        <f t="shared" si="55"/>
        <v>659.04294059227084</v>
      </c>
      <c r="V89" s="961">
        <f t="shared" si="56"/>
        <v>439.36196039484724</v>
      </c>
      <c r="X89" s="974">
        <f>'Recycling - Case 2'!AM139*'Recycling - Case 2'!C139</f>
        <v>3950.0522636344363</v>
      </c>
      <c r="Y89" s="975">
        <f>Parameters!S225</f>
        <v>0.71500000000000008</v>
      </c>
      <c r="Z89" s="975">
        <f t="shared" si="57"/>
        <v>0.2</v>
      </c>
      <c r="AA89" s="976">
        <f t="shared" si="58"/>
        <v>282.42873684986222</v>
      </c>
      <c r="AB89" s="976">
        <f t="shared" si="59"/>
        <v>282.42873684986222</v>
      </c>
      <c r="AC89" s="977">
        <f t="shared" si="60"/>
        <v>0</v>
      </c>
      <c r="AD89" s="976">
        <f t="shared" si="61"/>
        <v>8066.6757467250172</v>
      </c>
      <c r="AE89" s="976">
        <f t="shared" si="62"/>
        <v>399.10687865808598</v>
      </c>
      <c r="AF89" s="978">
        <f t="shared" si="63"/>
        <v>266.071252438724</v>
      </c>
      <c r="AH89" s="974">
        <f>'Recycling - Case 2'!AM179*'Recycling - Case 2'!C179</f>
        <v>3378.3784205260522</v>
      </c>
      <c r="AI89" s="975">
        <f>Parameters!S225</f>
        <v>0.71500000000000008</v>
      </c>
      <c r="AJ89" s="975">
        <f t="shared" si="64"/>
        <v>0.2</v>
      </c>
      <c r="AK89" s="976">
        <f t="shared" si="65"/>
        <v>241.55405706761277</v>
      </c>
      <c r="AL89" s="976">
        <f t="shared" si="66"/>
        <v>241.55405706761277</v>
      </c>
      <c r="AM89" s="977">
        <f t="shared" si="67"/>
        <v>0</v>
      </c>
      <c r="AN89" s="976">
        <f t="shared" si="68"/>
        <v>8020.3187048865248</v>
      </c>
      <c r="AO89" s="976">
        <f t="shared" si="69"/>
        <v>398.82579194473209</v>
      </c>
      <c r="AP89" s="978">
        <f t="shared" si="70"/>
        <v>265.88386129648808</v>
      </c>
      <c r="AR89" s="1172">
        <f>'Recycling - Case 2'!G99</f>
        <v>558.23174355958042</v>
      </c>
      <c r="AS89" s="1173">
        <v>1</v>
      </c>
      <c r="AT89" s="1173">
        <f t="shared" si="71"/>
        <v>0.05</v>
      </c>
      <c r="AU89" s="1174">
        <f t="shared" si="72"/>
        <v>13.955793588989511</v>
      </c>
      <c r="AV89" s="1174">
        <f t="shared" si="73"/>
        <v>13.955793588989511</v>
      </c>
      <c r="AW89" s="1175">
        <f t="shared" si="74"/>
        <v>0</v>
      </c>
      <c r="AX89" s="1174">
        <f t="shared" si="42"/>
        <v>156.79850710752825</v>
      </c>
      <c r="AY89" s="1174">
        <f t="shared" si="47"/>
        <v>8.8329001031545893</v>
      </c>
      <c r="AZ89" s="1176">
        <f t="shared" si="45"/>
        <v>5.8886000687697262</v>
      </c>
      <c r="BA89" s="4"/>
      <c r="BB89" s="1185">
        <f t="shared" si="75"/>
        <v>439.36196039484724</v>
      </c>
      <c r="BC89" s="1186">
        <f t="shared" si="76"/>
        <v>266.071252438724</v>
      </c>
      <c r="BD89" s="1218">
        <f t="shared" si="84"/>
        <v>5.8886000687697262</v>
      </c>
      <c r="BE89" s="1186">
        <f t="shared" si="48"/>
        <v>711.32181290234098</v>
      </c>
      <c r="BF89" s="167">
        <v>0</v>
      </c>
      <c r="BG89" s="1208">
        <f t="shared" si="77"/>
        <v>711.32181290234098</v>
      </c>
      <c r="BI89" s="1185">
        <f t="shared" si="78"/>
        <v>439.36196039484724</v>
      </c>
      <c r="BJ89" s="1186">
        <f t="shared" si="79"/>
        <v>265.88386129648808</v>
      </c>
      <c r="BK89" s="1218">
        <f t="shared" si="80"/>
        <v>5.8886000687697262</v>
      </c>
      <c r="BL89" s="1186">
        <f t="shared" si="49"/>
        <v>711.13442176010506</v>
      </c>
      <c r="BM89" s="167">
        <v>0</v>
      </c>
      <c r="BN89" s="1208">
        <f t="shared" si="81"/>
        <v>711.13442176010506</v>
      </c>
    </row>
    <row r="90" spans="1:66">
      <c r="A90" s="1050">
        <f>'Input data'!A121</f>
        <v>2021</v>
      </c>
      <c r="B90" s="946">
        <f>'Input data'!B121</f>
        <v>59.991999999999997</v>
      </c>
      <c r="C90" s="946">
        <f>'Recycling - Case 2'!AF100</f>
        <v>369.68846035225897</v>
      </c>
      <c r="D90" s="947">
        <f>'Recycling - Case 2'!AM100</f>
        <v>0.34665915252184321</v>
      </c>
      <c r="E90" s="948">
        <f>'Recycling - Case 2'!BE100</f>
        <v>0.17578817506720093</v>
      </c>
      <c r="F90" s="948">
        <f>'Recycling - Case 2'!BF100</f>
        <v>0.26210489985233038</v>
      </c>
      <c r="G90" s="948">
        <f>'Recycling - Case 2'!BG100</f>
        <v>6.9587069380026595E-2</v>
      </c>
      <c r="H90" s="948">
        <f>'Recycling - Case 2'!BH100</f>
        <v>0</v>
      </c>
      <c r="I90" s="948">
        <f>'Recycling - Case 2'!BI100</f>
        <v>0</v>
      </c>
      <c r="J90" s="948">
        <f>'Recycling - Case 2'!BJ100</f>
        <v>0</v>
      </c>
      <c r="K90" s="948">
        <f>'Recycling - Case 2'!BK100</f>
        <v>0.49251985570044204</v>
      </c>
      <c r="L90" s="949">
        <f t="shared" si="83"/>
        <v>1</v>
      </c>
      <c r="M90" s="4"/>
      <c r="N90" s="960">
        <f t="shared" si="50"/>
        <v>7688.3280546622445</v>
      </c>
      <c r="O90" s="955">
        <f>Parameters!R227</f>
        <v>0.81307692307692303</v>
      </c>
      <c r="P90" s="956">
        <f>E90*'MSW characteristics'!$B$28+'MSW characteristics'!$B$29*'4A SWD Case 2'!F90+'4A SWD Case 2'!G90*'MSW characteristics'!$B$30+'MSW characteristics'!$B$31*'4A SWD Case 2'!H90+'4A SWD Case 2'!I90*'MSW characteristics'!$B$32+'MSW characteristics'!$B$33*'4A SWD Case 2'!J90+'4A SWD Case 2'!K90*'MSW characteristics'!$B$35</f>
        <v>0.10662403398255686</v>
      </c>
      <c r="Q90" s="954">
        <f t="shared" si="51"/>
        <v>333.26419354623289</v>
      </c>
      <c r="R90" s="954">
        <f t="shared" si="52"/>
        <v>333.26419354623289</v>
      </c>
      <c r="S90" s="957">
        <f t="shared" si="53"/>
        <v>0</v>
      </c>
      <c r="T90" s="954">
        <f t="shared" si="54"/>
        <v>12970.709701986489</v>
      </c>
      <c r="U90" s="954">
        <f t="shared" si="55"/>
        <v>647.93568660999233</v>
      </c>
      <c r="V90" s="961">
        <f t="shared" si="56"/>
        <v>431.95712440666153</v>
      </c>
      <c r="W90" s="4"/>
      <c r="X90" s="974">
        <f>'Recycling - Case 2'!AM140*'Recycling - Case 2'!C140</f>
        <v>1380.8139396372069</v>
      </c>
      <c r="Y90" s="975">
        <f>Parameters!S226</f>
        <v>0.71500000000000008</v>
      </c>
      <c r="Z90" s="975">
        <f t="shared" si="57"/>
        <v>0.2</v>
      </c>
      <c r="AA90" s="976">
        <f t="shared" si="58"/>
        <v>98.728196684060308</v>
      </c>
      <c r="AB90" s="976">
        <f t="shared" si="59"/>
        <v>98.728196684060308</v>
      </c>
      <c r="AC90" s="977">
        <f t="shared" si="60"/>
        <v>0</v>
      </c>
      <c r="AD90" s="976">
        <f t="shared" si="61"/>
        <v>7771.9875248751659</v>
      </c>
      <c r="AE90" s="976">
        <f t="shared" si="62"/>
        <v>393.41641853391161</v>
      </c>
      <c r="AF90" s="978">
        <f t="shared" si="63"/>
        <v>262.27761235594107</v>
      </c>
      <c r="AG90" s="4"/>
      <c r="AH90" s="974">
        <f>'Recycling - Case 2'!AM180*'Recycling - Case 2'!C180</f>
        <v>892.06876307095706</v>
      </c>
      <c r="AI90" s="975">
        <f>Parameters!S226</f>
        <v>0.71500000000000008</v>
      </c>
      <c r="AJ90" s="975">
        <f t="shared" si="64"/>
        <v>0.2</v>
      </c>
      <c r="AK90" s="976">
        <f t="shared" si="65"/>
        <v>63.782916559573444</v>
      </c>
      <c r="AL90" s="976">
        <f t="shared" si="66"/>
        <v>63.782916559573444</v>
      </c>
      <c r="AM90" s="977">
        <f t="shared" si="67"/>
        <v>0</v>
      </c>
      <c r="AN90" s="976">
        <f t="shared" si="68"/>
        <v>7692.9460625210941</v>
      </c>
      <c r="AO90" s="976">
        <f t="shared" si="69"/>
        <v>391.15555892500385</v>
      </c>
      <c r="AP90" s="978">
        <f t="shared" si="70"/>
        <v>260.77037261666925</v>
      </c>
      <c r="AR90" s="1172">
        <f>'Recycling - Case 2'!G100</f>
        <v>575.62795502093263</v>
      </c>
      <c r="AS90" s="1173">
        <v>1</v>
      </c>
      <c r="AT90" s="1173">
        <f t="shared" si="71"/>
        <v>0.05</v>
      </c>
      <c r="AU90" s="1174">
        <f t="shared" si="72"/>
        <v>14.390698875523317</v>
      </c>
      <c r="AV90" s="1174">
        <f t="shared" si="73"/>
        <v>14.390698875523317</v>
      </c>
      <c r="AW90" s="1175">
        <f t="shared" si="74"/>
        <v>0</v>
      </c>
      <c r="AX90" s="1174">
        <f t="shared" si="42"/>
        <v>162.05797178835118</v>
      </c>
      <c r="AY90" s="1174">
        <f t="shared" si="47"/>
        <v>9.1312341947004008</v>
      </c>
      <c r="AZ90" s="1176">
        <f t="shared" si="45"/>
        <v>6.0874894631336005</v>
      </c>
      <c r="BA90" s="4"/>
      <c r="BB90" s="1185">
        <f t="shared" si="75"/>
        <v>431.95712440666153</v>
      </c>
      <c r="BC90" s="1186">
        <f t="shared" si="76"/>
        <v>262.27761235594107</v>
      </c>
      <c r="BD90" s="1218">
        <f t="shared" si="84"/>
        <v>6.0874894631336005</v>
      </c>
      <c r="BE90" s="1186">
        <f t="shared" si="48"/>
        <v>700.32222622573613</v>
      </c>
      <c r="BF90" s="167">
        <v>0</v>
      </c>
      <c r="BG90" s="1208">
        <f t="shared" si="77"/>
        <v>700.32222622573613</v>
      </c>
      <c r="BI90" s="1185">
        <f t="shared" si="78"/>
        <v>431.95712440666153</v>
      </c>
      <c r="BJ90" s="1186">
        <f t="shared" si="79"/>
        <v>260.77037261666925</v>
      </c>
      <c r="BK90" s="1218">
        <f t="shared" si="80"/>
        <v>6.0874894631336005</v>
      </c>
      <c r="BL90" s="1186">
        <f t="shared" si="49"/>
        <v>698.81498648646436</v>
      </c>
      <c r="BM90" s="167">
        <v>0</v>
      </c>
      <c r="BN90" s="1208">
        <f t="shared" si="81"/>
        <v>698.81498648646436</v>
      </c>
    </row>
    <row r="91" spans="1:66">
      <c r="A91" s="1050">
        <f>'Input data'!A122</f>
        <v>2022</v>
      </c>
      <c r="B91" s="946">
        <f>'Input data'!B122</f>
        <v>60.682000000000002</v>
      </c>
      <c r="C91" s="946">
        <f>'Recycling - Case 2'!AF101</f>
        <v>310.84097582407423</v>
      </c>
      <c r="D91" s="947">
        <f>'Recycling - Case 2'!AM101</f>
        <v>0.3171443286247364</v>
      </c>
      <c r="E91" s="948">
        <f>'Recycling - Case 2'!BE101</f>
        <v>0.15226067517689335</v>
      </c>
      <c r="F91" s="948">
        <f>'Recycling - Case 2'!BF101</f>
        <v>0.24661040796962494</v>
      </c>
      <c r="G91" s="948">
        <f>'Recycling - Case 2'!BG101</f>
        <v>7.3466079366628398E-2</v>
      </c>
      <c r="H91" s="948">
        <f>'Recycling - Case 2'!BH101</f>
        <v>0</v>
      </c>
      <c r="I91" s="948">
        <f>'Recycling - Case 2'!BI101</f>
        <v>0</v>
      </c>
      <c r="J91" s="948">
        <f>'Recycling - Case 2'!BJ101</f>
        <v>0</v>
      </c>
      <c r="K91" s="948">
        <f>'Recycling - Case 2'!BK101</f>
        <v>0.52766283748685339</v>
      </c>
      <c r="L91" s="949">
        <f t="shared" si="83"/>
        <v>1</v>
      </c>
      <c r="M91" s="4"/>
      <c r="N91" s="960">
        <f t="shared" si="50"/>
        <v>5982.1197058712232</v>
      </c>
      <c r="O91" s="955">
        <f>Parameters!R228</f>
        <v>0.83384615384615368</v>
      </c>
      <c r="P91" s="956">
        <f>E91*'MSW characteristics'!$B$28+'MSW characteristics'!$B$29*'4A SWD Case 2'!F91+'4A SWD Case 2'!G91*'MSW characteristics'!$B$30+'MSW characteristics'!$B$31*'4A SWD Case 2'!H91+'4A SWD Case 2'!I91*'MSW characteristics'!$B$32+'MSW characteristics'!$B$33*'4A SWD Case 2'!J91+'4A SWD Case 2'!K91*'MSW characteristics'!$B$35</f>
        <v>0.10154761461711034</v>
      </c>
      <c r="Q91" s="954">
        <f t="shared" si="51"/>
        <v>253.268255903843</v>
      </c>
      <c r="R91" s="954">
        <f t="shared" si="52"/>
        <v>253.268255903843</v>
      </c>
      <c r="S91" s="957">
        <f t="shared" si="53"/>
        <v>0</v>
      </c>
      <c r="T91" s="954">
        <f t="shared" si="54"/>
        <v>12591.388981090278</v>
      </c>
      <c r="U91" s="954">
        <f t="shared" si="55"/>
        <v>632.58897680005327</v>
      </c>
      <c r="V91" s="961">
        <f t="shared" si="56"/>
        <v>421.72598453336883</v>
      </c>
      <c r="W91" s="4"/>
      <c r="X91" s="974">
        <f>'Recycling - Case 2'!AM141*'Recycling - Case 2'!C141</f>
        <v>594.92307308830368</v>
      </c>
      <c r="Y91" s="975">
        <f>Parameters!S227</f>
        <v>0.71500000000000008</v>
      </c>
      <c r="Z91" s="975">
        <f t="shared" si="57"/>
        <v>0.2</v>
      </c>
      <c r="AA91" s="976">
        <f t="shared" si="58"/>
        <v>42.536999725813722</v>
      </c>
      <c r="AB91" s="976">
        <f t="shared" si="59"/>
        <v>42.536999725813722</v>
      </c>
      <c r="AC91" s="977">
        <f t="shared" si="60"/>
        <v>0</v>
      </c>
      <c r="AD91" s="976">
        <f t="shared" si="61"/>
        <v>7435.4802202395467</v>
      </c>
      <c r="AE91" s="976">
        <f t="shared" si="62"/>
        <v>379.04430436143309</v>
      </c>
      <c r="AF91" s="978">
        <f t="shared" si="63"/>
        <v>252.69620290762205</v>
      </c>
      <c r="AG91" s="4"/>
      <c r="AH91" s="974">
        <f>'Recycling - Case 2'!AM181*'Recycling - Case 2'!C181</f>
        <v>594.92307308830368</v>
      </c>
      <c r="AI91" s="975">
        <f>Parameters!S227</f>
        <v>0.71500000000000008</v>
      </c>
      <c r="AJ91" s="975">
        <f t="shared" si="64"/>
        <v>0.2</v>
      </c>
      <c r="AK91" s="976">
        <f t="shared" si="65"/>
        <v>42.536999725813722</v>
      </c>
      <c r="AL91" s="976">
        <f t="shared" si="66"/>
        <v>42.536999725813722</v>
      </c>
      <c r="AM91" s="977">
        <f t="shared" si="67"/>
        <v>0</v>
      </c>
      <c r="AN91" s="976">
        <f t="shared" si="68"/>
        <v>7360.2936554927883</v>
      </c>
      <c r="AO91" s="976">
        <f t="shared" si="69"/>
        <v>375.18940675411983</v>
      </c>
      <c r="AP91" s="978">
        <f t="shared" si="70"/>
        <v>250.12627116941323</v>
      </c>
      <c r="AR91" s="1172">
        <f>'Recycling - Case 2'!G101</f>
        <v>593.34234160989524</v>
      </c>
      <c r="AS91" s="1173">
        <v>1</v>
      </c>
      <c r="AT91" s="1173">
        <f t="shared" si="71"/>
        <v>0.05</v>
      </c>
      <c r="AU91" s="1174">
        <f t="shared" si="72"/>
        <v>14.833558540247381</v>
      </c>
      <c r="AV91" s="1174">
        <f t="shared" si="73"/>
        <v>14.833558540247381</v>
      </c>
      <c r="AW91" s="1175">
        <f t="shared" si="74"/>
        <v>0</v>
      </c>
      <c r="AX91" s="1174">
        <f t="shared" si="42"/>
        <v>167.45400875511325</v>
      </c>
      <c r="AY91" s="1174">
        <f t="shared" si="47"/>
        <v>9.4375215734852933</v>
      </c>
      <c r="AZ91" s="1176">
        <f t="shared" si="45"/>
        <v>6.2916810489901955</v>
      </c>
      <c r="BA91" s="4"/>
      <c r="BB91" s="1185">
        <f t="shared" si="75"/>
        <v>421.72598453336883</v>
      </c>
      <c r="BC91" s="1186">
        <f t="shared" si="76"/>
        <v>252.69620290762205</v>
      </c>
      <c r="BD91" s="1218">
        <f t="shared" si="84"/>
        <v>6.2916810489901955</v>
      </c>
      <c r="BE91" s="1186">
        <f t="shared" si="48"/>
        <v>680.71386848998111</v>
      </c>
      <c r="BF91" s="167">
        <v>0</v>
      </c>
      <c r="BG91" s="1208">
        <f t="shared" si="77"/>
        <v>680.71386848998111</v>
      </c>
      <c r="BI91" s="1185">
        <f t="shared" si="78"/>
        <v>421.72598453336883</v>
      </c>
      <c r="BJ91" s="1186">
        <f t="shared" si="79"/>
        <v>250.12627116941323</v>
      </c>
      <c r="BK91" s="1218">
        <f t="shared" si="80"/>
        <v>6.2916810489901955</v>
      </c>
      <c r="BL91" s="1186">
        <f t="shared" si="49"/>
        <v>678.14393675177223</v>
      </c>
      <c r="BM91" s="167">
        <v>0</v>
      </c>
      <c r="BN91" s="1208">
        <f t="shared" si="81"/>
        <v>678.14393675177223</v>
      </c>
    </row>
    <row r="92" spans="1:66">
      <c r="A92" s="1050">
        <f>'Input data'!A123</f>
        <v>2023</v>
      </c>
      <c r="B92" s="946">
        <f>'Input data'!B123</f>
        <v>61.381</v>
      </c>
      <c r="C92" s="946">
        <f>'Recycling - Case 2'!AF102</f>
        <v>296.12606573773871</v>
      </c>
      <c r="D92" s="947">
        <f>'Recycling - Case 2'!AM102</f>
        <v>0.31292944510209436</v>
      </c>
      <c r="E92" s="948">
        <f>'Recycling - Case 2'!BE102</f>
        <v>0.15431149212938583</v>
      </c>
      <c r="F92" s="948">
        <f>'Recycling - Case 2'!BF102</f>
        <v>0.2499320325764883</v>
      </c>
      <c r="G92" s="948">
        <f>'Recycling - Case 2'!BG102</f>
        <v>7.1823558597211609E-2</v>
      </c>
      <c r="H92" s="948">
        <f>'Recycling - Case 2'!BH102</f>
        <v>0</v>
      </c>
      <c r="I92" s="948">
        <f>'Recycling - Case 2'!BI102</f>
        <v>0</v>
      </c>
      <c r="J92" s="948">
        <f>'Recycling - Case 2'!BJ102</f>
        <v>0</v>
      </c>
      <c r="K92" s="948">
        <f>'Recycling - Case 2'!BK102</f>
        <v>0.52393291669691444</v>
      </c>
      <c r="L92" s="949">
        <f t="shared" si="83"/>
        <v>1.0000000000000002</v>
      </c>
      <c r="M92" s="4"/>
      <c r="N92" s="960">
        <f t="shared" si="50"/>
        <v>5687.9664527556215</v>
      </c>
      <c r="O92" s="955">
        <f>Parameters!R229</f>
        <v>0.85461538461538455</v>
      </c>
      <c r="P92" s="956">
        <f>E92*'MSW characteristics'!$B$28+'MSW characteristics'!$B$29*'4A SWD Case 2'!F92+'4A SWD Case 2'!G92*'MSW characteristics'!$B$30+'MSW characteristics'!$B$31*'4A SWD Case 2'!H92+'4A SWD Case 2'!I92*'MSW characteristics'!$B$32+'MSW characteristics'!$B$33*'4A SWD Case 2'!J92+'4A SWD Case 2'!K92*'MSW characteristics'!$B$35</f>
        <v>0.10186255377359017</v>
      </c>
      <c r="Q92" s="954">
        <f t="shared" si="51"/>
        <v>247.57814084501317</v>
      </c>
      <c r="R92" s="954">
        <f t="shared" si="52"/>
        <v>247.57814084501317</v>
      </c>
      <c r="S92" s="957">
        <f t="shared" si="53"/>
        <v>0</v>
      </c>
      <c r="T92" s="954">
        <f t="shared" si="54"/>
        <v>12224.87783499215</v>
      </c>
      <c r="U92" s="954">
        <f t="shared" si="55"/>
        <v>614.08928694314102</v>
      </c>
      <c r="V92" s="961">
        <f t="shared" si="56"/>
        <v>409.39285796209401</v>
      </c>
      <c r="W92" s="4"/>
      <c r="X92" s="974">
        <f>'Recycling - Case 2'!AM142*'Recycling - Case 2'!C142</f>
        <v>607.18229317946748</v>
      </c>
      <c r="Y92" s="975">
        <f>Parameters!S228</f>
        <v>0.71500000000000008</v>
      </c>
      <c r="Z92" s="975">
        <f t="shared" si="57"/>
        <v>0.2</v>
      </c>
      <c r="AA92" s="976">
        <f t="shared" si="58"/>
        <v>43.413533962331933</v>
      </c>
      <c r="AB92" s="976">
        <f t="shared" si="59"/>
        <v>43.413533962331933</v>
      </c>
      <c r="AC92" s="977">
        <f t="shared" si="60"/>
        <v>0</v>
      </c>
      <c r="AD92" s="976">
        <f t="shared" si="61"/>
        <v>7116.2611047472383</v>
      </c>
      <c r="AE92" s="976">
        <f t="shared" si="62"/>
        <v>362.63264945464039</v>
      </c>
      <c r="AF92" s="978">
        <f t="shared" si="63"/>
        <v>241.75509963642693</v>
      </c>
      <c r="AG92" s="4"/>
      <c r="AH92" s="974">
        <f>'Recycling - Case 2'!AM182*'Recycling - Case 2'!C182</f>
        <v>607.18229317946748</v>
      </c>
      <c r="AI92" s="975">
        <f>Parameters!S228</f>
        <v>0.71500000000000008</v>
      </c>
      <c r="AJ92" s="975">
        <f t="shared" si="64"/>
        <v>0.2</v>
      </c>
      <c r="AK92" s="976">
        <f t="shared" si="65"/>
        <v>43.413533962331933</v>
      </c>
      <c r="AL92" s="976">
        <f t="shared" si="66"/>
        <v>43.413533962331933</v>
      </c>
      <c r="AM92" s="977">
        <f t="shared" si="67"/>
        <v>0</v>
      </c>
      <c r="AN92" s="976">
        <f t="shared" si="68"/>
        <v>7044.7414320329935</v>
      </c>
      <c r="AO92" s="976">
        <f t="shared" si="69"/>
        <v>358.96575742212667</v>
      </c>
      <c r="AP92" s="978">
        <f t="shared" si="70"/>
        <v>239.31050494808446</v>
      </c>
      <c r="AQ92" s="4"/>
      <c r="AR92" s="1172">
        <f>'Recycling - Case 2'!G102</f>
        <v>611.39866394209514</v>
      </c>
      <c r="AS92" s="1173">
        <v>1</v>
      </c>
      <c r="AT92" s="1173">
        <f t="shared" si="71"/>
        <v>0.05</v>
      </c>
      <c r="AU92" s="1174">
        <f t="shared" si="72"/>
        <v>15.28496659855238</v>
      </c>
      <c r="AV92" s="1174">
        <f t="shared" si="73"/>
        <v>15.28496659855238</v>
      </c>
      <c r="AW92" s="1175">
        <f t="shared" si="74"/>
        <v>0</v>
      </c>
      <c r="AX92" s="1174">
        <f t="shared" si="42"/>
        <v>172.98721305062432</v>
      </c>
      <c r="AY92" s="1174">
        <f t="shared" si="47"/>
        <v>9.7517623030413194</v>
      </c>
      <c r="AZ92" s="1176">
        <f t="shared" si="45"/>
        <v>6.5011748686942132</v>
      </c>
      <c r="BA92" s="4"/>
      <c r="BB92" s="1185">
        <f t="shared" si="75"/>
        <v>409.39285796209401</v>
      </c>
      <c r="BC92" s="1186">
        <f t="shared" si="76"/>
        <v>241.75509963642693</v>
      </c>
      <c r="BD92" s="1218">
        <f t="shared" si="84"/>
        <v>6.5011748686942132</v>
      </c>
      <c r="BE92" s="1186">
        <f t="shared" si="48"/>
        <v>657.64913246721517</v>
      </c>
      <c r="BF92" s="167">
        <v>0</v>
      </c>
      <c r="BG92" s="1208">
        <f t="shared" si="77"/>
        <v>657.64913246721517</v>
      </c>
      <c r="BI92" s="1185">
        <f t="shared" si="78"/>
        <v>409.39285796209401</v>
      </c>
      <c r="BJ92" s="1186">
        <f t="shared" si="79"/>
        <v>239.31050494808446</v>
      </c>
      <c r="BK92" s="1218">
        <f t="shared" si="80"/>
        <v>6.5011748686942132</v>
      </c>
      <c r="BL92" s="1186">
        <f t="shared" si="49"/>
        <v>655.20453777887269</v>
      </c>
      <c r="BM92" s="167">
        <v>0</v>
      </c>
      <c r="BN92" s="1208">
        <f t="shared" si="81"/>
        <v>655.20453777887269</v>
      </c>
    </row>
    <row r="93" spans="1:66">
      <c r="A93" s="1050">
        <f>'Input data'!A124</f>
        <v>2024</v>
      </c>
      <c r="B93" s="946">
        <f>'Input data'!B124</f>
        <v>62.088000000000001</v>
      </c>
      <c r="C93" s="946">
        <f>'Recycling - Case 2'!AF103</f>
        <v>281.00934997211982</v>
      </c>
      <c r="D93" s="947">
        <f>'Recycling - Case 2'!AM103</f>
        <v>0.30871456157945232</v>
      </c>
      <c r="E93" s="948">
        <f>'Recycling - Case 2'!BE103</f>
        <v>0.15641830873759127</v>
      </c>
      <c r="F93" s="948">
        <f>'Recycling - Case 2'!BF103</f>
        <v>0.25334435754262352</v>
      </c>
      <c r="G93" s="948">
        <f>'Recycling - Case 2'!BG103</f>
        <v>7.0136187117214879E-2</v>
      </c>
      <c r="H93" s="948">
        <f>'Recycling - Case 2'!BH103</f>
        <v>0</v>
      </c>
      <c r="I93" s="948">
        <f>'Recycling - Case 2'!BI103</f>
        <v>0</v>
      </c>
      <c r="J93" s="948">
        <f>'Recycling - Case 2'!BJ103</f>
        <v>0</v>
      </c>
      <c r="K93" s="948">
        <f>'Recycling - Case 2'!BK103</f>
        <v>0.52010114660257045</v>
      </c>
      <c r="L93" s="949">
        <f t="shared" si="83"/>
        <v>1</v>
      </c>
      <c r="M93" s="4"/>
      <c r="N93" s="960">
        <f t="shared" si="50"/>
        <v>5386.2382008232516</v>
      </c>
      <c r="O93" s="955">
        <f>Parameters!R230</f>
        <v>0.87538461538461509</v>
      </c>
      <c r="P93" s="956">
        <f>E93*'MSW characteristics'!$B$28+'MSW characteristics'!$B$29*'4A SWD Case 2'!F93+'4A SWD Case 2'!G93*'MSW characteristics'!$B$30+'MSW characteristics'!$B$31*'4A SWD Case 2'!H93+'4A SWD Case 2'!I93*'MSW characteristics'!$B$32+'MSW characteristics'!$B$33*'4A SWD Case 2'!J93+'4A SWD Case 2'!K93*'MSW characteristics'!$B$35</f>
        <v>0.10218609266604936</v>
      </c>
      <c r="Q93" s="954">
        <f t="shared" si="51"/>
        <v>240.9052491024699</v>
      </c>
      <c r="R93" s="954">
        <f t="shared" si="52"/>
        <v>240.9052491024699</v>
      </c>
      <c r="S93" s="957">
        <f t="shared" si="53"/>
        <v>0</v>
      </c>
      <c r="T93" s="954">
        <f t="shared" si="54"/>
        <v>11869.568756673589</v>
      </c>
      <c r="U93" s="954">
        <f t="shared" si="55"/>
        <v>596.21432742103241</v>
      </c>
      <c r="V93" s="961">
        <f t="shared" si="56"/>
        <v>397.47621828068827</v>
      </c>
      <c r="W93" s="4"/>
      <c r="X93" s="974">
        <f>'Recycling - Case 2'!AM143*'Recycling - Case 2'!C143</f>
        <v>619.00651492328677</v>
      </c>
      <c r="Y93" s="975">
        <f>Parameters!S229</f>
        <v>0.71500000000000008</v>
      </c>
      <c r="Z93" s="975">
        <f t="shared" si="57"/>
        <v>0.2</v>
      </c>
      <c r="AA93" s="976">
        <f t="shared" si="58"/>
        <v>44.25896581701501</v>
      </c>
      <c r="AB93" s="976">
        <f t="shared" si="59"/>
        <v>44.25896581701501</v>
      </c>
      <c r="AC93" s="977">
        <f t="shared" si="60"/>
        <v>0</v>
      </c>
      <c r="AD93" s="976">
        <f t="shared" si="61"/>
        <v>6813.4559210825464</v>
      </c>
      <c r="AE93" s="976">
        <f t="shared" si="62"/>
        <v>347.06414948170749</v>
      </c>
      <c r="AF93" s="978">
        <f t="shared" si="63"/>
        <v>231.37609965447166</v>
      </c>
      <c r="AG93" s="4"/>
      <c r="AH93" s="974">
        <f>'Recycling - Case 2'!AM183*'Recycling - Case 2'!C183</f>
        <v>619.00651492328677</v>
      </c>
      <c r="AI93" s="975">
        <f>Parameters!S229</f>
        <v>0.71500000000000008</v>
      </c>
      <c r="AJ93" s="975">
        <f t="shared" si="64"/>
        <v>0.2</v>
      </c>
      <c r="AK93" s="976">
        <f t="shared" si="65"/>
        <v>44.25896581701501</v>
      </c>
      <c r="AL93" s="976">
        <f t="shared" si="66"/>
        <v>44.25896581701501</v>
      </c>
      <c r="AM93" s="977">
        <f t="shared" si="67"/>
        <v>0</v>
      </c>
      <c r="AN93" s="976">
        <f t="shared" si="68"/>
        <v>6745.424303966096</v>
      </c>
      <c r="AO93" s="976">
        <f t="shared" si="69"/>
        <v>343.57609388391319</v>
      </c>
      <c r="AP93" s="978">
        <f t="shared" si="70"/>
        <v>229.05072925594212</v>
      </c>
      <c r="AQ93" s="4"/>
      <c r="AR93" s="1172">
        <f>'Recycling - Case 2'!G103</f>
        <v>629.79171457903931</v>
      </c>
      <c r="AS93" s="1173">
        <v>1</v>
      </c>
      <c r="AT93" s="1173">
        <f t="shared" si="71"/>
        <v>0.05</v>
      </c>
      <c r="AU93" s="1174">
        <f t="shared" si="72"/>
        <v>15.744792864475983</v>
      </c>
      <c r="AV93" s="1174">
        <f t="shared" si="73"/>
        <v>15.744792864475983</v>
      </c>
      <c r="AW93" s="1175">
        <f t="shared" si="74"/>
        <v>0</v>
      </c>
      <c r="AX93" s="1174">
        <f t="shared" si="42"/>
        <v>178.65801487913626</v>
      </c>
      <c r="AY93" s="1174">
        <f t="shared" si="47"/>
        <v>10.073991035964044</v>
      </c>
      <c r="AZ93" s="1176">
        <f t="shared" si="45"/>
        <v>6.7159940239760294</v>
      </c>
      <c r="BA93" s="4"/>
      <c r="BB93" s="1185">
        <f t="shared" si="75"/>
        <v>397.47621828068827</v>
      </c>
      <c r="BC93" s="1186">
        <f t="shared" si="76"/>
        <v>231.37609965447166</v>
      </c>
      <c r="BD93" s="1218">
        <f t="shared" si="84"/>
        <v>6.7159940239760294</v>
      </c>
      <c r="BE93" s="1186">
        <f t="shared" si="48"/>
        <v>635.56831195913594</v>
      </c>
      <c r="BF93" s="167">
        <v>0</v>
      </c>
      <c r="BG93" s="1208">
        <f t="shared" si="77"/>
        <v>635.56831195913594</v>
      </c>
      <c r="BI93" s="1185">
        <f t="shared" si="78"/>
        <v>397.47621828068827</v>
      </c>
      <c r="BJ93" s="1186">
        <f t="shared" si="79"/>
        <v>229.05072925594212</v>
      </c>
      <c r="BK93" s="1218">
        <f t="shared" si="80"/>
        <v>6.7159940239760294</v>
      </c>
      <c r="BL93" s="1186">
        <f t="shared" si="49"/>
        <v>633.24294156060637</v>
      </c>
      <c r="BM93" s="167">
        <v>0</v>
      </c>
      <c r="BN93" s="1208">
        <f t="shared" si="81"/>
        <v>633.24294156060637</v>
      </c>
    </row>
    <row r="94" spans="1:66">
      <c r="A94" s="1050">
        <f>'Input data'!A125</f>
        <v>2025</v>
      </c>
      <c r="B94" s="946">
        <f>'Input data'!B125</f>
        <v>62.802999999999997</v>
      </c>
      <c r="C94" s="946">
        <f>'Recycling - Case 2'!AF104</f>
        <v>265.47414314862152</v>
      </c>
      <c r="D94" s="947">
        <f>'Recycling - Case 2'!AM104</f>
        <v>0.30449967805681033</v>
      </c>
      <c r="E94" s="948">
        <f>'Recycling - Case 2'!BE104</f>
        <v>0.15858345044264952</v>
      </c>
      <c r="F94" s="948">
        <f>'Recycling - Case 2'!BF104</f>
        <v>0.25685114929023756</v>
      </c>
      <c r="G94" s="948">
        <f>'Recycling - Case 2'!BG104</f>
        <v>6.8402102456481775E-2</v>
      </c>
      <c r="H94" s="948">
        <f>'Recycling - Case 2'!BH104</f>
        <v>0</v>
      </c>
      <c r="I94" s="948">
        <f>'Recycling - Case 2'!BI104</f>
        <v>0</v>
      </c>
      <c r="J94" s="948">
        <f>'Recycling - Case 2'!BJ104</f>
        <v>0</v>
      </c>
      <c r="K94" s="948">
        <f>'Recycling - Case 2'!BK104</f>
        <v>0.51616329781063119</v>
      </c>
      <c r="L94" s="949">
        <f t="shared" si="83"/>
        <v>1</v>
      </c>
      <c r="M94" s="4"/>
      <c r="N94" s="960">
        <f t="shared" si="50"/>
        <v>5076.7929927823889</v>
      </c>
      <c r="O94" s="955">
        <f>Parameters!R231</f>
        <v>0.89615384615384586</v>
      </c>
      <c r="P94" s="956">
        <f>E94*'MSW characteristics'!$B$28+'MSW characteristics'!$B$29*'4A SWD Case 2'!F94+'4A SWD Case 2'!G94*'MSW characteristics'!$B$30+'MSW characteristics'!$B$31*'4A SWD Case 2'!H94+'4A SWD Case 2'!I94*'MSW characteristics'!$B$32+'MSW characteristics'!$B$33*'4A SWD Case 2'!J94+'4A SWD Case 2'!K94*'MSW characteristics'!$B$35</f>
        <v>0.10251858840703765</v>
      </c>
      <c r="Q94" s="954">
        <f t="shared" si="51"/>
        <v>233.2086475814734</v>
      </c>
      <c r="R94" s="954">
        <f t="shared" si="52"/>
        <v>233.2086475814734</v>
      </c>
      <c r="S94" s="957">
        <f t="shared" si="53"/>
        <v>0</v>
      </c>
      <c r="T94" s="954">
        <f t="shared" si="54"/>
        <v>11523.891705063746</v>
      </c>
      <c r="U94" s="954">
        <f t="shared" si="55"/>
        <v>578.88569919131533</v>
      </c>
      <c r="V94" s="961">
        <f t="shared" si="56"/>
        <v>385.92379946087686</v>
      </c>
      <c r="W94" s="4"/>
      <c r="X94" s="974">
        <f>'Recycling - Case 2'!AM144*'Recycling - Case 2'!C144</f>
        <v>631.33533475002571</v>
      </c>
      <c r="Y94" s="975">
        <f>Parameters!S230</f>
        <v>0.71500000000000008</v>
      </c>
      <c r="Z94" s="975">
        <f t="shared" si="57"/>
        <v>0.2</v>
      </c>
      <c r="AA94" s="976">
        <f t="shared" si="58"/>
        <v>45.140476434626841</v>
      </c>
      <c r="AB94" s="976">
        <f t="shared" si="59"/>
        <v>45.140476434626841</v>
      </c>
      <c r="AC94" s="977">
        <f t="shared" si="60"/>
        <v>0</v>
      </c>
      <c r="AD94" s="976">
        <f t="shared" si="61"/>
        <v>6526.3002311069604</v>
      </c>
      <c r="AE94" s="976">
        <f t="shared" si="62"/>
        <v>332.29616641021346</v>
      </c>
      <c r="AF94" s="978">
        <f t="shared" si="63"/>
        <v>221.53077760680898</v>
      </c>
      <c r="AG94" s="4"/>
      <c r="AH94" s="974">
        <f>'Recycling - Case 2'!AM184*'Recycling - Case 2'!C184</f>
        <v>631.33533475002571</v>
      </c>
      <c r="AI94" s="975">
        <f>Parameters!S230</f>
        <v>0.71500000000000008</v>
      </c>
      <c r="AJ94" s="975">
        <f t="shared" si="64"/>
        <v>0.2</v>
      </c>
      <c r="AK94" s="976">
        <f t="shared" si="65"/>
        <v>45.140476434626841</v>
      </c>
      <c r="AL94" s="976">
        <f t="shared" si="66"/>
        <v>45.140476434626841</v>
      </c>
      <c r="AM94" s="977">
        <f t="shared" si="67"/>
        <v>0</v>
      </c>
      <c r="AN94" s="976">
        <f t="shared" si="68"/>
        <v>6461.5865551094257</v>
      </c>
      <c r="AO94" s="976">
        <f t="shared" si="69"/>
        <v>328.97822529129706</v>
      </c>
      <c r="AP94" s="978">
        <f t="shared" si="70"/>
        <v>219.3188168608647</v>
      </c>
      <c r="AQ94" s="4"/>
      <c r="AR94" s="1172">
        <f>'Recycling - Case 2'!G104</f>
        <v>648.52588116082893</v>
      </c>
      <c r="AS94" s="1173">
        <v>1</v>
      </c>
      <c r="AT94" s="1173">
        <f t="shared" si="71"/>
        <v>0.05</v>
      </c>
      <c r="AU94" s="1174">
        <f t="shared" si="72"/>
        <v>16.213147029020725</v>
      </c>
      <c r="AV94" s="1174">
        <f t="shared" si="73"/>
        <v>16.213147029020725</v>
      </c>
      <c r="AW94" s="1175">
        <f t="shared" si="74"/>
        <v>0</v>
      </c>
      <c r="AX94" s="1174">
        <f t="shared" si="42"/>
        <v>184.46692908275824</v>
      </c>
      <c r="AY94" s="1174">
        <f t="shared" si="47"/>
        <v>10.404232825398733</v>
      </c>
      <c r="AZ94" s="1176">
        <f t="shared" si="45"/>
        <v>6.9361552169324883</v>
      </c>
      <c r="BA94" s="4"/>
      <c r="BB94" s="1185">
        <f t="shared" si="75"/>
        <v>385.92379946087686</v>
      </c>
      <c r="BC94" s="1186">
        <f t="shared" si="76"/>
        <v>221.53077760680898</v>
      </c>
      <c r="BD94" s="1218">
        <f t="shared" si="84"/>
        <v>6.9361552169324883</v>
      </c>
      <c r="BE94" s="1186">
        <f t="shared" si="48"/>
        <v>614.39073228461825</v>
      </c>
      <c r="BF94" s="167">
        <v>0</v>
      </c>
      <c r="BG94" s="1208">
        <f t="shared" si="77"/>
        <v>614.39073228461825</v>
      </c>
      <c r="BI94" s="1185">
        <f t="shared" si="78"/>
        <v>385.92379946087686</v>
      </c>
      <c r="BJ94" s="1186">
        <f t="shared" si="79"/>
        <v>219.3188168608647</v>
      </c>
      <c r="BK94" s="1218">
        <f t="shared" si="80"/>
        <v>6.9361552169324883</v>
      </c>
      <c r="BL94" s="1186">
        <f t="shared" si="49"/>
        <v>612.17877153867403</v>
      </c>
      <c r="BM94" s="167">
        <v>0</v>
      </c>
      <c r="BN94" s="1208">
        <f t="shared" si="81"/>
        <v>612.17877153867403</v>
      </c>
    </row>
    <row r="95" spans="1:66">
      <c r="A95" s="1050">
        <f>'Input data'!A126</f>
        <v>2026</v>
      </c>
      <c r="B95" s="946">
        <f>'Input data'!B126</f>
        <v>63.420999999999999</v>
      </c>
      <c r="C95" s="946">
        <f>'Recycling - Case 2'!AF105</f>
        <v>249.50282308560486</v>
      </c>
      <c r="D95" s="947">
        <f>'Recycling - Case 2'!AM105</f>
        <v>0.30028479453416823</v>
      </c>
      <c r="E95" s="948">
        <f>'Recycling - Case 2'!BE105</f>
        <v>0.16080937324793626</v>
      </c>
      <c r="F95" s="948">
        <f>'Recycling - Case 2'!BF105</f>
        <v>0.26045638570786744</v>
      </c>
      <c r="G95" s="948">
        <f>'Recycling - Case 2'!BG105</f>
        <v>6.6619337576194218E-2</v>
      </c>
      <c r="H95" s="948">
        <f>'Recycling - Case 2'!BH105</f>
        <v>0</v>
      </c>
      <c r="I95" s="948">
        <f>'Recycling - Case 2'!BI105</f>
        <v>0</v>
      </c>
      <c r="J95" s="948">
        <f>'Recycling - Case 2'!BJ105</f>
        <v>0</v>
      </c>
      <c r="K95" s="948">
        <f>'Recycling - Case 2'!BK105</f>
        <v>0.51211490346800204</v>
      </c>
      <c r="L95" s="949">
        <f t="shared" si="83"/>
        <v>1</v>
      </c>
      <c r="M95" s="4"/>
      <c r="N95" s="960">
        <f t="shared" si="50"/>
        <v>4751.6220714248811</v>
      </c>
      <c r="O95" s="955">
        <f>Parameters!R232</f>
        <v>0.91692307692307662</v>
      </c>
      <c r="P95" s="956">
        <f>E95*'MSW characteristics'!$B$28+'MSW characteristics'!$B$29*'4A SWD Case 2'!F95+'4A SWD Case 2'!G95*'MSW characteristics'!$B$30+'MSW characteristics'!$B$31*'4A SWD Case 2'!H95+'4A SWD Case 2'!I95*'MSW characteristics'!$B$32+'MSW characteristics'!$B$33*'4A SWD Case 2'!J95+'4A SWD Case 2'!K95*'MSW characteristics'!$B$35</f>
        <v>0.10286041815924163</v>
      </c>
      <c r="Q95" s="954">
        <f t="shared" si="51"/>
        <v>224.07483429850862</v>
      </c>
      <c r="R95" s="954">
        <f t="shared" si="52"/>
        <v>224.07483429850862</v>
      </c>
      <c r="S95" s="957">
        <f t="shared" si="53"/>
        <v>0</v>
      </c>
      <c r="T95" s="954">
        <f t="shared" si="54"/>
        <v>11185.939708914848</v>
      </c>
      <c r="U95" s="954">
        <f t="shared" si="55"/>
        <v>562.02683044740695</v>
      </c>
      <c r="V95" s="961">
        <f t="shared" si="56"/>
        <v>374.68455363160462</v>
      </c>
      <c r="W95" s="4"/>
      <c r="X95" s="974">
        <f>'Recycling - Case 2'!AM145*'Recycling - Case 2'!C145</f>
        <v>645.97834578463778</v>
      </c>
      <c r="Y95" s="975">
        <f>Parameters!S231</f>
        <v>0.71500000000000008</v>
      </c>
      <c r="Z95" s="975">
        <f t="shared" si="57"/>
        <v>0.2</v>
      </c>
      <c r="AA95" s="976">
        <f t="shared" si="58"/>
        <v>46.187451723601605</v>
      </c>
      <c r="AB95" s="976">
        <f t="shared" si="59"/>
        <v>46.187451723601605</v>
      </c>
      <c r="AC95" s="977">
        <f t="shared" si="60"/>
        <v>0</v>
      </c>
      <c r="AD95" s="976">
        <f t="shared" si="61"/>
        <v>6254.1962646783531</v>
      </c>
      <c r="AE95" s="976">
        <f t="shared" si="62"/>
        <v>318.29141815220959</v>
      </c>
      <c r="AF95" s="978">
        <f t="shared" si="63"/>
        <v>212.19427876813972</v>
      </c>
      <c r="AG95" s="4"/>
      <c r="AH95" s="974">
        <f>'Recycling - Case 2'!AM185*'Recycling - Case 2'!C185</f>
        <v>645.97834578463778</v>
      </c>
      <c r="AI95" s="975">
        <f>Parameters!S231</f>
        <v>0.71500000000000008</v>
      </c>
      <c r="AJ95" s="975">
        <f t="shared" si="64"/>
        <v>0.2</v>
      </c>
      <c r="AK95" s="976">
        <f t="shared" si="65"/>
        <v>46.187451723601605</v>
      </c>
      <c r="AL95" s="976">
        <f t="shared" si="66"/>
        <v>46.187451723601605</v>
      </c>
      <c r="AM95" s="977">
        <f t="shared" si="67"/>
        <v>0</v>
      </c>
      <c r="AN95" s="976">
        <f t="shared" si="68"/>
        <v>6192.6387119018918</v>
      </c>
      <c r="AO95" s="976">
        <f t="shared" si="69"/>
        <v>315.13529493113549</v>
      </c>
      <c r="AP95" s="978">
        <f t="shared" si="70"/>
        <v>210.09019662075698</v>
      </c>
      <c r="AQ95" s="4"/>
      <c r="AR95" s="1172">
        <f>'Recycling - Case 2'!G105</f>
        <v>666.50208844796612</v>
      </c>
      <c r="AS95" s="1173">
        <v>1</v>
      </c>
      <c r="AT95" s="1173">
        <f t="shared" si="71"/>
        <v>0.05</v>
      </c>
      <c r="AU95" s="1174">
        <f t="shared" si="72"/>
        <v>16.662552211199152</v>
      </c>
      <c r="AV95" s="1174">
        <f t="shared" si="73"/>
        <v>16.662552211199152</v>
      </c>
      <c r="AW95" s="1175">
        <f t="shared" si="74"/>
        <v>0</v>
      </c>
      <c r="AX95" s="1174">
        <f t="shared" si="42"/>
        <v>190.38696364054164</v>
      </c>
      <c r="AY95" s="1174">
        <f t="shared" si="47"/>
        <v>10.74251765341574</v>
      </c>
      <c r="AZ95" s="1176">
        <f t="shared" si="45"/>
        <v>7.1616784356104937</v>
      </c>
      <c r="BA95" s="4"/>
      <c r="BB95" s="1185">
        <f t="shared" si="75"/>
        <v>374.68455363160462</v>
      </c>
      <c r="BC95" s="1186">
        <f t="shared" si="76"/>
        <v>212.19427876813972</v>
      </c>
      <c r="BD95" s="1218">
        <f t="shared" si="84"/>
        <v>7.1616784356104937</v>
      </c>
      <c r="BE95" s="1186">
        <f t="shared" si="48"/>
        <v>594.04051083535489</v>
      </c>
      <c r="BF95" s="167">
        <v>0</v>
      </c>
      <c r="BG95" s="1208">
        <f t="shared" si="77"/>
        <v>594.04051083535489</v>
      </c>
      <c r="BI95" s="1185">
        <f t="shared" si="78"/>
        <v>374.68455363160462</v>
      </c>
      <c r="BJ95" s="1186">
        <f t="shared" si="79"/>
        <v>210.09019662075698</v>
      </c>
      <c r="BK95" s="1218">
        <f t="shared" si="80"/>
        <v>7.1616784356104937</v>
      </c>
      <c r="BL95" s="1186">
        <f t="shared" si="49"/>
        <v>591.93642868797212</v>
      </c>
      <c r="BM95" s="167">
        <v>0</v>
      </c>
      <c r="BN95" s="1208">
        <f t="shared" si="81"/>
        <v>591.93642868797212</v>
      </c>
    </row>
    <row r="96" spans="1:66">
      <c r="A96" s="1050">
        <f>'Input data'!A127</f>
        <v>2027</v>
      </c>
      <c r="B96" s="946">
        <f>'Input data'!B127</f>
        <v>64.046000000000006</v>
      </c>
      <c r="C96" s="946">
        <f>'Recycling - Case 2'!AF106</f>
        <v>233.07676411623692</v>
      </c>
      <c r="D96" s="947">
        <f>'Recycling - Case 2'!AM106</f>
        <v>0.29606991101152619</v>
      </c>
      <c r="E96" s="948">
        <f>'Recycling - Case 2'!BE106</f>
        <v>0.16309867301255412</v>
      </c>
      <c r="F96" s="948">
        <f>'Recycling - Case 2'!BF106</f>
        <v>0.2641642712026695</v>
      </c>
      <c r="G96" s="948">
        <f>'Recycling - Case 2'!BG106</f>
        <v>6.4785813425618149E-2</v>
      </c>
      <c r="H96" s="948">
        <f>'Recycling - Case 2'!BH106</f>
        <v>0</v>
      </c>
      <c r="I96" s="948">
        <f>'Recycling - Case 2'!BI106</f>
        <v>0</v>
      </c>
      <c r="J96" s="948">
        <f>'Recycling - Case 2'!BJ106</f>
        <v>0</v>
      </c>
      <c r="K96" s="948">
        <f>'Recycling - Case 2'!BK106</f>
        <v>0.50795124235915801</v>
      </c>
      <c r="L96" s="949">
        <f t="shared" si="83"/>
        <v>0.99999999999999978</v>
      </c>
      <c r="M96" s="4"/>
      <c r="N96" s="960">
        <f t="shared" si="50"/>
        <v>4419.6233986612151</v>
      </c>
      <c r="O96" s="955">
        <f>Parameters!R233</f>
        <v>0.93769230769230727</v>
      </c>
      <c r="P96" s="956">
        <f>E96*'MSW characteristics'!$B$28+'MSW characteristics'!$B$29*'4A SWD Case 2'!F96+'4A SWD Case 2'!G96*'MSW characteristics'!$B$30+'MSW characteristics'!$B$31*'4A SWD Case 2'!H96+'4A SWD Case 2'!I96*'MSW characteristics'!$B$32+'MSW characteristics'!$B$33*'4A SWD Case 2'!J96+'4A SWD Case 2'!K96*'MSW characteristics'!$B$35</f>
        <v>0.10321198056266428</v>
      </c>
      <c r="Q96" s="954">
        <f t="shared" si="51"/>
        <v>213.86796337781627</v>
      </c>
      <c r="R96" s="954">
        <f t="shared" si="52"/>
        <v>213.86796337781627</v>
      </c>
      <c r="S96" s="957">
        <f t="shared" si="53"/>
        <v>0</v>
      </c>
      <c r="T96" s="954">
        <f t="shared" si="54"/>
        <v>10854.262955188571</v>
      </c>
      <c r="U96" s="954">
        <f t="shared" si="55"/>
        <v>545.54471710409268</v>
      </c>
      <c r="V96" s="961">
        <f t="shared" si="56"/>
        <v>363.69647806939514</v>
      </c>
      <c r="W96" s="4"/>
      <c r="X96" s="974">
        <f>'Recycling - Case 2'!AM146*'Recycling - Case 2'!C146</f>
        <v>660.47829069612305</v>
      </c>
      <c r="Y96" s="975">
        <f>Parameters!S232</f>
        <v>0.71500000000000008</v>
      </c>
      <c r="Z96" s="975">
        <f t="shared" si="57"/>
        <v>0.2</v>
      </c>
      <c r="AA96" s="976">
        <f t="shared" si="58"/>
        <v>47.224197784772805</v>
      </c>
      <c r="AB96" s="976">
        <f t="shared" si="59"/>
        <v>47.224197784772805</v>
      </c>
      <c r="AC96" s="977">
        <f t="shared" si="60"/>
        <v>0</v>
      </c>
      <c r="AD96" s="976">
        <f t="shared" si="61"/>
        <v>5996.3997113492778</v>
      </c>
      <c r="AE96" s="976">
        <f t="shared" si="62"/>
        <v>305.02075111384801</v>
      </c>
      <c r="AF96" s="978">
        <f t="shared" si="63"/>
        <v>203.34716740923201</v>
      </c>
      <c r="AG96" s="4"/>
      <c r="AH96" s="974">
        <f>'Recycling - Case 2'!AM186*'Recycling - Case 2'!C186</f>
        <v>660.47829069612305</v>
      </c>
      <c r="AI96" s="975">
        <f>Parameters!S232</f>
        <v>0.71500000000000008</v>
      </c>
      <c r="AJ96" s="975">
        <f t="shared" si="64"/>
        <v>0.2</v>
      </c>
      <c r="AK96" s="976">
        <f t="shared" si="65"/>
        <v>47.224197784772805</v>
      </c>
      <c r="AL96" s="976">
        <f t="shared" si="66"/>
        <v>47.224197784772805</v>
      </c>
      <c r="AM96" s="977">
        <f t="shared" si="67"/>
        <v>0</v>
      </c>
      <c r="AN96" s="976">
        <f t="shared" si="68"/>
        <v>5937.8443558480521</v>
      </c>
      <c r="AO96" s="976">
        <f t="shared" si="69"/>
        <v>302.01855383861232</v>
      </c>
      <c r="AP96" s="978">
        <f t="shared" si="70"/>
        <v>201.34570255907488</v>
      </c>
      <c r="AQ96" s="4"/>
      <c r="AR96" s="1172">
        <f>'Recycling - Case 2'!G106</f>
        <v>684.77910312064694</v>
      </c>
      <c r="AS96" s="1173">
        <v>1</v>
      </c>
      <c r="AT96" s="1173">
        <f t="shared" si="71"/>
        <v>0.05</v>
      </c>
      <c r="AU96" s="1174">
        <f t="shared" si="72"/>
        <v>17.119477578016173</v>
      </c>
      <c r="AV96" s="1174">
        <f t="shared" si="73"/>
        <v>17.119477578016173</v>
      </c>
      <c r="AW96" s="1175">
        <f t="shared" si="74"/>
        <v>0</v>
      </c>
      <c r="AX96" s="1174">
        <f t="shared" si="42"/>
        <v>196.41916759147216</v>
      </c>
      <c r="AY96" s="1174">
        <f t="shared" si="47"/>
        <v>11.087273627085622</v>
      </c>
      <c r="AZ96" s="1176">
        <f t="shared" si="45"/>
        <v>7.3915157513904148</v>
      </c>
      <c r="BA96" s="4"/>
      <c r="BB96" s="1185">
        <f t="shared" si="75"/>
        <v>363.69647806939514</v>
      </c>
      <c r="BC96" s="1186">
        <f t="shared" si="76"/>
        <v>203.34716740923201</v>
      </c>
      <c r="BD96" s="1218">
        <f t="shared" si="84"/>
        <v>7.3915157513904148</v>
      </c>
      <c r="BE96" s="1186">
        <f t="shared" si="48"/>
        <v>574.43516123001757</v>
      </c>
      <c r="BF96" s="167">
        <v>0</v>
      </c>
      <c r="BG96" s="1208">
        <f t="shared" si="77"/>
        <v>574.43516123001757</v>
      </c>
      <c r="BI96" s="1185">
        <f t="shared" si="78"/>
        <v>363.69647806939514</v>
      </c>
      <c r="BJ96" s="1186">
        <f t="shared" si="79"/>
        <v>201.34570255907488</v>
      </c>
      <c r="BK96" s="1218">
        <f t="shared" si="80"/>
        <v>7.3915157513904148</v>
      </c>
      <c r="BL96" s="1186">
        <f t="shared" si="49"/>
        <v>572.43369637986052</v>
      </c>
      <c r="BM96" s="167">
        <v>0</v>
      </c>
      <c r="BN96" s="1208">
        <f t="shared" si="81"/>
        <v>572.43369637986052</v>
      </c>
    </row>
    <row r="97" spans="1:66">
      <c r="A97" s="1050">
        <f>'Input data'!A128</f>
        <v>2028</v>
      </c>
      <c r="B97" s="946">
        <f>'Input data'!B128</f>
        <v>64.676000000000002</v>
      </c>
      <c r="C97" s="946">
        <f>'Recycling - Case 2'!AF107</f>
        <v>216.17626462831689</v>
      </c>
      <c r="D97" s="947">
        <f>'Recycling - Case 2'!AM107</f>
        <v>0.29185502748888414</v>
      </c>
      <c r="E97" s="948">
        <f>'Recycling - Case 2'!BE107</f>
        <v>0.16545409555010687</v>
      </c>
      <c r="F97" s="948">
        <f>'Recycling - Case 2'!BF107</f>
        <v>0.267979253056992</v>
      </c>
      <c r="G97" s="948">
        <f>'Recycling - Case 2'!BG107</f>
        <v>6.2899330853889504E-2</v>
      </c>
      <c r="H97" s="948">
        <f>'Recycling - Case 2'!BH107</f>
        <v>0</v>
      </c>
      <c r="I97" s="948">
        <f>'Recycling - Case 2'!BI107</f>
        <v>0</v>
      </c>
      <c r="J97" s="948">
        <f>'Recycling - Case 2'!BJ107</f>
        <v>0</v>
      </c>
      <c r="K97" s="948">
        <f>'Recycling - Case 2'!BK107</f>
        <v>0.50366732053901153</v>
      </c>
      <c r="L97" s="949">
        <f t="shared" si="83"/>
        <v>0.99999999999999989</v>
      </c>
      <c r="M97" s="4"/>
      <c r="N97" s="960">
        <f t="shared" si="50"/>
        <v>4080.5465776018164</v>
      </c>
      <c r="O97" s="955">
        <f>Parameters!R234</f>
        <v>0.95846153846153803</v>
      </c>
      <c r="P97" s="956">
        <f>E97*'MSW characteristics'!$B$28+'MSW characteristics'!$B$29*'4A SWD Case 2'!F97+'4A SWD Case 2'!G97*'MSW characteristics'!$B$30+'MSW characteristics'!$B$31*'4A SWD Case 2'!H97+'4A SWD Case 2'!I97*'MSW characteristics'!$B$32+'MSW characteristics'!$B$33*'4A SWD Case 2'!J97+'4A SWD Case 2'!K97*'MSW characteristics'!$B$35</f>
        <v>0.10357369728547024</v>
      </c>
      <c r="Q97" s="954">
        <f t="shared" si="51"/>
        <v>202.54079646184184</v>
      </c>
      <c r="R97" s="954">
        <f t="shared" si="52"/>
        <v>202.54079646184184</v>
      </c>
      <c r="S97" s="957">
        <f t="shared" si="53"/>
        <v>0</v>
      </c>
      <c r="T97" s="954">
        <f t="shared" si="54"/>
        <v>10527.435100705286</v>
      </c>
      <c r="U97" s="954">
        <f t="shared" si="55"/>
        <v>529.36865094512723</v>
      </c>
      <c r="V97" s="961">
        <f t="shared" si="56"/>
        <v>352.91243396341815</v>
      </c>
      <c r="W97" s="4"/>
      <c r="X97" s="974">
        <f>'Recycling - Case 2'!AM147*'Recycling - Case 2'!C147</f>
        <v>675.67423296335994</v>
      </c>
      <c r="Y97" s="975">
        <f>Parameters!S233</f>
        <v>0.71500000000000008</v>
      </c>
      <c r="Z97" s="975">
        <f t="shared" si="57"/>
        <v>0.2</v>
      </c>
      <c r="AA97" s="976">
        <f t="shared" si="58"/>
        <v>48.310707656880247</v>
      </c>
      <c r="AB97" s="976">
        <f t="shared" si="59"/>
        <v>48.310707656880247</v>
      </c>
      <c r="AC97" s="977">
        <f t="shared" si="60"/>
        <v>0</v>
      </c>
      <c r="AD97" s="976">
        <f t="shared" si="61"/>
        <v>5752.2625541599018</v>
      </c>
      <c r="AE97" s="976">
        <f t="shared" si="62"/>
        <v>292.44786484625666</v>
      </c>
      <c r="AF97" s="978">
        <f t="shared" si="63"/>
        <v>194.96524323083779</v>
      </c>
      <c r="AG97" s="4"/>
      <c r="AH97" s="974">
        <f>'Recycling - Case 2'!AM187*'Recycling - Case 2'!C187</f>
        <v>675.67423296335994</v>
      </c>
      <c r="AI97" s="975">
        <f>Parameters!S233</f>
        <v>0.71500000000000008</v>
      </c>
      <c r="AJ97" s="975">
        <f t="shared" si="64"/>
        <v>0.2</v>
      </c>
      <c r="AK97" s="976">
        <f t="shared" si="65"/>
        <v>48.310707656880247</v>
      </c>
      <c r="AL97" s="976">
        <f t="shared" si="66"/>
        <v>48.310707656880247</v>
      </c>
      <c r="AM97" s="977">
        <f t="shared" si="67"/>
        <v>0</v>
      </c>
      <c r="AN97" s="976">
        <f t="shared" si="68"/>
        <v>5696.562977045036</v>
      </c>
      <c r="AO97" s="976">
        <f t="shared" si="69"/>
        <v>289.59208645989656</v>
      </c>
      <c r="AP97" s="978">
        <f t="shared" si="70"/>
        <v>193.06139097326437</v>
      </c>
      <c r="AQ97" s="4"/>
      <c r="AR97" s="1172">
        <f>'Recycling - Case 2'!G107</f>
        <v>703.33901475004564</v>
      </c>
      <c r="AS97" s="1173">
        <v>1</v>
      </c>
      <c r="AT97" s="1173">
        <f t="shared" si="71"/>
        <v>0.05</v>
      </c>
      <c r="AU97" s="1174">
        <f t="shared" si="72"/>
        <v>17.583475368751142</v>
      </c>
      <c r="AV97" s="1174">
        <f t="shared" si="73"/>
        <v>17.583475368751142</v>
      </c>
      <c r="AW97" s="1175">
        <f t="shared" si="74"/>
        <v>0</v>
      </c>
      <c r="AX97" s="1174">
        <f t="shared" si="42"/>
        <v>202.5640811225403</v>
      </c>
      <c r="AY97" s="1174">
        <f t="shared" si="47"/>
        <v>11.438561837682999</v>
      </c>
      <c r="AZ97" s="1176">
        <f t="shared" si="45"/>
        <v>7.6257078917886654</v>
      </c>
      <c r="BA97" s="4"/>
      <c r="BB97" s="1185">
        <f t="shared" si="75"/>
        <v>352.91243396341815</v>
      </c>
      <c r="BC97" s="1186">
        <f t="shared" si="76"/>
        <v>194.96524323083779</v>
      </c>
      <c r="BD97" s="1218">
        <f t="shared" si="84"/>
        <v>7.6257078917886654</v>
      </c>
      <c r="BE97" s="1186">
        <f t="shared" si="48"/>
        <v>555.50338508604466</v>
      </c>
      <c r="BF97" s="167">
        <v>0</v>
      </c>
      <c r="BG97" s="1208">
        <f t="shared" si="77"/>
        <v>555.50338508604466</v>
      </c>
      <c r="BI97" s="1185">
        <f t="shared" si="78"/>
        <v>352.91243396341815</v>
      </c>
      <c r="BJ97" s="1186">
        <f t="shared" si="79"/>
        <v>193.06139097326437</v>
      </c>
      <c r="BK97" s="1218">
        <f t="shared" si="80"/>
        <v>7.6257078917886654</v>
      </c>
      <c r="BL97" s="1186">
        <f t="shared" si="49"/>
        <v>553.59953282847118</v>
      </c>
      <c r="BM97" s="167">
        <v>0</v>
      </c>
      <c r="BN97" s="1208">
        <f t="shared" si="81"/>
        <v>553.59953282847118</v>
      </c>
    </row>
    <row r="98" spans="1:66">
      <c r="A98" s="1050">
        <f>'Input data'!A129</f>
        <v>2029</v>
      </c>
      <c r="B98" s="946">
        <f>'Input data'!B129</f>
        <v>65.313000000000002</v>
      </c>
      <c r="C98" s="946">
        <f>'Recycling - Case 2'!AF108</f>
        <v>198.78046823340867</v>
      </c>
      <c r="D98" s="947">
        <f>'Recycling - Case 2'!AM108</f>
        <v>0.28764014396624216</v>
      </c>
      <c r="E98" s="948">
        <f>'Recycling - Case 2'!BE108</f>
        <v>0.16787854761535698</v>
      </c>
      <c r="F98" s="948">
        <f>'Recycling - Case 2'!BF108</f>
        <v>0.27190603922301615</v>
      </c>
      <c r="G98" s="948">
        <f>'Recycling - Case 2'!BG108</f>
        <v>6.0957561810685137E-2</v>
      </c>
      <c r="H98" s="948">
        <f>'Recycling - Case 2'!BH108</f>
        <v>0</v>
      </c>
      <c r="I98" s="948">
        <f>'Recycling - Case 2'!BI108</f>
        <v>0</v>
      </c>
      <c r="J98" s="948">
        <f>'Recycling - Case 2'!BJ108</f>
        <v>0</v>
      </c>
      <c r="K98" s="948">
        <f>'Recycling - Case 2'!BK108</f>
        <v>0.49925785135094164</v>
      </c>
      <c r="L98" s="949">
        <f t="shared" si="83"/>
        <v>1</v>
      </c>
      <c r="M98" s="4"/>
      <c r="N98" s="960">
        <f t="shared" si="50"/>
        <v>3734.4172394243601</v>
      </c>
      <c r="O98" s="955">
        <f>Parameters!R235</f>
        <v>0.97923076923076879</v>
      </c>
      <c r="P98" s="956">
        <f>E98*'MSW characteristics'!$B$28+'MSW characteristics'!$B$29*'4A SWD Case 2'!F98+'4A SWD Case 2'!G98*'MSW characteristics'!$B$30+'MSW characteristics'!$B$31*'4A SWD Case 2'!H98+'4A SWD Case 2'!I98*'MSW characteristics'!$B$32+'MSW characteristics'!$B$33*'4A SWD Case 2'!J98+'4A SWD Case 2'!K98*'MSW characteristics'!$B$35</f>
        <v>0.10394601471118084</v>
      </c>
      <c r="Q98" s="954">
        <f t="shared" si="51"/>
        <v>190.05781761064353</v>
      </c>
      <c r="R98" s="954">
        <f t="shared" si="52"/>
        <v>190.05781761064353</v>
      </c>
      <c r="S98" s="957">
        <f t="shared" si="53"/>
        <v>0</v>
      </c>
      <c r="T98" s="954">
        <f t="shared" si="54"/>
        <v>10204.063849923148</v>
      </c>
      <c r="U98" s="954">
        <f t="shared" si="55"/>
        <v>513.42906839278055</v>
      </c>
      <c r="V98" s="961">
        <f t="shared" si="56"/>
        <v>342.28604559518703</v>
      </c>
      <c r="W98" s="4"/>
      <c r="X98" s="974">
        <f>'Recycling - Case 2'!AM148*'Recycling - Case 2'!C148</f>
        <v>691.37283998752798</v>
      </c>
      <c r="Y98" s="975">
        <f>Parameters!S234</f>
        <v>0.71500000000000008</v>
      </c>
      <c r="Z98" s="975">
        <f t="shared" si="57"/>
        <v>0.2</v>
      </c>
      <c r="AA98" s="976">
        <f t="shared" si="58"/>
        <v>49.433158059108266</v>
      </c>
      <c r="AB98" s="976">
        <f t="shared" si="59"/>
        <v>49.433158059108266</v>
      </c>
      <c r="AC98" s="977">
        <f t="shared" si="60"/>
        <v>0</v>
      </c>
      <c r="AD98" s="976">
        <f t="shared" si="61"/>
        <v>5521.1545570296385</v>
      </c>
      <c r="AE98" s="976">
        <f t="shared" si="62"/>
        <v>280.54115518937112</v>
      </c>
      <c r="AF98" s="978">
        <f t="shared" si="63"/>
        <v>187.02743679291407</v>
      </c>
      <c r="AG98" s="4"/>
      <c r="AH98" s="974">
        <f>'Recycling - Case 2'!AM188*'Recycling - Case 2'!C188</f>
        <v>691.37283998752798</v>
      </c>
      <c r="AI98" s="975">
        <f>Parameters!S234</f>
        <v>0.71500000000000008</v>
      </c>
      <c r="AJ98" s="975">
        <f t="shared" si="64"/>
        <v>0.2</v>
      </c>
      <c r="AK98" s="976">
        <f t="shared" si="65"/>
        <v>49.433158059108266</v>
      </c>
      <c r="AL98" s="976">
        <f t="shared" si="66"/>
        <v>49.433158059108266</v>
      </c>
      <c r="AM98" s="977">
        <f t="shared" si="67"/>
        <v>0</v>
      </c>
      <c r="AN98" s="976">
        <f t="shared" si="68"/>
        <v>5468.1714803457317</v>
      </c>
      <c r="AO98" s="976">
        <f t="shared" si="69"/>
        <v>277.82465475841224</v>
      </c>
      <c r="AP98" s="978">
        <f t="shared" si="70"/>
        <v>185.21643650560816</v>
      </c>
      <c r="AQ98" s="4"/>
      <c r="AR98" s="1172">
        <f>'Recycling - Case 2'!G108</f>
        <v>722.20668086181445</v>
      </c>
      <c r="AS98" s="1173">
        <v>1</v>
      </c>
      <c r="AT98" s="1173">
        <f t="shared" si="71"/>
        <v>0.05</v>
      </c>
      <c r="AU98" s="1174">
        <f t="shared" si="72"/>
        <v>18.055167021545362</v>
      </c>
      <c r="AV98" s="1174">
        <f t="shared" si="73"/>
        <v>18.055167021545362</v>
      </c>
      <c r="AW98" s="1175">
        <f t="shared" si="74"/>
        <v>0</v>
      </c>
      <c r="AX98" s="1174">
        <f t="shared" si="42"/>
        <v>208.82283440083646</v>
      </c>
      <c r="AY98" s="1174">
        <f t="shared" si="47"/>
        <v>11.796413743249214</v>
      </c>
      <c r="AZ98" s="1176">
        <f t="shared" si="45"/>
        <v>7.8642758288328096</v>
      </c>
      <c r="BA98" s="4"/>
      <c r="BB98" s="1185">
        <f t="shared" si="75"/>
        <v>342.28604559518703</v>
      </c>
      <c r="BC98" s="1186">
        <f t="shared" si="76"/>
        <v>187.02743679291407</v>
      </c>
      <c r="BD98" s="1218">
        <f t="shared" si="84"/>
        <v>7.8642758288328096</v>
      </c>
      <c r="BE98" s="1186">
        <f t="shared" si="48"/>
        <v>537.17775821693385</v>
      </c>
      <c r="BF98" s="167">
        <v>0</v>
      </c>
      <c r="BG98" s="1208">
        <f t="shared" si="77"/>
        <v>537.17775821693385</v>
      </c>
      <c r="BI98" s="1185">
        <f t="shared" si="78"/>
        <v>342.28604559518703</v>
      </c>
      <c r="BJ98" s="1186">
        <f t="shared" si="79"/>
        <v>185.21643650560816</v>
      </c>
      <c r="BK98" s="1218">
        <f t="shared" si="80"/>
        <v>7.8642758288328096</v>
      </c>
      <c r="BL98" s="1186">
        <f t="shared" si="49"/>
        <v>535.36675792962797</v>
      </c>
      <c r="BM98" s="167">
        <v>0</v>
      </c>
      <c r="BN98" s="1208">
        <f t="shared" si="81"/>
        <v>535.36675792962797</v>
      </c>
    </row>
    <row r="99" spans="1:66">
      <c r="A99" s="1050">
        <f>'Input data'!A130</f>
        <v>2030</v>
      </c>
      <c r="B99" s="946">
        <f>'Input data'!B130</f>
        <v>65.956000000000003</v>
      </c>
      <c r="C99" s="946">
        <f>'Recycling - Case 2'!AF109</f>
        <v>180.86727790209989</v>
      </c>
      <c r="D99" s="947">
        <f>'Recycling - Case 2'!AM109</f>
        <v>0.2834252604436</v>
      </c>
      <c r="E99" s="948">
        <f>'Recycling - Case 2'!BE109</f>
        <v>0.17037510887119423</v>
      </c>
      <c r="F99" s="948">
        <f>'Recycling - Case 2'!BF109</f>
        <v>0.2759496177051679</v>
      </c>
      <c r="G99" s="948">
        <f>'Recycling - Case 2'!BG109</f>
        <v>5.8958039761752561E-2</v>
      </c>
      <c r="H99" s="948">
        <f>'Recycling - Case 2'!BH109</f>
        <v>0</v>
      </c>
      <c r="I99" s="948">
        <f>'Recycling - Case 2'!BI109</f>
        <v>0</v>
      </c>
      <c r="J99" s="948">
        <f>'Recycling - Case 2'!BJ109</f>
        <v>0</v>
      </c>
      <c r="K99" s="948">
        <f>'Recycling - Case 2'!BK109</f>
        <v>0.49471723366188541</v>
      </c>
      <c r="L99" s="949">
        <f t="shared" si="83"/>
        <v>1</v>
      </c>
      <c r="M99" s="4"/>
      <c r="N99" s="960">
        <f t="shared" si="50"/>
        <v>3381.0599091432387</v>
      </c>
      <c r="O99" s="955">
        <f>Parameters!R236</f>
        <v>1</v>
      </c>
      <c r="P99" s="956">
        <f>E99*'MSW characteristics'!$B$28+'MSW characteristics'!$B$29*'4A SWD Case 2'!F99+'4A SWD Case 2'!G99*'MSW characteristics'!$B$30+'MSW characteristics'!$B$31*'4A SWD Case 2'!H99+'4A SWD Case 2'!I99*'MSW characteristics'!$B$32+'MSW characteristics'!$B$33*'4A SWD Case 2'!J99+'4A SWD Case 2'!K99*'MSW characteristics'!$B$35</f>
        <v>0.10432940577641374</v>
      </c>
      <c r="Q99" s="954">
        <f t="shared" si="51"/>
        <v>176.37198560768476</v>
      </c>
      <c r="R99" s="954">
        <f t="shared" si="52"/>
        <v>176.37198560768476</v>
      </c>
      <c r="S99" s="957">
        <f t="shared" si="53"/>
        <v>0</v>
      </c>
      <c r="T99" s="954">
        <f t="shared" si="54"/>
        <v>9882.77776913862</v>
      </c>
      <c r="U99" s="954">
        <f t="shared" si="55"/>
        <v>497.65806639221171</v>
      </c>
      <c r="V99" s="961">
        <f t="shared" si="56"/>
        <v>331.77204426147449</v>
      </c>
      <c r="W99" s="4"/>
      <c r="X99" s="974">
        <f>'Recycling - Case 2'!AM149*'Recycling - Case 2'!C149</f>
        <v>707.62051159234431</v>
      </c>
      <c r="Y99" s="975">
        <f>Parameters!S235</f>
        <v>0.71500000000000008</v>
      </c>
      <c r="Z99" s="975">
        <f t="shared" si="57"/>
        <v>0.2</v>
      </c>
      <c r="AA99" s="976">
        <f t="shared" si="58"/>
        <v>50.594866578852624</v>
      </c>
      <c r="AB99" s="976">
        <f t="shared" si="59"/>
        <v>50.594866578852624</v>
      </c>
      <c r="AC99" s="977">
        <f t="shared" si="60"/>
        <v>0</v>
      </c>
      <c r="AD99" s="976">
        <f t="shared" si="61"/>
        <v>5302.4795384416502</v>
      </c>
      <c r="AE99" s="976">
        <f t="shared" si="62"/>
        <v>269.26988516684082</v>
      </c>
      <c r="AF99" s="978">
        <f t="shared" si="63"/>
        <v>179.51325677789387</v>
      </c>
      <c r="AG99" s="4"/>
      <c r="AH99" s="974">
        <f>'Recycling - Case 2'!AM189*'Recycling - Case 2'!C189</f>
        <v>707.62051159234431</v>
      </c>
      <c r="AI99" s="975">
        <f>Parameters!S235</f>
        <v>0.71500000000000008</v>
      </c>
      <c r="AJ99" s="975">
        <f t="shared" si="64"/>
        <v>0.2</v>
      </c>
      <c r="AK99" s="976">
        <f t="shared" si="65"/>
        <v>50.594866578852624</v>
      </c>
      <c r="AL99" s="976">
        <f t="shared" si="66"/>
        <v>50.594866578852624</v>
      </c>
      <c r="AM99" s="977">
        <f t="shared" si="67"/>
        <v>0</v>
      </c>
      <c r="AN99" s="976">
        <f t="shared" si="68"/>
        <v>5252.0804768993403</v>
      </c>
      <c r="AO99" s="976">
        <f t="shared" si="69"/>
        <v>266.6858700252439</v>
      </c>
      <c r="AP99" s="978">
        <f t="shared" si="70"/>
        <v>177.79058001682927</v>
      </c>
      <c r="AQ99" s="4"/>
      <c r="AR99" s="1172">
        <f>'Recycling - Case 2'!G109</f>
        <v>741.37470019741022</v>
      </c>
      <c r="AS99" s="1173">
        <v>1</v>
      </c>
      <c r="AT99" s="1173">
        <f t="shared" si="71"/>
        <v>0.05</v>
      </c>
      <c r="AU99" s="1174">
        <f t="shared" si="72"/>
        <v>18.534367504935258</v>
      </c>
      <c r="AV99" s="1174">
        <f t="shared" si="73"/>
        <v>18.534367504935258</v>
      </c>
      <c r="AW99" s="1175">
        <f t="shared" si="74"/>
        <v>0</v>
      </c>
      <c r="AX99" s="1174">
        <f t="shared" si="42"/>
        <v>215.1963067461798</v>
      </c>
      <c r="AY99" s="1174">
        <f t="shared" si="47"/>
        <v>12.160895159591902</v>
      </c>
      <c r="AZ99" s="1176">
        <f t="shared" si="45"/>
        <v>8.1072634397279355</v>
      </c>
      <c r="BA99" s="4"/>
      <c r="BB99" s="1185">
        <f t="shared" si="75"/>
        <v>331.77204426147449</v>
      </c>
      <c r="BC99" s="1186">
        <f t="shared" si="76"/>
        <v>179.51325677789387</v>
      </c>
      <c r="BD99" s="1218">
        <f t="shared" si="84"/>
        <v>8.1072634397279355</v>
      </c>
      <c r="BE99" s="1186">
        <f t="shared" si="48"/>
        <v>519.39256447909634</v>
      </c>
      <c r="BF99" s="167">
        <v>0</v>
      </c>
      <c r="BG99" s="1208">
        <f t="shared" si="77"/>
        <v>519.39256447909634</v>
      </c>
      <c r="BI99" s="1185">
        <f t="shared" si="78"/>
        <v>331.77204426147449</v>
      </c>
      <c r="BJ99" s="1186">
        <f t="shared" si="79"/>
        <v>177.79058001682927</v>
      </c>
      <c r="BK99" s="1218">
        <f t="shared" si="80"/>
        <v>8.1072634397279355</v>
      </c>
      <c r="BL99" s="1186">
        <f t="shared" si="49"/>
        <v>517.66988771803165</v>
      </c>
      <c r="BM99" s="167">
        <v>0</v>
      </c>
      <c r="BN99" s="1208">
        <f t="shared" si="81"/>
        <v>517.66988771803165</v>
      </c>
    </row>
    <row r="100" spans="1:66">
      <c r="A100" s="1050">
        <f>'Input data'!A131</f>
        <v>2031</v>
      </c>
      <c r="B100" s="946">
        <f>'Input data'!B131</f>
        <v>66.519000000000005</v>
      </c>
      <c r="C100" s="946">
        <f>'Recycling - Case 2'!AF110</f>
        <v>159.99797660570371</v>
      </c>
      <c r="D100" s="947">
        <f>'Recycling - Case 2'!AM110</f>
        <v>0.28342526044359995</v>
      </c>
      <c r="E100" s="948">
        <f>'Recycling - Case 2'!BE110</f>
        <v>0.1703751088711942</v>
      </c>
      <c r="F100" s="948">
        <f>'Recycling - Case 2'!BF110</f>
        <v>0.2759496177051679</v>
      </c>
      <c r="G100" s="948">
        <f>'Recycling - Case 2'!BG110</f>
        <v>5.8958039761752561E-2</v>
      </c>
      <c r="H100" s="948">
        <f>'Recycling - Case 2'!BH110</f>
        <v>0</v>
      </c>
      <c r="I100" s="948">
        <f>'Recycling - Case 2'!BI110</f>
        <v>0</v>
      </c>
      <c r="J100" s="948">
        <f>'Recycling - Case 2'!BJ110</f>
        <v>0</v>
      </c>
      <c r="K100" s="948">
        <f>'Recycling - Case 2'!BK110</f>
        <v>0.49471723366188547</v>
      </c>
      <c r="L100" s="949">
        <f t="shared" si="83"/>
        <v>1</v>
      </c>
      <c r="M100" s="4"/>
      <c r="N100" s="960">
        <f t="shared" si="50"/>
        <v>3016.4682365253279</v>
      </c>
      <c r="O100" s="955">
        <f>Parameters!R237</f>
        <v>1</v>
      </c>
      <c r="P100" s="956">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954">
        <f t="shared" si="51"/>
        <v>157.35316933005706</v>
      </c>
      <c r="R100" s="954">
        <f t="shared" si="52"/>
        <v>157.35316933005706</v>
      </c>
      <c r="S100" s="957">
        <f t="shared" si="53"/>
        <v>0</v>
      </c>
      <c r="T100" s="954">
        <f t="shared" si="54"/>
        <v>9558.1421791362372</v>
      </c>
      <c r="U100" s="954">
        <f t="shared" si="55"/>
        <v>481.98875933244017</v>
      </c>
      <c r="V100" s="961">
        <f t="shared" si="56"/>
        <v>321.32583955496011</v>
      </c>
      <c r="W100" s="4"/>
      <c r="X100" s="974">
        <f>'Recycling - Case 2'!AM150*'Recycling - Case 2'!C150</f>
        <v>727.12970413925086</v>
      </c>
      <c r="Y100" s="975">
        <f>Parameters!S236</f>
        <v>0.71500000000000008</v>
      </c>
      <c r="Z100" s="975">
        <f t="shared" si="57"/>
        <v>0.2</v>
      </c>
      <c r="AA100" s="976">
        <f t="shared" si="58"/>
        <v>51.989773845956449</v>
      </c>
      <c r="AB100" s="976">
        <f t="shared" si="59"/>
        <v>51.989773845956449</v>
      </c>
      <c r="AC100" s="977">
        <f t="shared" si="60"/>
        <v>0</v>
      </c>
      <c r="AD100" s="976">
        <f t="shared" si="61"/>
        <v>5095.8643336246196</v>
      </c>
      <c r="AE100" s="976">
        <f t="shared" si="62"/>
        <v>258.60497866298761</v>
      </c>
      <c r="AF100" s="978">
        <f t="shared" si="63"/>
        <v>172.40331910865839</v>
      </c>
      <c r="AG100" s="4"/>
      <c r="AH100" s="974">
        <f>'Recycling - Case 2'!AM190*'Recycling - Case 2'!C190</f>
        <v>727.12970413925086</v>
      </c>
      <c r="AI100" s="975">
        <f>Parameters!S236</f>
        <v>0.71500000000000008</v>
      </c>
      <c r="AJ100" s="975">
        <f t="shared" si="64"/>
        <v>0.2</v>
      </c>
      <c r="AK100" s="976">
        <f t="shared" si="65"/>
        <v>51.989773845956449</v>
      </c>
      <c r="AL100" s="976">
        <f t="shared" si="66"/>
        <v>51.989773845956449</v>
      </c>
      <c r="AM100" s="977">
        <f t="shared" si="67"/>
        <v>0</v>
      </c>
      <c r="AN100" s="976">
        <f t="shared" si="68"/>
        <v>5047.9232633183519</v>
      </c>
      <c r="AO100" s="976">
        <f t="shared" si="69"/>
        <v>256.1469874269452</v>
      </c>
      <c r="AP100" s="978">
        <f t="shared" si="70"/>
        <v>170.76465828463014</v>
      </c>
      <c r="AQ100" s="4"/>
      <c r="AR100" s="1172">
        <f>'Recycling - Case 2'!G110</f>
        <v>747.70306996227077</v>
      </c>
      <c r="AS100" s="1173">
        <v>1</v>
      </c>
      <c r="AT100" s="1173">
        <f t="shared" si="71"/>
        <v>0.05</v>
      </c>
      <c r="AU100" s="1174">
        <f t="shared" si="72"/>
        <v>18.692576749056769</v>
      </c>
      <c r="AV100" s="1174">
        <f t="shared" si="73"/>
        <v>18.692576749056769</v>
      </c>
      <c r="AW100" s="1175">
        <f t="shared" si="74"/>
        <v>0</v>
      </c>
      <c r="AX100" s="1174">
        <f t="shared" si="42"/>
        <v>221.3568262009257</v>
      </c>
      <c r="AY100" s="1174">
        <f t="shared" si="47"/>
        <v>12.532057294310864</v>
      </c>
      <c r="AZ100" s="1176">
        <f t="shared" si="45"/>
        <v>8.3547048628739091</v>
      </c>
      <c r="BA100" s="4"/>
      <c r="BB100" s="1185">
        <f t="shared" si="75"/>
        <v>321.32583955496011</v>
      </c>
      <c r="BC100" s="1186">
        <f t="shared" si="76"/>
        <v>172.40331910865839</v>
      </c>
      <c r="BD100" s="1218">
        <f t="shared" si="84"/>
        <v>8.3547048628739091</v>
      </c>
      <c r="BE100" s="1186">
        <f t="shared" si="48"/>
        <v>502.08386352649239</v>
      </c>
      <c r="BF100" s="167">
        <v>0</v>
      </c>
      <c r="BG100" s="1208">
        <f t="shared" si="77"/>
        <v>502.08386352649239</v>
      </c>
      <c r="BI100" s="1185">
        <f t="shared" si="78"/>
        <v>321.32583955496011</v>
      </c>
      <c r="BJ100" s="1186">
        <f t="shared" si="79"/>
        <v>170.76465828463014</v>
      </c>
      <c r="BK100" s="1218">
        <f t="shared" si="80"/>
        <v>8.3547048628739091</v>
      </c>
      <c r="BL100" s="1186">
        <f t="shared" si="49"/>
        <v>500.4452027024642</v>
      </c>
      <c r="BM100" s="167">
        <v>0</v>
      </c>
      <c r="BN100" s="1208">
        <f t="shared" si="81"/>
        <v>500.4452027024642</v>
      </c>
    </row>
    <row r="101" spans="1:66">
      <c r="A101" s="1050">
        <f>'Input data'!A132</f>
        <v>2032</v>
      </c>
      <c r="B101" s="946">
        <f>'Input data'!B132</f>
        <v>67.087000000000003</v>
      </c>
      <c r="C101" s="946">
        <f>'Recycling - Case 2'!AF111</f>
        <v>139.12867530930757</v>
      </c>
      <c r="D101" s="947">
        <f>'Recycling - Case 2'!AM111</f>
        <v>0.2834252604436</v>
      </c>
      <c r="E101" s="948">
        <f>'Recycling - Case 2'!BE111</f>
        <v>0.17037510887119423</v>
      </c>
      <c r="F101" s="948">
        <f>'Recycling - Case 2'!BF111</f>
        <v>0.2759496177051679</v>
      </c>
      <c r="G101" s="948">
        <f>'Recycling - Case 2'!BG111</f>
        <v>5.8958039761752561E-2</v>
      </c>
      <c r="H101" s="948">
        <f>'Recycling - Case 2'!BH111</f>
        <v>0</v>
      </c>
      <c r="I101" s="948">
        <f>'Recycling - Case 2'!BI111</f>
        <v>0</v>
      </c>
      <c r="J101" s="948">
        <f>'Recycling - Case 2'!BJ111</f>
        <v>0</v>
      </c>
      <c r="K101" s="948">
        <f>'Recycling - Case 2'!BK111</f>
        <v>0.49471723366188552</v>
      </c>
      <c r="L101" s="949">
        <f t="shared" si="83"/>
        <v>1.0000000000000002</v>
      </c>
      <c r="M101" s="4"/>
      <c r="N101" s="960">
        <f t="shared" si="50"/>
        <v>2645.4135638758285</v>
      </c>
      <c r="O101" s="955">
        <f>Parameters!R238</f>
        <v>1</v>
      </c>
      <c r="P101" s="956">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954">
        <f t="shared" si="51"/>
        <v>137.99721257601504</v>
      </c>
      <c r="R101" s="954">
        <f t="shared" si="52"/>
        <v>137.99721257601504</v>
      </c>
      <c r="S101" s="957">
        <f t="shared" si="53"/>
        <v>0</v>
      </c>
      <c r="T101" s="954">
        <f t="shared" si="54"/>
        <v>9229.9832969317795</v>
      </c>
      <c r="U101" s="954">
        <f t="shared" si="55"/>
        <v>466.15609478047372</v>
      </c>
      <c r="V101" s="961">
        <f t="shared" si="56"/>
        <v>310.77072985364913</v>
      </c>
      <c r="W101" s="4"/>
      <c r="X101" s="974">
        <f>'Recycling - Case 2'!AM151*'Recycling - Case 2'!C151</f>
        <v>745.72250016775149</v>
      </c>
      <c r="Y101" s="975">
        <f>Parameters!S237</f>
        <v>0.71500000000000008</v>
      </c>
      <c r="Z101" s="975">
        <f t="shared" si="57"/>
        <v>0.2</v>
      </c>
      <c r="AA101" s="976">
        <f t="shared" si="58"/>
        <v>53.319158761994245</v>
      </c>
      <c r="AB101" s="976">
        <f t="shared" si="59"/>
        <v>53.319158761994245</v>
      </c>
      <c r="AC101" s="977">
        <f t="shared" si="60"/>
        <v>0</v>
      </c>
      <c r="AD101" s="976">
        <f t="shared" si="61"/>
        <v>4900.6552561694552</v>
      </c>
      <c r="AE101" s="976">
        <f t="shared" si="62"/>
        <v>248.52823621715817</v>
      </c>
      <c r="AF101" s="978">
        <f t="shared" si="63"/>
        <v>165.68549081143877</v>
      </c>
      <c r="AG101" s="4"/>
      <c r="AH101" s="974">
        <f>'Recycling - Case 2'!AM191*'Recycling - Case 2'!C191</f>
        <v>745.72250016775149</v>
      </c>
      <c r="AI101" s="975">
        <f>Parameters!S237</f>
        <v>0.71500000000000008</v>
      </c>
      <c r="AJ101" s="975">
        <f t="shared" si="64"/>
        <v>0.2</v>
      </c>
      <c r="AK101" s="976">
        <f t="shared" si="65"/>
        <v>53.319158761994245</v>
      </c>
      <c r="AL101" s="976">
        <f t="shared" si="66"/>
        <v>53.319158761994245</v>
      </c>
      <c r="AM101" s="977">
        <f t="shared" si="67"/>
        <v>0</v>
      </c>
      <c r="AN101" s="976">
        <f t="shared" si="68"/>
        <v>4855.0522994520761</v>
      </c>
      <c r="AO101" s="976">
        <f t="shared" si="69"/>
        <v>246.19012262826976</v>
      </c>
      <c r="AP101" s="978">
        <f t="shared" si="70"/>
        <v>164.12674841884652</v>
      </c>
      <c r="AQ101" s="4"/>
      <c r="AR101" s="1172">
        <f>'Recycling - Case 2'!G111</f>
        <v>754.08764194529181</v>
      </c>
      <c r="AS101" s="1173">
        <v>1</v>
      </c>
      <c r="AT101" s="1173">
        <f t="shared" si="71"/>
        <v>0.05</v>
      </c>
      <c r="AU101" s="1174">
        <f t="shared" si="72"/>
        <v>18.852191048632296</v>
      </c>
      <c r="AV101" s="1174">
        <f t="shared" si="73"/>
        <v>18.852191048632296</v>
      </c>
      <c r="AW101" s="1175">
        <f t="shared" si="74"/>
        <v>0</v>
      </c>
      <c r="AX101" s="1174">
        <f t="shared" si="42"/>
        <v>227.31819923143669</v>
      </c>
      <c r="AY101" s="1174">
        <f t="shared" si="47"/>
        <v>12.890818018121301</v>
      </c>
      <c r="AZ101" s="1176">
        <f t="shared" si="45"/>
        <v>8.5938786787475347</v>
      </c>
      <c r="BA101" s="4"/>
      <c r="BB101" s="1185">
        <f t="shared" si="75"/>
        <v>310.77072985364913</v>
      </c>
      <c r="BC101" s="1186">
        <f t="shared" si="76"/>
        <v>165.68549081143877</v>
      </c>
      <c r="BD101" s="1218">
        <f t="shared" si="84"/>
        <v>8.5938786787475347</v>
      </c>
      <c r="BE101" s="1186">
        <f t="shared" si="48"/>
        <v>485.05009934383548</v>
      </c>
      <c r="BF101" s="167">
        <v>0</v>
      </c>
      <c r="BG101" s="1208">
        <f t="shared" si="77"/>
        <v>485.05009934383548</v>
      </c>
      <c r="BI101" s="1185">
        <f t="shared" si="78"/>
        <v>310.77072985364913</v>
      </c>
      <c r="BJ101" s="1186">
        <f t="shared" si="79"/>
        <v>164.12674841884652</v>
      </c>
      <c r="BK101" s="1218">
        <f t="shared" si="80"/>
        <v>8.5938786787475347</v>
      </c>
      <c r="BL101" s="1186">
        <f t="shared" si="49"/>
        <v>483.49135695124318</v>
      </c>
      <c r="BM101" s="167">
        <v>0</v>
      </c>
      <c r="BN101" s="1208">
        <f t="shared" si="81"/>
        <v>483.49135695124318</v>
      </c>
    </row>
    <row r="102" spans="1:66">
      <c r="A102" s="1050">
        <f>'Input data'!A133</f>
        <v>2033</v>
      </c>
      <c r="B102" s="946">
        <f>'Input data'!B133</f>
        <v>67.659000000000006</v>
      </c>
      <c r="C102" s="946">
        <f>'Recycling - Case 2'!AF112</f>
        <v>139.12867530930757</v>
      </c>
      <c r="D102" s="947">
        <f>'Recycling - Case 2'!AM112</f>
        <v>0.2834252604436</v>
      </c>
      <c r="E102" s="948">
        <f>'Recycling - Case 2'!BE112</f>
        <v>0.17037510887119423</v>
      </c>
      <c r="F102" s="948">
        <f>'Recycling - Case 2'!BF112</f>
        <v>0.2759496177051679</v>
      </c>
      <c r="G102" s="948">
        <f>'Recycling - Case 2'!BG112</f>
        <v>5.8958039761752561E-2</v>
      </c>
      <c r="H102" s="948">
        <f>'Recycling - Case 2'!BH112</f>
        <v>0</v>
      </c>
      <c r="I102" s="948">
        <f>'Recycling - Case 2'!BI112</f>
        <v>0</v>
      </c>
      <c r="J102" s="948">
        <f>'Recycling - Case 2'!BJ112</f>
        <v>0</v>
      </c>
      <c r="K102" s="948">
        <f>'Recycling - Case 2'!BK112</f>
        <v>0.49471723366188552</v>
      </c>
      <c r="L102" s="949">
        <f t="shared" si="83"/>
        <v>1.0000000000000002</v>
      </c>
      <c r="M102" s="4"/>
      <c r="N102" s="960">
        <f t="shared" si="50"/>
        <v>2667.9690002276848</v>
      </c>
      <c r="O102" s="955">
        <f>Parameters!R239</f>
        <v>1</v>
      </c>
      <c r="P102" s="956">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954">
        <f t="shared" si="51"/>
        <v>139.17381021182351</v>
      </c>
      <c r="R102" s="954">
        <f t="shared" si="52"/>
        <v>139.17381021182351</v>
      </c>
      <c r="S102" s="957">
        <f t="shared" si="53"/>
        <v>0</v>
      </c>
      <c r="T102" s="954">
        <f t="shared" si="54"/>
        <v>8919.0055099034435</v>
      </c>
      <c r="U102" s="954">
        <f t="shared" si="55"/>
        <v>450.1515972401599</v>
      </c>
      <c r="V102" s="961">
        <f t="shared" si="56"/>
        <v>300.10106482677327</v>
      </c>
      <c r="W102" s="4"/>
      <c r="X102" s="974">
        <f>'Recycling - Case 2'!AM152*'Recycling - Case 2'!C152</f>
        <v>766.3723550476949</v>
      </c>
      <c r="Y102" s="975">
        <f>Parameters!S238</f>
        <v>0.71500000000000008</v>
      </c>
      <c r="Z102" s="975">
        <f t="shared" si="57"/>
        <v>0.2</v>
      </c>
      <c r="AA102" s="976">
        <f t="shared" si="58"/>
        <v>54.79562338591019</v>
      </c>
      <c r="AB102" s="976">
        <f t="shared" si="59"/>
        <v>54.79562338591019</v>
      </c>
      <c r="AC102" s="977">
        <f t="shared" si="60"/>
        <v>0</v>
      </c>
      <c r="AD102" s="976">
        <f t="shared" si="61"/>
        <v>4716.4431023883808</v>
      </c>
      <c r="AE102" s="976">
        <f t="shared" si="62"/>
        <v>239.00777716698511</v>
      </c>
      <c r="AF102" s="978">
        <f t="shared" si="63"/>
        <v>159.3385181113234</v>
      </c>
      <c r="AG102" s="4"/>
      <c r="AH102" s="974">
        <f>'Recycling - Case 2'!AM192*'Recycling - Case 2'!C192</f>
        <v>766.3723550476949</v>
      </c>
      <c r="AI102" s="975">
        <f>Parameters!S238</f>
        <v>0.71500000000000008</v>
      </c>
      <c r="AJ102" s="975">
        <f t="shared" si="64"/>
        <v>0.2</v>
      </c>
      <c r="AK102" s="976">
        <f t="shared" si="65"/>
        <v>54.79562338591019</v>
      </c>
      <c r="AL102" s="976">
        <f t="shared" si="66"/>
        <v>54.79562338591019</v>
      </c>
      <c r="AM102" s="977">
        <f t="shared" si="67"/>
        <v>0</v>
      </c>
      <c r="AN102" s="976">
        <f t="shared" si="68"/>
        <v>4673.0642281145774</v>
      </c>
      <c r="AO102" s="976">
        <f t="shared" si="69"/>
        <v>236.7836947234095</v>
      </c>
      <c r="AP102" s="978">
        <f t="shared" si="70"/>
        <v>157.85579648227301</v>
      </c>
      <c r="AQ102" s="4"/>
      <c r="AR102" s="1172">
        <f>'Recycling - Case 2'!G112</f>
        <v>760.51717570284097</v>
      </c>
      <c r="AS102" s="1173">
        <v>1</v>
      </c>
      <c r="AT102" s="1173">
        <f t="shared" si="71"/>
        <v>0.05</v>
      </c>
      <c r="AU102" s="1174">
        <f t="shared" si="72"/>
        <v>19.012929392571024</v>
      </c>
      <c r="AV102" s="1174">
        <f t="shared" si="73"/>
        <v>19.012929392571024</v>
      </c>
      <c r="AW102" s="1175">
        <f t="shared" si="74"/>
        <v>0</v>
      </c>
      <c r="AX102" s="1174">
        <f t="shared" si="42"/>
        <v>233.0931472669763</v>
      </c>
      <c r="AY102" s="1174">
        <f t="shared" si="47"/>
        <v>13.237981357031391</v>
      </c>
      <c r="AZ102" s="1176">
        <f t="shared" si="45"/>
        <v>8.8253209046875938</v>
      </c>
      <c r="BA102" s="4"/>
      <c r="BB102" s="1185">
        <f t="shared" si="75"/>
        <v>300.10106482677327</v>
      </c>
      <c r="BC102" s="1186">
        <f t="shared" si="76"/>
        <v>159.3385181113234</v>
      </c>
      <c r="BD102" s="1218">
        <f t="shared" si="84"/>
        <v>8.8253209046875938</v>
      </c>
      <c r="BE102" s="1186">
        <f t="shared" si="48"/>
        <v>468.26490384278429</v>
      </c>
      <c r="BF102" s="167">
        <v>0</v>
      </c>
      <c r="BG102" s="1208">
        <f t="shared" si="77"/>
        <v>468.26490384278429</v>
      </c>
      <c r="BI102" s="1185">
        <f t="shared" si="78"/>
        <v>300.10106482677327</v>
      </c>
      <c r="BJ102" s="1186">
        <f t="shared" si="79"/>
        <v>157.85579648227301</v>
      </c>
      <c r="BK102" s="1218">
        <f t="shared" si="80"/>
        <v>8.8253209046875938</v>
      </c>
      <c r="BL102" s="1186">
        <f t="shared" si="49"/>
        <v>466.7821822137339</v>
      </c>
      <c r="BM102" s="167">
        <v>0</v>
      </c>
      <c r="BN102" s="1208">
        <f t="shared" si="81"/>
        <v>466.7821822137339</v>
      </c>
    </row>
    <row r="103" spans="1:66">
      <c r="A103" s="1050">
        <f>'Input data'!A134</f>
        <v>2034</v>
      </c>
      <c r="B103" s="946">
        <f>'Input data'!B134</f>
        <v>68.236999999999995</v>
      </c>
      <c r="C103" s="946">
        <f>'Recycling - Case 2'!AF113</f>
        <v>139.12867530930757</v>
      </c>
      <c r="D103" s="947">
        <f>'Recycling - Case 2'!AM113</f>
        <v>0.2834252604436</v>
      </c>
      <c r="E103" s="948">
        <f>'Recycling - Case 2'!BE113</f>
        <v>0.17037510887119423</v>
      </c>
      <c r="F103" s="948">
        <f>'Recycling - Case 2'!BF113</f>
        <v>0.2759496177051679</v>
      </c>
      <c r="G103" s="948">
        <f>'Recycling - Case 2'!BG113</f>
        <v>5.8958039761752561E-2</v>
      </c>
      <c r="H103" s="948">
        <f>'Recycling - Case 2'!BH113</f>
        <v>0</v>
      </c>
      <c r="I103" s="948">
        <f>'Recycling - Case 2'!BI113</f>
        <v>0</v>
      </c>
      <c r="J103" s="948">
        <f>'Recycling - Case 2'!BJ113</f>
        <v>0</v>
      </c>
      <c r="K103" s="948">
        <f>'Recycling - Case 2'!BK113</f>
        <v>0.49471723366188552</v>
      </c>
      <c r="L103" s="949">
        <f t="shared" si="83"/>
        <v>1.0000000000000002</v>
      </c>
      <c r="M103" s="4"/>
      <c r="N103" s="960">
        <f t="shared" si="50"/>
        <v>2690.7610320657486</v>
      </c>
      <c r="O103" s="955">
        <f>Parameters!R240</f>
        <v>1</v>
      </c>
      <c r="P103" s="956">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954">
        <f t="shared" si="51"/>
        <v>140.36274978087465</v>
      </c>
      <c r="R103" s="954">
        <f t="shared" si="52"/>
        <v>140.36274978087465</v>
      </c>
      <c r="S103" s="957">
        <f t="shared" si="53"/>
        <v>0</v>
      </c>
      <c r="T103" s="954">
        <f t="shared" si="54"/>
        <v>8624.3832280850238</v>
      </c>
      <c r="U103" s="954">
        <f t="shared" si="55"/>
        <v>434.98503159929356</v>
      </c>
      <c r="V103" s="961">
        <f t="shared" si="56"/>
        <v>289.99002106619571</v>
      </c>
      <c r="W103" s="4"/>
      <c r="X103" s="974">
        <f>'Recycling - Case 2'!AM153*'Recycling - Case 2'!C153</f>
        <v>788.45287115890471</v>
      </c>
      <c r="Y103" s="975">
        <f>Parameters!S239</f>
        <v>0.71500000000000008</v>
      </c>
      <c r="Z103" s="975">
        <f t="shared" si="57"/>
        <v>0.2</v>
      </c>
      <c r="AA103" s="976">
        <f t="shared" si="58"/>
        <v>56.37438028786169</v>
      </c>
      <c r="AB103" s="976">
        <f t="shared" si="59"/>
        <v>56.37438028786169</v>
      </c>
      <c r="AC103" s="977">
        <f t="shared" si="60"/>
        <v>0</v>
      </c>
      <c r="AD103" s="976">
        <f t="shared" si="61"/>
        <v>4542.7938382631237</v>
      </c>
      <c r="AE103" s="976">
        <f t="shared" si="62"/>
        <v>230.02364441311914</v>
      </c>
      <c r="AF103" s="978">
        <f t="shared" si="63"/>
        <v>153.34909627541276</v>
      </c>
      <c r="AG103" s="4"/>
      <c r="AH103" s="974">
        <f>'Recycling - Case 2'!AM193*'Recycling - Case 2'!C193</f>
        <v>788.45287115890471</v>
      </c>
      <c r="AI103" s="975">
        <f>Parameters!S239</f>
        <v>0.71500000000000008</v>
      </c>
      <c r="AJ103" s="975">
        <f t="shared" si="64"/>
        <v>0.2</v>
      </c>
      <c r="AK103" s="976">
        <f t="shared" si="65"/>
        <v>56.37438028786169</v>
      </c>
      <c r="AL103" s="976">
        <f t="shared" si="66"/>
        <v>56.37438028786169</v>
      </c>
      <c r="AM103" s="977">
        <f t="shared" si="67"/>
        <v>0</v>
      </c>
      <c r="AN103" s="976">
        <f t="shared" si="68"/>
        <v>4501.5305766521642</v>
      </c>
      <c r="AO103" s="976">
        <f t="shared" si="69"/>
        <v>227.90803175027457</v>
      </c>
      <c r="AP103" s="978">
        <f t="shared" si="70"/>
        <v>151.93868783351638</v>
      </c>
      <c r="AQ103" s="4"/>
      <c r="AR103" s="1172">
        <f>'Recycling - Case 2'!G113</f>
        <v>767.01415212218251</v>
      </c>
      <c r="AS103" s="1173">
        <v>1</v>
      </c>
      <c r="AT103" s="1173">
        <f t="shared" si="71"/>
        <v>0.05</v>
      </c>
      <c r="AU103" s="1174">
        <f t="shared" si="72"/>
        <v>19.175353803054563</v>
      </c>
      <c r="AV103" s="1174">
        <f t="shared" si="73"/>
        <v>19.175353803054563</v>
      </c>
      <c r="AW103" s="1175">
        <f t="shared" si="74"/>
        <v>0</v>
      </c>
      <c r="AX103" s="1174">
        <f t="shared" si="42"/>
        <v>238.6942129206231</v>
      </c>
      <c r="AY103" s="1174">
        <f t="shared" si="47"/>
        <v>13.574288149407765</v>
      </c>
      <c r="AZ103" s="1176">
        <f t="shared" si="45"/>
        <v>9.0495254329385109</v>
      </c>
      <c r="BA103" s="4"/>
      <c r="BB103" s="1185">
        <f t="shared" si="75"/>
        <v>289.99002106619571</v>
      </c>
      <c r="BC103" s="1186">
        <f t="shared" si="76"/>
        <v>153.34909627541276</v>
      </c>
      <c r="BD103" s="1218">
        <f t="shared" si="84"/>
        <v>9.0495254329385109</v>
      </c>
      <c r="BE103" s="1186">
        <f t="shared" si="48"/>
        <v>452.38864277454701</v>
      </c>
      <c r="BF103" s="167">
        <v>0</v>
      </c>
      <c r="BG103" s="1208">
        <f t="shared" si="77"/>
        <v>452.38864277454701</v>
      </c>
      <c r="BI103" s="1185">
        <f t="shared" si="78"/>
        <v>289.99002106619571</v>
      </c>
      <c r="BJ103" s="1186">
        <f t="shared" si="79"/>
        <v>151.93868783351638</v>
      </c>
      <c r="BK103" s="1218">
        <f t="shared" si="80"/>
        <v>9.0495254329385109</v>
      </c>
      <c r="BL103" s="1186">
        <f t="shared" si="49"/>
        <v>450.97823433265063</v>
      </c>
      <c r="BM103" s="167">
        <v>0</v>
      </c>
      <c r="BN103" s="1208">
        <f t="shared" si="81"/>
        <v>450.97823433265063</v>
      </c>
    </row>
    <row r="104" spans="1:66">
      <c r="A104" s="1050">
        <f>'Input data'!A135</f>
        <v>2035</v>
      </c>
      <c r="B104" s="946">
        <f>'Input data'!B135</f>
        <v>68.819000000000003</v>
      </c>
      <c r="C104" s="946">
        <f>'Recycling - Case 2'!AF114</f>
        <v>139.12867530930757</v>
      </c>
      <c r="D104" s="947">
        <f>'Recycling - Case 2'!AM114</f>
        <v>0.2834252604436</v>
      </c>
      <c r="E104" s="948">
        <f>'Recycling - Case 2'!BE114</f>
        <v>0.17037510887119423</v>
      </c>
      <c r="F104" s="948">
        <f>'Recycling - Case 2'!BF114</f>
        <v>0.2759496177051679</v>
      </c>
      <c r="G104" s="948">
        <f>'Recycling - Case 2'!BG114</f>
        <v>5.8958039761752561E-2</v>
      </c>
      <c r="H104" s="948">
        <f>'Recycling - Case 2'!BH114</f>
        <v>0</v>
      </c>
      <c r="I104" s="948">
        <f>'Recycling - Case 2'!BI114</f>
        <v>0</v>
      </c>
      <c r="J104" s="948">
        <f>'Recycling - Case 2'!BJ114</f>
        <v>0</v>
      </c>
      <c r="K104" s="948">
        <f>'Recycling - Case 2'!BK114</f>
        <v>0.49471723366188552</v>
      </c>
      <c r="L104" s="949">
        <f t="shared" si="83"/>
        <v>1.0000000000000002</v>
      </c>
      <c r="M104" s="4"/>
      <c r="N104" s="960">
        <f t="shared" si="50"/>
        <v>2713.7107942279526</v>
      </c>
      <c r="O104" s="955">
        <f>Parameters!R241</f>
        <v>1</v>
      </c>
      <c r="P104" s="956">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954">
        <f t="shared" si="51"/>
        <v>141.55991730542104</v>
      </c>
      <c r="R104" s="954">
        <f t="shared" si="52"/>
        <v>141.55991730542104</v>
      </c>
      <c r="S104" s="957">
        <f t="shared" si="53"/>
        <v>0</v>
      </c>
      <c r="T104" s="954">
        <f t="shared" si="54"/>
        <v>8345.3270120303496</v>
      </c>
      <c r="U104" s="954">
        <f t="shared" si="55"/>
        <v>420.61613336009646</v>
      </c>
      <c r="V104" s="961">
        <f t="shared" si="56"/>
        <v>280.41075557339764</v>
      </c>
      <c r="W104" s="4"/>
      <c r="X104" s="974">
        <f>'Recycling - Case 2'!AM154*'Recycling - Case 2'!C154</f>
        <v>812.05298149683824</v>
      </c>
      <c r="Y104" s="975">
        <f>Parameters!S240</f>
        <v>0.71500000000000008</v>
      </c>
      <c r="Z104" s="975">
        <f t="shared" si="57"/>
        <v>0.2</v>
      </c>
      <c r="AA104" s="976">
        <f t="shared" si="58"/>
        <v>58.061788177023942</v>
      </c>
      <c r="AB104" s="976">
        <f t="shared" si="59"/>
        <v>58.061788177023942</v>
      </c>
      <c r="AC104" s="977">
        <f t="shared" si="60"/>
        <v>0</v>
      </c>
      <c r="AD104" s="976">
        <f t="shared" si="61"/>
        <v>4379.3009565734446</v>
      </c>
      <c r="AE104" s="976">
        <f t="shared" si="62"/>
        <v>221.55466986670282</v>
      </c>
      <c r="AF104" s="978">
        <f t="shared" si="63"/>
        <v>147.70311324446854</v>
      </c>
      <c r="AG104" s="4"/>
      <c r="AH104" s="974">
        <f>'Recycling - Case 2'!AM194*'Recycling - Case 2'!C194</f>
        <v>812.05298149683824</v>
      </c>
      <c r="AI104" s="975">
        <f>Parameters!S240</f>
        <v>0.71500000000000008</v>
      </c>
      <c r="AJ104" s="975">
        <f t="shared" si="64"/>
        <v>0.2</v>
      </c>
      <c r="AK104" s="976">
        <f t="shared" si="65"/>
        <v>58.061788177023942</v>
      </c>
      <c r="AL104" s="976">
        <f t="shared" si="66"/>
        <v>58.061788177023942</v>
      </c>
      <c r="AM104" s="977">
        <f t="shared" si="67"/>
        <v>0</v>
      </c>
      <c r="AN104" s="976">
        <f t="shared" si="68"/>
        <v>4340.0501279782293</v>
      </c>
      <c r="AO104" s="976">
        <f t="shared" si="69"/>
        <v>219.54223685095874</v>
      </c>
      <c r="AP104" s="978">
        <f t="shared" si="70"/>
        <v>146.36149123397249</v>
      </c>
      <c r="AQ104" s="4"/>
      <c r="AR104" s="1172">
        <f>'Recycling - Case 2'!G114</f>
        <v>773.55609031605263</v>
      </c>
      <c r="AS104" s="1173">
        <v>1</v>
      </c>
      <c r="AT104" s="1173">
        <f t="shared" si="71"/>
        <v>0.05</v>
      </c>
      <c r="AU104" s="1174">
        <f t="shared" si="72"/>
        <v>19.338902257901317</v>
      </c>
      <c r="AV104" s="1174">
        <f t="shared" si="73"/>
        <v>19.338902257901317</v>
      </c>
      <c r="AW104" s="1175">
        <f t="shared" si="74"/>
        <v>0</v>
      </c>
      <c r="AX104" s="1174">
        <f t="shared" si="42"/>
        <v>244.13264635835128</v>
      </c>
      <c r="AY104" s="1174">
        <f t="shared" si="47"/>
        <v>13.900468820173131</v>
      </c>
      <c r="AZ104" s="1176">
        <f t="shared" si="45"/>
        <v>9.2669792134487547</v>
      </c>
      <c r="BA104" s="4"/>
      <c r="BB104" s="1185">
        <f t="shared" si="75"/>
        <v>280.41075557339764</v>
      </c>
      <c r="BC104" s="1186">
        <f t="shared" si="76"/>
        <v>147.70311324446854</v>
      </c>
      <c r="BD104" s="1218">
        <f t="shared" si="84"/>
        <v>9.2669792134487547</v>
      </c>
      <c r="BE104" s="1186">
        <f t="shared" si="48"/>
        <v>437.38084803131494</v>
      </c>
      <c r="BF104" s="167">
        <v>0</v>
      </c>
      <c r="BG104" s="1208">
        <f t="shared" si="77"/>
        <v>437.38084803131494</v>
      </c>
      <c r="BI104" s="1185">
        <f t="shared" si="78"/>
        <v>280.41075557339764</v>
      </c>
      <c r="BJ104" s="1186">
        <f t="shared" si="79"/>
        <v>146.36149123397249</v>
      </c>
      <c r="BK104" s="1218">
        <f t="shared" si="80"/>
        <v>9.2669792134487547</v>
      </c>
      <c r="BL104" s="1186">
        <f t="shared" si="49"/>
        <v>436.03922602081889</v>
      </c>
      <c r="BM104" s="167">
        <v>0</v>
      </c>
      <c r="BN104" s="1208">
        <f t="shared" si="81"/>
        <v>436.03922602081889</v>
      </c>
    </row>
    <row r="105" spans="1:66">
      <c r="A105" s="1050">
        <f>'Input data'!A136</f>
        <v>2036</v>
      </c>
      <c r="B105" s="946">
        <f>'Input data'!B136</f>
        <v>69.322999999999993</v>
      </c>
      <c r="C105" s="946">
        <f>'Recycling - Case 2'!AF115</f>
        <v>139.12867530930757</v>
      </c>
      <c r="D105" s="947">
        <f>'Recycling - Case 2'!AM115</f>
        <v>0.2834252604436</v>
      </c>
      <c r="E105" s="948">
        <f>'Recycling - Case 2'!BE115</f>
        <v>0.17037510887119423</v>
      </c>
      <c r="F105" s="948">
        <f>'Recycling - Case 2'!BF115</f>
        <v>0.2759496177051679</v>
      </c>
      <c r="G105" s="948">
        <f>'Recycling - Case 2'!BG115</f>
        <v>5.8958039761752561E-2</v>
      </c>
      <c r="H105" s="948">
        <f>'Recycling - Case 2'!BH115</f>
        <v>0</v>
      </c>
      <c r="I105" s="948">
        <f>'Recycling - Case 2'!BI115</f>
        <v>0</v>
      </c>
      <c r="J105" s="948">
        <f>'Recycling - Case 2'!BJ115</f>
        <v>0</v>
      </c>
      <c r="K105" s="948">
        <f>'Recycling - Case 2'!BK115</f>
        <v>0.49471723366188552</v>
      </c>
      <c r="L105" s="949">
        <f t="shared" si="83"/>
        <v>1.0000000000000002</v>
      </c>
      <c r="M105" s="4"/>
      <c r="N105" s="960">
        <f t="shared" si="50"/>
        <v>2733.5848150694478</v>
      </c>
      <c r="O105" s="955">
        <f>Parameters!R242</f>
        <v>1</v>
      </c>
      <c r="P105" s="956">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954">
        <f t="shared" si="51"/>
        <v>142.59663969781167</v>
      </c>
      <c r="R105" s="954">
        <f t="shared" si="52"/>
        <v>142.59663969781167</v>
      </c>
      <c r="S105" s="957">
        <f t="shared" si="53"/>
        <v>0</v>
      </c>
      <c r="T105" s="954">
        <f t="shared" si="54"/>
        <v>8080.9172506217046</v>
      </c>
      <c r="U105" s="954">
        <f t="shared" si="55"/>
        <v>407.00640110645685</v>
      </c>
      <c r="V105" s="961">
        <f t="shared" si="56"/>
        <v>271.3376007376379</v>
      </c>
      <c r="W105" s="4"/>
      <c r="X105" s="974">
        <f>'Recycling - Case 2'!AM155*'Recycling - Case 2'!C155</f>
        <v>836.35102251651131</v>
      </c>
      <c r="Y105" s="975">
        <f>Parameters!S241</f>
        <v>0.71500000000000008</v>
      </c>
      <c r="Z105" s="975">
        <f t="shared" si="57"/>
        <v>0.2</v>
      </c>
      <c r="AA105" s="976">
        <f t="shared" si="58"/>
        <v>59.799098109930569</v>
      </c>
      <c r="AB105" s="976">
        <f t="shared" si="59"/>
        <v>59.799098109930569</v>
      </c>
      <c r="AC105" s="977">
        <f t="shared" si="60"/>
        <v>0</v>
      </c>
      <c r="AD105" s="976">
        <f t="shared" si="61"/>
        <v>4225.5190267467142</v>
      </c>
      <c r="AE105" s="976">
        <f t="shared" si="62"/>
        <v>213.58102793666052</v>
      </c>
      <c r="AF105" s="978">
        <f t="shared" si="63"/>
        <v>142.38735195777369</v>
      </c>
      <c r="AG105" s="4"/>
      <c r="AH105" s="974">
        <f>'Recycling - Case 2'!AM195*'Recycling - Case 2'!C195</f>
        <v>836.35102251651131</v>
      </c>
      <c r="AI105" s="975">
        <f>Parameters!S241</f>
        <v>0.71500000000000008</v>
      </c>
      <c r="AJ105" s="975">
        <f t="shared" si="64"/>
        <v>0.2</v>
      </c>
      <c r="AK105" s="976">
        <f t="shared" si="65"/>
        <v>59.799098109930569</v>
      </c>
      <c r="AL105" s="976">
        <f t="shared" si="66"/>
        <v>59.799098109930569</v>
      </c>
      <c r="AM105" s="977">
        <f t="shared" si="67"/>
        <v>0</v>
      </c>
      <c r="AN105" s="976">
        <f t="shared" si="68"/>
        <v>4188.1824836509113</v>
      </c>
      <c r="AO105" s="976">
        <f t="shared" si="69"/>
        <v>211.66674243724802</v>
      </c>
      <c r="AP105" s="978">
        <f t="shared" si="70"/>
        <v>141.11116162483202</v>
      </c>
      <c r="AQ105" s="4"/>
      <c r="AR105" s="1172">
        <f>'Recycling - Case 2'!G115</f>
        <v>779.22127390662058</v>
      </c>
      <c r="AS105" s="1173">
        <v>1</v>
      </c>
      <c r="AT105" s="1173">
        <f t="shared" si="71"/>
        <v>0.05</v>
      </c>
      <c r="AU105" s="1174">
        <f t="shared" si="72"/>
        <v>19.480531847665517</v>
      </c>
      <c r="AV105" s="1174">
        <f t="shared" si="73"/>
        <v>19.480531847665517</v>
      </c>
      <c r="AW105" s="1175">
        <f t="shared" si="74"/>
        <v>0</v>
      </c>
      <c r="AX105" s="1174">
        <f t="shared" si="42"/>
        <v>249.39599967802656</v>
      </c>
      <c r="AY105" s="1174">
        <f t="shared" si="47"/>
        <v>14.217178527990249</v>
      </c>
      <c r="AZ105" s="1176">
        <f t="shared" si="45"/>
        <v>9.4781190186601663</v>
      </c>
      <c r="BA105" s="4"/>
      <c r="BB105" s="1185">
        <f t="shared" si="75"/>
        <v>271.3376007376379</v>
      </c>
      <c r="BC105" s="1186">
        <f t="shared" si="76"/>
        <v>142.38735195777369</v>
      </c>
      <c r="BD105" s="1218">
        <f t="shared" si="84"/>
        <v>9.4781190186601663</v>
      </c>
      <c r="BE105" s="1186">
        <f t="shared" si="48"/>
        <v>423.20307171407177</v>
      </c>
      <c r="BF105" s="167">
        <v>0</v>
      </c>
      <c r="BG105" s="1208">
        <f t="shared" si="77"/>
        <v>423.20307171407177</v>
      </c>
      <c r="BI105" s="1185">
        <f t="shared" si="78"/>
        <v>271.3376007376379</v>
      </c>
      <c r="BJ105" s="1186">
        <f t="shared" si="79"/>
        <v>141.11116162483202</v>
      </c>
      <c r="BK105" s="1218">
        <f t="shared" si="80"/>
        <v>9.4781190186601663</v>
      </c>
      <c r="BL105" s="1186">
        <f t="shared" si="49"/>
        <v>421.92688138113004</v>
      </c>
      <c r="BM105" s="167">
        <v>0</v>
      </c>
      <c r="BN105" s="1208">
        <f t="shared" si="81"/>
        <v>421.92688138113004</v>
      </c>
    </row>
    <row r="106" spans="1:66">
      <c r="A106" s="1050">
        <f>'Input data'!A137</f>
        <v>2037</v>
      </c>
      <c r="B106" s="946">
        <f>'Input data'!B137</f>
        <v>69.83</v>
      </c>
      <c r="C106" s="946">
        <f>'Recycling - Case 2'!AF116</f>
        <v>139.12867530930757</v>
      </c>
      <c r="D106" s="947">
        <f>'Recycling - Case 2'!AM116</f>
        <v>0.2834252604436</v>
      </c>
      <c r="E106" s="948">
        <f>'Recycling - Case 2'!BE116</f>
        <v>0.17037510887119423</v>
      </c>
      <c r="F106" s="948">
        <f>'Recycling - Case 2'!BF116</f>
        <v>0.2759496177051679</v>
      </c>
      <c r="G106" s="948">
        <f>'Recycling - Case 2'!BG116</f>
        <v>5.8958039761752561E-2</v>
      </c>
      <c r="H106" s="948">
        <f>'Recycling - Case 2'!BH116</f>
        <v>0</v>
      </c>
      <c r="I106" s="948">
        <f>'Recycling - Case 2'!BI116</f>
        <v>0</v>
      </c>
      <c r="J106" s="948">
        <f>'Recycling - Case 2'!BJ116</f>
        <v>0</v>
      </c>
      <c r="K106" s="948">
        <f>'Recycling - Case 2'!BK116</f>
        <v>0.49471723366188552</v>
      </c>
      <c r="L106" s="949">
        <f t="shared" si="83"/>
        <v>1.0000000000000002</v>
      </c>
      <c r="M106" s="4"/>
      <c r="N106" s="960">
        <f t="shared" si="50"/>
        <v>2753.5771336540474</v>
      </c>
      <c r="O106" s="955">
        <f>Parameters!R243</f>
        <v>1</v>
      </c>
      <c r="P106" s="956">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954">
        <f t="shared" si="51"/>
        <v>143.63953305682369</v>
      </c>
      <c r="R106" s="954">
        <f t="shared" si="52"/>
        <v>143.63953305682369</v>
      </c>
      <c r="S106" s="957">
        <f t="shared" si="53"/>
        <v>0</v>
      </c>
      <c r="T106" s="954">
        <f t="shared" si="54"/>
        <v>7830.4457988036002</v>
      </c>
      <c r="U106" s="954">
        <f t="shared" si="55"/>
        <v>394.11098487492836</v>
      </c>
      <c r="V106" s="961">
        <f t="shared" si="56"/>
        <v>262.74065658328556</v>
      </c>
      <c r="W106" s="4"/>
      <c r="X106" s="974">
        <f>'Recycling - Case 2'!AM156*'Recycling - Case 2'!C156</f>
        <v>861.68339293987083</v>
      </c>
      <c r="Y106" s="975">
        <f>Parameters!S242</f>
        <v>0.71500000000000008</v>
      </c>
      <c r="Z106" s="975">
        <f t="shared" si="57"/>
        <v>0.2</v>
      </c>
      <c r="AA106" s="976">
        <f t="shared" si="58"/>
        <v>61.610362595200776</v>
      </c>
      <c r="AB106" s="976">
        <f t="shared" si="59"/>
        <v>61.610362595200776</v>
      </c>
      <c r="AC106" s="977">
        <f t="shared" si="60"/>
        <v>0</v>
      </c>
      <c r="AD106" s="976">
        <f t="shared" si="61"/>
        <v>4081.0483946242953</v>
      </c>
      <c r="AE106" s="976">
        <f t="shared" si="62"/>
        <v>206.08099471762006</v>
      </c>
      <c r="AF106" s="978">
        <f t="shared" si="63"/>
        <v>137.3873298117467</v>
      </c>
      <c r="AG106" s="4"/>
      <c r="AH106" s="974">
        <f>'Recycling - Case 2'!AM196*'Recycling - Case 2'!C196</f>
        <v>861.68339293987083</v>
      </c>
      <c r="AI106" s="975">
        <f>Parameters!S242</f>
        <v>0.71500000000000008</v>
      </c>
      <c r="AJ106" s="975">
        <f t="shared" si="64"/>
        <v>0.2</v>
      </c>
      <c r="AK106" s="976">
        <f t="shared" si="65"/>
        <v>61.610362595200776</v>
      </c>
      <c r="AL106" s="976">
        <f t="shared" si="66"/>
        <v>61.610362595200776</v>
      </c>
      <c r="AM106" s="977">
        <f t="shared" si="67"/>
        <v>0</v>
      </c>
      <c r="AN106" s="976">
        <f t="shared" si="68"/>
        <v>4045.5327762224283</v>
      </c>
      <c r="AO106" s="976">
        <f t="shared" si="69"/>
        <v>204.26007002368385</v>
      </c>
      <c r="AP106" s="978">
        <f t="shared" si="70"/>
        <v>136.17338001578923</v>
      </c>
      <c r="AQ106" s="4"/>
      <c r="AR106" s="1172">
        <f>'Recycling - Case 2'!G116</f>
        <v>784.92017882808466</v>
      </c>
      <c r="AS106" s="1173">
        <v>1</v>
      </c>
      <c r="AT106" s="1173">
        <f t="shared" si="71"/>
        <v>0.05</v>
      </c>
      <c r="AU106" s="1174">
        <f t="shared" si="72"/>
        <v>19.623004470702117</v>
      </c>
      <c r="AV106" s="1174">
        <f t="shared" si="73"/>
        <v>19.623004470702117</v>
      </c>
      <c r="AW106" s="1175">
        <f t="shared" si="74"/>
        <v>0</v>
      </c>
      <c r="AX106" s="1174">
        <f t="shared" si="42"/>
        <v>254.49531178525623</v>
      </c>
      <c r="AY106" s="1174">
        <f t="shared" si="47"/>
        <v>14.523692363472433</v>
      </c>
      <c r="AZ106" s="1176">
        <f t="shared" si="45"/>
        <v>9.6824615756482881</v>
      </c>
      <c r="BA106" s="4"/>
      <c r="BB106" s="1185">
        <f t="shared" si="75"/>
        <v>262.74065658328556</v>
      </c>
      <c r="BC106" s="1186">
        <f t="shared" si="76"/>
        <v>137.3873298117467</v>
      </c>
      <c r="BD106" s="1218">
        <f t="shared" si="84"/>
        <v>9.6824615756482881</v>
      </c>
      <c r="BE106" s="1186">
        <f t="shared" si="48"/>
        <v>409.81044797068057</v>
      </c>
      <c r="BF106" s="167">
        <v>0</v>
      </c>
      <c r="BG106" s="1208">
        <f t="shared" si="77"/>
        <v>409.81044797068057</v>
      </c>
      <c r="BI106" s="1185">
        <f t="shared" si="78"/>
        <v>262.74065658328556</v>
      </c>
      <c r="BJ106" s="1186">
        <f t="shared" si="79"/>
        <v>136.17338001578923</v>
      </c>
      <c r="BK106" s="1218">
        <f t="shared" si="80"/>
        <v>9.6824615756482881</v>
      </c>
      <c r="BL106" s="1186">
        <f t="shared" si="49"/>
        <v>408.59649817472308</v>
      </c>
      <c r="BM106" s="167">
        <v>0</v>
      </c>
      <c r="BN106" s="1208">
        <f t="shared" si="81"/>
        <v>408.59649817472308</v>
      </c>
    </row>
    <row r="107" spans="1:66">
      <c r="A107" s="1050">
        <f>'Input data'!A138</f>
        <v>2038</v>
      </c>
      <c r="B107" s="946">
        <f>'Input data'!B138</f>
        <v>70.341999999999999</v>
      </c>
      <c r="C107" s="946">
        <f>'Recycling - Case 2'!AF117</f>
        <v>139.12867530930757</v>
      </c>
      <c r="D107" s="947">
        <f>'Recycling - Case 2'!AM117</f>
        <v>0.2834252604436</v>
      </c>
      <c r="E107" s="948">
        <f>'Recycling - Case 2'!BE117</f>
        <v>0.17037510887119423</v>
      </c>
      <c r="F107" s="948">
        <f>'Recycling - Case 2'!BF117</f>
        <v>0.2759496177051679</v>
      </c>
      <c r="G107" s="948">
        <f>'Recycling - Case 2'!BG117</f>
        <v>5.8958039761752561E-2</v>
      </c>
      <c r="H107" s="948">
        <f>'Recycling - Case 2'!BH117</f>
        <v>0</v>
      </c>
      <c r="I107" s="948">
        <f>'Recycling - Case 2'!BI117</f>
        <v>0</v>
      </c>
      <c r="J107" s="948">
        <f>'Recycling - Case 2'!BJ117</f>
        <v>0</v>
      </c>
      <c r="K107" s="948">
        <f>'Recycling - Case 2'!BK117</f>
        <v>0.49471723366188552</v>
      </c>
      <c r="L107" s="949">
        <f t="shared" si="83"/>
        <v>1.0000000000000002</v>
      </c>
      <c r="M107" s="4"/>
      <c r="N107" s="960">
        <f t="shared" si="50"/>
        <v>2773.7666151438211</v>
      </c>
      <c r="O107" s="955">
        <f>Parameters!R244</f>
        <v>1</v>
      </c>
      <c r="P107" s="956">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954">
        <f t="shared" si="51"/>
        <v>144.69271136020467</v>
      </c>
      <c r="R107" s="954">
        <f t="shared" si="52"/>
        <v>144.69271136020467</v>
      </c>
      <c r="S107" s="957">
        <f t="shared" si="53"/>
        <v>0</v>
      </c>
      <c r="T107" s="954">
        <f t="shared" si="54"/>
        <v>7593.2431621401875</v>
      </c>
      <c r="U107" s="954">
        <f t="shared" si="55"/>
        <v>381.89534802361771</v>
      </c>
      <c r="V107" s="961">
        <f t="shared" si="56"/>
        <v>254.59689868241182</v>
      </c>
      <c r="W107" s="4"/>
      <c r="X107" s="974">
        <f>'Recycling - Case 2'!AM157*'Recycling - Case 2'!C157</f>
        <v>1008.3164117973894</v>
      </c>
      <c r="Y107" s="975">
        <f>Parameters!S243</f>
        <v>0.71500000000000008</v>
      </c>
      <c r="Z107" s="975">
        <f t="shared" si="57"/>
        <v>0.2</v>
      </c>
      <c r="AA107" s="976">
        <f t="shared" si="58"/>
        <v>72.094623443513342</v>
      </c>
      <c r="AB107" s="976">
        <f t="shared" si="59"/>
        <v>72.094623443513342</v>
      </c>
      <c r="AC107" s="977">
        <f t="shared" si="60"/>
        <v>0</v>
      </c>
      <c r="AD107" s="976">
        <f t="shared" si="61"/>
        <v>3954.1079392215443</v>
      </c>
      <c r="AE107" s="976">
        <f t="shared" si="62"/>
        <v>199.03507884626404</v>
      </c>
      <c r="AF107" s="978">
        <f t="shared" si="63"/>
        <v>132.69005256417603</v>
      </c>
      <c r="AG107" s="4"/>
      <c r="AH107" s="974">
        <f>'Recycling - Case 2'!AM197*'Recycling - Case 2'!C197</f>
        <v>887.40242856086911</v>
      </c>
      <c r="AI107" s="975">
        <f>Parameters!S243</f>
        <v>0.71500000000000008</v>
      </c>
      <c r="AJ107" s="975">
        <f t="shared" si="64"/>
        <v>0.2</v>
      </c>
      <c r="AK107" s="976">
        <f t="shared" si="65"/>
        <v>63.449273642102156</v>
      </c>
      <c r="AL107" s="976">
        <f t="shared" si="66"/>
        <v>63.449273642102156</v>
      </c>
      <c r="AM107" s="977">
        <f t="shared" si="67"/>
        <v>0</v>
      </c>
      <c r="AN107" s="976">
        <f t="shared" si="68"/>
        <v>3911.6790881669385</v>
      </c>
      <c r="AO107" s="976">
        <f t="shared" si="69"/>
        <v>197.30296169759197</v>
      </c>
      <c r="AP107" s="978">
        <f t="shared" si="70"/>
        <v>131.53530779839465</v>
      </c>
      <c r="AQ107" s="4"/>
      <c r="AR107" s="1172">
        <f>'Recycling - Case 2'!G117</f>
        <v>790.6752859677091</v>
      </c>
      <c r="AS107" s="1173">
        <v>1</v>
      </c>
      <c r="AT107" s="1173">
        <f t="shared" si="71"/>
        <v>0.05</v>
      </c>
      <c r="AU107" s="1174">
        <f t="shared" si="72"/>
        <v>19.766882149192728</v>
      </c>
      <c r="AV107" s="1174">
        <f t="shared" si="73"/>
        <v>19.766882149192728</v>
      </c>
      <c r="AW107" s="1175">
        <f t="shared" si="74"/>
        <v>0</v>
      </c>
      <c r="AX107" s="1174">
        <f t="shared" si="42"/>
        <v>259.44154075201254</v>
      </c>
      <c r="AY107" s="1174">
        <f t="shared" si="47"/>
        <v>14.820653182436441</v>
      </c>
      <c r="AZ107" s="1176">
        <f t="shared" si="45"/>
        <v>9.8804354549576274</v>
      </c>
      <c r="BA107" s="4"/>
      <c r="BB107" s="1185">
        <f t="shared" si="75"/>
        <v>254.59689868241182</v>
      </c>
      <c r="BC107" s="1186">
        <f t="shared" si="76"/>
        <v>132.69005256417603</v>
      </c>
      <c r="BD107" s="1218">
        <f t="shared" si="84"/>
        <v>9.8804354549576274</v>
      </c>
      <c r="BE107" s="1186">
        <f t="shared" si="48"/>
        <v>397.16738670154547</v>
      </c>
      <c r="BF107" s="167">
        <v>0</v>
      </c>
      <c r="BG107" s="1208">
        <f t="shared" si="77"/>
        <v>397.16738670154547</v>
      </c>
      <c r="BI107" s="1185">
        <f t="shared" si="78"/>
        <v>254.59689868241182</v>
      </c>
      <c r="BJ107" s="1186">
        <f t="shared" si="79"/>
        <v>131.53530779839465</v>
      </c>
      <c r="BK107" s="1218">
        <f t="shared" si="80"/>
        <v>9.8804354549576274</v>
      </c>
      <c r="BL107" s="1186">
        <f t="shared" si="49"/>
        <v>396.01264193576412</v>
      </c>
      <c r="BM107" s="167">
        <v>0</v>
      </c>
      <c r="BN107" s="1208">
        <f t="shared" si="81"/>
        <v>396.01264193576412</v>
      </c>
    </row>
    <row r="108" spans="1:66">
      <c r="A108" s="1050">
        <f>'Input data'!A139</f>
        <v>2039</v>
      </c>
      <c r="B108" s="946">
        <f>'Input data'!B139</f>
        <v>70.856999999999999</v>
      </c>
      <c r="C108" s="946">
        <f>'Recycling - Case 2'!AF118</f>
        <v>139.12867530930757</v>
      </c>
      <c r="D108" s="947">
        <f>'Recycling - Case 2'!AM118</f>
        <v>0.2834252604436</v>
      </c>
      <c r="E108" s="948">
        <f>'Recycling - Case 2'!BE118</f>
        <v>0.17037510887119423</v>
      </c>
      <c r="F108" s="948">
        <f>'Recycling - Case 2'!BF118</f>
        <v>0.2759496177051679</v>
      </c>
      <c r="G108" s="948">
        <f>'Recycling - Case 2'!BG118</f>
        <v>5.8958039761752561E-2</v>
      </c>
      <c r="H108" s="948">
        <f>'Recycling - Case 2'!BH118</f>
        <v>0</v>
      </c>
      <c r="I108" s="948">
        <f>'Recycling - Case 2'!BI118</f>
        <v>0</v>
      </c>
      <c r="J108" s="948">
        <f>'Recycling - Case 2'!BJ118</f>
        <v>0</v>
      </c>
      <c r="K108" s="948">
        <f>'Recycling - Case 2'!BK118</f>
        <v>0.49471723366188552</v>
      </c>
      <c r="L108" s="949">
        <f t="shared" si="83"/>
        <v>1.0000000000000002</v>
      </c>
      <c r="M108" s="4"/>
      <c r="N108" s="960">
        <f t="shared" si="50"/>
        <v>2794.0743943766984</v>
      </c>
      <c r="O108" s="955">
        <f>Parameters!R245</f>
        <v>1</v>
      </c>
      <c r="P108" s="956">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954">
        <f t="shared" si="51"/>
        <v>145.75206063020701</v>
      </c>
      <c r="R108" s="954">
        <f t="shared" si="52"/>
        <v>145.75206063020701</v>
      </c>
      <c r="S108" s="957">
        <f t="shared" si="53"/>
        <v>0</v>
      </c>
      <c r="T108" s="954">
        <f t="shared" si="54"/>
        <v>7368.6683838467989</v>
      </c>
      <c r="U108" s="954">
        <f t="shared" si="55"/>
        <v>370.32683892359506</v>
      </c>
      <c r="V108" s="961">
        <f t="shared" si="56"/>
        <v>246.88455928239671</v>
      </c>
      <c r="W108" s="4"/>
      <c r="X108" s="974">
        <f>'Recycling - Case 2'!AM158*'Recycling - Case 2'!C158</f>
        <v>1426.8097117714919</v>
      </c>
      <c r="Y108" s="975">
        <f>Parameters!S244</f>
        <v>0.71500000000000008</v>
      </c>
      <c r="Z108" s="975">
        <f t="shared" si="57"/>
        <v>0.2</v>
      </c>
      <c r="AA108" s="976">
        <f t="shared" si="58"/>
        <v>102.01689439166168</v>
      </c>
      <c r="AB108" s="976">
        <f t="shared" si="59"/>
        <v>102.01689439166168</v>
      </c>
      <c r="AC108" s="977">
        <f t="shared" si="60"/>
        <v>0</v>
      </c>
      <c r="AD108" s="976">
        <f t="shared" si="61"/>
        <v>3863.2807138310754</v>
      </c>
      <c r="AE108" s="976">
        <f t="shared" si="62"/>
        <v>192.84411978213043</v>
      </c>
      <c r="AF108" s="978">
        <f t="shared" si="63"/>
        <v>128.56274652142028</v>
      </c>
      <c r="AG108" s="4"/>
      <c r="AH108" s="974">
        <f>'Recycling - Case 2'!AM198*'Recycling - Case 2'!C198</f>
        <v>914.17899349741231</v>
      </c>
      <c r="AI108" s="975">
        <f>Parameters!S244</f>
        <v>0.71500000000000008</v>
      </c>
      <c r="AJ108" s="975">
        <f t="shared" si="64"/>
        <v>0.2</v>
      </c>
      <c r="AK108" s="976">
        <f t="shared" si="65"/>
        <v>65.363798035064988</v>
      </c>
      <c r="AL108" s="976">
        <f t="shared" si="66"/>
        <v>65.363798035064988</v>
      </c>
      <c r="AM108" s="977">
        <f t="shared" si="67"/>
        <v>0</v>
      </c>
      <c r="AN108" s="976">
        <f t="shared" si="68"/>
        <v>3786.2680459035796</v>
      </c>
      <c r="AO108" s="976">
        <f t="shared" si="69"/>
        <v>190.77484029842384</v>
      </c>
      <c r="AP108" s="978">
        <f t="shared" si="70"/>
        <v>127.18322686561589</v>
      </c>
      <c r="AQ108" s="4"/>
      <c r="AR108" s="1172">
        <f>'Recycling - Case 2'!G118</f>
        <v>796.46411443823001</v>
      </c>
      <c r="AS108" s="1173">
        <v>1</v>
      </c>
      <c r="AT108" s="1173">
        <f t="shared" si="71"/>
        <v>0.05</v>
      </c>
      <c r="AU108" s="1174">
        <f t="shared" si="72"/>
        <v>19.911602860955753</v>
      </c>
      <c r="AV108" s="1174">
        <f t="shared" si="73"/>
        <v>19.911602860955753</v>
      </c>
      <c r="AW108" s="1175">
        <f t="shared" si="74"/>
        <v>0</v>
      </c>
      <c r="AX108" s="1174">
        <f t="shared" si="42"/>
        <v>264.24444447965368</v>
      </c>
      <c r="AY108" s="1174">
        <f t="shared" si="47"/>
        <v>15.108699133314593</v>
      </c>
      <c r="AZ108" s="1176">
        <f t="shared" si="45"/>
        <v>10.072466088876395</v>
      </c>
      <c r="BA108" s="4"/>
      <c r="BB108" s="1185">
        <f t="shared" si="75"/>
        <v>246.88455928239671</v>
      </c>
      <c r="BC108" s="1186">
        <f t="shared" si="76"/>
        <v>128.56274652142028</v>
      </c>
      <c r="BD108" s="1218">
        <f t="shared" si="84"/>
        <v>10.072466088876395</v>
      </c>
      <c r="BE108" s="1186">
        <f t="shared" si="48"/>
        <v>385.51977189269343</v>
      </c>
      <c r="BF108" s="167">
        <v>0</v>
      </c>
      <c r="BG108" s="1208">
        <f t="shared" si="77"/>
        <v>385.51977189269343</v>
      </c>
      <c r="BI108" s="1185">
        <f t="shared" si="78"/>
        <v>246.88455928239671</v>
      </c>
      <c r="BJ108" s="1186">
        <f t="shared" si="79"/>
        <v>127.18322686561589</v>
      </c>
      <c r="BK108" s="1218">
        <f t="shared" si="80"/>
        <v>10.072466088876395</v>
      </c>
      <c r="BL108" s="1186">
        <f t="shared" si="49"/>
        <v>384.14025223688901</v>
      </c>
      <c r="BM108" s="167">
        <v>0</v>
      </c>
      <c r="BN108" s="1208">
        <f t="shared" si="81"/>
        <v>384.14025223688901</v>
      </c>
    </row>
    <row r="109" spans="1:66">
      <c r="A109" s="1050">
        <f>'Input data'!A140</f>
        <v>2040</v>
      </c>
      <c r="B109" s="946">
        <f>'Input data'!B140</f>
        <v>71.375</v>
      </c>
      <c r="C109" s="946">
        <f>'Recycling - Case 2'!AF119</f>
        <v>139.12867530930757</v>
      </c>
      <c r="D109" s="947">
        <f>'Recycling - Case 2'!AM119</f>
        <v>0.2834252604436</v>
      </c>
      <c r="E109" s="948">
        <f>'Recycling - Case 2'!BE119</f>
        <v>0.17037510887119423</v>
      </c>
      <c r="F109" s="948">
        <f>'Recycling - Case 2'!BF119</f>
        <v>0.2759496177051679</v>
      </c>
      <c r="G109" s="948">
        <f>'Recycling - Case 2'!BG119</f>
        <v>5.8958039761752561E-2</v>
      </c>
      <c r="H109" s="948">
        <f>'Recycling - Case 2'!BH119</f>
        <v>0</v>
      </c>
      <c r="I109" s="948">
        <f>'Recycling - Case 2'!BI119</f>
        <v>0</v>
      </c>
      <c r="J109" s="948">
        <f>'Recycling - Case 2'!BJ119</f>
        <v>0</v>
      </c>
      <c r="K109" s="948">
        <f>'Recycling - Case 2'!BK119</f>
        <v>0.49471723366188552</v>
      </c>
      <c r="L109" s="949">
        <f t="shared" si="83"/>
        <v>1.0000000000000002</v>
      </c>
      <c r="M109" s="4"/>
      <c r="N109" s="960">
        <f t="shared" si="50"/>
        <v>2814.5004713526801</v>
      </c>
      <c r="O109" s="955">
        <f>Parameters!R246</f>
        <v>1</v>
      </c>
      <c r="P109" s="956">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954">
        <f t="shared" si="51"/>
        <v>146.81758086683075</v>
      </c>
      <c r="R109" s="954">
        <f t="shared" si="52"/>
        <v>146.81758086683075</v>
      </c>
      <c r="S109" s="957">
        <f t="shared" si="53"/>
        <v>0</v>
      </c>
      <c r="T109" s="954">
        <f t="shared" si="54"/>
        <v>7156.1117669700279</v>
      </c>
      <c r="U109" s="954">
        <f t="shared" si="55"/>
        <v>359.37419774360194</v>
      </c>
      <c r="V109" s="961">
        <f t="shared" si="56"/>
        <v>239.58279849573464</v>
      </c>
      <c r="W109" s="4"/>
      <c r="X109" s="974">
        <f>'Recycling - Case 2'!AM159*'Recycling - Case 2'!C159</f>
        <v>1852.4110048651532</v>
      </c>
      <c r="Y109" s="975">
        <f>Parameters!S245</f>
        <v>0.71500000000000008</v>
      </c>
      <c r="Z109" s="975">
        <f t="shared" si="57"/>
        <v>0.2</v>
      </c>
      <c r="AA109" s="976">
        <f t="shared" si="58"/>
        <v>132.44738684785847</v>
      </c>
      <c r="AB109" s="976">
        <f t="shared" si="59"/>
        <v>132.44738684785847</v>
      </c>
      <c r="AC109" s="977">
        <f t="shared" si="60"/>
        <v>0</v>
      </c>
      <c r="AD109" s="976">
        <f t="shared" si="61"/>
        <v>3807.3136769501002</v>
      </c>
      <c r="AE109" s="976">
        <f t="shared" si="62"/>
        <v>188.41442372883392</v>
      </c>
      <c r="AF109" s="978">
        <f t="shared" si="63"/>
        <v>125.60961581922261</v>
      </c>
      <c r="AG109" s="4"/>
      <c r="AH109" s="974">
        <f>'Recycling - Case 2'!AM199*'Recycling - Case 2'!C199</f>
        <v>942.5950188719471</v>
      </c>
      <c r="AI109" s="975">
        <f>Parameters!S245</f>
        <v>0.71500000000000008</v>
      </c>
      <c r="AJ109" s="975">
        <f t="shared" si="64"/>
        <v>0.2</v>
      </c>
      <c r="AK109" s="976">
        <f t="shared" si="65"/>
        <v>67.395543849344236</v>
      </c>
      <c r="AL109" s="976">
        <f t="shared" si="66"/>
        <v>67.395543849344236</v>
      </c>
      <c r="AM109" s="977">
        <f t="shared" si="67"/>
        <v>0</v>
      </c>
      <c r="AN109" s="976">
        <f t="shared" si="68"/>
        <v>3669.0051181596496</v>
      </c>
      <c r="AO109" s="976">
        <f t="shared" si="69"/>
        <v>184.65847159327453</v>
      </c>
      <c r="AP109" s="978">
        <f t="shared" si="70"/>
        <v>123.10564772884969</v>
      </c>
      <c r="AQ109" s="4"/>
      <c r="AR109" s="1172">
        <f>'Recycling - Case 2'!G119</f>
        <v>802.28666423964694</v>
      </c>
      <c r="AS109" s="1173">
        <v>1</v>
      </c>
      <c r="AT109" s="1173">
        <f t="shared" si="71"/>
        <v>0.05</v>
      </c>
      <c r="AU109" s="1174">
        <f t="shared" si="72"/>
        <v>20.057166605991174</v>
      </c>
      <c r="AV109" s="1174">
        <f t="shared" si="73"/>
        <v>20.057166605991174</v>
      </c>
      <c r="AW109" s="1175">
        <f t="shared" si="74"/>
        <v>0</v>
      </c>
      <c r="AX109" s="1174">
        <f t="shared" si="42"/>
        <v>268.91321261360116</v>
      </c>
      <c r="AY109" s="1174">
        <f t="shared" si="47"/>
        <v>15.388398472043725</v>
      </c>
      <c r="AZ109" s="1176">
        <f t="shared" si="45"/>
        <v>10.258932314695818</v>
      </c>
      <c r="BA109" s="4"/>
      <c r="BB109" s="1185">
        <f t="shared" si="75"/>
        <v>239.58279849573464</v>
      </c>
      <c r="BC109" s="1186">
        <f t="shared" si="76"/>
        <v>125.60961581922261</v>
      </c>
      <c r="BD109" s="1218">
        <f t="shared" si="84"/>
        <v>10.258932314695818</v>
      </c>
      <c r="BE109" s="1186">
        <f t="shared" si="48"/>
        <v>375.45134662965307</v>
      </c>
      <c r="BF109" s="167">
        <v>0</v>
      </c>
      <c r="BG109" s="1208">
        <f t="shared" si="77"/>
        <v>375.45134662965307</v>
      </c>
      <c r="BI109" s="1185">
        <f t="shared" si="78"/>
        <v>239.58279849573464</v>
      </c>
      <c r="BJ109" s="1186">
        <f t="shared" si="79"/>
        <v>123.10564772884969</v>
      </c>
      <c r="BK109" s="1218">
        <f t="shared" si="80"/>
        <v>10.258932314695818</v>
      </c>
      <c r="BL109" s="1186">
        <f t="shared" si="49"/>
        <v>372.94737853928012</v>
      </c>
      <c r="BM109" s="167">
        <v>0</v>
      </c>
      <c r="BN109" s="1208">
        <f t="shared" si="81"/>
        <v>372.94737853928012</v>
      </c>
    </row>
    <row r="110" spans="1:66">
      <c r="A110" s="1050">
        <f>'Input data'!A141</f>
        <v>2041</v>
      </c>
      <c r="B110" s="946">
        <f>'Input data'!B141</f>
        <v>71.819000000000003</v>
      </c>
      <c r="C110" s="946">
        <f>'Recycling - Case 2'!AF120</f>
        <v>139.12867530930757</v>
      </c>
      <c r="D110" s="947">
        <f>'Recycling - Case 2'!AM120</f>
        <v>0.2834252604436</v>
      </c>
      <c r="E110" s="948">
        <f>'Recycling - Case 2'!BE120</f>
        <v>0.17037510887119423</v>
      </c>
      <c r="F110" s="948">
        <f>'Recycling - Case 2'!BF120</f>
        <v>0.2759496177051679</v>
      </c>
      <c r="G110" s="948">
        <f>'Recycling - Case 2'!BG120</f>
        <v>5.8958039761752561E-2</v>
      </c>
      <c r="H110" s="948">
        <f>'Recycling - Case 2'!BH120</f>
        <v>0</v>
      </c>
      <c r="I110" s="948">
        <f>'Recycling - Case 2'!BI120</f>
        <v>0</v>
      </c>
      <c r="J110" s="948">
        <f>'Recycling - Case 2'!BJ120</f>
        <v>0</v>
      </c>
      <c r="K110" s="948">
        <f>'Recycling - Case 2'!BK120</f>
        <v>0.49471723366188552</v>
      </c>
      <c r="L110" s="949">
        <f t="shared" si="83"/>
        <v>1.0000000000000002</v>
      </c>
      <c r="M110" s="4"/>
      <c r="N110" s="960">
        <f t="shared" si="50"/>
        <v>2832.0085373320931</v>
      </c>
      <c r="O110" s="955">
        <f>Parameters!R247</f>
        <v>1</v>
      </c>
      <c r="P110" s="956">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954">
        <f t="shared" si="51"/>
        <v>147.73088392679395</v>
      </c>
      <c r="R110" s="954">
        <f t="shared" si="52"/>
        <v>147.73088392679395</v>
      </c>
      <c r="S110" s="957">
        <f t="shared" si="53"/>
        <v>0</v>
      </c>
      <c r="T110" s="954">
        <f t="shared" si="54"/>
        <v>6954.8349616844816</v>
      </c>
      <c r="U110" s="954">
        <f t="shared" si="55"/>
        <v>349.00768921234055</v>
      </c>
      <c r="V110" s="961">
        <f t="shared" si="56"/>
        <v>232.67179280822702</v>
      </c>
      <c r="W110" s="4"/>
      <c r="X110" s="974">
        <f>'Recycling - Case 2'!AM160*'Recycling - Case 2'!C160</f>
        <v>2117.3239315825708</v>
      </c>
      <c r="Y110" s="975">
        <f>Parameters!S246</f>
        <v>0.71500000000000008</v>
      </c>
      <c r="Z110" s="975">
        <f t="shared" si="57"/>
        <v>0.2</v>
      </c>
      <c r="AA110" s="976">
        <f t="shared" si="58"/>
        <v>151.38866110815383</v>
      </c>
      <c r="AB110" s="976">
        <f t="shared" si="59"/>
        <v>151.38866110815383</v>
      </c>
      <c r="AC110" s="977">
        <f t="shared" si="60"/>
        <v>0</v>
      </c>
      <c r="AD110" s="976">
        <f t="shared" si="61"/>
        <v>3773.017458927095</v>
      </c>
      <c r="AE110" s="976">
        <f t="shared" si="62"/>
        <v>185.68487913115899</v>
      </c>
      <c r="AF110" s="978">
        <f t="shared" si="63"/>
        <v>123.78991942077266</v>
      </c>
      <c r="AG110" s="4"/>
      <c r="AH110" s="974">
        <f>'Recycling - Case 2'!AM200*'Recycling - Case 2'!C200</f>
        <v>972.18070646934177</v>
      </c>
      <c r="AI110" s="975">
        <f>Parameters!S246</f>
        <v>0.71500000000000008</v>
      </c>
      <c r="AJ110" s="975">
        <f t="shared" si="64"/>
        <v>0.2</v>
      </c>
      <c r="AK110" s="976">
        <f t="shared" si="65"/>
        <v>69.510920512557945</v>
      </c>
      <c r="AL110" s="976">
        <f t="shared" si="66"/>
        <v>69.510920512557945</v>
      </c>
      <c r="AM110" s="977">
        <f t="shared" si="67"/>
        <v>0</v>
      </c>
      <c r="AN110" s="976">
        <f t="shared" si="68"/>
        <v>3559.5765475497356</v>
      </c>
      <c r="AO110" s="976">
        <f t="shared" si="69"/>
        <v>178.93949112247188</v>
      </c>
      <c r="AP110" s="978">
        <f t="shared" si="70"/>
        <v>119.29299408164792</v>
      </c>
      <c r="AQ110" s="4"/>
      <c r="AR110" s="1172">
        <f>'Recycling - Case 2'!G120</f>
        <v>807.27742121229016</v>
      </c>
      <c r="AS110" s="1173">
        <v>1</v>
      </c>
      <c r="AT110" s="1173">
        <f t="shared" si="71"/>
        <v>0.05</v>
      </c>
      <c r="AU110" s="1174">
        <f t="shared" si="72"/>
        <v>20.181935530307257</v>
      </c>
      <c r="AV110" s="1174">
        <f t="shared" si="73"/>
        <v>20.181935530307257</v>
      </c>
      <c r="AW110" s="1175">
        <f t="shared" si="74"/>
        <v>0</v>
      </c>
      <c r="AX110" s="1174">
        <f t="shared" si="42"/>
        <v>273.43486178199726</v>
      </c>
      <c r="AY110" s="1174">
        <f t="shared" si="47"/>
        <v>15.660286361911155</v>
      </c>
      <c r="AZ110" s="1176">
        <f t="shared" si="45"/>
        <v>10.440190907940769</v>
      </c>
      <c r="BA110" s="4"/>
      <c r="BB110" s="1185">
        <f t="shared" si="75"/>
        <v>232.67179280822702</v>
      </c>
      <c r="BC110" s="1186">
        <f t="shared" si="76"/>
        <v>123.78991942077266</v>
      </c>
      <c r="BD110" s="1218">
        <f t="shared" si="84"/>
        <v>10.440190907940769</v>
      </c>
      <c r="BE110" s="1186">
        <f t="shared" si="48"/>
        <v>366.9019031369404</v>
      </c>
      <c r="BF110" s="167">
        <v>0</v>
      </c>
      <c r="BG110" s="1208">
        <f t="shared" si="77"/>
        <v>366.9019031369404</v>
      </c>
      <c r="BI110" s="1185">
        <f t="shared" si="78"/>
        <v>232.67179280822702</v>
      </c>
      <c r="BJ110" s="1186">
        <f t="shared" si="79"/>
        <v>119.29299408164792</v>
      </c>
      <c r="BK110" s="1218">
        <f t="shared" si="80"/>
        <v>10.440190907940769</v>
      </c>
      <c r="BL110" s="1186">
        <f t="shared" si="49"/>
        <v>362.40497779781572</v>
      </c>
      <c r="BM110" s="167">
        <v>0</v>
      </c>
      <c r="BN110" s="1208">
        <f t="shared" si="81"/>
        <v>362.40497779781572</v>
      </c>
    </row>
    <row r="111" spans="1:66">
      <c r="A111" s="1050">
        <f>'Input data'!A142</f>
        <v>2042</v>
      </c>
      <c r="B111" s="946">
        <f>'Input data'!B142</f>
        <v>72.265000000000001</v>
      </c>
      <c r="C111" s="946">
        <f>'Recycling - Case 2'!AF121</f>
        <v>139.12867530930757</v>
      </c>
      <c r="D111" s="947">
        <f>'Recycling - Case 2'!AM121</f>
        <v>0.2834252604436</v>
      </c>
      <c r="E111" s="948">
        <f>'Recycling - Case 2'!BE121</f>
        <v>0.17037510887119423</v>
      </c>
      <c r="F111" s="948">
        <f>'Recycling - Case 2'!BF121</f>
        <v>0.2759496177051679</v>
      </c>
      <c r="G111" s="948">
        <f>'Recycling - Case 2'!BG121</f>
        <v>5.8958039761752561E-2</v>
      </c>
      <c r="H111" s="948">
        <f>'Recycling - Case 2'!BH121</f>
        <v>0</v>
      </c>
      <c r="I111" s="948">
        <f>'Recycling - Case 2'!BI121</f>
        <v>0</v>
      </c>
      <c r="J111" s="948">
        <f>'Recycling - Case 2'!BJ121</f>
        <v>0</v>
      </c>
      <c r="K111" s="948">
        <f>'Recycling - Case 2'!BK121</f>
        <v>0.49471723366188552</v>
      </c>
      <c r="L111" s="949">
        <f t="shared" si="83"/>
        <v>1.0000000000000002</v>
      </c>
      <c r="M111" s="4"/>
      <c r="N111" s="960">
        <f t="shared" si="50"/>
        <v>2849.5954684735752</v>
      </c>
      <c r="O111" s="955">
        <f>Parameters!R248</f>
        <v>1</v>
      </c>
      <c r="P111" s="956">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954">
        <f t="shared" si="51"/>
        <v>148.64830096450473</v>
      </c>
      <c r="R111" s="954">
        <f t="shared" si="52"/>
        <v>148.64830096450473</v>
      </c>
      <c r="S111" s="957">
        <f t="shared" si="53"/>
        <v>0</v>
      </c>
      <c r="T111" s="954">
        <f t="shared" si="54"/>
        <v>6764.291959065079</v>
      </c>
      <c r="U111" s="954">
        <f t="shared" si="55"/>
        <v>339.19130358390674</v>
      </c>
      <c r="V111" s="961">
        <f t="shared" si="56"/>
        <v>226.12753572260451</v>
      </c>
      <c r="W111" s="4"/>
      <c r="X111" s="974">
        <f>'Recycling - Case 2'!AM161*'Recycling - Case 2'!C161</f>
        <v>2387.7103482847442</v>
      </c>
      <c r="Y111" s="975">
        <f>Parameters!S247</f>
        <v>0.71500000000000008</v>
      </c>
      <c r="Z111" s="975">
        <f t="shared" si="57"/>
        <v>0.2</v>
      </c>
      <c r="AA111" s="976">
        <f t="shared" si="58"/>
        <v>170.72128990235925</v>
      </c>
      <c r="AB111" s="976">
        <f t="shared" si="59"/>
        <v>170.72128990235925</v>
      </c>
      <c r="AC111" s="977">
        <f t="shared" si="60"/>
        <v>0</v>
      </c>
      <c r="AD111" s="976">
        <f t="shared" si="61"/>
        <v>3759.7265159887265</v>
      </c>
      <c r="AE111" s="976">
        <f t="shared" si="62"/>
        <v>184.01223284072805</v>
      </c>
      <c r="AF111" s="978">
        <f t="shared" si="63"/>
        <v>122.6748218938187</v>
      </c>
      <c r="AG111" s="4"/>
      <c r="AH111" s="974">
        <f>'Recycling - Case 2'!AM201*'Recycling - Case 2'!C201</f>
        <v>1003.0288559370299</v>
      </c>
      <c r="AI111" s="975">
        <f>Parameters!S247</f>
        <v>0.71500000000000008</v>
      </c>
      <c r="AJ111" s="975">
        <f t="shared" si="64"/>
        <v>0.2</v>
      </c>
      <c r="AK111" s="976">
        <f t="shared" si="65"/>
        <v>71.716563199497656</v>
      </c>
      <c r="AL111" s="976">
        <f t="shared" si="66"/>
        <v>71.716563199497656</v>
      </c>
      <c r="AM111" s="977">
        <f t="shared" si="67"/>
        <v>0</v>
      </c>
      <c r="AN111" s="976">
        <f t="shared" si="68"/>
        <v>3457.6905139914711</v>
      </c>
      <c r="AO111" s="976">
        <f t="shared" si="69"/>
        <v>173.60259675776211</v>
      </c>
      <c r="AP111" s="978">
        <f t="shared" si="70"/>
        <v>115.73506450517475</v>
      </c>
      <c r="AQ111" s="4"/>
      <c r="AR111" s="1172">
        <f>'Recycling - Case 2'!G121</f>
        <v>812.29065907219729</v>
      </c>
      <c r="AS111" s="1173">
        <v>1</v>
      </c>
      <c r="AT111" s="1173">
        <f t="shared" si="71"/>
        <v>0.05</v>
      </c>
      <c r="AU111" s="1174">
        <f t="shared" si="72"/>
        <v>20.307266476804934</v>
      </c>
      <c r="AV111" s="1174">
        <f t="shared" si="73"/>
        <v>20.307266476804934</v>
      </c>
      <c r="AW111" s="1175">
        <f t="shared" si="74"/>
        <v>0</v>
      </c>
      <c r="AX111" s="1174">
        <f t="shared" si="42"/>
        <v>277.8185215486011</v>
      </c>
      <c r="AY111" s="1174">
        <f t="shared" si="47"/>
        <v>15.923606710201094</v>
      </c>
      <c r="AZ111" s="1176">
        <f t="shared" si="45"/>
        <v>10.615737806800729</v>
      </c>
      <c r="BA111" s="4"/>
      <c r="BB111" s="1185">
        <f t="shared" si="75"/>
        <v>226.12753572260451</v>
      </c>
      <c r="BC111" s="1186">
        <f t="shared" si="76"/>
        <v>122.6748218938187</v>
      </c>
      <c r="BD111" s="1218">
        <f t="shared" si="84"/>
        <v>10.615737806800729</v>
      </c>
      <c r="BE111" s="1186">
        <f t="shared" si="48"/>
        <v>359.41809542322392</v>
      </c>
      <c r="BF111" s="167">
        <v>0</v>
      </c>
      <c r="BG111" s="1208">
        <f t="shared" si="77"/>
        <v>359.41809542322392</v>
      </c>
      <c r="BI111" s="1185">
        <f t="shared" si="78"/>
        <v>226.12753572260451</v>
      </c>
      <c r="BJ111" s="1186">
        <f t="shared" si="79"/>
        <v>115.73506450517475</v>
      </c>
      <c r="BK111" s="1218">
        <f t="shared" si="80"/>
        <v>10.615737806800729</v>
      </c>
      <c r="BL111" s="1186">
        <f t="shared" si="49"/>
        <v>352.47833803457996</v>
      </c>
      <c r="BM111" s="167">
        <v>0</v>
      </c>
      <c r="BN111" s="1208">
        <f t="shared" si="81"/>
        <v>352.47833803457996</v>
      </c>
    </row>
    <row r="112" spans="1:66">
      <c r="A112" s="1050">
        <f>'Input data'!A143</f>
        <v>2043</v>
      </c>
      <c r="B112" s="946">
        <f>'Input data'!B143</f>
        <v>72.713999999999999</v>
      </c>
      <c r="C112" s="946">
        <f>'Recycling - Case 2'!AF122</f>
        <v>139.12867530930757</v>
      </c>
      <c r="D112" s="947">
        <f>'Recycling - Case 2'!AM122</f>
        <v>0.2834252604436</v>
      </c>
      <c r="E112" s="948">
        <f>'Recycling - Case 2'!BE122</f>
        <v>0.17037510887119423</v>
      </c>
      <c r="F112" s="948">
        <f>'Recycling - Case 2'!BF122</f>
        <v>0.2759496177051679</v>
      </c>
      <c r="G112" s="948">
        <f>'Recycling - Case 2'!BG122</f>
        <v>5.8958039761752561E-2</v>
      </c>
      <c r="H112" s="948">
        <f>'Recycling - Case 2'!BH122</f>
        <v>0</v>
      </c>
      <c r="I112" s="948">
        <f>'Recycling - Case 2'!BI122</f>
        <v>0</v>
      </c>
      <c r="J112" s="948">
        <f>'Recycling - Case 2'!BJ122</f>
        <v>0</v>
      </c>
      <c r="K112" s="948">
        <f>'Recycling - Case 2'!BK122</f>
        <v>0.49471723366188552</v>
      </c>
      <c r="L112" s="949">
        <f t="shared" si="83"/>
        <v>1.0000000000000002</v>
      </c>
      <c r="M112" s="4"/>
      <c r="N112" s="960">
        <f t="shared" si="50"/>
        <v>2867.3006973581614</v>
      </c>
      <c r="O112" s="955">
        <f>Parameters!R249</f>
        <v>1</v>
      </c>
      <c r="P112" s="956">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954">
        <f t="shared" si="51"/>
        <v>149.57188896883684</v>
      </c>
      <c r="R112" s="954">
        <f t="shared" si="52"/>
        <v>149.57188896883684</v>
      </c>
      <c r="S112" s="957">
        <f t="shared" si="53"/>
        <v>0</v>
      </c>
      <c r="T112" s="954">
        <f t="shared" si="54"/>
        <v>6583.9654363451191</v>
      </c>
      <c r="U112" s="954">
        <f t="shared" si="55"/>
        <v>329.89841168879656</v>
      </c>
      <c r="V112" s="961">
        <f t="shared" si="56"/>
        <v>219.93227445919771</v>
      </c>
      <c r="W112" s="4"/>
      <c r="X112" s="974">
        <f>'Recycling - Case 2'!AM162*'Recycling - Case 2'!C162</f>
        <v>2663.2349722773524</v>
      </c>
      <c r="Y112" s="975">
        <f>Parameters!S248</f>
        <v>0.71500000000000008</v>
      </c>
      <c r="Z112" s="975">
        <f t="shared" si="57"/>
        <v>0.2</v>
      </c>
      <c r="AA112" s="976">
        <f t="shared" si="58"/>
        <v>190.4213005178307</v>
      </c>
      <c r="AB112" s="976">
        <f t="shared" si="59"/>
        <v>190.4213005178307</v>
      </c>
      <c r="AC112" s="977">
        <f t="shared" si="60"/>
        <v>0</v>
      </c>
      <c r="AD112" s="976">
        <f t="shared" si="61"/>
        <v>3766.7837906018617</v>
      </c>
      <c r="AE112" s="976">
        <f t="shared" si="62"/>
        <v>183.36402590469564</v>
      </c>
      <c r="AF112" s="978">
        <f t="shared" si="63"/>
        <v>122.24268393646376</v>
      </c>
      <c r="AG112" s="4"/>
      <c r="AH112" s="974">
        <f>'Recycling - Case 2'!AM202*'Recycling - Case 2'!C202</f>
        <v>1035.0621342354832</v>
      </c>
      <c r="AI112" s="975">
        <f>Parameters!S248</f>
        <v>0.71500000000000008</v>
      </c>
      <c r="AJ112" s="975">
        <f t="shared" si="64"/>
        <v>0.2</v>
      </c>
      <c r="AK112" s="976">
        <f t="shared" si="65"/>
        <v>74.006942597837067</v>
      </c>
      <c r="AL112" s="976">
        <f t="shared" si="66"/>
        <v>74.006942597837067</v>
      </c>
      <c r="AM112" s="977">
        <f t="shared" si="67"/>
        <v>0</v>
      </c>
      <c r="AN112" s="976">
        <f t="shared" si="68"/>
        <v>3363.0639003235224</v>
      </c>
      <c r="AO112" s="976">
        <f t="shared" si="69"/>
        <v>168.63355626578601</v>
      </c>
      <c r="AP112" s="978">
        <f t="shared" si="70"/>
        <v>112.42237084385734</v>
      </c>
      <c r="AQ112" s="4"/>
      <c r="AR112" s="1172">
        <f>'Recycling - Case 2'!G122</f>
        <v>817.33761826300088</v>
      </c>
      <c r="AS112" s="1173">
        <v>1</v>
      </c>
      <c r="AT112" s="1173">
        <f t="shared" si="71"/>
        <v>0.05</v>
      </c>
      <c r="AU112" s="1174">
        <f t="shared" si="72"/>
        <v>20.433440456575024</v>
      </c>
      <c r="AV112" s="1174">
        <f t="shared" si="73"/>
        <v>20.433440456575024</v>
      </c>
      <c r="AW112" s="1175">
        <f t="shared" si="74"/>
        <v>0</v>
      </c>
      <c r="AX112" s="1174">
        <f t="shared" si="42"/>
        <v>282.07307082385887</v>
      </c>
      <c r="AY112" s="1174">
        <f t="shared" si="47"/>
        <v>16.178891181317233</v>
      </c>
      <c r="AZ112" s="1176">
        <f t="shared" si="45"/>
        <v>10.785927454211489</v>
      </c>
      <c r="BA112" s="4"/>
      <c r="BB112" s="1185">
        <f t="shared" si="75"/>
        <v>219.93227445919771</v>
      </c>
      <c r="BC112" s="1186">
        <f t="shared" si="76"/>
        <v>122.24268393646376</v>
      </c>
      <c r="BD112" s="1218">
        <f t="shared" si="84"/>
        <v>10.785927454211489</v>
      </c>
      <c r="BE112" s="1186">
        <f t="shared" si="48"/>
        <v>352.96088584987297</v>
      </c>
      <c r="BF112" s="167">
        <v>0</v>
      </c>
      <c r="BG112" s="1208">
        <f t="shared" si="77"/>
        <v>352.96088584987297</v>
      </c>
      <c r="BI112" s="1185">
        <f t="shared" si="78"/>
        <v>219.93227445919771</v>
      </c>
      <c r="BJ112" s="1186">
        <f t="shared" si="79"/>
        <v>112.42237084385734</v>
      </c>
      <c r="BK112" s="1218">
        <f t="shared" si="80"/>
        <v>10.785927454211489</v>
      </c>
      <c r="BL112" s="1186">
        <f t="shared" si="49"/>
        <v>343.14057275726657</v>
      </c>
      <c r="BM112" s="167">
        <v>0</v>
      </c>
      <c r="BN112" s="1208">
        <f t="shared" si="81"/>
        <v>343.14057275726657</v>
      </c>
    </row>
    <row r="113" spans="1:66">
      <c r="A113" s="1050">
        <f>'Input data'!A144</f>
        <v>2044</v>
      </c>
      <c r="B113" s="946">
        <f>'Input data'!B144</f>
        <v>73.165000000000006</v>
      </c>
      <c r="C113" s="946">
        <f>'Recycling - Case 2'!AF123</f>
        <v>139.12867530930757</v>
      </c>
      <c r="D113" s="947">
        <f>'Recycling - Case 2'!AM123</f>
        <v>0.2834252604436</v>
      </c>
      <c r="E113" s="948">
        <f>'Recycling - Case 2'!BE123</f>
        <v>0.17037510887119423</v>
      </c>
      <c r="F113" s="948">
        <f>'Recycling - Case 2'!BF123</f>
        <v>0.2759496177051679</v>
      </c>
      <c r="G113" s="948">
        <f>'Recycling - Case 2'!BG123</f>
        <v>5.8958039761752561E-2</v>
      </c>
      <c r="H113" s="948">
        <f>'Recycling - Case 2'!BH123</f>
        <v>0</v>
      </c>
      <c r="I113" s="948">
        <f>'Recycling - Case 2'!BI123</f>
        <v>0</v>
      </c>
      <c r="J113" s="948">
        <f>'Recycling - Case 2'!BJ123</f>
        <v>0</v>
      </c>
      <c r="K113" s="948">
        <f>'Recycling - Case 2'!BK123</f>
        <v>0.49471723366188552</v>
      </c>
      <c r="L113" s="949">
        <f t="shared" si="83"/>
        <v>1.0000000000000002</v>
      </c>
      <c r="M113" s="4"/>
      <c r="N113" s="960">
        <f t="shared" si="50"/>
        <v>2885.0847914048177</v>
      </c>
      <c r="O113" s="955">
        <f>Parameters!R250</f>
        <v>1</v>
      </c>
      <c r="P113" s="956">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954">
        <f t="shared" si="51"/>
        <v>150.4995909509166</v>
      </c>
      <c r="R113" s="954">
        <f t="shared" si="52"/>
        <v>150.4995909509166</v>
      </c>
      <c r="S113" s="957">
        <f t="shared" si="53"/>
        <v>0</v>
      </c>
      <c r="T113" s="954">
        <f t="shared" si="54"/>
        <v>6413.3612438980763</v>
      </c>
      <c r="U113" s="954">
        <f t="shared" si="55"/>
        <v>321.10378339795903</v>
      </c>
      <c r="V113" s="961">
        <f t="shared" si="56"/>
        <v>214.06918893197269</v>
      </c>
      <c r="W113" s="4"/>
      <c r="X113" s="974">
        <f>'Recycling - Case 2'!AM163*'Recycling - Case 2'!C163</f>
        <v>2944.643807555261</v>
      </c>
      <c r="Y113" s="975">
        <f>Parameters!S249</f>
        <v>0.71500000000000008</v>
      </c>
      <c r="Z113" s="975">
        <f t="shared" si="57"/>
        <v>0.2</v>
      </c>
      <c r="AA113" s="976">
        <f t="shared" si="58"/>
        <v>210.54203224020119</v>
      </c>
      <c r="AB113" s="976">
        <f t="shared" si="59"/>
        <v>210.54203224020119</v>
      </c>
      <c r="AC113" s="977">
        <f t="shared" si="60"/>
        <v>0</v>
      </c>
      <c r="AD113" s="976">
        <f t="shared" si="61"/>
        <v>3793.6176095930282</v>
      </c>
      <c r="AE113" s="976">
        <f t="shared" si="62"/>
        <v>183.70821324903474</v>
      </c>
      <c r="AF113" s="978">
        <f t="shared" si="63"/>
        <v>122.47214216602316</v>
      </c>
      <c r="AG113" s="4"/>
      <c r="AH113" s="974">
        <f>'Recycling - Case 2'!AM203*'Recycling - Case 2'!C203</f>
        <v>1068.4526073776522</v>
      </c>
      <c r="AI113" s="975">
        <f>Parameters!S249</f>
        <v>0.71500000000000008</v>
      </c>
      <c r="AJ113" s="975">
        <f t="shared" si="64"/>
        <v>0.2</v>
      </c>
      <c r="AK113" s="976">
        <f t="shared" si="65"/>
        <v>76.394361427502133</v>
      </c>
      <c r="AL113" s="976">
        <f t="shared" si="66"/>
        <v>76.394361427502133</v>
      </c>
      <c r="AM113" s="977">
        <f t="shared" si="67"/>
        <v>0</v>
      </c>
      <c r="AN113" s="976">
        <f t="shared" si="68"/>
        <v>3275.439699891373</v>
      </c>
      <c r="AO113" s="976">
        <f t="shared" si="69"/>
        <v>164.01856185965156</v>
      </c>
      <c r="AP113" s="978">
        <f t="shared" si="70"/>
        <v>109.34570790643437</v>
      </c>
      <c r="AQ113" s="4"/>
      <c r="AR113" s="1172">
        <f>'Recycling - Case 2'!G123</f>
        <v>822.4070583410687</v>
      </c>
      <c r="AS113" s="1173">
        <v>1</v>
      </c>
      <c r="AT113" s="1173">
        <f t="shared" si="71"/>
        <v>0.05</v>
      </c>
      <c r="AU113" s="1174">
        <f t="shared" si="72"/>
        <v>20.560176458526719</v>
      </c>
      <c r="AV113" s="1174">
        <f t="shared" si="73"/>
        <v>20.560176458526719</v>
      </c>
      <c r="AW113" s="1175">
        <f t="shared" si="74"/>
        <v>0</v>
      </c>
      <c r="AX113" s="1174">
        <f t="shared" ref="AX113:AX119" si="85">AV113+(AX112*$E$8)</f>
        <v>286.20659043963491</v>
      </c>
      <c r="AY113" s="1174">
        <f t="shared" si="47"/>
        <v>16.426656842750667</v>
      </c>
      <c r="AZ113" s="1176">
        <f t="shared" si="45"/>
        <v>10.951104561833779</v>
      </c>
      <c r="BA113" s="4"/>
      <c r="BB113" s="1185">
        <f t="shared" si="75"/>
        <v>214.06918893197269</v>
      </c>
      <c r="BC113" s="1186">
        <f t="shared" si="76"/>
        <v>122.47214216602316</v>
      </c>
      <c r="BD113" s="1218">
        <f t="shared" si="84"/>
        <v>10.951104561833779</v>
      </c>
      <c r="BE113" s="1186">
        <f t="shared" si="48"/>
        <v>347.49243565982965</v>
      </c>
      <c r="BF113" s="167">
        <v>0</v>
      </c>
      <c r="BG113" s="1208">
        <f t="shared" si="77"/>
        <v>347.49243565982965</v>
      </c>
      <c r="BI113" s="1185">
        <f t="shared" si="78"/>
        <v>214.06918893197269</v>
      </c>
      <c r="BJ113" s="1186">
        <f t="shared" si="79"/>
        <v>109.34570790643437</v>
      </c>
      <c r="BK113" s="1218">
        <f t="shared" si="80"/>
        <v>10.951104561833779</v>
      </c>
      <c r="BL113" s="1186">
        <f t="shared" si="49"/>
        <v>334.36600140024086</v>
      </c>
      <c r="BM113" s="167">
        <v>0</v>
      </c>
      <c r="BN113" s="1208">
        <f t="shared" si="81"/>
        <v>334.36600140024086</v>
      </c>
    </row>
    <row r="114" spans="1:66">
      <c r="A114" s="1050">
        <f>'Input data'!A145</f>
        <v>2045</v>
      </c>
      <c r="B114" s="946">
        <f>'Input data'!B145</f>
        <v>73.62</v>
      </c>
      <c r="C114" s="946">
        <f>'Recycling - Case 2'!AF124</f>
        <v>139.12867530930757</v>
      </c>
      <c r="D114" s="947">
        <f>'Recycling - Case 2'!AM124</f>
        <v>0.2834252604436</v>
      </c>
      <c r="E114" s="948">
        <f>'Recycling - Case 2'!BE124</f>
        <v>0.17037510887119423</v>
      </c>
      <c r="F114" s="948">
        <f>'Recycling - Case 2'!BF124</f>
        <v>0.2759496177051679</v>
      </c>
      <c r="G114" s="948">
        <f>'Recycling - Case 2'!BG124</f>
        <v>5.8958039761752561E-2</v>
      </c>
      <c r="H114" s="948">
        <f>'Recycling - Case 2'!BH124</f>
        <v>0</v>
      </c>
      <c r="I114" s="948">
        <f>'Recycling - Case 2'!BI124</f>
        <v>0</v>
      </c>
      <c r="J114" s="948">
        <f>'Recycling - Case 2'!BJ124</f>
        <v>0</v>
      </c>
      <c r="K114" s="948">
        <f>'Recycling - Case 2'!BK124</f>
        <v>0.49471723366188552</v>
      </c>
      <c r="L114" s="949">
        <f t="shared" si="83"/>
        <v>1.0000000000000002</v>
      </c>
      <c r="M114" s="4"/>
      <c r="N114" s="960">
        <f t="shared" si="50"/>
        <v>2903.0266157756128</v>
      </c>
      <c r="O114" s="955">
        <f>Parameters!R251</f>
        <v>1</v>
      </c>
      <c r="P114" s="956">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954">
        <f t="shared" si="51"/>
        <v>151.43552088849151</v>
      </c>
      <c r="R114" s="954">
        <f t="shared" si="52"/>
        <v>151.43552088849151</v>
      </c>
      <c r="S114" s="957">
        <f t="shared" si="53"/>
        <v>0</v>
      </c>
      <c r="T114" s="954">
        <f t="shared" si="54"/>
        <v>6252.0134460368427</v>
      </c>
      <c r="U114" s="954">
        <f t="shared" si="55"/>
        <v>312.78331874972582</v>
      </c>
      <c r="V114" s="961">
        <f t="shared" si="56"/>
        <v>208.52221249981721</v>
      </c>
      <c r="W114" s="4"/>
      <c r="X114" s="974">
        <f>'Recycling - Case 2'!AM164*'Recycling - Case 2'!C164</f>
        <v>3235.0382190409127</v>
      </c>
      <c r="Y114" s="975">
        <f>Parameters!S250</f>
        <v>0.71500000000000008</v>
      </c>
      <c r="Z114" s="975">
        <f t="shared" si="57"/>
        <v>0.2</v>
      </c>
      <c r="AA114" s="976">
        <f t="shared" si="58"/>
        <v>231.30523266142529</v>
      </c>
      <c r="AB114" s="976">
        <f t="shared" si="59"/>
        <v>231.30523266142529</v>
      </c>
      <c r="AC114" s="977">
        <f t="shared" si="60"/>
        <v>0</v>
      </c>
      <c r="AD114" s="976">
        <f t="shared" si="61"/>
        <v>3839.9059282103758</v>
      </c>
      <c r="AE114" s="976">
        <f t="shared" si="62"/>
        <v>185.01691404407759</v>
      </c>
      <c r="AF114" s="978">
        <f t="shared" si="63"/>
        <v>123.3446093627184</v>
      </c>
      <c r="AG114" s="4"/>
      <c r="AH114" s="974">
        <f>'Recycling - Case 2'!AM204*'Recycling - Case 2'!C204</f>
        <v>1103.9156059791687</v>
      </c>
      <c r="AI114" s="975">
        <f>Parameters!S250</f>
        <v>0.71500000000000008</v>
      </c>
      <c r="AJ114" s="975">
        <f t="shared" si="64"/>
        <v>0.2</v>
      </c>
      <c r="AK114" s="976">
        <f t="shared" si="65"/>
        <v>78.929965827510571</v>
      </c>
      <c r="AL114" s="976">
        <f t="shared" si="66"/>
        <v>78.929965827510571</v>
      </c>
      <c r="AM114" s="977">
        <f t="shared" si="67"/>
        <v>0</v>
      </c>
      <c r="AN114" s="976">
        <f t="shared" si="68"/>
        <v>3194.6245865419728</v>
      </c>
      <c r="AO114" s="976">
        <f t="shared" si="69"/>
        <v>159.74507917691082</v>
      </c>
      <c r="AP114" s="978">
        <f t="shared" si="70"/>
        <v>106.49671945127388</v>
      </c>
      <c r="AQ114" s="4"/>
      <c r="AR114" s="1172">
        <f>'Recycling - Case 2'!G124</f>
        <v>827.52146019366455</v>
      </c>
      <c r="AS114" s="1173">
        <v>1</v>
      </c>
      <c r="AT114" s="1173">
        <f t="shared" si="71"/>
        <v>0.05</v>
      </c>
      <c r="AU114" s="1174">
        <f t="shared" si="72"/>
        <v>20.688036504841616</v>
      </c>
      <c r="AV114" s="1174">
        <f t="shared" si="73"/>
        <v>20.688036504841616</v>
      </c>
      <c r="AW114" s="1175">
        <f t="shared" si="74"/>
        <v>0</v>
      </c>
      <c r="AX114" s="1174">
        <f t="shared" si="85"/>
        <v>290.22725265896247</v>
      </c>
      <c r="AY114" s="1174">
        <f t="shared" si="47"/>
        <v>16.66737428551404</v>
      </c>
      <c r="AZ114" s="1176">
        <f t="shared" si="45"/>
        <v>11.11158285700936</v>
      </c>
      <c r="BA114" s="4"/>
      <c r="BB114" s="1185">
        <f t="shared" si="75"/>
        <v>208.52221249981721</v>
      </c>
      <c r="BC114" s="1186">
        <f t="shared" si="76"/>
        <v>123.3446093627184</v>
      </c>
      <c r="BD114" s="1218">
        <f t="shared" si="84"/>
        <v>11.11158285700936</v>
      </c>
      <c r="BE114" s="1186">
        <f t="shared" si="48"/>
        <v>342.97840471954498</v>
      </c>
      <c r="BF114" s="167">
        <v>0</v>
      </c>
      <c r="BG114" s="1208">
        <f t="shared" si="77"/>
        <v>342.97840471954498</v>
      </c>
      <c r="BI114" s="1185">
        <f t="shared" si="78"/>
        <v>208.52221249981721</v>
      </c>
      <c r="BJ114" s="1186">
        <f t="shared" si="79"/>
        <v>106.49671945127388</v>
      </c>
      <c r="BK114" s="1218">
        <f t="shared" si="80"/>
        <v>11.11158285700936</v>
      </c>
      <c r="BL114" s="1186">
        <f t="shared" si="49"/>
        <v>326.13051480810043</v>
      </c>
      <c r="BM114" s="167">
        <v>0</v>
      </c>
      <c r="BN114" s="1208">
        <f t="shared" si="81"/>
        <v>326.13051480810043</v>
      </c>
    </row>
    <row r="115" spans="1:66">
      <c r="A115" s="1050">
        <f>'Input data'!A146</f>
        <v>2046</v>
      </c>
      <c r="B115" s="946">
        <f>'Input data'!B146</f>
        <v>73.995000000000005</v>
      </c>
      <c r="C115" s="946">
        <f>'Recycling - Case 2'!AF125</f>
        <v>139.12867530930757</v>
      </c>
      <c r="D115" s="947">
        <f>'Recycling - Case 2'!AM125</f>
        <v>0.2834252604436</v>
      </c>
      <c r="E115" s="948">
        <f>'Recycling - Case 2'!BE125</f>
        <v>0.17037510887119423</v>
      </c>
      <c r="F115" s="948">
        <f>'Recycling - Case 2'!BF125</f>
        <v>0.2759496177051679</v>
      </c>
      <c r="G115" s="948">
        <f>'Recycling - Case 2'!BG125</f>
        <v>5.8958039761752561E-2</v>
      </c>
      <c r="H115" s="948">
        <f>'Recycling - Case 2'!BH125</f>
        <v>0</v>
      </c>
      <c r="I115" s="948">
        <f>'Recycling - Case 2'!BI125</f>
        <v>0</v>
      </c>
      <c r="J115" s="948">
        <f>'Recycling - Case 2'!BJ125</f>
        <v>0</v>
      </c>
      <c r="K115" s="948">
        <f>'Recycling - Case 2'!BK125</f>
        <v>0.49471723366188552</v>
      </c>
      <c r="L115" s="949">
        <f t="shared" si="83"/>
        <v>1.0000000000000002</v>
      </c>
      <c r="M115" s="4"/>
      <c r="N115" s="960">
        <f t="shared" si="50"/>
        <v>2917.8138336636298</v>
      </c>
      <c r="O115" s="955">
        <f>Parameters!R252</f>
        <v>1</v>
      </c>
      <c r="P115" s="956">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954">
        <f t="shared" si="51"/>
        <v>152.20689171616311</v>
      </c>
      <c r="R115" s="954">
        <f t="shared" si="52"/>
        <v>152.20689171616311</v>
      </c>
      <c r="S115" s="957">
        <f t="shared" si="53"/>
        <v>0</v>
      </c>
      <c r="T115" s="954">
        <f>R115+(T114*$C$8)</f>
        <v>6099.3060439605151</v>
      </c>
      <c r="U115" s="954">
        <f t="shared" si="55"/>
        <v>304.91429379249098</v>
      </c>
      <c r="V115" s="961">
        <f t="shared" si="56"/>
        <v>203.27619586166065</v>
      </c>
      <c r="W115" s="4"/>
      <c r="X115" s="974">
        <f>'Recycling - Case 2'!AM165*'Recycling - Case 2'!C165</f>
        <v>3533.0351656202447</v>
      </c>
      <c r="Y115" s="975">
        <f>Parameters!S251</f>
        <v>0.71500000000000008</v>
      </c>
      <c r="Z115" s="975">
        <f t="shared" si="57"/>
        <v>0.2</v>
      </c>
      <c r="AA115" s="976">
        <f t="shared" si="58"/>
        <v>252.61201434184753</v>
      </c>
      <c r="AB115" s="976">
        <f t="shared" si="59"/>
        <v>252.61201434184753</v>
      </c>
      <c r="AC115" s="977">
        <f t="shared" si="60"/>
        <v>0</v>
      </c>
      <c r="AD115" s="976">
        <f t="shared" si="61"/>
        <v>3905.2435205702832</v>
      </c>
      <c r="AE115" s="976">
        <f t="shared" si="62"/>
        <v>187.27442198193995</v>
      </c>
      <c r="AF115" s="978">
        <f t="shared" si="63"/>
        <v>124.84961465462663</v>
      </c>
      <c r="AG115" s="4"/>
      <c r="AH115" s="974">
        <f>'Recycling - Case 2'!AM205*'Recycling - Case 2'!C205</f>
        <v>1141.1321312519813</v>
      </c>
      <c r="AI115" s="975">
        <f>Parameters!S251</f>
        <v>0.71500000000000008</v>
      </c>
      <c r="AJ115" s="975">
        <f t="shared" si="64"/>
        <v>0.2</v>
      </c>
      <c r="AK115" s="976">
        <f t="shared" si="65"/>
        <v>81.590947384516667</v>
      </c>
      <c r="AL115" s="976">
        <f t="shared" si="66"/>
        <v>81.590947384516667</v>
      </c>
      <c r="AM115" s="977">
        <f t="shared" si="67"/>
        <v>0</v>
      </c>
      <c r="AN115" s="976">
        <f t="shared" si="68"/>
        <v>3120.411854336669</v>
      </c>
      <c r="AO115" s="976">
        <f t="shared" si="69"/>
        <v>155.80367958982055</v>
      </c>
      <c r="AP115" s="978">
        <f t="shared" si="70"/>
        <v>103.86911972654703</v>
      </c>
      <c r="AQ115" s="4"/>
      <c r="AR115" s="1172">
        <f>'Recycling - Case 2'!G125</f>
        <v>831.73662655569433</v>
      </c>
      <c r="AS115" s="1173">
        <v>1</v>
      </c>
      <c r="AT115" s="1173">
        <f t="shared" si="71"/>
        <v>0.05</v>
      </c>
      <c r="AU115" s="1174">
        <f t="shared" si="72"/>
        <v>20.793415663892361</v>
      </c>
      <c r="AV115" s="1174">
        <f t="shared" si="73"/>
        <v>20.793415663892361</v>
      </c>
      <c r="AW115" s="1175">
        <f t="shared" si="74"/>
        <v>0</v>
      </c>
      <c r="AX115" s="1174">
        <f t="shared" si="85"/>
        <v>294.11914889769804</v>
      </c>
      <c r="AY115" s="1174">
        <f t="shared" si="47"/>
        <v>16.901519425156771</v>
      </c>
      <c r="AZ115" s="1176">
        <f t="shared" si="45"/>
        <v>11.267679616771181</v>
      </c>
      <c r="BA115" s="4"/>
      <c r="BB115" s="1185">
        <f t="shared" si="75"/>
        <v>203.27619586166065</v>
      </c>
      <c r="BC115" s="1186">
        <f t="shared" si="76"/>
        <v>124.84961465462663</v>
      </c>
      <c r="BD115" s="1218">
        <f t="shared" si="84"/>
        <v>11.267679616771181</v>
      </c>
      <c r="BE115" s="1186">
        <f t="shared" si="48"/>
        <v>339.39349013305849</v>
      </c>
      <c r="BF115" s="167">
        <v>0</v>
      </c>
      <c r="BG115" s="1208">
        <f t="shared" si="77"/>
        <v>339.39349013305849</v>
      </c>
      <c r="BI115" s="1185">
        <f t="shared" si="78"/>
        <v>203.27619586166065</v>
      </c>
      <c r="BJ115" s="1186">
        <f t="shared" si="79"/>
        <v>103.86911972654703</v>
      </c>
      <c r="BK115" s="1218">
        <f t="shared" si="80"/>
        <v>11.267679616771181</v>
      </c>
      <c r="BL115" s="1186">
        <f t="shared" si="49"/>
        <v>318.41299520497887</v>
      </c>
      <c r="BM115" s="167">
        <v>0</v>
      </c>
      <c r="BN115" s="1208">
        <f t="shared" si="81"/>
        <v>318.41299520497887</v>
      </c>
    </row>
    <row r="116" spans="1:66">
      <c r="A116" s="1050">
        <f>'Input data'!A147</f>
        <v>2047</v>
      </c>
      <c r="B116" s="946">
        <f>'Input data'!B147</f>
        <v>74.373000000000005</v>
      </c>
      <c r="C116" s="946">
        <f>'Recycling - Case 2'!AF126</f>
        <v>139.12867530930757</v>
      </c>
      <c r="D116" s="947">
        <f>'Recycling - Case 2'!AM126</f>
        <v>0.2834252604436</v>
      </c>
      <c r="E116" s="948">
        <f>'Recycling - Case 2'!BE126</f>
        <v>0.17037510887119423</v>
      </c>
      <c r="F116" s="948">
        <f>'Recycling - Case 2'!BF126</f>
        <v>0.2759496177051679</v>
      </c>
      <c r="G116" s="948">
        <f>'Recycling - Case 2'!BG126</f>
        <v>5.8958039761752561E-2</v>
      </c>
      <c r="H116" s="948">
        <f>'Recycling - Case 2'!BH126</f>
        <v>0</v>
      </c>
      <c r="I116" s="948">
        <f>'Recycling - Case 2'!BI126</f>
        <v>0</v>
      </c>
      <c r="J116" s="948">
        <f>'Recycling - Case 2'!BJ126</f>
        <v>0</v>
      </c>
      <c r="K116" s="948">
        <f>'Recycling - Case 2'!BK126</f>
        <v>0.49471723366188552</v>
      </c>
      <c r="L116" s="949">
        <f t="shared" si="83"/>
        <v>1.0000000000000002</v>
      </c>
      <c r="M116" s="4"/>
      <c r="N116" s="960">
        <f t="shared" si="50"/>
        <v>2932.7193492947517</v>
      </c>
      <c r="O116" s="955">
        <f>Parameters!R253</f>
        <v>1</v>
      </c>
      <c r="P116" s="956">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954">
        <f t="shared" si="51"/>
        <v>152.98443351045611</v>
      </c>
      <c r="R116" s="954">
        <f t="shared" si="52"/>
        <v>152.98443351045611</v>
      </c>
      <c r="S116" s="957">
        <f t="shared" si="53"/>
        <v>0</v>
      </c>
      <c r="T116" s="954">
        <f t="shared" ref="T116:T119" si="86">R116+(T115*$C$8)</f>
        <v>5954.8238115607437</v>
      </c>
      <c r="U116" s="954">
        <f t="shared" si="55"/>
        <v>297.46666591022762</v>
      </c>
      <c r="V116" s="961">
        <f t="shared" si="56"/>
        <v>198.3111106068184</v>
      </c>
      <c r="W116" s="4"/>
      <c r="X116" s="974">
        <f>'Recycling - Case 2'!AM166*'Recycling - Case 2'!C166</f>
        <v>3838.7352321015528</v>
      </c>
      <c r="Y116" s="975">
        <f>Parameters!S252</f>
        <v>0.71500000000000008</v>
      </c>
      <c r="Z116" s="975">
        <f t="shared" si="57"/>
        <v>0.2</v>
      </c>
      <c r="AA116" s="976">
        <f t="shared" si="58"/>
        <v>274.46956909526108</v>
      </c>
      <c r="AB116" s="976">
        <f t="shared" si="59"/>
        <v>274.46956909526108</v>
      </c>
      <c r="AC116" s="977">
        <f t="shared" si="60"/>
        <v>0</v>
      </c>
      <c r="AD116" s="976">
        <f t="shared" si="61"/>
        <v>3989.2521157024739</v>
      </c>
      <c r="AE116" s="976">
        <f t="shared" si="62"/>
        <v>190.46097396307039</v>
      </c>
      <c r="AF116" s="978">
        <f t="shared" si="63"/>
        <v>126.97398264204692</v>
      </c>
      <c r="AG116" s="4"/>
      <c r="AH116" s="974">
        <f>'Recycling - Case 2'!AM206*'Recycling - Case 2'!C206</f>
        <v>1180.1253831079473</v>
      </c>
      <c r="AI116" s="975">
        <f>Parameters!S252</f>
        <v>0.71500000000000008</v>
      </c>
      <c r="AJ116" s="975">
        <f t="shared" si="64"/>
        <v>0.2</v>
      </c>
      <c r="AK116" s="976">
        <f t="shared" si="65"/>
        <v>84.378964892218249</v>
      </c>
      <c r="AL116" s="976">
        <f t="shared" si="66"/>
        <v>84.378964892218249</v>
      </c>
      <c r="AM116" s="977">
        <f t="shared" si="67"/>
        <v>0</v>
      </c>
      <c r="AN116" s="976">
        <f t="shared" si="68"/>
        <v>3052.6065372980938</v>
      </c>
      <c r="AO116" s="976">
        <f t="shared" si="69"/>
        <v>152.1842819307935</v>
      </c>
      <c r="AP116" s="978">
        <f t="shared" si="70"/>
        <v>101.45618795386234</v>
      </c>
      <c r="AQ116" s="4"/>
      <c r="AR116" s="1172">
        <f>'Recycling - Case 2'!G126</f>
        <v>835.98551424862012</v>
      </c>
      <c r="AS116" s="1173">
        <v>1</v>
      </c>
      <c r="AT116" s="1173">
        <f t="shared" si="71"/>
        <v>0.05</v>
      </c>
      <c r="AU116" s="1174">
        <f t="shared" si="72"/>
        <v>20.899637856215506</v>
      </c>
      <c r="AV116" s="1174">
        <f t="shared" si="73"/>
        <v>20.899637856215506</v>
      </c>
      <c r="AW116" s="1175">
        <f t="shared" si="74"/>
        <v>0</v>
      </c>
      <c r="AX116" s="1174">
        <f t="shared" si="85"/>
        <v>297.8906209360523</v>
      </c>
      <c r="AY116" s="1174">
        <f t="shared" si="47"/>
        <v>17.128165817861245</v>
      </c>
      <c r="AZ116" s="1176">
        <f t="shared" si="45"/>
        <v>11.418777211907496</v>
      </c>
      <c r="BA116" s="4"/>
      <c r="BB116" s="1185">
        <f t="shared" si="75"/>
        <v>198.3111106068184</v>
      </c>
      <c r="BC116" s="1186">
        <f t="shared" si="76"/>
        <v>126.97398264204692</v>
      </c>
      <c r="BD116" s="1218">
        <f t="shared" si="84"/>
        <v>11.418777211907496</v>
      </c>
      <c r="BE116" s="1186">
        <f t="shared" si="48"/>
        <v>336.70387046077281</v>
      </c>
      <c r="BF116" s="167">
        <v>0</v>
      </c>
      <c r="BG116" s="1208">
        <f t="shared" si="77"/>
        <v>336.70387046077281</v>
      </c>
      <c r="BI116" s="1185">
        <f t="shared" si="78"/>
        <v>198.3111106068184</v>
      </c>
      <c r="BJ116" s="1186">
        <f t="shared" si="79"/>
        <v>101.45618795386234</v>
      </c>
      <c r="BK116" s="1218">
        <f t="shared" si="80"/>
        <v>11.418777211907496</v>
      </c>
      <c r="BL116" s="1186">
        <f t="shared" si="49"/>
        <v>311.1860757725882</v>
      </c>
      <c r="BM116" s="167">
        <v>0</v>
      </c>
      <c r="BN116" s="1208">
        <f t="shared" si="81"/>
        <v>311.1860757725882</v>
      </c>
    </row>
    <row r="117" spans="1:66">
      <c r="A117" s="1050">
        <f>'Input data'!A148</f>
        <v>2048</v>
      </c>
      <c r="B117" s="946">
        <f>'Input data'!B148</f>
        <v>74.753</v>
      </c>
      <c r="C117" s="946">
        <f>'Recycling - Case 2'!AF127</f>
        <v>139.12867530930757</v>
      </c>
      <c r="D117" s="947">
        <f>'Recycling - Case 2'!AM127</f>
        <v>0.2834252604436</v>
      </c>
      <c r="E117" s="948">
        <f>'Recycling - Case 2'!BE127</f>
        <v>0.17037510887119423</v>
      </c>
      <c r="F117" s="948">
        <f>'Recycling - Case 2'!BF127</f>
        <v>0.2759496177051679</v>
      </c>
      <c r="G117" s="948">
        <f>'Recycling - Case 2'!BG127</f>
        <v>5.8958039761752561E-2</v>
      </c>
      <c r="H117" s="948">
        <f>'Recycling - Case 2'!BH127</f>
        <v>0</v>
      </c>
      <c r="I117" s="948">
        <f>'Recycling - Case 2'!BI127</f>
        <v>0</v>
      </c>
      <c r="J117" s="948">
        <f>'Recycling - Case 2'!BJ127</f>
        <v>0</v>
      </c>
      <c r="K117" s="948">
        <f>'Recycling - Case 2'!BK127</f>
        <v>0.49471723366188552</v>
      </c>
      <c r="L117" s="949">
        <f t="shared" si="83"/>
        <v>1.0000000000000002</v>
      </c>
      <c r="M117" s="4"/>
      <c r="N117" s="960">
        <f t="shared" si="50"/>
        <v>2947.7037300879429</v>
      </c>
      <c r="O117" s="955">
        <f>Parameters!R254</f>
        <v>1</v>
      </c>
      <c r="P117" s="956">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954">
        <f t="shared" si="51"/>
        <v>153.76608928249667</v>
      </c>
      <c r="R117" s="954">
        <f t="shared" si="52"/>
        <v>153.76608928249667</v>
      </c>
      <c r="S117" s="957">
        <f t="shared" si="53"/>
        <v>0</v>
      </c>
      <c r="T117" s="954">
        <f t="shared" si="86"/>
        <v>5818.1697165565711</v>
      </c>
      <c r="U117" s="954">
        <f t="shared" si="55"/>
        <v>290.42018428666921</v>
      </c>
      <c r="V117" s="961">
        <f t="shared" si="56"/>
        <v>193.61345619111282</v>
      </c>
      <c r="W117" s="4"/>
      <c r="X117" s="974">
        <f>'Recycling - Case 2'!AM167*'Recycling - Case 2'!C167</f>
        <v>4146.3799382099105</v>
      </c>
      <c r="Y117" s="975">
        <f>Parameters!S253</f>
        <v>0.71500000000000008</v>
      </c>
      <c r="Z117" s="975">
        <f t="shared" si="57"/>
        <v>0.2</v>
      </c>
      <c r="AA117" s="976">
        <f t="shared" si="58"/>
        <v>296.46616558200867</v>
      </c>
      <c r="AB117" s="976">
        <f t="shared" si="59"/>
        <v>296.46616558200867</v>
      </c>
      <c r="AC117" s="977">
        <f t="shared" si="60"/>
        <v>0</v>
      </c>
      <c r="AD117" s="976">
        <f t="shared" si="61"/>
        <v>4091.1601597899289</v>
      </c>
      <c r="AE117" s="976">
        <f t="shared" si="62"/>
        <v>194.55812149455386</v>
      </c>
      <c r="AF117" s="978">
        <f t="shared" si="63"/>
        <v>129.70541432970256</v>
      </c>
      <c r="AG117" s="4"/>
      <c r="AH117" s="974">
        <f>'Recycling - Case 2'!AM207*'Recycling - Case 2'!C207</f>
        <v>1219.5671665931759</v>
      </c>
      <c r="AI117" s="975">
        <f>Parameters!S253</f>
        <v>0.71500000000000008</v>
      </c>
      <c r="AJ117" s="975">
        <f t="shared" si="64"/>
        <v>0.2</v>
      </c>
      <c r="AK117" s="976">
        <f t="shared" si="65"/>
        <v>87.199052411412083</v>
      </c>
      <c r="AL117" s="976">
        <f t="shared" si="66"/>
        <v>87.199052411412083</v>
      </c>
      <c r="AM117" s="977">
        <f t="shared" si="67"/>
        <v>0</v>
      </c>
      <c r="AN117" s="976">
        <f t="shared" si="68"/>
        <v>2990.9282121125952</v>
      </c>
      <c r="AO117" s="976">
        <f t="shared" si="69"/>
        <v>148.87737759691063</v>
      </c>
      <c r="AP117" s="978">
        <f t="shared" si="70"/>
        <v>99.251585064607085</v>
      </c>
      <c r="AQ117" s="4"/>
      <c r="AR117" s="1172">
        <f>'Recycling - Case 2'!G127</f>
        <v>840.25688282881026</v>
      </c>
      <c r="AS117" s="1173">
        <v>1</v>
      </c>
      <c r="AT117" s="1173">
        <f t="shared" si="71"/>
        <v>0.05</v>
      </c>
      <c r="AU117" s="1174">
        <f t="shared" si="72"/>
        <v>21.006422070720259</v>
      </c>
      <c r="AV117" s="1174">
        <f t="shared" si="73"/>
        <v>21.006422070720259</v>
      </c>
      <c r="AW117" s="1175">
        <f t="shared" si="74"/>
        <v>0</v>
      </c>
      <c r="AX117" s="1174">
        <f t="shared" si="85"/>
        <v>301.54924375568379</v>
      </c>
      <c r="AY117" s="1174">
        <f t="shared" si="47"/>
        <v>17.34779925108877</v>
      </c>
      <c r="AZ117" s="1176">
        <f t="shared" si="45"/>
        <v>11.565199500725846</v>
      </c>
      <c r="BA117" s="4"/>
      <c r="BB117" s="1185">
        <f t="shared" si="75"/>
        <v>193.61345619111282</v>
      </c>
      <c r="BC117" s="1186">
        <f t="shared" si="76"/>
        <v>129.70541432970256</v>
      </c>
      <c r="BD117" s="1218">
        <f t="shared" si="84"/>
        <v>11.565199500725846</v>
      </c>
      <c r="BE117" s="1186">
        <f t="shared" si="48"/>
        <v>334.88407002154122</v>
      </c>
      <c r="BF117" s="167">
        <v>0</v>
      </c>
      <c r="BG117" s="1208">
        <f t="shared" si="77"/>
        <v>334.88407002154122</v>
      </c>
      <c r="BI117" s="1185">
        <f t="shared" si="78"/>
        <v>193.61345619111282</v>
      </c>
      <c r="BJ117" s="1186">
        <f t="shared" si="79"/>
        <v>99.251585064607085</v>
      </c>
      <c r="BK117" s="1218">
        <f t="shared" si="80"/>
        <v>11.565199500725846</v>
      </c>
      <c r="BL117" s="1186">
        <f t="shared" si="49"/>
        <v>304.43024075644576</v>
      </c>
      <c r="BM117" s="167">
        <v>0</v>
      </c>
      <c r="BN117" s="1208">
        <f t="shared" si="81"/>
        <v>304.43024075644576</v>
      </c>
    </row>
    <row r="118" spans="1:66">
      <c r="A118" s="1050">
        <f>'Input data'!A149</f>
        <v>2049</v>
      </c>
      <c r="B118" s="946">
        <f>'Input data'!B149</f>
        <v>75.134</v>
      </c>
      <c r="C118" s="946">
        <f>'Recycling - Case 2'!AF128</f>
        <v>139.12867530930757</v>
      </c>
      <c r="D118" s="947">
        <f>'Recycling - Case 2'!AM128</f>
        <v>0.2834252604436</v>
      </c>
      <c r="E118" s="948">
        <f>'Recycling - Case 2'!BE128</f>
        <v>0.17037510887119423</v>
      </c>
      <c r="F118" s="948">
        <f>'Recycling - Case 2'!BF128</f>
        <v>0.2759496177051679</v>
      </c>
      <c r="G118" s="948">
        <f>'Recycling - Case 2'!BG128</f>
        <v>5.8958039761752561E-2</v>
      </c>
      <c r="H118" s="948">
        <f>'Recycling - Case 2'!BH128</f>
        <v>0</v>
      </c>
      <c r="I118" s="948">
        <f>'Recycling - Case 2'!BI128</f>
        <v>0</v>
      </c>
      <c r="J118" s="948">
        <f>'Recycling - Case 2'!BJ128</f>
        <v>0</v>
      </c>
      <c r="K118" s="948">
        <f>'Recycling - Case 2'!BK128</f>
        <v>0.49471723366188552</v>
      </c>
      <c r="L118" s="949">
        <f t="shared" si="83"/>
        <v>1.0000000000000002</v>
      </c>
      <c r="M118" s="4"/>
      <c r="N118" s="960">
        <f t="shared" si="50"/>
        <v>2962.7275434621683</v>
      </c>
      <c r="O118" s="955">
        <f>Parameters!R255</f>
        <v>1</v>
      </c>
      <c r="P118" s="956">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954">
        <f t="shared" si="51"/>
        <v>154.54980204341101</v>
      </c>
      <c r="R118" s="954">
        <f t="shared" si="52"/>
        <v>154.54980204341101</v>
      </c>
      <c r="S118" s="957">
        <f t="shared" si="53"/>
        <v>0</v>
      </c>
      <c r="T118" s="954">
        <f t="shared" si="86"/>
        <v>5688.9640331709998</v>
      </c>
      <c r="U118" s="954">
        <f t="shared" si="55"/>
        <v>283.75548542898156</v>
      </c>
      <c r="V118" s="961">
        <f t="shared" si="56"/>
        <v>189.17032361932104</v>
      </c>
      <c r="W118" s="4"/>
      <c r="X118" s="974">
        <f>'Recycling - Case 2'!AM168*'Recycling - Case 2'!C168</f>
        <v>4462.4570040803892</v>
      </c>
      <c r="Y118" s="975">
        <f>Parameters!S254</f>
        <v>0.71500000000000008</v>
      </c>
      <c r="Z118" s="975">
        <f t="shared" si="57"/>
        <v>0.2</v>
      </c>
      <c r="AA118" s="976">
        <f t="shared" si="58"/>
        <v>319.06567579174788</v>
      </c>
      <c r="AB118" s="976">
        <f t="shared" si="59"/>
        <v>319.06567579174788</v>
      </c>
      <c r="AC118" s="977">
        <f t="shared" si="60"/>
        <v>0</v>
      </c>
      <c r="AD118" s="976">
        <f t="shared" si="61"/>
        <v>4210.6976001289713</v>
      </c>
      <c r="AE118" s="976">
        <f t="shared" si="62"/>
        <v>199.52823545270564</v>
      </c>
      <c r="AF118" s="978">
        <f t="shared" si="63"/>
        <v>133.0188236351371</v>
      </c>
      <c r="AG118" s="4"/>
      <c r="AH118" s="974">
        <f>'Recycling - Case 2'!AM208*'Recycling - Case 2'!C208</f>
        <v>1260.9538760225316</v>
      </c>
      <c r="AI118" s="975">
        <f>Parameters!S254</f>
        <v>0.71500000000000008</v>
      </c>
      <c r="AJ118" s="975">
        <f t="shared" si="64"/>
        <v>0.2</v>
      </c>
      <c r="AK118" s="976">
        <f t="shared" si="65"/>
        <v>90.15820213561102</v>
      </c>
      <c r="AL118" s="976">
        <f t="shared" si="66"/>
        <v>90.15820213561102</v>
      </c>
      <c r="AM118" s="977">
        <f t="shared" si="67"/>
        <v>0</v>
      </c>
      <c r="AN118" s="976">
        <f t="shared" si="68"/>
        <v>2935.2171240664247</v>
      </c>
      <c r="AO118" s="976">
        <f t="shared" si="69"/>
        <v>145.86929018178176</v>
      </c>
      <c r="AP118" s="978">
        <f t="shared" si="70"/>
        <v>97.246193454521176</v>
      </c>
      <c r="AQ118" s="4"/>
      <c r="AR118" s="1172">
        <f>'Recycling - Case 2'!G128</f>
        <v>844.5394918526323</v>
      </c>
      <c r="AS118" s="1173">
        <v>1</v>
      </c>
      <c r="AT118" s="1173">
        <f t="shared" si="71"/>
        <v>0.05</v>
      </c>
      <c r="AU118" s="1174">
        <f t="shared" si="72"/>
        <v>21.11348729631581</v>
      </c>
      <c r="AV118" s="1174">
        <f t="shared" si="73"/>
        <v>21.11348729631581</v>
      </c>
      <c r="AW118" s="1175">
        <f t="shared" si="74"/>
        <v>0</v>
      </c>
      <c r="AX118" s="1174">
        <f t="shared" si="85"/>
        <v>305.10187019457032</v>
      </c>
      <c r="AY118" s="1174">
        <f t="shared" si="47"/>
        <v>17.560860857429319</v>
      </c>
      <c r="AZ118" s="1176">
        <f t="shared" si="45"/>
        <v>11.707240571619545</v>
      </c>
      <c r="BA118" s="4"/>
      <c r="BB118" s="1185">
        <f t="shared" si="75"/>
        <v>189.17032361932104</v>
      </c>
      <c r="BC118" s="1186">
        <f t="shared" si="76"/>
        <v>133.0188236351371</v>
      </c>
      <c r="BD118" s="1218">
        <f t="shared" si="84"/>
        <v>11.707240571619545</v>
      </c>
      <c r="BE118" s="1186">
        <f t="shared" si="48"/>
        <v>333.89638782607767</v>
      </c>
      <c r="BF118" s="167">
        <v>0</v>
      </c>
      <c r="BG118" s="1208">
        <f t="shared" si="77"/>
        <v>333.89638782607767</v>
      </c>
      <c r="BI118" s="1185">
        <f t="shared" si="78"/>
        <v>189.17032361932104</v>
      </c>
      <c r="BJ118" s="1186">
        <f t="shared" si="79"/>
        <v>97.246193454521176</v>
      </c>
      <c r="BK118" s="1218">
        <f t="shared" si="80"/>
        <v>11.707240571619545</v>
      </c>
      <c r="BL118" s="1186">
        <f t="shared" si="49"/>
        <v>298.12375764546175</v>
      </c>
      <c r="BM118" s="167">
        <v>0</v>
      </c>
      <c r="BN118" s="1208">
        <f t="shared" si="81"/>
        <v>298.12375764546175</v>
      </c>
    </row>
    <row r="119" spans="1:66" ht="15" thickBot="1">
      <c r="A119" s="1051">
        <f>'Input data'!A150</f>
        <v>2050</v>
      </c>
      <c r="B119" s="950">
        <f>'Input data'!B150</f>
        <v>75.518000000000001</v>
      </c>
      <c r="C119" s="950">
        <f>'Recycling - Case 2'!AF129</f>
        <v>139.12867530930757</v>
      </c>
      <c r="D119" s="951">
        <f>'Recycling - Case 2'!AM129</f>
        <v>0.2834252604436</v>
      </c>
      <c r="E119" s="952">
        <f>'Recycling - Case 2'!BE129</f>
        <v>0.17037510887119423</v>
      </c>
      <c r="F119" s="952">
        <f>'Recycling - Case 2'!BF129</f>
        <v>0.2759496177051679</v>
      </c>
      <c r="G119" s="952">
        <f>'Recycling - Case 2'!BG129</f>
        <v>5.8958039761752561E-2</v>
      </c>
      <c r="H119" s="952">
        <f>'Recycling - Case 2'!BH129</f>
        <v>0</v>
      </c>
      <c r="I119" s="952">
        <f>'Recycling - Case 2'!BI129</f>
        <v>0</v>
      </c>
      <c r="J119" s="952">
        <f>'Recycling - Case 2'!BJ129</f>
        <v>0</v>
      </c>
      <c r="K119" s="952">
        <f>'Recycling - Case 2'!BK129</f>
        <v>0.49471723366188552</v>
      </c>
      <c r="L119" s="953">
        <f t="shared" si="83"/>
        <v>1.0000000000000002</v>
      </c>
      <c r="M119" s="4"/>
      <c r="N119" s="962">
        <f t="shared" si="50"/>
        <v>2977.8696545794983</v>
      </c>
      <c r="O119" s="963">
        <f>Parameters!R256</f>
        <v>1</v>
      </c>
      <c r="P119" s="964">
        <f>E119*'MSW characteristics'!$B$28+'MSW characteristics'!$B$29*'4A SWD Case 2'!F119+'4A SWD Case 2'!G119*'MSW characteristics'!$B$30+'MSW characteristics'!$B$31*'4A SWD Case 2'!H119+'4A SWD Case 2'!I119*'MSW characteristics'!$B$32+'MSW characteristics'!$B$33*'4A SWD Case 2'!J119+'4A SWD Case 2'!K119*'MSW characteristics'!$B$35</f>
        <v>0.10432940577641374</v>
      </c>
      <c r="Q119" s="965">
        <f t="shared" si="51"/>
        <v>155.33968577094674</v>
      </c>
      <c r="R119" s="965">
        <f t="shared" si="52"/>
        <v>155.33968577094674</v>
      </c>
      <c r="S119" s="966">
        <f t="shared" si="53"/>
        <v>0</v>
      </c>
      <c r="T119" s="965">
        <f t="shared" si="86"/>
        <v>5566.8496690494576</v>
      </c>
      <c r="U119" s="965">
        <f t="shared" si="55"/>
        <v>277.45404989248874</v>
      </c>
      <c r="V119" s="967">
        <f t="shared" si="56"/>
        <v>184.96936659499249</v>
      </c>
      <c r="W119" s="4"/>
      <c r="X119" s="979">
        <f>'Recycling - Case 2'!AM169*'Recycling - Case 2'!C169</f>
        <v>4787.6369951016259</v>
      </c>
      <c r="Y119" s="980">
        <f>Parameters!S255</f>
        <v>0.71500000000000008</v>
      </c>
      <c r="Z119" s="980">
        <f t="shared" si="57"/>
        <v>0.2</v>
      </c>
      <c r="AA119" s="981">
        <f t="shared" si="58"/>
        <v>342.3160451497663</v>
      </c>
      <c r="AB119" s="981">
        <f t="shared" si="59"/>
        <v>342.3160451497663</v>
      </c>
      <c r="AC119" s="982">
        <f t="shared" si="60"/>
        <v>0</v>
      </c>
      <c r="AD119" s="981">
        <f t="shared" si="61"/>
        <v>4347.655500066985</v>
      </c>
      <c r="AE119" s="981">
        <f t="shared" si="62"/>
        <v>205.35814521175229</v>
      </c>
      <c r="AF119" s="983">
        <f t="shared" si="63"/>
        <v>136.90543014116818</v>
      </c>
      <c r="AG119" s="4"/>
      <c r="AH119" s="979">
        <f>'Recycling - Case 2'!AM209*'Recycling - Case 2'!C209</f>
        <v>1304.4401774750706</v>
      </c>
      <c r="AI119" s="980">
        <f>Parameters!S255</f>
        <v>0.71500000000000008</v>
      </c>
      <c r="AJ119" s="980">
        <f t="shared" si="64"/>
        <v>0.2</v>
      </c>
      <c r="AK119" s="981">
        <f t="shared" si="65"/>
        <v>93.267472689467567</v>
      </c>
      <c r="AL119" s="981">
        <f t="shared" si="66"/>
        <v>93.267472689467567</v>
      </c>
      <c r="AM119" s="982">
        <f t="shared" si="67"/>
        <v>0</v>
      </c>
      <c r="AN119" s="981">
        <f t="shared" si="68"/>
        <v>2885.3323683998137</v>
      </c>
      <c r="AO119" s="981">
        <f t="shared" si="69"/>
        <v>143.15222835607864</v>
      </c>
      <c r="AP119" s="983">
        <f t="shared" si="70"/>
        <v>95.43481890405242</v>
      </c>
      <c r="AQ119" s="4"/>
      <c r="AR119" s="1177">
        <f>'Recycling - Case 2'!G129</f>
        <v>848.8558222073508</v>
      </c>
      <c r="AS119" s="1178">
        <f>Parameters!R221</f>
        <v>1</v>
      </c>
      <c r="AT119" s="1178">
        <f t="shared" si="71"/>
        <v>0.05</v>
      </c>
      <c r="AU119" s="1179">
        <f t="shared" si="72"/>
        <v>21.221395555183772</v>
      </c>
      <c r="AV119" s="1179">
        <f t="shared" si="73"/>
        <v>21.221395555183772</v>
      </c>
      <c r="AW119" s="1180">
        <f t="shared" si="74"/>
        <v>0</v>
      </c>
      <c r="AX119" s="1179">
        <f t="shared" si="85"/>
        <v>308.55551603465528</v>
      </c>
      <c r="AY119" s="1179">
        <f t="shared" si="47"/>
        <v>17.767749715098805</v>
      </c>
      <c r="AZ119" s="1181">
        <f t="shared" si="45"/>
        <v>11.845166476732537</v>
      </c>
      <c r="BA119" s="4"/>
      <c r="BB119" s="1187">
        <f t="shared" si="75"/>
        <v>184.96936659499249</v>
      </c>
      <c r="BC119" s="1188">
        <f t="shared" si="76"/>
        <v>136.90543014116818</v>
      </c>
      <c r="BD119" s="1219">
        <f t="shared" si="84"/>
        <v>11.845166476732537</v>
      </c>
      <c r="BE119" s="1188">
        <f t="shared" si="48"/>
        <v>333.71996321289316</v>
      </c>
      <c r="BF119" s="1189">
        <v>0</v>
      </c>
      <c r="BG119" s="1209">
        <f t="shared" si="77"/>
        <v>333.71996321289316</v>
      </c>
      <c r="BI119" s="1187">
        <f t="shared" si="78"/>
        <v>184.96936659499249</v>
      </c>
      <c r="BJ119" s="1188">
        <f t="shared" si="79"/>
        <v>95.43481890405242</v>
      </c>
      <c r="BK119" s="1219">
        <f t="shared" si="80"/>
        <v>11.845166476732537</v>
      </c>
      <c r="BL119" s="1188">
        <f t="shared" si="49"/>
        <v>292.24935197577742</v>
      </c>
      <c r="BM119" s="1189">
        <v>0</v>
      </c>
      <c r="BN119" s="1209">
        <f t="shared" si="81"/>
        <v>292.24935197577742</v>
      </c>
    </row>
    <row r="120" spans="1:66">
      <c r="A120" s="100"/>
      <c r="B120" s="4"/>
      <c r="C120" s="4"/>
      <c r="D120" s="4"/>
      <c r="E120" s="4"/>
      <c r="F120" s="4"/>
      <c r="G120" s="4"/>
      <c r="H120" s="4"/>
      <c r="I120" s="4"/>
      <c r="J120" s="4"/>
      <c r="K120" s="4"/>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sheetData>
  <mergeCells count="26">
    <mergeCell ref="F15:F16"/>
    <mergeCell ref="G15:G16"/>
    <mergeCell ref="H15:H16"/>
    <mergeCell ref="I15:I16"/>
    <mergeCell ref="BE15:BE16"/>
    <mergeCell ref="J15:J16"/>
    <mergeCell ref="K15:K16"/>
    <mergeCell ref="L15:L16"/>
    <mergeCell ref="BB15:BB16"/>
    <mergeCell ref="BC15:BC16"/>
    <mergeCell ref="BD15:BD16"/>
    <mergeCell ref="A15:A17"/>
    <mergeCell ref="B15:B16"/>
    <mergeCell ref="C15:C16"/>
    <mergeCell ref="D15:D16"/>
    <mergeCell ref="E15:E16"/>
    <mergeCell ref="BB13:BG13"/>
    <mergeCell ref="BF15:BF16"/>
    <mergeCell ref="BG15:BG16"/>
    <mergeCell ref="BI13:BN13"/>
    <mergeCell ref="BI15:BI16"/>
    <mergeCell ref="BJ15:BJ16"/>
    <mergeCell ref="BK15:BK16"/>
    <mergeCell ref="BL15:BL16"/>
    <mergeCell ref="BM15:BM16"/>
    <mergeCell ref="BN15:BN16"/>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N207"/>
  <sheetViews>
    <sheetView topLeftCell="A78" zoomScale="55" zoomScaleNormal="55" workbookViewId="0">
      <selection activeCell="AA119" sqref="AA11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32"/>
    <col min="55" max="55" width="11.109375" customWidth="1"/>
    <col min="56" max="56" width="8.33203125" style="1212" customWidth="1"/>
    <col min="57" max="57" width="14.44140625" customWidth="1"/>
    <col min="59" max="59" width="12.33203125" customWidth="1"/>
    <col min="61" max="62" width="11.33203125" customWidth="1"/>
    <col min="63" max="63" width="11.33203125" style="1212" customWidth="1"/>
    <col min="64" max="64" width="11.33203125" customWidth="1"/>
    <col min="65" max="65" width="10.6640625" customWidth="1"/>
    <col min="66" max="66" width="12.33203125" customWidth="1"/>
  </cols>
  <sheetData>
    <row r="1" spans="1:66">
      <c r="A1" s="141" t="s">
        <v>198</v>
      </c>
      <c r="B1" s="115"/>
      <c r="C1" s="115" t="s">
        <v>267</v>
      </c>
      <c r="D1" s="1376" t="s">
        <v>356</v>
      </c>
      <c r="E1" s="1380" t="s">
        <v>361</v>
      </c>
      <c r="F1" s="104"/>
      <c r="G1" s="104"/>
    </row>
    <row r="2" spans="1:66">
      <c r="A2" s="150"/>
      <c r="B2" s="99"/>
      <c r="C2" s="99"/>
      <c r="D2" s="104"/>
      <c r="E2" s="130"/>
      <c r="F2" s="104"/>
      <c r="G2" s="104"/>
    </row>
    <row r="3" spans="1:66">
      <c r="A3" s="150" t="s">
        <v>357</v>
      </c>
      <c r="B3" s="99"/>
      <c r="C3" s="99" t="str">
        <f>Parameters!D94</f>
        <v>varies</v>
      </c>
      <c r="D3" s="1065">
        <v>0.2</v>
      </c>
      <c r="E3" s="1381">
        <f>Parameters!F94</f>
        <v>0.05</v>
      </c>
      <c r="F3" s="104"/>
      <c r="G3" s="104"/>
    </row>
    <row r="4" spans="1:66">
      <c r="A4" s="150" t="s">
        <v>260</v>
      </c>
      <c r="B4" s="99"/>
      <c r="C4" s="99">
        <f>Parameters!D95</f>
        <v>0.5</v>
      </c>
      <c r="D4" s="99">
        <f>Parameters!E95</f>
        <v>0.5</v>
      </c>
      <c r="E4" s="1381">
        <f>Parameters!F95</f>
        <v>0.5</v>
      </c>
      <c r="F4" s="104"/>
      <c r="G4" s="104"/>
    </row>
    <row r="5" spans="1:66">
      <c r="A5" s="174" t="s">
        <v>257</v>
      </c>
      <c r="B5" s="175"/>
      <c r="C5" s="175">
        <f>Parameters!D96</f>
        <v>0.05</v>
      </c>
      <c r="D5" s="99">
        <f>Parameters!E96</f>
        <v>0.05</v>
      </c>
      <c r="E5" s="1381">
        <f>Parameters!F96</f>
        <v>0.06</v>
      </c>
      <c r="F5" s="104"/>
      <c r="G5" s="104"/>
    </row>
    <row r="6" spans="1:66">
      <c r="A6" s="150" t="s">
        <v>258</v>
      </c>
      <c r="B6" s="107" t="s">
        <v>211</v>
      </c>
      <c r="C6" s="107">
        <f>Parameters!D97</f>
        <v>13.862943611198904</v>
      </c>
      <c r="D6" s="106">
        <f>Parameters!E97</f>
        <v>13.862943611198904</v>
      </c>
      <c r="E6" s="1382">
        <f>Parameters!F97</f>
        <v>11.552453009332423</v>
      </c>
      <c r="F6" s="104"/>
      <c r="G6" s="104"/>
    </row>
    <row r="7" spans="1:66">
      <c r="A7" s="150" t="s">
        <v>255</v>
      </c>
      <c r="B7" s="107" t="s">
        <v>256</v>
      </c>
      <c r="C7" s="107">
        <f>Parameters!D98</f>
        <v>6</v>
      </c>
      <c r="D7" s="99">
        <f>Parameters!E98</f>
        <v>6</v>
      </c>
      <c r="E7" s="1381">
        <f>Parameters!F98</f>
        <v>6</v>
      </c>
      <c r="F7" s="104"/>
      <c r="G7" s="104"/>
    </row>
    <row r="8" spans="1:66">
      <c r="A8" s="151" t="s">
        <v>248</v>
      </c>
      <c r="B8" s="108" t="s">
        <v>249</v>
      </c>
      <c r="C8" s="108">
        <f>Parameters!D99</f>
        <v>0.95122942450071402</v>
      </c>
      <c r="D8" s="158">
        <f>Parameters!E99</f>
        <v>0.95122942450071402</v>
      </c>
      <c r="E8" s="1383">
        <f>Parameters!F99</f>
        <v>0.94176453358424872</v>
      </c>
      <c r="F8" s="104"/>
      <c r="G8" s="104"/>
    </row>
    <row r="9" spans="1:66">
      <c r="A9" s="151" t="s">
        <v>250</v>
      </c>
      <c r="B9" s="108" t="s">
        <v>251</v>
      </c>
      <c r="C9" s="108">
        <f>Parameters!D100</f>
        <v>13</v>
      </c>
      <c r="D9" s="99">
        <f>Parameters!E100</f>
        <v>13</v>
      </c>
      <c r="E9" s="1381">
        <f>Parameters!F100</f>
        <v>13</v>
      </c>
      <c r="F9" s="104"/>
      <c r="G9" s="104"/>
      <c r="H9" s="641"/>
    </row>
    <row r="10" spans="1:66">
      <c r="A10" s="151" t="s">
        <v>252</v>
      </c>
      <c r="B10" s="108" t="s">
        <v>253</v>
      </c>
      <c r="C10" s="108">
        <f>Parameters!D101</f>
        <v>1</v>
      </c>
      <c r="D10" s="99">
        <f>Parameters!E101</f>
        <v>1</v>
      </c>
      <c r="E10" s="1381">
        <f>Parameters!F101</f>
        <v>1</v>
      </c>
      <c r="F10" s="104"/>
      <c r="G10" s="104"/>
    </row>
    <row r="11" spans="1:66">
      <c r="A11" s="151" t="s">
        <v>259</v>
      </c>
      <c r="B11" s="108" t="s">
        <v>254</v>
      </c>
      <c r="C11" s="108">
        <f>Parameters!D102</f>
        <v>0.5</v>
      </c>
      <c r="D11" s="99">
        <f>Parameters!E102</f>
        <v>0.5</v>
      </c>
      <c r="E11" s="1381">
        <f>Parameters!F102</f>
        <v>0.5</v>
      </c>
      <c r="F11" s="104"/>
      <c r="G11" s="104"/>
    </row>
    <row r="12" spans="1:66">
      <c r="A12" s="151" t="s">
        <v>849</v>
      </c>
      <c r="B12" s="108"/>
      <c r="C12" s="108"/>
      <c r="D12" s="537">
        <f>'Waste Summary 2017 SASOW'!$L$25</f>
        <v>0.1093486545815688</v>
      </c>
      <c r="E12" s="1381"/>
      <c r="F12" s="104"/>
      <c r="G12" s="104"/>
      <c r="BB12" s="332" t="s">
        <v>772</v>
      </c>
      <c r="BI12" t="s">
        <v>765</v>
      </c>
    </row>
    <row r="13" spans="1:66" ht="15" thickBot="1">
      <c r="A13" s="152" t="s">
        <v>848</v>
      </c>
      <c r="B13" s="163"/>
      <c r="C13" s="163"/>
      <c r="D13" s="1384">
        <f>'Waste Summary 2017 SASOW'!$L$26</f>
        <v>0.30189463979095105</v>
      </c>
      <c r="E13" s="140"/>
      <c r="F13" s="104"/>
      <c r="G13" s="104"/>
      <c r="X13" s="1" t="s">
        <v>772</v>
      </c>
      <c r="AH13" s="1" t="s">
        <v>765</v>
      </c>
    </row>
    <row r="14" spans="1:66" ht="15" thickBot="1">
      <c r="A14" s="10"/>
      <c r="B14" s="10"/>
      <c r="C14" s="10"/>
      <c r="D14" s="10"/>
      <c r="E14" s="10"/>
      <c r="F14" s="10"/>
      <c r="G14" s="10"/>
      <c r="H14" s="10"/>
      <c r="I14" s="10"/>
      <c r="J14" s="10"/>
      <c r="K14" s="10"/>
      <c r="L14" s="10"/>
      <c r="M14" s="10"/>
      <c r="N14" s="231" t="s">
        <v>267</v>
      </c>
      <c r="O14" s="10"/>
      <c r="P14" s="10"/>
      <c r="Q14" s="10"/>
      <c r="R14" s="10"/>
      <c r="S14" s="10"/>
      <c r="T14" s="10"/>
      <c r="U14" s="10"/>
      <c r="V14" s="10"/>
      <c r="W14" s="10"/>
      <c r="X14" s="2" t="s">
        <v>359</v>
      </c>
      <c r="AG14" s="10"/>
      <c r="AH14" s="2" t="s">
        <v>359</v>
      </c>
      <c r="AR14" s="2" t="s">
        <v>361</v>
      </c>
      <c r="BB14" s="1897" t="s">
        <v>360</v>
      </c>
      <c r="BC14" s="1898"/>
      <c r="BD14" s="1898"/>
      <c r="BE14" s="1898"/>
      <c r="BF14" s="1898"/>
      <c r="BG14" s="1899"/>
      <c r="BI14" s="1897" t="s">
        <v>360</v>
      </c>
      <c r="BJ14" s="1898"/>
      <c r="BK14" s="1898"/>
      <c r="BL14" s="1898"/>
      <c r="BM14" s="1898"/>
      <c r="BN14" s="1899"/>
    </row>
    <row r="15" spans="1:66" ht="57.6">
      <c r="A15" s="1910" t="s">
        <v>217</v>
      </c>
      <c r="B15" s="1913" t="s">
        <v>218</v>
      </c>
      <c r="C15" s="1913" t="s">
        <v>219</v>
      </c>
      <c r="D15" s="1913" t="s">
        <v>220</v>
      </c>
      <c r="E15" s="1910" t="s">
        <v>221</v>
      </c>
      <c r="F15" s="1915" t="s">
        <v>85</v>
      </c>
      <c r="G15" s="1915" t="s">
        <v>87</v>
      </c>
      <c r="H15" s="1915" t="s">
        <v>222</v>
      </c>
      <c r="I15" s="1915" t="s">
        <v>115</v>
      </c>
      <c r="J15" s="1915" t="s">
        <v>223</v>
      </c>
      <c r="K15" s="1915" t="s">
        <v>224</v>
      </c>
      <c r="L15" s="1908" t="s">
        <v>225</v>
      </c>
      <c r="M15" s="311"/>
      <c r="N15" s="213" t="s">
        <v>235</v>
      </c>
      <c r="O15" s="214" t="s">
        <v>22</v>
      </c>
      <c r="P15" s="214" t="s">
        <v>236</v>
      </c>
      <c r="Q15" s="215" t="s">
        <v>237</v>
      </c>
      <c r="R15" s="215" t="s">
        <v>238</v>
      </c>
      <c r="S15" s="215" t="s">
        <v>239</v>
      </c>
      <c r="T15" s="215" t="s">
        <v>240</v>
      </c>
      <c r="U15" s="215" t="s">
        <v>241</v>
      </c>
      <c r="V15" s="221" t="s">
        <v>300</v>
      </c>
      <c r="W15" s="10"/>
      <c r="X15" s="213" t="s">
        <v>845</v>
      </c>
      <c r="Y15" s="214" t="s">
        <v>22</v>
      </c>
      <c r="Z15" s="214" t="s">
        <v>236</v>
      </c>
      <c r="AA15" s="215" t="s">
        <v>237</v>
      </c>
      <c r="AB15" s="215" t="s">
        <v>238</v>
      </c>
      <c r="AC15" s="215" t="s">
        <v>239</v>
      </c>
      <c r="AD15" s="215" t="s">
        <v>240</v>
      </c>
      <c r="AE15" s="215" t="s">
        <v>241</v>
      </c>
      <c r="AF15" s="221" t="s">
        <v>300</v>
      </c>
      <c r="AG15" s="10"/>
      <c r="AH15" s="213" t="s">
        <v>845</v>
      </c>
      <c r="AI15" s="214" t="s">
        <v>22</v>
      </c>
      <c r="AJ15" s="214" t="s">
        <v>236</v>
      </c>
      <c r="AK15" s="215" t="s">
        <v>237</v>
      </c>
      <c r="AL15" s="215" t="s">
        <v>238</v>
      </c>
      <c r="AM15" s="215" t="s">
        <v>239</v>
      </c>
      <c r="AN15" s="215" t="s">
        <v>240</v>
      </c>
      <c r="AO15" s="215" t="s">
        <v>241</v>
      </c>
      <c r="AP15" s="221" t="s">
        <v>300</v>
      </c>
      <c r="AR15" s="321" t="s">
        <v>235</v>
      </c>
      <c r="AS15" s="214" t="s">
        <v>22</v>
      </c>
      <c r="AT15" s="214" t="s">
        <v>236</v>
      </c>
      <c r="AU15" s="215" t="s">
        <v>237</v>
      </c>
      <c r="AV15" s="215" t="s">
        <v>238</v>
      </c>
      <c r="AW15" s="215" t="s">
        <v>239</v>
      </c>
      <c r="AX15" s="215" t="s">
        <v>240</v>
      </c>
      <c r="AY15" s="215" t="s">
        <v>241</v>
      </c>
      <c r="AZ15" s="221" t="s">
        <v>300</v>
      </c>
      <c r="BB15" s="1900" t="s">
        <v>267</v>
      </c>
      <c r="BC15" s="1902" t="s">
        <v>356</v>
      </c>
      <c r="BD15" s="1904" t="s">
        <v>361</v>
      </c>
      <c r="BE15" s="1902" t="s">
        <v>225</v>
      </c>
      <c r="BF15" s="1902" t="s">
        <v>362</v>
      </c>
      <c r="BG15" s="1906" t="s">
        <v>363</v>
      </c>
      <c r="BI15" s="1900" t="s">
        <v>267</v>
      </c>
      <c r="BJ15" s="1902" t="s">
        <v>356</v>
      </c>
      <c r="BK15" s="1904" t="s">
        <v>361</v>
      </c>
      <c r="BL15" s="1902" t="s">
        <v>225</v>
      </c>
      <c r="BM15" s="1902" t="s">
        <v>362</v>
      </c>
      <c r="BN15" s="1906" t="s">
        <v>363</v>
      </c>
    </row>
    <row r="16" spans="1:66" ht="22.8">
      <c r="A16" s="1911"/>
      <c r="B16" s="1914"/>
      <c r="C16" s="1914"/>
      <c r="D16" s="1914"/>
      <c r="E16" s="1911"/>
      <c r="F16" s="1916"/>
      <c r="G16" s="1916"/>
      <c r="H16" s="1916"/>
      <c r="I16" s="1916"/>
      <c r="J16" s="1916"/>
      <c r="K16" s="1916"/>
      <c r="L16" s="1909"/>
      <c r="M16" s="312"/>
      <c r="N16" s="222" t="s">
        <v>242</v>
      </c>
      <c r="O16" s="223" t="s">
        <v>22</v>
      </c>
      <c r="P16" s="223" t="s">
        <v>236</v>
      </c>
      <c r="Q16" s="224" t="s">
        <v>243</v>
      </c>
      <c r="R16" s="224" t="s">
        <v>244</v>
      </c>
      <c r="S16" s="224" t="s">
        <v>245</v>
      </c>
      <c r="T16" s="224" t="s">
        <v>301</v>
      </c>
      <c r="U16" s="224" t="s">
        <v>302</v>
      </c>
      <c r="V16" s="225" t="s">
        <v>246</v>
      </c>
      <c r="W16" s="10"/>
      <c r="X16" s="222" t="s">
        <v>242</v>
      </c>
      <c r="Y16" s="223" t="s">
        <v>22</v>
      </c>
      <c r="Z16" s="223" t="s">
        <v>236</v>
      </c>
      <c r="AA16" s="224" t="s">
        <v>243</v>
      </c>
      <c r="AB16" s="224" t="s">
        <v>244</v>
      </c>
      <c r="AC16" s="224" t="s">
        <v>245</v>
      </c>
      <c r="AD16" s="224" t="s">
        <v>301</v>
      </c>
      <c r="AE16" s="224" t="s">
        <v>302</v>
      </c>
      <c r="AF16" s="225" t="s">
        <v>246</v>
      </c>
      <c r="AG16" s="10"/>
      <c r="AH16" s="222" t="s">
        <v>242</v>
      </c>
      <c r="AI16" s="223" t="s">
        <v>22</v>
      </c>
      <c r="AJ16" s="223" t="s">
        <v>236</v>
      </c>
      <c r="AK16" s="224" t="s">
        <v>243</v>
      </c>
      <c r="AL16" s="224" t="s">
        <v>244</v>
      </c>
      <c r="AM16" s="224" t="s">
        <v>245</v>
      </c>
      <c r="AN16" s="224" t="s">
        <v>301</v>
      </c>
      <c r="AO16" s="224" t="s">
        <v>302</v>
      </c>
      <c r="AP16" s="225" t="s">
        <v>246</v>
      </c>
      <c r="AR16" s="322" t="s">
        <v>242</v>
      </c>
      <c r="AS16" s="223" t="s">
        <v>22</v>
      </c>
      <c r="AT16" s="223" t="s">
        <v>236</v>
      </c>
      <c r="AU16" s="224" t="s">
        <v>243</v>
      </c>
      <c r="AV16" s="224" t="s">
        <v>244</v>
      </c>
      <c r="AW16" s="224" t="s">
        <v>245</v>
      </c>
      <c r="AX16" s="224" t="s">
        <v>301</v>
      </c>
      <c r="AY16" s="224" t="s">
        <v>302</v>
      </c>
      <c r="AZ16" s="225" t="s">
        <v>246</v>
      </c>
      <c r="BB16" s="1901"/>
      <c r="BC16" s="1903"/>
      <c r="BD16" s="1905"/>
      <c r="BE16" s="1903"/>
      <c r="BF16" s="1903"/>
      <c r="BG16" s="1907"/>
      <c r="BI16" s="1901"/>
      <c r="BJ16" s="1903"/>
      <c r="BK16" s="1905"/>
      <c r="BL16" s="1903"/>
      <c r="BM16" s="1903"/>
      <c r="BN16" s="1907"/>
    </row>
    <row r="17" spans="1:66" ht="15" thickBot="1">
      <c r="A17" s="1912"/>
      <c r="B17" s="534" t="s">
        <v>226</v>
      </c>
      <c r="C17" s="534" t="s">
        <v>227</v>
      </c>
      <c r="D17" s="534" t="s">
        <v>229</v>
      </c>
      <c r="E17" s="216" t="s">
        <v>229</v>
      </c>
      <c r="F17" s="217" t="s">
        <v>229</v>
      </c>
      <c r="G17" s="217" t="s">
        <v>229</v>
      </c>
      <c r="H17" s="217" t="s">
        <v>229</v>
      </c>
      <c r="I17" s="217" t="s">
        <v>229</v>
      </c>
      <c r="J17" s="217" t="s">
        <v>229</v>
      </c>
      <c r="K17" s="217" t="s">
        <v>229</v>
      </c>
      <c r="L17" s="534" t="s">
        <v>230</v>
      </c>
      <c r="M17" s="313"/>
      <c r="N17" s="217" t="s">
        <v>228</v>
      </c>
      <c r="O17" s="218" t="s">
        <v>41</v>
      </c>
      <c r="P17" s="218" t="s">
        <v>41</v>
      </c>
      <c r="Q17" s="219" t="s">
        <v>228</v>
      </c>
      <c r="R17" s="219" t="s">
        <v>228</v>
      </c>
      <c r="S17" s="219" t="s">
        <v>228</v>
      </c>
      <c r="T17" s="219" t="s">
        <v>228</v>
      </c>
      <c r="U17" s="219" t="s">
        <v>228</v>
      </c>
      <c r="V17" s="220" t="s">
        <v>228</v>
      </c>
      <c r="W17" s="10"/>
      <c r="X17" s="217" t="s">
        <v>228</v>
      </c>
      <c r="Y17" s="218" t="s">
        <v>41</v>
      </c>
      <c r="Z17" s="218" t="s">
        <v>41</v>
      </c>
      <c r="AA17" s="219" t="s">
        <v>228</v>
      </c>
      <c r="AB17" s="219" t="s">
        <v>228</v>
      </c>
      <c r="AC17" s="219" t="s">
        <v>228</v>
      </c>
      <c r="AD17" s="219" t="s">
        <v>228</v>
      </c>
      <c r="AE17" s="219" t="s">
        <v>228</v>
      </c>
      <c r="AF17" s="220" t="s">
        <v>228</v>
      </c>
      <c r="AG17" s="10"/>
      <c r="AH17" s="217" t="s">
        <v>228</v>
      </c>
      <c r="AI17" s="218" t="s">
        <v>41</v>
      </c>
      <c r="AJ17" s="218" t="s">
        <v>41</v>
      </c>
      <c r="AK17" s="219" t="s">
        <v>228</v>
      </c>
      <c r="AL17" s="219" t="s">
        <v>228</v>
      </c>
      <c r="AM17" s="219" t="s">
        <v>228</v>
      </c>
      <c r="AN17" s="219" t="s">
        <v>228</v>
      </c>
      <c r="AO17" s="219" t="s">
        <v>228</v>
      </c>
      <c r="AP17" s="220" t="s">
        <v>228</v>
      </c>
      <c r="AR17" s="216" t="s">
        <v>228</v>
      </c>
      <c r="AS17" s="218" t="s">
        <v>41</v>
      </c>
      <c r="AT17" s="218" t="s">
        <v>41</v>
      </c>
      <c r="AU17" s="219" t="s">
        <v>228</v>
      </c>
      <c r="AV17" s="219" t="s">
        <v>228</v>
      </c>
      <c r="AW17" s="219" t="s">
        <v>228</v>
      </c>
      <c r="AX17" s="219" t="s">
        <v>228</v>
      </c>
      <c r="AY17" s="219" t="s">
        <v>228</v>
      </c>
      <c r="AZ17" s="220" t="s">
        <v>228</v>
      </c>
      <c r="BB17" s="315" t="s">
        <v>228</v>
      </c>
      <c r="BC17" s="314" t="s">
        <v>228</v>
      </c>
      <c r="BD17" s="1213" t="s">
        <v>228</v>
      </c>
      <c r="BE17" s="314" t="s">
        <v>228</v>
      </c>
      <c r="BF17" s="314" t="s">
        <v>228</v>
      </c>
      <c r="BG17" s="316" t="s">
        <v>228</v>
      </c>
      <c r="BI17" s="315" t="s">
        <v>228</v>
      </c>
      <c r="BJ17" s="314" t="s">
        <v>228</v>
      </c>
      <c r="BK17" s="1213" t="s">
        <v>228</v>
      </c>
      <c r="BL17" s="314" t="s">
        <v>228</v>
      </c>
      <c r="BM17" s="314" t="s">
        <v>228</v>
      </c>
      <c r="BN17" s="316" t="s">
        <v>228</v>
      </c>
    </row>
    <row r="18" spans="1:66" ht="15" thickBot="1">
      <c r="A18" s="226"/>
      <c r="B18" s="984"/>
      <c r="C18" s="984"/>
      <c r="D18" s="984"/>
      <c r="E18" s="985"/>
      <c r="F18" s="986"/>
      <c r="G18" s="986"/>
      <c r="H18" s="986"/>
      <c r="I18" s="986"/>
      <c r="J18" s="986"/>
      <c r="K18" s="986"/>
      <c r="L18" s="984"/>
      <c r="M18" s="228"/>
      <c r="N18" s="986"/>
      <c r="O18" s="1026"/>
      <c r="P18" s="1026"/>
      <c r="Q18" s="1027"/>
      <c r="R18" s="1027"/>
      <c r="S18" s="1027"/>
      <c r="T18" s="1027"/>
      <c r="U18" s="1027"/>
      <c r="V18" s="1028"/>
      <c r="W18" s="10"/>
      <c r="X18" s="227"/>
      <c r="Y18" s="229"/>
      <c r="Z18" s="229"/>
      <c r="AA18" s="230"/>
      <c r="AB18" s="230"/>
      <c r="AC18" s="230"/>
      <c r="AD18" s="230"/>
      <c r="AE18" s="230"/>
      <c r="AF18" s="179"/>
      <c r="AG18" s="10"/>
      <c r="AH18" s="227"/>
      <c r="AI18" s="229"/>
      <c r="AJ18" s="229"/>
      <c r="AK18" s="230"/>
      <c r="AL18" s="230"/>
      <c r="AM18" s="230"/>
      <c r="AN18" s="230"/>
      <c r="AO18" s="230"/>
      <c r="AP18" s="179"/>
      <c r="AR18" s="985"/>
      <c r="AS18" s="1026"/>
      <c r="AT18" s="1026"/>
      <c r="AU18" s="1027"/>
      <c r="AV18" s="1027"/>
      <c r="AW18" s="1027"/>
      <c r="AX18" s="1027"/>
      <c r="AY18" s="1027"/>
      <c r="AZ18" s="1044"/>
      <c r="BB18" s="317"/>
      <c r="BC18" s="318"/>
      <c r="BD18" s="1214"/>
      <c r="BE18" s="318"/>
      <c r="BF18" s="104"/>
      <c r="BG18" s="130"/>
      <c r="BI18" s="317"/>
      <c r="BJ18" s="318"/>
      <c r="BK18" s="1214"/>
      <c r="BL18" s="318"/>
      <c r="BM18" s="104"/>
      <c r="BN18" s="130"/>
    </row>
    <row r="19" spans="1:66">
      <c r="A19" s="991">
        <f>'Input data'!A50</f>
        <v>1950</v>
      </c>
      <c r="B19" s="992">
        <f>'Input data'!B50</f>
        <v>5.3541578999999997</v>
      </c>
      <c r="C19" s="992">
        <f>'Baseline data (from input)'!B6</f>
        <v>578.73</v>
      </c>
      <c r="D19" s="993">
        <f>'Baseline data (from input)'!T6</f>
        <v>0.8</v>
      </c>
      <c r="E19" s="993">
        <f>'Input data'!C29</f>
        <v>0.19892488097366726</v>
      </c>
      <c r="F19" s="993">
        <f>'Input data'!D29</f>
        <v>0.26585903447659598</v>
      </c>
      <c r="G19" s="993">
        <f>'Input data'!E29</f>
        <v>8.9228108703258049E-2</v>
      </c>
      <c r="H19" s="993">
        <f>'Input data'!F29</f>
        <v>0</v>
      </c>
      <c r="I19" s="993">
        <f>'Input data'!G29</f>
        <v>0</v>
      </c>
      <c r="J19" s="993">
        <f>'Input data'!H29</f>
        <v>0</v>
      </c>
      <c r="K19" s="993">
        <f>SUM('Input data'!I29:M29)</f>
        <v>0.4459879758464787</v>
      </c>
      <c r="L19" s="994">
        <f>SUM(E19:K19)</f>
        <v>1</v>
      </c>
      <c r="M19" s="102"/>
      <c r="N19" s="1032">
        <f>B19*C19*D19</f>
        <v>2478.8894411736001</v>
      </c>
      <c r="O19" s="1033">
        <f>Parameters!R121</f>
        <v>0.73</v>
      </c>
      <c r="P19" s="1033">
        <f>E19*'MSW characteristics'!$B$28+'MSW characteristics'!$B$29*'4A SWD Case 3'!F19+'4A SWD Case 3'!G19*'MSW characteristics'!$B$30+'MSW characteristics'!$B$31*'4A SWD Case 3'!H19+'4A SWD Case 3'!I19*'MSW characteristics'!$B$32+'MSW characteristics'!$B$33*'4A SWD Case 3'!J19+'4A SWD Case 3'!K19*'MSW characteristics'!$B$35</f>
        <v>0.11870178252267252</v>
      </c>
      <c r="Q19" s="1034">
        <f>N19*P19*O19*$C$4</f>
        <v>107.40073730053733</v>
      </c>
      <c r="R19" s="1034">
        <f>Q19*$C$10</f>
        <v>107.40073730053733</v>
      </c>
      <c r="S19" s="1035">
        <f>Q19*(1-$C$10)</f>
        <v>0</v>
      </c>
      <c r="T19" s="1034">
        <f>R19+(T18*$C$8)</f>
        <v>107.40073730053733</v>
      </c>
      <c r="U19" s="1034">
        <f>S19+T18*(1-$C$8)</f>
        <v>0</v>
      </c>
      <c r="V19" s="1203">
        <f>U19*16/12*$C$11</f>
        <v>0</v>
      </c>
      <c r="W19" s="10"/>
      <c r="X19" s="1032">
        <f>'Baseline data (from input)'!AS6*'4A SWD Case 3'!$D$12</f>
        <v>0</v>
      </c>
      <c r="Y19" s="1033">
        <f>Parameters!S121</f>
        <v>0.71500000000000008</v>
      </c>
      <c r="Z19" s="1033">
        <f>$D$3</f>
        <v>0.2</v>
      </c>
      <c r="AA19" s="1034">
        <f>X19*Z19*Y19*$D$4</f>
        <v>0</v>
      </c>
      <c r="AB19" s="1034">
        <f>AA19*$D$10</f>
        <v>0</v>
      </c>
      <c r="AC19" s="1035">
        <f>AA19*(1-$D$10)</f>
        <v>0</v>
      </c>
      <c r="AD19" s="1034">
        <f>AB19+(AD18*$D$8)</f>
        <v>0</v>
      </c>
      <c r="AE19" s="1034">
        <f>AC19+AD18*(1-$D$8)</f>
        <v>0</v>
      </c>
      <c r="AF19" s="1203">
        <f>AE19*16/12*$D$11</f>
        <v>0</v>
      </c>
      <c r="AG19" s="10"/>
      <c r="AH19" s="1032">
        <f>'Baseline data (from input)'!AS6*'4A SWD Case 3'!$D$12</f>
        <v>0</v>
      </c>
      <c r="AI19" s="1033">
        <f>Parameters!S121</f>
        <v>0.71500000000000008</v>
      </c>
      <c r="AJ19" s="1033">
        <f>$D$3</f>
        <v>0.2</v>
      </c>
      <c r="AK19" s="1034">
        <f>AH19*AJ19*AI19*$D$4</f>
        <v>0</v>
      </c>
      <c r="AL19" s="1034">
        <f>AK19*$D$10</f>
        <v>0</v>
      </c>
      <c r="AM19" s="1035">
        <f>AK19*(1-$D$10)</f>
        <v>0</v>
      </c>
      <c r="AN19" s="1034">
        <f>AL19+(AN18*$D$8)</f>
        <v>0</v>
      </c>
      <c r="AO19" s="1034">
        <f>AM19+AN18*(1-$D$8)</f>
        <v>0</v>
      </c>
      <c r="AP19" s="1203">
        <f>AO19*16/12*$D$11</f>
        <v>0</v>
      </c>
      <c r="AR19" s="1032">
        <v>0</v>
      </c>
      <c r="AS19" s="1033">
        <v>1</v>
      </c>
      <c r="AT19" s="1033">
        <f>$E$3</f>
        <v>0.05</v>
      </c>
      <c r="AU19" s="1034">
        <f>AR19*AT19*AS19*$E$4</f>
        <v>0</v>
      </c>
      <c r="AV19" s="1034">
        <f>AU19*$E$10</f>
        <v>0</v>
      </c>
      <c r="AW19" s="1035">
        <f>AU19*(1-$E$10)</f>
        <v>0</v>
      </c>
      <c r="AX19" s="1034">
        <f>AV19+(AX18*$E$8)</f>
        <v>0</v>
      </c>
      <c r="AY19" s="1034">
        <f>AW19+AX18*(1-$E$8)</f>
        <v>0</v>
      </c>
      <c r="AZ19" s="1203">
        <f>AY19*16/12*$E$11</f>
        <v>0</v>
      </c>
      <c r="BB19" s="317">
        <f>V19</f>
        <v>0</v>
      </c>
      <c r="BC19" s="318">
        <f>AF19</f>
        <v>0</v>
      </c>
      <c r="BD19" s="1214">
        <f>AZ19</f>
        <v>0</v>
      </c>
      <c r="BE19" s="318">
        <f>SUM(BB19:BD19)</f>
        <v>0</v>
      </c>
      <c r="BF19" s="104">
        <v>0</v>
      </c>
      <c r="BG19" s="319">
        <f>BE19-BF19</f>
        <v>0</v>
      </c>
      <c r="BI19" s="317">
        <f>V19</f>
        <v>0</v>
      </c>
      <c r="BJ19" s="318">
        <f>AP19</f>
        <v>0</v>
      </c>
      <c r="BK19" s="1214">
        <f>AZ19</f>
        <v>0</v>
      </c>
      <c r="BL19" s="318">
        <f>SUM(BI19:BK19)</f>
        <v>0</v>
      </c>
      <c r="BM19" s="104">
        <v>0</v>
      </c>
      <c r="BN19" s="319">
        <f>BL19-BM19</f>
        <v>0</v>
      </c>
    </row>
    <row r="20" spans="1:66">
      <c r="A20" s="995">
        <f>'Input data'!A51</f>
        <v>1951</v>
      </c>
      <c r="B20" s="987">
        <f>'Input data'!B51</f>
        <v>5.53942844</v>
      </c>
      <c r="C20" s="987">
        <f>'Baseline data (from input)'!B7</f>
        <v>578.73</v>
      </c>
      <c r="D20" s="899">
        <f>'Baseline data (from input)'!T7</f>
        <v>0.8</v>
      </c>
      <c r="E20" s="899">
        <f>E19</f>
        <v>0.19892488097366726</v>
      </c>
      <c r="F20" s="899">
        <f t="shared" ref="F20:K35" si="0">F19</f>
        <v>0.26585903447659598</v>
      </c>
      <c r="G20" s="899">
        <f t="shared" si="0"/>
        <v>8.9228108703258049E-2</v>
      </c>
      <c r="H20" s="899">
        <f t="shared" si="0"/>
        <v>0</v>
      </c>
      <c r="I20" s="899">
        <f t="shared" si="0"/>
        <v>0</v>
      </c>
      <c r="J20" s="899">
        <f t="shared" si="0"/>
        <v>0</v>
      </c>
      <c r="K20" s="899">
        <f t="shared" si="0"/>
        <v>0.4459879758464787</v>
      </c>
      <c r="L20" s="996">
        <f>SUM(E20:K20)</f>
        <v>1</v>
      </c>
      <c r="M20" s="102"/>
      <c r="N20" s="1037">
        <f t="shared" ref="N20:N83" si="1">B20*C20*D20</f>
        <v>2564.6667368649601</v>
      </c>
      <c r="O20" s="1030">
        <f>Parameters!R122</f>
        <v>0.73</v>
      </c>
      <c r="P20" s="1030">
        <f>E20*'MSW characteristics'!$B$28+'MSW characteristics'!$B$29*'4A SWD Case 3'!F20+'4A SWD Case 3'!G20*'MSW characteristics'!$B$30+'MSW characteristics'!$B$31*'4A SWD Case 3'!H20+'4A SWD Case 3'!I20*'MSW characteristics'!$B$32+'MSW characteristics'!$B$33*'4A SWD Case 3'!J20+'4A SWD Case 3'!K20*'MSW characteristics'!$B$35</f>
        <v>0.11870178252267252</v>
      </c>
      <c r="Q20" s="1029">
        <f t="shared" ref="Q20:Q83" si="2">N20*P20*O20*$C$4</f>
        <v>111.11713733350399</v>
      </c>
      <c r="R20" s="1029">
        <f t="shared" ref="R20:R83" si="3">Q20*$C$10</f>
        <v>111.11713733350399</v>
      </c>
      <c r="S20" s="303">
        <f t="shared" ref="S20:S83" si="4">Q20*(1-$C$10)</f>
        <v>0</v>
      </c>
      <c r="T20" s="1029">
        <f t="shared" ref="T20:T83" si="5">R20+(T19*$C$8)</f>
        <v>213.2798788668465</v>
      </c>
      <c r="U20" s="1029">
        <f t="shared" ref="U20:U83" si="6">S20+T19*(1-$C$8)</f>
        <v>5.2379957671948363</v>
      </c>
      <c r="V20" s="1202">
        <f t="shared" ref="V20:V83" si="7">U20*16/12*$C$11</f>
        <v>3.4919971781298909</v>
      </c>
      <c r="W20" s="10"/>
      <c r="X20" s="1037">
        <f>'Baseline data (from input)'!AS7*'4A SWD Case 3'!$D$12</f>
        <v>0</v>
      </c>
      <c r="Y20" s="1030">
        <f>Parameters!S122</f>
        <v>0.71500000000000008</v>
      </c>
      <c r="Z20" s="1030">
        <f t="shared" ref="Z20:Z83" si="8">$D$3</f>
        <v>0.2</v>
      </c>
      <c r="AA20" s="1029">
        <f t="shared" ref="AA20:AA83" si="9">X20*Z20*Y20*$D$4</f>
        <v>0</v>
      </c>
      <c r="AB20" s="1029">
        <f t="shared" ref="AB20:AB83" si="10">AA20*$D$10</f>
        <v>0</v>
      </c>
      <c r="AC20" s="303">
        <f t="shared" ref="AC20:AC83" si="11">AA20*(1-$D$10)</f>
        <v>0</v>
      </c>
      <c r="AD20" s="1029">
        <f t="shared" ref="AD20:AD83" si="12">AB20+(AD19*$D$8)</f>
        <v>0</v>
      </c>
      <c r="AE20" s="1029">
        <f t="shared" ref="AE20:AE83" si="13">AC20+AD19*(1-$D$8)</f>
        <v>0</v>
      </c>
      <c r="AF20" s="1202">
        <f t="shared" ref="AF20:AF83" si="14">AE20*16/12*$D$11</f>
        <v>0</v>
      </c>
      <c r="AG20" s="10"/>
      <c r="AH20" s="1037">
        <f>'Baseline data (from input)'!AS7*'4A SWD Case 3'!$D$12</f>
        <v>0</v>
      </c>
      <c r="AI20" s="1030">
        <f>Parameters!S122</f>
        <v>0.71500000000000008</v>
      </c>
      <c r="AJ20" s="1030">
        <f t="shared" ref="AJ20:AJ83" si="15">$D$3</f>
        <v>0.2</v>
      </c>
      <c r="AK20" s="1029">
        <f t="shared" ref="AK20:AK83" si="16">AH20*AJ20*AI20*$D$4</f>
        <v>0</v>
      </c>
      <c r="AL20" s="1029">
        <f t="shared" ref="AL20:AL83" si="17">AK20*$D$10</f>
        <v>0</v>
      </c>
      <c r="AM20" s="303">
        <f t="shared" ref="AM20:AM83" si="18">AK20*(1-$D$10)</f>
        <v>0</v>
      </c>
      <c r="AN20" s="1029">
        <f t="shared" ref="AN20:AN83" si="19">AL20+(AN19*$D$8)</f>
        <v>0</v>
      </c>
      <c r="AO20" s="1029">
        <f t="shared" ref="AO20:AO83" si="20">AM20+AN19*(1-$D$8)</f>
        <v>0</v>
      </c>
      <c r="AP20" s="1202">
        <f t="shared" ref="AP20:AP83" si="21">AO20*16/12*$D$11</f>
        <v>0</v>
      </c>
      <c r="AR20" s="1037">
        <v>0</v>
      </c>
      <c r="AS20" s="1030">
        <v>1</v>
      </c>
      <c r="AT20" s="1030">
        <f t="shared" ref="AT20:AT83" si="22">$E$3</f>
        <v>0.05</v>
      </c>
      <c r="AU20" s="1029">
        <f t="shared" ref="AU20:AU83" si="23">AR20*AT20*AS20*$E$4</f>
        <v>0</v>
      </c>
      <c r="AV20" s="1029">
        <f t="shared" ref="AV20:AV83" si="24">AU20*$E$10</f>
        <v>0</v>
      </c>
      <c r="AW20" s="303">
        <f t="shared" ref="AW20:AW83" si="25">AU20*(1-$C$10)</f>
        <v>0</v>
      </c>
      <c r="AX20" s="1029">
        <f t="shared" ref="AX20:AX48" si="26">AV20+(AX19*$C$8)</f>
        <v>0</v>
      </c>
      <c r="AY20" s="1029">
        <f t="shared" ref="AY20:AY68" si="27">AW20+AX19*(1-$C$8)</f>
        <v>0</v>
      </c>
      <c r="AZ20" s="1202">
        <f t="shared" ref="AZ20:AZ68" si="28">AY20*16/12*$C$11</f>
        <v>0</v>
      </c>
      <c r="BB20" s="317">
        <f t="shared" ref="BB20:BB83" si="29">V20</f>
        <v>3.4919971781298909</v>
      </c>
      <c r="BC20" s="318">
        <f t="shared" ref="BC20:BC83" si="30">AF20</f>
        <v>0</v>
      </c>
      <c r="BD20" s="1214">
        <f t="shared" ref="BD20:BD68" si="31">AZ20</f>
        <v>0</v>
      </c>
      <c r="BE20" s="318">
        <f t="shared" ref="BE20:BE82" si="32">SUM(BB20:BD20)</f>
        <v>3.4919971781298909</v>
      </c>
      <c r="BF20" s="104">
        <v>0</v>
      </c>
      <c r="BG20" s="319">
        <f t="shared" ref="BG20:BG83" si="33">BE20-BF20</f>
        <v>3.4919971781298909</v>
      </c>
      <c r="BI20" s="317">
        <f t="shared" ref="BI20:BI83" si="34">V20</f>
        <v>3.4919971781298909</v>
      </c>
      <c r="BJ20" s="318">
        <f t="shared" ref="BJ20:BJ83" si="35">AP20</f>
        <v>0</v>
      </c>
      <c r="BK20" s="1214">
        <f t="shared" ref="BK20:BK83" si="36">AZ20</f>
        <v>0</v>
      </c>
      <c r="BL20" s="318">
        <f t="shared" ref="BL20:BL82" si="37">SUM(BI20:BK20)</f>
        <v>3.4919971781298909</v>
      </c>
      <c r="BM20" s="104">
        <v>0</v>
      </c>
      <c r="BN20" s="319">
        <f t="shared" ref="BN20:BN83" si="38">BL20-BM20</f>
        <v>3.4919971781298909</v>
      </c>
    </row>
    <row r="21" spans="1:66">
      <c r="A21" s="995">
        <f>'Input data'!A52</f>
        <v>1952</v>
      </c>
      <c r="B21" s="987">
        <f>'Input data'!B52</f>
        <v>5.7129272200000001</v>
      </c>
      <c r="C21" s="987">
        <f>'Baseline data (from input)'!B8</f>
        <v>578.73</v>
      </c>
      <c r="D21" s="899">
        <f>'Baseline data (from input)'!T8</f>
        <v>0.8</v>
      </c>
      <c r="E21" s="899">
        <f t="shared" ref="E21:K36" si="39">E20</f>
        <v>0.19892488097366726</v>
      </c>
      <c r="F21" s="899">
        <f t="shared" si="0"/>
        <v>0.26585903447659598</v>
      </c>
      <c r="G21" s="899">
        <f t="shared" si="0"/>
        <v>8.9228108703258049E-2</v>
      </c>
      <c r="H21" s="899">
        <f t="shared" si="0"/>
        <v>0</v>
      </c>
      <c r="I21" s="899">
        <f t="shared" si="0"/>
        <v>0</v>
      </c>
      <c r="J21" s="899">
        <f t="shared" si="0"/>
        <v>0</v>
      </c>
      <c r="K21" s="899">
        <f t="shared" si="0"/>
        <v>0.4459879758464787</v>
      </c>
      <c r="L21" s="996">
        <f t="shared" ref="L21:L84" si="40">SUM(E21:K21)</f>
        <v>1</v>
      </c>
      <c r="M21" s="102"/>
      <c r="N21" s="1037">
        <f t="shared" si="1"/>
        <v>2644.9938960244804</v>
      </c>
      <c r="O21" s="1030">
        <f>Parameters!R123</f>
        <v>0.73</v>
      </c>
      <c r="P21" s="1030">
        <f>E21*'MSW characteristics'!$B$28+'MSW characteristics'!$B$29*'4A SWD Case 3'!F21+'4A SWD Case 3'!G21*'MSW characteristics'!$B$30+'MSW characteristics'!$B$31*'4A SWD Case 3'!H21+'4A SWD Case 3'!I21*'MSW characteristics'!$B$32+'MSW characteristics'!$B$33*'4A SWD Case 3'!J21+'4A SWD Case 3'!K21*'MSW characteristics'!$B$35</f>
        <v>0.11870178252267252</v>
      </c>
      <c r="Q21" s="1029">
        <f t="shared" si="2"/>
        <v>114.59740393018838</v>
      </c>
      <c r="R21" s="1029">
        <f t="shared" si="3"/>
        <v>114.59740393018838</v>
      </c>
      <c r="S21" s="303">
        <f t="shared" si="4"/>
        <v>0</v>
      </c>
      <c r="T21" s="1029">
        <f t="shared" si="5"/>
        <v>317.4755003622808</v>
      </c>
      <c r="U21" s="1029">
        <f t="shared" si="6"/>
        <v>10.401782434754107</v>
      </c>
      <c r="V21" s="1202">
        <f t="shared" si="7"/>
        <v>6.9345216231694051</v>
      </c>
      <c r="W21" s="10"/>
      <c r="X21" s="1037">
        <f>'Baseline data (from input)'!AS8*'4A SWD Case 3'!$D$12</f>
        <v>0</v>
      </c>
      <c r="Y21" s="1030">
        <f>Parameters!S123</f>
        <v>0.71500000000000008</v>
      </c>
      <c r="Z21" s="1030">
        <f t="shared" si="8"/>
        <v>0.2</v>
      </c>
      <c r="AA21" s="1029">
        <f t="shared" si="9"/>
        <v>0</v>
      </c>
      <c r="AB21" s="1029">
        <f t="shared" si="10"/>
        <v>0</v>
      </c>
      <c r="AC21" s="303">
        <f t="shared" si="11"/>
        <v>0</v>
      </c>
      <c r="AD21" s="1029">
        <f t="shared" si="12"/>
        <v>0</v>
      </c>
      <c r="AE21" s="1029">
        <f t="shared" si="13"/>
        <v>0</v>
      </c>
      <c r="AF21" s="1202">
        <f t="shared" si="14"/>
        <v>0</v>
      </c>
      <c r="AG21" s="10"/>
      <c r="AH21" s="1037">
        <f>'Baseline data (from input)'!AS8*'4A SWD Case 3'!$D$12</f>
        <v>0</v>
      </c>
      <c r="AI21" s="1030">
        <f>Parameters!S123</f>
        <v>0.71500000000000008</v>
      </c>
      <c r="AJ21" s="1030">
        <f t="shared" si="15"/>
        <v>0.2</v>
      </c>
      <c r="AK21" s="1029">
        <f t="shared" si="16"/>
        <v>0</v>
      </c>
      <c r="AL21" s="1029">
        <f t="shared" si="17"/>
        <v>0</v>
      </c>
      <c r="AM21" s="303">
        <f t="shared" si="18"/>
        <v>0</v>
      </c>
      <c r="AN21" s="1029">
        <f t="shared" si="19"/>
        <v>0</v>
      </c>
      <c r="AO21" s="1029">
        <f t="shared" si="20"/>
        <v>0</v>
      </c>
      <c r="AP21" s="1202">
        <f t="shared" si="21"/>
        <v>0</v>
      </c>
      <c r="AR21" s="1037">
        <v>0</v>
      </c>
      <c r="AS21" s="1030">
        <v>1</v>
      </c>
      <c r="AT21" s="1030">
        <f t="shared" si="22"/>
        <v>0.05</v>
      </c>
      <c r="AU21" s="1029">
        <f t="shared" si="23"/>
        <v>0</v>
      </c>
      <c r="AV21" s="1029">
        <f t="shared" si="24"/>
        <v>0</v>
      </c>
      <c r="AW21" s="303">
        <f t="shared" si="25"/>
        <v>0</v>
      </c>
      <c r="AX21" s="1029">
        <f t="shared" si="26"/>
        <v>0</v>
      </c>
      <c r="AY21" s="1029">
        <f t="shared" si="27"/>
        <v>0</v>
      </c>
      <c r="AZ21" s="1202">
        <f t="shared" si="28"/>
        <v>0</v>
      </c>
      <c r="BB21" s="317">
        <f t="shared" si="29"/>
        <v>6.9345216231694051</v>
      </c>
      <c r="BC21" s="318">
        <f t="shared" si="30"/>
        <v>0</v>
      </c>
      <c r="BD21" s="1214">
        <f t="shared" si="31"/>
        <v>0</v>
      </c>
      <c r="BE21" s="318">
        <f t="shared" si="32"/>
        <v>6.9345216231694051</v>
      </c>
      <c r="BF21" s="104">
        <v>0</v>
      </c>
      <c r="BG21" s="319">
        <f t="shared" si="33"/>
        <v>6.9345216231694051</v>
      </c>
      <c r="BI21" s="317">
        <f t="shared" si="34"/>
        <v>6.9345216231694051</v>
      </c>
      <c r="BJ21" s="318">
        <f t="shared" si="35"/>
        <v>0</v>
      </c>
      <c r="BK21" s="1214">
        <f t="shared" si="36"/>
        <v>0</v>
      </c>
      <c r="BL21" s="318">
        <f t="shared" si="37"/>
        <v>6.9345216231694051</v>
      </c>
      <c r="BM21" s="104">
        <v>0</v>
      </c>
      <c r="BN21" s="319">
        <f t="shared" si="38"/>
        <v>6.9345216231694051</v>
      </c>
    </row>
    <row r="22" spans="1:66">
      <c r="A22" s="995">
        <f>'Input data'!A53</f>
        <v>1953</v>
      </c>
      <c r="B22" s="987">
        <f>'Input data'!B53</f>
        <v>5.9284297800000001</v>
      </c>
      <c r="C22" s="987">
        <f>'Baseline data (from input)'!B9</f>
        <v>578.73</v>
      </c>
      <c r="D22" s="899">
        <f>'Baseline data (from input)'!T9</f>
        <v>0.8</v>
      </c>
      <c r="E22" s="899">
        <f t="shared" si="39"/>
        <v>0.19892488097366726</v>
      </c>
      <c r="F22" s="899">
        <f t="shared" si="0"/>
        <v>0.26585903447659598</v>
      </c>
      <c r="G22" s="899">
        <f t="shared" si="0"/>
        <v>8.9228108703258049E-2</v>
      </c>
      <c r="H22" s="899">
        <f t="shared" si="0"/>
        <v>0</v>
      </c>
      <c r="I22" s="899">
        <f t="shared" si="0"/>
        <v>0</v>
      </c>
      <c r="J22" s="899">
        <f t="shared" si="0"/>
        <v>0</v>
      </c>
      <c r="K22" s="899">
        <f t="shared" si="0"/>
        <v>0.4459879758464787</v>
      </c>
      <c r="L22" s="996">
        <f t="shared" si="40"/>
        <v>1</v>
      </c>
      <c r="M22" s="102"/>
      <c r="N22" s="1037">
        <f t="shared" si="1"/>
        <v>2744.7681332635202</v>
      </c>
      <c r="O22" s="1030">
        <f>Parameters!R124</f>
        <v>0.73</v>
      </c>
      <c r="P22" s="1030">
        <f>E22*'MSW characteristics'!$B$28+'MSW characteristics'!$B$29*'4A SWD Case 3'!F22+'4A SWD Case 3'!G22*'MSW characteristics'!$B$30+'MSW characteristics'!$B$31*'4A SWD Case 3'!H22+'4A SWD Case 3'!I22*'MSW characteristics'!$B$32+'MSW characteristics'!$B$33*'4A SWD Case 3'!J22+'4A SWD Case 3'!K22*'MSW characteristics'!$B$35</f>
        <v>0.11870178252267252</v>
      </c>
      <c r="Q22" s="1029">
        <f t="shared" si="2"/>
        <v>118.92023756087998</v>
      </c>
      <c r="R22" s="1029">
        <f t="shared" si="3"/>
        <v>118.92023756087998</v>
      </c>
      <c r="S22" s="303">
        <f t="shared" si="4"/>
        <v>0</v>
      </c>
      <c r="T22" s="1029">
        <f t="shared" si="5"/>
        <v>420.91227506356853</v>
      </c>
      <c r="U22" s="1029">
        <f t="shared" si="6"/>
        <v>15.48346285959221</v>
      </c>
      <c r="V22" s="1202">
        <f t="shared" si="7"/>
        <v>10.322308573061473</v>
      </c>
      <c r="W22" s="10"/>
      <c r="X22" s="1037">
        <f>'Baseline data (from input)'!AS9*'4A SWD Case 3'!$D$12</f>
        <v>0</v>
      </c>
      <c r="Y22" s="1030">
        <f>Parameters!S124</f>
        <v>0.71500000000000008</v>
      </c>
      <c r="Z22" s="1030">
        <f t="shared" si="8"/>
        <v>0.2</v>
      </c>
      <c r="AA22" s="1029">
        <f t="shared" si="9"/>
        <v>0</v>
      </c>
      <c r="AB22" s="1029">
        <f t="shared" si="10"/>
        <v>0</v>
      </c>
      <c r="AC22" s="303">
        <f t="shared" si="11"/>
        <v>0</v>
      </c>
      <c r="AD22" s="1029">
        <f t="shared" si="12"/>
        <v>0</v>
      </c>
      <c r="AE22" s="1029">
        <f t="shared" si="13"/>
        <v>0</v>
      </c>
      <c r="AF22" s="1202">
        <f t="shared" si="14"/>
        <v>0</v>
      </c>
      <c r="AG22" s="10"/>
      <c r="AH22" s="1037">
        <f>'Baseline data (from input)'!AS9*'4A SWD Case 3'!$D$12</f>
        <v>0</v>
      </c>
      <c r="AI22" s="1030">
        <f>Parameters!S124</f>
        <v>0.71500000000000008</v>
      </c>
      <c r="AJ22" s="1030">
        <f t="shared" si="15"/>
        <v>0.2</v>
      </c>
      <c r="AK22" s="1029">
        <f t="shared" si="16"/>
        <v>0</v>
      </c>
      <c r="AL22" s="1029">
        <f t="shared" si="17"/>
        <v>0</v>
      </c>
      <c r="AM22" s="303">
        <f t="shared" si="18"/>
        <v>0</v>
      </c>
      <c r="AN22" s="1029">
        <f t="shared" si="19"/>
        <v>0</v>
      </c>
      <c r="AO22" s="1029">
        <f t="shared" si="20"/>
        <v>0</v>
      </c>
      <c r="AP22" s="1202">
        <f t="shared" si="21"/>
        <v>0</v>
      </c>
      <c r="AR22" s="1037">
        <v>0</v>
      </c>
      <c r="AS22" s="1030">
        <v>1</v>
      </c>
      <c r="AT22" s="1030">
        <f t="shared" si="22"/>
        <v>0.05</v>
      </c>
      <c r="AU22" s="1029">
        <f t="shared" si="23"/>
        <v>0</v>
      </c>
      <c r="AV22" s="1029">
        <f t="shared" si="24"/>
        <v>0</v>
      </c>
      <c r="AW22" s="303">
        <f t="shared" si="25"/>
        <v>0</v>
      </c>
      <c r="AX22" s="1029">
        <f t="shared" si="26"/>
        <v>0</v>
      </c>
      <c r="AY22" s="1029">
        <f t="shared" si="27"/>
        <v>0</v>
      </c>
      <c r="AZ22" s="1202">
        <f t="shared" si="28"/>
        <v>0</v>
      </c>
      <c r="BB22" s="317">
        <f t="shared" si="29"/>
        <v>10.322308573061473</v>
      </c>
      <c r="BC22" s="318">
        <f t="shared" si="30"/>
        <v>0</v>
      </c>
      <c r="BD22" s="1214">
        <f t="shared" si="31"/>
        <v>0</v>
      </c>
      <c r="BE22" s="318">
        <f t="shared" si="32"/>
        <v>10.322308573061473</v>
      </c>
      <c r="BF22" s="104">
        <v>0</v>
      </c>
      <c r="BG22" s="319">
        <f t="shared" si="33"/>
        <v>10.322308573061473</v>
      </c>
      <c r="BI22" s="317">
        <f t="shared" si="34"/>
        <v>10.322308573061473</v>
      </c>
      <c r="BJ22" s="318">
        <f t="shared" si="35"/>
        <v>0</v>
      </c>
      <c r="BK22" s="1214">
        <f t="shared" si="36"/>
        <v>0</v>
      </c>
      <c r="BL22" s="318">
        <f t="shared" si="37"/>
        <v>10.322308573061473</v>
      </c>
      <c r="BM22" s="104">
        <v>0</v>
      </c>
      <c r="BN22" s="319">
        <f t="shared" si="38"/>
        <v>10.322308573061473</v>
      </c>
    </row>
    <row r="23" spans="1:66">
      <c r="A23" s="995">
        <f>'Input data'!A54</f>
        <v>1954</v>
      </c>
      <c r="B23" s="987">
        <f>'Input data'!B54</f>
        <v>6.1065695599999996</v>
      </c>
      <c r="C23" s="987">
        <f>'Baseline data (from input)'!B10</f>
        <v>578.73</v>
      </c>
      <c r="D23" s="899">
        <f>'Baseline data (from input)'!T10</f>
        <v>0.8</v>
      </c>
      <c r="E23" s="899">
        <f t="shared" si="39"/>
        <v>0.19892488097366726</v>
      </c>
      <c r="F23" s="899">
        <f t="shared" si="0"/>
        <v>0.26585903447659598</v>
      </c>
      <c r="G23" s="899">
        <f t="shared" si="0"/>
        <v>8.9228108703258049E-2</v>
      </c>
      <c r="H23" s="899">
        <f t="shared" si="0"/>
        <v>0</v>
      </c>
      <c r="I23" s="899">
        <f t="shared" si="0"/>
        <v>0</v>
      </c>
      <c r="J23" s="899">
        <f t="shared" si="0"/>
        <v>0</v>
      </c>
      <c r="K23" s="899">
        <f t="shared" si="0"/>
        <v>0.4459879758464787</v>
      </c>
      <c r="L23" s="996">
        <f t="shared" si="40"/>
        <v>1</v>
      </c>
      <c r="M23" s="102"/>
      <c r="N23" s="1037">
        <f t="shared" si="1"/>
        <v>2827.2440011670401</v>
      </c>
      <c r="O23" s="1030">
        <f>Parameters!R125</f>
        <v>0.73</v>
      </c>
      <c r="P23" s="1030">
        <f>E23*'MSW characteristics'!$B$28+'MSW characteristics'!$B$29*'4A SWD Case 3'!F23+'4A SWD Case 3'!G23*'MSW characteristics'!$B$30+'MSW characteristics'!$B$31*'4A SWD Case 3'!H23+'4A SWD Case 3'!I23*'MSW characteristics'!$B$32+'MSW characteristics'!$B$33*'4A SWD Case 3'!J23+'4A SWD Case 3'!K23*'MSW characteristics'!$B$35</f>
        <v>0.11870178252267252</v>
      </c>
      <c r="Q23" s="1029">
        <f t="shared" si="2"/>
        <v>122.49359943624708</v>
      </c>
      <c r="R23" s="1029">
        <f t="shared" si="3"/>
        <v>122.49359943624708</v>
      </c>
      <c r="S23" s="303">
        <f t="shared" si="4"/>
        <v>0</v>
      </c>
      <c r="T23" s="1029">
        <f t="shared" si="5"/>
        <v>522.87774061025164</v>
      </c>
      <c r="U23" s="1029">
        <f t="shared" si="6"/>
        <v>20.528133889564</v>
      </c>
      <c r="V23" s="1202">
        <f t="shared" si="7"/>
        <v>13.685422593042667</v>
      </c>
      <c r="W23" s="10"/>
      <c r="X23" s="1037">
        <f>'Baseline data (from input)'!AS10*'4A SWD Case 3'!$D$12</f>
        <v>0</v>
      </c>
      <c r="Y23" s="1030">
        <f>Parameters!S125</f>
        <v>0.71500000000000008</v>
      </c>
      <c r="Z23" s="1030">
        <f t="shared" si="8"/>
        <v>0.2</v>
      </c>
      <c r="AA23" s="1029">
        <f t="shared" si="9"/>
        <v>0</v>
      </c>
      <c r="AB23" s="1029">
        <f t="shared" si="10"/>
        <v>0</v>
      </c>
      <c r="AC23" s="303">
        <f t="shared" si="11"/>
        <v>0</v>
      </c>
      <c r="AD23" s="1029">
        <f t="shared" si="12"/>
        <v>0</v>
      </c>
      <c r="AE23" s="1029">
        <f t="shared" si="13"/>
        <v>0</v>
      </c>
      <c r="AF23" s="1202">
        <f t="shared" si="14"/>
        <v>0</v>
      </c>
      <c r="AG23" s="10"/>
      <c r="AH23" s="1037">
        <f>'Baseline data (from input)'!AS10*'4A SWD Case 3'!$D$12</f>
        <v>0</v>
      </c>
      <c r="AI23" s="1030">
        <f>Parameters!S125</f>
        <v>0.71500000000000008</v>
      </c>
      <c r="AJ23" s="1030">
        <f t="shared" si="15"/>
        <v>0.2</v>
      </c>
      <c r="AK23" s="1029">
        <f t="shared" si="16"/>
        <v>0</v>
      </c>
      <c r="AL23" s="1029">
        <f t="shared" si="17"/>
        <v>0</v>
      </c>
      <c r="AM23" s="303">
        <f t="shared" si="18"/>
        <v>0</v>
      </c>
      <c r="AN23" s="1029">
        <f t="shared" si="19"/>
        <v>0</v>
      </c>
      <c r="AO23" s="1029">
        <f t="shared" si="20"/>
        <v>0</v>
      </c>
      <c r="AP23" s="1202">
        <f t="shared" si="21"/>
        <v>0</v>
      </c>
      <c r="AR23" s="1037">
        <v>0</v>
      </c>
      <c r="AS23" s="1030">
        <v>1</v>
      </c>
      <c r="AT23" s="1030">
        <f t="shared" si="22"/>
        <v>0.05</v>
      </c>
      <c r="AU23" s="1029">
        <f t="shared" si="23"/>
        <v>0</v>
      </c>
      <c r="AV23" s="1029">
        <f t="shared" si="24"/>
        <v>0</v>
      </c>
      <c r="AW23" s="303">
        <f t="shared" si="25"/>
        <v>0</v>
      </c>
      <c r="AX23" s="1029">
        <f t="shared" si="26"/>
        <v>0</v>
      </c>
      <c r="AY23" s="1029">
        <f t="shared" si="27"/>
        <v>0</v>
      </c>
      <c r="AZ23" s="1202">
        <f t="shared" si="28"/>
        <v>0</v>
      </c>
      <c r="BB23" s="317">
        <f t="shared" si="29"/>
        <v>13.685422593042667</v>
      </c>
      <c r="BC23" s="318">
        <f t="shared" si="30"/>
        <v>0</v>
      </c>
      <c r="BD23" s="1214">
        <f t="shared" si="31"/>
        <v>0</v>
      </c>
      <c r="BE23" s="318">
        <f t="shared" si="32"/>
        <v>13.685422593042667</v>
      </c>
      <c r="BF23" s="104">
        <v>0</v>
      </c>
      <c r="BG23" s="319">
        <f t="shared" si="33"/>
        <v>13.685422593042667</v>
      </c>
      <c r="BI23" s="317">
        <f t="shared" si="34"/>
        <v>13.685422593042667</v>
      </c>
      <c r="BJ23" s="318">
        <f t="shared" si="35"/>
        <v>0</v>
      </c>
      <c r="BK23" s="1214">
        <f t="shared" si="36"/>
        <v>0</v>
      </c>
      <c r="BL23" s="318">
        <f t="shared" si="37"/>
        <v>13.685422593042667</v>
      </c>
      <c r="BM23" s="104">
        <v>0</v>
      </c>
      <c r="BN23" s="319">
        <f t="shared" si="38"/>
        <v>13.685422593042667</v>
      </c>
    </row>
    <row r="24" spans="1:66">
      <c r="A24" s="995">
        <f>'Input data'!A55</f>
        <v>1955</v>
      </c>
      <c r="B24" s="987">
        <f>'Input data'!B55</f>
        <v>6.2725644799999998</v>
      </c>
      <c r="C24" s="987">
        <f>'Baseline data (from input)'!B11</f>
        <v>578.73</v>
      </c>
      <c r="D24" s="899">
        <f>'Baseline data (from input)'!T11</f>
        <v>0.8</v>
      </c>
      <c r="E24" s="899">
        <f t="shared" si="39"/>
        <v>0.19892488097366726</v>
      </c>
      <c r="F24" s="899">
        <f t="shared" si="0"/>
        <v>0.26585903447659598</v>
      </c>
      <c r="G24" s="899">
        <f t="shared" si="0"/>
        <v>8.9228108703258049E-2</v>
      </c>
      <c r="H24" s="899">
        <f t="shared" si="0"/>
        <v>0</v>
      </c>
      <c r="I24" s="899">
        <f t="shared" si="0"/>
        <v>0</v>
      </c>
      <c r="J24" s="899">
        <f t="shared" si="0"/>
        <v>0</v>
      </c>
      <c r="K24" s="899">
        <f t="shared" si="0"/>
        <v>0.4459879758464787</v>
      </c>
      <c r="L24" s="996">
        <f t="shared" si="40"/>
        <v>1</v>
      </c>
      <c r="M24" s="102"/>
      <c r="N24" s="1037">
        <f t="shared" si="1"/>
        <v>2904.0969932083203</v>
      </c>
      <c r="O24" s="1030">
        <f>Parameters!R126</f>
        <v>0.73</v>
      </c>
      <c r="P24" s="1030">
        <f>E24*'MSW characteristics'!$B$28+'MSW characteristics'!$B$29*'4A SWD Case 3'!F24+'4A SWD Case 3'!G24*'MSW characteristics'!$B$30+'MSW characteristics'!$B$31*'4A SWD Case 3'!H24+'4A SWD Case 3'!I24*'MSW characteristics'!$B$32+'MSW characteristics'!$B$33*'4A SWD Case 3'!J24+'4A SWD Case 3'!K24*'MSW characteristics'!$B$35</f>
        <v>0.11870178252267252</v>
      </c>
      <c r="Q24" s="1029">
        <f t="shared" si="2"/>
        <v>125.82334374508484</v>
      </c>
      <c r="R24" s="1029">
        <f t="shared" si="3"/>
        <v>125.82334374508484</v>
      </c>
      <c r="S24" s="303">
        <f t="shared" si="4"/>
        <v>0</v>
      </c>
      <c r="T24" s="1029">
        <f t="shared" si="5"/>
        <v>623.20003603000816</v>
      </c>
      <c r="U24" s="1029">
        <f t="shared" si="6"/>
        <v>25.501048325328352</v>
      </c>
      <c r="V24" s="1202">
        <f t="shared" si="7"/>
        <v>17.000698883552236</v>
      </c>
      <c r="W24" s="10"/>
      <c r="X24" s="1037">
        <f>'Baseline data (from input)'!AS11*'4A SWD Case 3'!$D$12</f>
        <v>0</v>
      </c>
      <c r="Y24" s="1030">
        <f>Parameters!S126</f>
        <v>0.71500000000000008</v>
      </c>
      <c r="Z24" s="1030">
        <f t="shared" si="8"/>
        <v>0.2</v>
      </c>
      <c r="AA24" s="1029">
        <f t="shared" si="9"/>
        <v>0</v>
      </c>
      <c r="AB24" s="1029">
        <f t="shared" si="10"/>
        <v>0</v>
      </c>
      <c r="AC24" s="303">
        <f t="shared" si="11"/>
        <v>0</v>
      </c>
      <c r="AD24" s="1029">
        <f t="shared" si="12"/>
        <v>0</v>
      </c>
      <c r="AE24" s="1029">
        <f t="shared" si="13"/>
        <v>0</v>
      </c>
      <c r="AF24" s="1202">
        <f t="shared" si="14"/>
        <v>0</v>
      </c>
      <c r="AG24" s="10"/>
      <c r="AH24" s="1037">
        <f>'Baseline data (from input)'!AS11*'4A SWD Case 3'!$D$12</f>
        <v>0</v>
      </c>
      <c r="AI24" s="1030">
        <f>Parameters!S126</f>
        <v>0.71500000000000008</v>
      </c>
      <c r="AJ24" s="1030">
        <f t="shared" si="15"/>
        <v>0.2</v>
      </c>
      <c r="AK24" s="1029">
        <f t="shared" si="16"/>
        <v>0</v>
      </c>
      <c r="AL24" s="1029">
        <f t="shared" si="17"/>
        <v>0</v>
      </c>
      <c r="AM24" s="303">
        <f t="shared" si="18"/>
        <v>0</v>
      </c>
      <c r="AN24" s="1029">
        <f t="shared" si="19"/>
        <v>0</v>
      </c>
      <c r="AO24" s="1029">
        <f t="shared" si="20"/>
        <v>0</v>
      </c>
      <c r="AP24" s="1202">
        <f t="shared" si="21"/>
        <v>0</v>
      </c>
      <c r="AR24" s="1037">
        <v>0</v>
      </c>
      <c r="AS24" s="1030">
        <v>1</v>
      </c>
      <c r="AT24" s="1030">
        <f t="shared" si="22"/>
        <v>0.05</v>
      </c>
      <c r="AU24" s="1029">
        <f t="shared" si="23"/>
        <v>0</v>
      </c>
      <c r="AV24" s="1029">
        <f t="shared" si="24"/>
        <v>0</v>
      </c>
      <c r="AW24" s="303">
        <f t="shared" si="25"/>
        <v>0</v>
      </c>
      <c r="AX24" s="1029">
        <f t="shared" si="26"/>
        <v>0</v>
      </c>
      <c r="AY24" s="1029">
        <f t="shared" si="27"/>
        <v>0</v>
      </c>
      <c r="AZ24" s="1202">
        <f t="shared" si="28"/>
        <v>0</v>
      </c>
      <c r="BB24" s="317">
        <f t="shared" si="29"/>
        <v>17.000698883552236</v>
      </c>
      <c r="BC24" s="318">
        <f t="shared" si="30"/>
        <v>0</v>
      </c>
      <c r="BD24" s="1214">
        <f t="shared" si="31"/>
        <v>0</v>
      </c>
      <c r="BE24" s="318">
        <f t="shared" si="32"/>
        <v>17.000698883552236</v>
      </c>
      <c r="BF24" s="104">
        <v>0</v>
      </c>
      <c r="BG24" s="319">
        <f t="shared" si="33"/>
        <v>17.000698883552236</v>
      </c>
      <c r="BI24" s="317">
        <f t="shared" si="34"/>
        <v>17.000698883552236</v>
      </c>
      <c r="BJ24" s="318">
        <f t="shared" si="35"/>
        <v>0</v>
      </c>
      <c r="BK24" s="1214">
        <f t="shared" si="36"/>
        <v>0</v>
      </c>
      <c r="BL24" s="318">
        <f t="shared" si="37"/>
        <v>17.000698883552236</v>
      </c>
      <c r="BM24" s="104">
        <v>0</v>
      </c>
      <c r="BN24" s="319">
        <f t="shared" si="38"/>
        <v>17.000698883552236</v>
      </c>
    </row>
    <row r="25" spans="1:66">
      <c r="A25" s="995">
        <f>'Input data'!A56</f>
        <v>1956</v>
      </c>
      <c r="B25" s="987">
        <f>'Input data'!B56</f>
        <v>6.4651860000000001</v>
      </c>
      <c r="C25" s="987">
        <f>'Baseline data (from input)'!B12</f>
        <v>578.73</v>
      </c>
      <c r="D25" s="899">
        <f>'Baseline data (from input)'!T12</f>
        <v>0.8</v>
      </c>
      <c r="E25" s="899">
        <f t="shared" si="39"/>
        <v>0.19892488097366726</v>
      </c>
      <c r="F25" s="899">
        <f t="shared" si="0"/>
        <v>0.26585903447659598</v>
      </c>
      <c r="G25" s="899">
        <f t="shared" si="0"/>
        <v>8.9228108703258049E-2</v>
      </c>
      <c r="H25" s="899">
        <f t="shared" si="0"/>
        <v>0</v>
      </c>
      <c r="I25" s="899">
        <f t="shared" si="0"/>
        <v>0</v>
      </c>
      <c r="J25" s="899">
        <f t="shared" si="0"/>
        <v>0</v>
      </c>
      <c r="K25" s="899">
        <f t="shared" si="0"/>
        <v>0.4459879758464787</v>
      </c>
      <c r="L25" s="996">
        <f t="shared" si="40"/>
        <v>1</v>
      </c>
      <c r="M25" s="102"/>
      <c r="N25" s="1037">
        <f t="shared" si="1"/>
        <v>2993.2776750240005</v>
      </c>
      <c r="O25" s="1030">
        <f>Parameters!R127</f>
        <v>0.73</v>
      </c>
      <c r="P25" s="1030">
        <f>E25*'MSW characteristics'!$B$28+'MSW characteristics'!$B$29*'4A SWD Case 3'!F25+'4A SWD Case 3'!G25*'MSW characteristics'!$B$30+'MSW characteristics'!$B$31*'4A SWD Case 3'!H25+'4A SWD Case 3'!I25*'MSW characteristics'!$B$32+'MSW characteristics'!$B$33*'4A SWD Case 3'!J25+'4A SWD Case 3'!K25*'MSW characteristics'!$B$35</f>
        <v>0.11870178252267252</v>
      </c>
      <c r="Q25" s="1029">
        <f t="shared" si="2"/>
        <v>129.68719939789446</v>
      </c>
      <c r="R25" s="1029">
        <f t="shared" si="3"/>
        <v>129.68719939789446</v>
      </c>
      <c r="S25" s="303">
        <f t="shared" si="4"/>
        <v>0</v>
      </c>
      <c r="T25" s="1029">
        <f t="shared" si="5"/>
        <v>722.49341101954337</v>
      </c>
      <c r="U25" s="1029">
        <f t="shared" si="6"/>
        <v>30.393824408359258</v>
      </c>
      <c r="V25" s="1202">
        <f t="shared" si="7"/>
        <v>20.26254960557284</v>
      </c>
      <c r="W25" s="10"/>
      <c r="X25" s="1037">
        <f>'Baseline data (from input)'!AS12*'4A SWD Case 3'!$D$12</f>
        <v>0</v>
      </c>
      <c r="Y25" s="1030">
        <f>Parameters!S127</f>
        <v>0.71500000000000008</v>
      </c>
      <c r="Z25" s="1030">
        <f t="shared" si="8"/>
        <v>0.2</v>
      </c>
      <c r="AA25" s="1029">
        <f t="shared" si="9"/>
        <v>0</v>
      </c>
      <c r="AB25" s="1029">
        <f t="shared" si="10"/>
        <v>0</v>
      </c>
      <c r="AC25" s="303">
        <f t="shared" si="11"/>
        <v>0</v>
      </c>
      <c r="AD25" s="1029">
        <f t="shared" si="12"/>
        <v>0</v>
      </c>
      <c r="AE25" s="1029">
        <f t="shared" si="13"/>
        <v>0</v>
      </c>
      <c r="AF25" s="1202">
        <f t="shared" si="14"/>
        <v>0</v>
      </c>
      <c r="AG25" s="10"/>
      <c r="AH25" s="1037">
        <f>'Baseline data (from input)'!AS12*'4A SWD Case 3'!$D$12</f>
        <v>0</v>
      </c>
      <c r="AI25" s="1030">
        <f>Parameters!S127</f>
        <v>0.71500000000000008</v>
      </c>
      <c r="AJ25" s="1030">
        <f t="shared" si="15"/>
        <v>0.2</v>
      </c>
      <c r="AK25" s="1029">
        <f t="shared" si="16"/>
        <v>0</v>
      </c>
      <c r="AL25" s="1029">
        <f t="shared" si="17"/>
        <v>0</v>
      </c>
      <c r="AM25" s="303">
        <f t="shared" si="18"/>
        <v>0</v>
      </c>
      <c r="AN25" s="1029">
        <f t="shared" si="19"/>
        <v>0</v>
      </c>
      <c r="AO25" s="1029">
        <f t="shared" si="20"/>
        <v>0</v>
      </c>
      <c r="AP25" s="1202">
        <f t="shared" si="21"/>
        <v>0</v>
      </c>
      <c r="AR25" s="1037">
        <v>0</v>
      </c>
      <c r="AS25" s="1030">
        <v>1</v>
      </c>
      <c r="AT25" s="1030">
        <f t="shared" si="22"/>
        <v>0.05</v>
      </c>
      <c r="AU25" s="1029">
        <f t="shared" si="23"/>
        <v>0</v>
      </c>
      <c r="AV25" s="1029">
        <f t="shared" si="24"/>
        <v>0</v>
      </c>
      <c r="AW25" s="303">
        <f t="shared" si="25"/>
        <v>0</v>
      </c>
      <c r="AX25" s="1029">
        <f t="shared" si="26"/>
        <v>0</v>
      </c>
      <c r="AY25" s="1029">
        <f t="shared" si="27"/>
        <v>0</v>
      </c>
      <c r="AZ25" s="1202">
        <f t="shared" si="28"/>
        <v>0</v>
      </c>
      <c r="BB25" s="317">
        <f t="shared" si="29"/>
        <v>20.26254960557284</v>
      </c>
      <c r="BC25" s="318">
        <f t="shared" si="30"/>
        <v>0</v>
      </c>
      <c r="BD25" s="1214">
        <f t="shared" si="31"/>
        <v>0</v>
      </c>
      <c r="BE25" s="318">
        <f t="shared" si="32"/>
        <v>20.26254960557284</v>
      </c>
      <c r="BF25" s="104">
        <v>0</v>
      </c>
      <c r="BG25" s="319">
        <f t="shared" si="33"/>
        <v>20.26254960557284</v>
      </c>
      <c r="BI25" s="317">
        <f t="shared" si="34"/>
        <v>20.26254960557284</v>
      </c>
      <c r="BJ25" s="318">
        <f t="shared" si="35"/>
        <v>0</v>
      </c>
      <c r="BK25" s="1214">
        <f t="shared" si="36"/>
        <v>0</v>
      </c>
      <c r="BL25" s="318">
        <f t="shared" si="37"/>
        <v>20.26254960557284</v>
      </c>
      <c r="BM25" s="104">
        <v>0</v>
      </c>
      <c r="BN25" s="319">
        <f t="shared" si="38"/>
        <v>20.26254960557284</v>
      </c>
    </row>
    <row r="26" spans="1:66">
      <c r="A26" s="995">
        <f>'Input data'!A57</f>
        <v>1957</v>
      </c>
      <c r="B26" s="987">
        <f>'Input data'!B57</f>
        <v>6.6592707999999998</v>
      </c>
      <c r="C26" s="987">
        <f>'Baseline data (from input)'!B13</f>
        <v>578.73</v>
      </c>
      <c r="D26" s="899">
        <f>'Baseline data (from input)'!T13</f>
        <v>0.8</v>
      </c>
      <c r="E26" s="899">
        <f t="shared" si="39"/>
        <v>0.19892488097366726</v>
      </c>
      <c r="F26" s="899">
        <f t="shared" si="0"/>
        <v>0.26585903447659598</v>
      </c>
      <c r="G26" s="899">
        <f t="shared" si="0"/>
        <v>8.9228108703258049E-2</v>
      </c>
      <c r="H26" s="899">
        <f t="shared" si="0"/>
        <v>0</v>
      </c>
      <c r="I26" s="899">
        <f t="shared" si="0"/>
        <v>0</v>
      </c>
      <c r="J26" s="899">
        <f t="shared" si="0"/>
        <v>0</v>
      </c>
      <c r="K26" s="899">
        <f t="shared" si="0"/>
        <v>0.4459879758464787</v>
      </c>
      <c r="L26" s="996">
        <f t="shared" si="40"/>
        <v>1</v>
      </c>
      <c r="M26" s="102"/>
      <c r="N26" s="1037">
        <f t="shared" si="1"/>
        <v>3083.1358320672002</v>
      </c>
      <c r="O26" s="1030">
        <f>Parameters!R128</f>
        <v>0.73</v>
      </c>
      <c r="P26" s="1030">
        <f>E26*'MSW characteristics'!$B$28+'MSW characteristics'!$B$29*'4A SWD Case 3'!F26+'4A SWD Case 3'!G26*'MSW characteristics'!$B$30+'MSW characteristics'!$B$31*'4A SWD Case 3'!H26+'4A SWD Case 3'!I26*'MSW characteristics'!$B$32+'MSW characteristics'!$B$33*'4A SWD Case 3'!J26+'4A SWD Case 3'!K26*'MSW characteristics'!$B$35</f>
        <v>0.11870178252267252</v>
      </c>
      <c r="Q26" s="1029">
        <f t="shared" si="2"/>
        <v>133.58040744445341</v>
      </c>
      <c r="R26" s="1029">
        <f t="shared" si="3"/>
        <v>133.58040744445341</v>
      </c>
      <c r="S26" s="303">
        <f t="shared" si="4"/>
        <v>0</v>
      </c>
      <c r="T26" s="1029">
        <f t="shared" si="5"/>
        <v>820.83739901413151</v>
      </c>
      <c r="U26" s="1029">
        <f t="shared" si="6"/>
        <v>35.236419449865302</v>
      </c>
      <c r="V26" s="1202">
        <f t="shared" si="7"/>
        <v>23.490946299910203</v>
      </c>
      <c r="W26" s="10"/>
      <c r="X26" s="1037">
        <f>'Baseline data (from input)'!AS13*'4A SWD Case 3'!$D$12</f>
        <v>0</v>
      </c>
      <c r="Y26" s="1030">
        <f>Parameters!S128</f>
        <v>0.71500000000000008</v>
      </c>
      <c r="Z26" s="1030">
        <f t="shared" si="8"/>
        <v>0.2</v>
      </c>
      <c r="AA26" s="1029">
        <f t="shared" si="9"/>
        <v>0</v>
      </c>
      <c r="AB26" s="1029">
        <f t="shared" si="10"/>
        <v>0</v>
      </c>
      <c r="AC26" s="303">
        <f t="shared" si="11"/>
        <v>0</v>
      </c>
      <c r="AD26" s="1029">
        <f t="shared" si="12"/>
        <v>0</v>
      </c>
      <c r="AE26" s="1029">
        <f t="shared" si="13"/>
        <v>0</v>
      </c>
      <c r="AF26" s="1202">
        <f t="shared" si="14"/>
        <v>0</v>
      </c>
      <c r="AG26" s="10"/>
      <c r="AH26" s="1037">
        <f>'Baseline data (from input)'!AS13*'4A SWD Case 3'!$D$12</f>
        <v>0</v>
      </c>
      <c r="AI26" s="1030">
        <f>Parameters!S128</f>
        <v>0.71500000000000008</v>
      </c>
      <c r="AJ26" s="1030">
        <f t="shared" si="15"/>
        <v>0.2</v>
      </c>
      <c r="AK26" s="1029">
        <f t="shared" si="16"/>
        <v>0</v>
      </c>
      <c r="AL26" s="1029">
        <f t="shared" si="17"/>
        <v>0</v>
      </c>
      <c r="AM26" s="303">
        <f t="shared" si="18"/>
        <v>0</v>
      </c>
      <c r="AN26" s="1029">
        <f t="shared" si="19"/>
        <v>0</v>
      </c>
      <c r="AO26" s="1029">
        <f t="shared" si="20"/>
        <v>0</v>
      </c>
      <c r="AP26" s="1202">
        <f t="shared" si="21"/>
        <v>0</v>
      </c>
      <c r="AR26" s="1037">
        <v>0</v>
      </c>
      <c r="AS26" s="1030">
        <v>1</v>
      </c>
      <c r="AT26" s="1030">
        <f t="shared" si="22"/>
        <v>0.05</v>
      </c>
      <c r="AU26" s="1029">
        <f t="shared" si="23"/>
        <v>0</v>
      </c>
      <c r="AV26" s="1029">
        <f t="shared" si="24"/>
        <v>0</v>
      </c>
      <c r="AW26" s="303">
        <f t="shared" si="25"/>
        <v>0</v>
      </c>
      <c r="AX26" s="1045">
        <f t="shared" si="26"/>
        <v>0</v>
      </c>
      <c r="AY26" s="1045">
        <f t="shared" si="27"/>
        <v>0</v>
      </c>
      <c r="AZ26" s="1202">
        <f t="shared" si="28"/>
        <v>0</v>
      </c>
      <c r="BB26" s="317">
        <f t="shared" si="29"/>
        <v>23.490946299910203</v>
      </c>
      <c r="BC26" s="318">
        <f t="shared" si="30"/>
        <v>0</v>
      </c>
      <c r="BD26" s="1214">
        <f t="shared" si="31"/>
        <v>0</v>
      </c>
      <c r="BE26" s="318">
        <f t="shared" si="32"/>
        <v>23.490946299910203</v>
      </c>
      <c r="BF26" s="104">
        <v>0</v>
      </c>
      <c r="BG26" s="319">
        <f t="shared" si="33"/>
        <v>23.490946299910203</v>
      </c>
      <c r="BI26" s="317">
        <f t="shared" si="34"/>
        <v>23.490946299910203</v>
      </c>
      <c r="BJ26" s="318">
        <f t="shared" si="35"/>
        <v>0</v>
      </c>
      <c r="BK26" s="1214">
        <f t="shared" si="36"/>
        <v>0</v>
      </c>
      <c r="BL26" s="318">
        <f t="shared" si="37"/>
        <v>23.490946299910203</v>
      </c>
      <c r="BM26" s="104">
        <v>0</v>
      </c>
      <c r="BN26" s="319">
        <f t="shared" si="38"/>
        <v>23.490946299910203</v>
      </c>
    </row>
    <row r="27" spans="1:66">
      <c r="A27" s="995">
        <f>'Input data'!A58</f>
        <v>1958</v>
      </c>
      <c r="B27" s="987">
        <f>'Input data'!B58</f>
        <v>6.8699176</v>
      </c>
      <c r="C27" s="987">
        <f>'Baseline data (from input)'!B14</f>
        <v>578.73</v>
      </c>
      <c r="D27" s="899">
        <f>'Baseline data (from input)'!T14</f>
        <v>0.8</v>
      </c>
      <c r="E27" s="899">
        <f t="shared" si="39"/>
        <v>0.19892488097366726</v>
      </c>
      <c r="F27" s="899">
        <f t="shared" si="0"/>
        <v>0.26585903447659598</v>
      </c>
      <c r="G27" s="899">
        <f t="shared" si="0"/>
        <v>8.9228108703258049E-2</v>
      </c>
      <c r="H27" s="899">
        <f t="shared" si="0"/>
        <v>0</v>
      </c>
      <c r="I27" s="899">
        <f t="shared" si="0"/>
        <v>0</v>
      </c>
      <c r="J27" s="899">
        <f t="shared" si="0"/>
        <v>0</v>
      </c>
      <c r="K27" s="899">
        <f t="shared" si="0"/>
        <v>0.4459879758464787</v>
      </c>
      <c r="L27" s="996">
        <f t="shared" si="40"/>
        <v>1</v>
      </c>
      <c r="M27" s="102"/>
      <c r="N27" s="1037">
        <f t="shared" si="1"/>
        <v>3180.6619301184001</v>
      </c>
      <c r="O27" s="1030">
        <f>Parameters!R129</f>
        <v>0.73</v>
      </c>
      <c r="P27" s="1030">
        <f>E27*'MSW characteristics'!$B$28+'MSW characteristics'!$B$29*'4A SWD Case 3'!F27+'4A SWD Case 3'!G27*'MSW characteristics'!$B$30+'MSW characteristics'!$B$31*'4A SWD Case 3'!H27+'4A SWD Case 3'!I27*'MSW characteristics'!$B$32+'MSW characteristics'!$B$33*'4A SWD Case 3'!J27+'4A SWD Case 3'!K27*'MSW characteristics'!$B$35</f>
        <v>0.11870178252267252</v>
      </c>
      <c r="Q27" s="1029">
        <f t="shared" si="2"/>
        <v>137.80583785807622</v>
      </c>
      <c r="R27" s="1029">
        <f t="shared" si="3"/>
        <v>137.80583785807622</v>
      </c>
      <c r="S27" s="303">
        <f t="shared" si="4"/>
        <v>0</v>
      </c>
      <c r="T27" s="1029">
        <f t="shared" si="5"/>
        <v>918.61052453095147</v>
      </c>
      <c r="U27" s="1029">
        <f t="shared" si="6"/>
        <v>40.032712341256236</v>
      </c>
      <c r="V27" s="1202">
        <f t="shared" si="7"/>
        <v>26.688474894170824</v>
      </c>
      <c r="W27" s="10"/>
      <c r="X27" s="1037">
        <f>'Baseline data (from input)'!AS14*'4A SWD Case 3'!$D$12</f>
        <v>0</v>
      </c>
      <c r="Y27" s="1030">
        <f>Parameters!S129</f>
        <v>0.71500000000000008</v>
      </c>
      <c r="Z27" s="1030">
        <f t="shared" si="8"/>
        <v>0.2</v>
      </c>
      <c r="AA27" s="1029">
        <f t="shared" si="9"/>
        <v>0</v>
      </c>
      <c r="AB27" s="1029">
        <f t="shared" si="10"/>
        <v>0</v>
      </c>
      <c r="AC27" s="303">
        <f t="shared" si="11"/>
        <v>0</v>
      </c>
      <c r="AD27" s="1029">
        <f t="shared" si="12"/>
        <v>0</v>
      </c>
      <c r="AE27" s="1029">
        <f t="shared" si="13"/>
        <v>0</v>
      </c>
      <c r="AF27" s="1202">
        <f t="shared" si="14"/>
        <v>0</v>
      </c>
      <c r="AG27" s="10"/>
      <c r="AH27" s="1037">
        <f>'Baseline data (from input)'!AS14*'4A SWD Case 3'!$D$12</f>
        <v>0</v>
      </c>
      <c r="AI27" s="1030">
        <f>Parameters!S129</f>
        <v>0.71500000000000008</v>
      </c>
      <c r="AJ27" s="1030">
        <f t="shared" si="15"/>
        <v>0.2</v>
      </c>
      <c r="AK27" s="1029">
        <f t="shared" si="16"/>
        <v>0</v>
      </c>
      <c r="AL27" s="1029">
        <f t="shared" si="17"/>
        <v>0</v>
      </c>
      <c r="AM27" s="303">
        <f t="shared" si="18"/>
        <v>0</v>
      </c>
      <c r="AN27" s="1029">
        <f t="shared" si="19"/>
        <v>0</v>
      </c>
      <c r="AO27" s="1029">
        <f t="shared" si="20"/>
        <v>0</v>
      </c>
      <c r="AP27" s="1202">
        <f t="shared" si="21"/>
        <v>0</v>
      </c>
      <c r="AR27" s="1037">
        <v>0</v>
      </c>
      <c r="AS27" s="1030">
        <v>1</v>
      </c>
      <c r="AT27" s="1030">
        <f t="shared" si="22"/>
        <v>0.05</v>
      </c>
      <c r="AU27" s="1029">
        <f t="shared" si="23"/>
        <v>0</v>
      </c>
      <c r="AV27" s="1029">
        <f t="shared" si="24"/>
        <v>0</v>
      </c>
      <c r="AW27" s="303">
        <f t="shared" si="25"/>
        <v>0</v>
      </c>
      <c r="AX27" s="1045">
        <f t="shared" si="26"/>
        <v>0</v>
      </c>
      <c r="AY27" s="1045">
        <f t="shared" si="27"/>
        <v>0</v>
      </c>
      <c r="AZ27" s="1202">
        <f t="shared" si="28"/>
        <v>0</v>
      </c>
      <c r="BB27" s="317">
        <f t="shared" si="29"/>
        <v>26.688474894170824</v>
      </c>
      <c r="BC27" s="318">
        <f t="shared" si="30"/>
        <v>0</v>
      </c>
      <c r="BD27" s="1214">
        <f t="shared" si="31"/>
        <v>0</v>
      </c>
      <c r="BE27" s="318">
        <f t="shared" si="32"/>
        <v>26.688474894170824</v>
      </c>
      <c r="BF27" s="104">
        <v>0</v>
      </c>
      <c r="BG27" s="319">
        <f t="shared" si="33"/>
        <v>26.688474894170824</v>
      </c>
      <c r="BI27" s="317">
        <f t="shared" si="34"/>
        <v>26.688474894170824</v>
      </c>
      <c r="BJ27" s="318">
        <f t="shared" si="35"/>
        <v>0</v>
      </c>
      <c r="BK27" s="1214">
        <f t="shared" si="36"/>
        <v>0</v>
      </c>
      <c r="BL27" s="318">
        <f t="shared" si="37"/>
        <v>26.688474894170824</v>
      </c>
      <c r="BM27" s="104">
        <v>0</v>
      </c>
      <c r="BN27" s="319">
        <f t="shared" si="38"/>
        <v>26.688474894170824</v>
      </c>
    </row>
    <row r="28" spans="1:66">
      <c r="A28" s="995">
        <f>'Input data'!A59</f>
        <v>1959</v>
      </c>
      <c r="B28" s="987">
        <f>'Input data'!B59</f>
        <v>7.0827593200000001</v>
      </c>
      <c r="C28" s="987">
        <f>'Baseline data (from input)'!B15</f>
        <v>578.73</v>
      </c>
      <c r="D28" s="899">
        <f>'Baseline data (from input)'!T15</f>
        <v>0.8</v>
      </c>
      <c r="E28" s="899">
        <f t="shared" si="39"/>
        <v>0.19892488097366726</v>
      </c>
      <c r="F28" s="899">
        <f t="shared" si="0"/>
        <v>0.26585903447659598</v>
      </c>
      <c r="G28" s="899">
        <f t="shared" si="0"/>
        <v>8.9228108703258049E-2</v>
      </c>
      <c r="H28" s="899">
        <f t="shared" si="0"/>
        <v>0</v>
      </c>
      <c r="I28" s="899">
        <f t="shared" si="0"/>
        <v>0</v>
      </c>
      <c r="J28" s="899">
        <f t="shared" si="0"/>
        <v>0</v>
      </c>
      <c r="K28" s="899">
        <f t="shared" si="0"/>
        <v>0.4459879758464787</v>
      </c>
      <c r="L28" s="996">
        <f t="shared" si="40"/>
        <v>1</v>
      </c>
      <c r="M28" s="102"/>
      <c r="N28" s="1037">
        <f t="shared" si="1"/>
        <v>3279.2042410108802</v>
      </c>
      <c r="O28" s="1030">
        <f>Parameters!R130</f>
        <v>0.73</v>
      </c>
      <c r="P28" s="1030">
        <f>E28*'MSW characteristics'!$B$28+'MSW characteristics'!$B$29*'4A SWD Case 3'!F28+'4A SWD Case 3'!G28*'MSW characteristics'!$B$30+'MSW characteristics'!$B$31*'4A SWD Case 3'!H28+'4A SWD Case 3'!I28*'MSW characteristics'!$B$32+'MSW characteristics'!$B$33*'4A SWD Case 3'!J28+'4A SWD Case 3'!K28*'MSW characteristics'!$B$35</f>
        <v>0.11870178252267252</v>
      </c>
      <c r="Q28" s="1029">
        <f t="shared" si="2"/>
        <v>142.07529686232309</v>
      </c>
      <c r="R28" s="1029">
        <f t="shared" si="3"/>
        <v>142.07529686232309</v>
      </c>
      <c r="S28" s="303">
        <f t="shared" si="4"/>
        <v>0</v>
      </c>
      <c r="T28" s="1029">
        <f t="shared" si="5"/>
        <v>1015.884657452199</v>
      </c>
      <c r="U28" s="1029">
        <f t="shared" si="6"/>
        <v>44.801163941075465</v>
      </c>
      <c r="V28" s="1202">
        <f t="shared" si="7"/>
        <v>29.867442627383642</v>
      </c>
      <c r="W28" s="10"/>
      <c r="X28" s="1037">
        <f>'Baseline data (from input)'!AS15*'4A SWD Case 3'!$D$12</f>
        <v>0</v>
      </c>
      <c r="Y28" s="1030">
        <f>Parameters!S130</f>
        <v>0.71500000000000008</v>
      </c>
      <c r="Z28" s="1030">
        <f t="shared" si="8"/>
        <v>0.2</v>
      </c>
      <c r="AA28" s="1029">
        <f t="shared" si="9"/>
        <v>0</v>
      </c>
      <c r="AB28" s="1029">
        <f t="shared" si="10"/>
        <v>0</v>
      </c>
      <c r="AC28" s="303">
        <f t="shared" si="11"/>
        <v>0</v>
      </c>
      <c r="AD28" s="1029">
        <f t="shared" si="12"/>
        <v>0</v>
      </c>
      <c r="AE28" s="1029">
        <f t="shared" si="13"/>
        <v>0</v>
      </c>
      <c r="AF28" s="1202">
        <f t="shared" si="14"/>
        <v>0</v>
      </c>
      <c r="AG28" s="10"/>
      <c r="AH28" s="1037">
        <f>'Baseline data (from input)'!AS15*'4A SWD Case 3'!$D$12</f>
        <v>0</v>
      </c>
      <c r="AI28" s="1030">
        <f>Parameters!S130</f>
        <v>0.71500000000000008</v>
      </c>
      <c r="AJ28" s="1030">
        <f t="shared" si="15"/>
        <v>0.2</v>
      </c>
      <c r="AK28" s="1029">
        <f t="shared" si="16"/>
        <v>0</v>
      </c>
      <c r="AL28" s="1029">
        <f t="shared" si="17"/>
        <v>0</v>
      </c>
      <c r="AM28" s="303">
        <f t="shared" si="18"/>
        <v>0</v>
      </c>
      <c r="AN28" s="1029">
        <f t="shared" si="19"/>
        <v>0</v>
      </c>
      <c r="AO28" s="1029">
        <f t="shared" si="20"/>
        <v>0</v>
      </c>
      <c r="AP28" s="1202">
        <f t="shared" si="21"/>
        <v>0</v>
      </c>
      <c r="AR28" s="1037">
        <v>0</v>
      </c>
      <c r="AS28" s="1030">
        <v>1</v>
      </c>
      <c r="AT28" s="1030">
        <f t="shared" si="22"/>
        <v>0.05</v>
      </c>
      <c r="AU28" s="1029">
        <f t="shared" si="23"/>
        <v>0</v>
      </c>
      <c r="AV28" s="1029">
        <f t="shared" si="24"/>
        <v>0</v>
      </c>
      <c r="AW28" s="303">
        <f t="shared" si="25"/>
        <v>0</v>
      </c>
      <c r="AX28" s="1045">
        <f t="shared" si="26"/>
        <v>0</v>
      </c>
      <c r="AY28" s="1045">
        <f t="shared" si="27"/>
        <v>0</v>
      </c>
      <c r="AZ28" s="1202">
        <f t="shared" si="28"/>
        <v>0</v>
      </c>
      <c r="BB28" s="317">
        <f t="shared" si="29"/>
        <v>29.867442627383642</v>
      </c>
      <c r="BC28" s="318">
        <f t="shared" si="30"/>
        <v>0</v>
      </c>
      <c r="BD28" s="1214">
        <f t="shared" si="31"/>
        <v>0</v>
      </c>
      <c r="BE28" s="318">
        <f t="shared" si="32"/>
        <v>29.867442627383642</v>
      </c>
      <c r="BF28" s="104">
        <v>0</v>
      </c>
      <c r="BG28" s="319">
        <f t="shared" si="33"/>
        <v>29.867442627383642</v>
      </c>
      <c r="BI28" s="317">
        <f t="shared" si="34"/>
        <v>29.867442627383642</v>
      </c>
      <c r="BJ28" s="318">
        <f t="shared" si="35"/>
        <v>0</v>
      </c>
      <c r="BK28" s="1214">
        <f t="shared" si="36"/>
        <v>0</v>
      </c>
      <c r="BL28" s="318">
        <f t="shared" si="37"/>
        <v>29.867442627383642</v>
      </c>
      <c r="BM28" s="104">
        <v>0</v>
      </c>
      <c r="BN28" s="319">
        <f t="shared" si="38"/>
        <v>29.867442627383642</v>
      </c>
    </row>
    <row r="29" spans="1:66">
      <c r="A29" s="995">
        <f>'Input data'!A60</f>
        <v>1960</v>
      </c>
      <c r="B29" s="987">
        <f>'Input data'!B60</f>
        <v>7.2819655999999995</v>
      </c>
      <c r="C29" s="987">
        <f>'Baseline data (from input)'!B16</f>
        <v>578.73</v>
      </c>
      <c r="D29" s="899">
        <f>'Baseline data (from input)'!T16</f>
        <v>0.8</v>
      </c>
      <c r="E29" s="899">
        <f t="shared" si="39"/>
        <v>0.19892488097366726</v>
      </c>
      <c r="F29" s="899">
        <f t="shared" si="0"/>
        <v>0.26585903447659598</v>
      </c>
      <c r="G29" s="899">
        <f t="shared" si="0"/>
        <v>8.9228108703258049E-2</v>
      </c>
      <c r="H29" s="899">
        <f t="shared" si="0"/>
        <v>0</v>
      </c>
      <c r="I29" s="899">
        <f t="shared" si="0"/>
        <v>0</v>
      </c>
      <c r="J29" s="899">
        <f t="shared" si="0"/>
        <v>0</v>
      </c>
      <c r="K29" s="899">
        <f t="shared" si="0"/>
        <v>0.4459879758464787</v>
      </c>
      <c r="L29" s="996">
        <f t="shared" si="40"/>
        <v>1</v>
      </c>
      <c r="M29" s="102"/>
      <c r="N29" s="1037">
        <f t="shared" si="1"/>
        <v>3371.4335613504004</v>
      </c>
      <c r="O29" s="1030">
        <f>Parameters!R131</f>
        <v>0.73</v>
      </c>
      <c r="P29" s="1030">
        <f>E29*'MSW characteristics'!$B$28+'MSW characteristics'!$B$29*'4A SWD Case 3'!F29+'4A SWD Case 3'!G29*'MSW characteristics'!$B$30+'MSW characteristics'!$B$31*'4A SWD Case 3'!H29+'4A SWD Case 3'!I29*'MSW characteristics'!$B$32+'MSW characteristics'!$B$33*'4A SWD Case 3'!J29+'4A SWD Case 3'!K29*'MSW characteristics'!$B$35</f>
        <v>0.11870178252267252</v>
      </c>
      <c r="Q29" s="1029">
        <f t="shared" si="2"/>
        <v>146.07123828700492</v>
      </c>
      <c r="R29" s="1029">
        <f t="shared" si="3"/>
        <v>146.07123828700492</v>
      </c>
      <c r="S29" s="303">
        <f t="shared" si="4"/>
        <v>0</v>
      </c>
      <c r="T29" s="1029">
        <f t="shared" si="5"/>
        <v>1112.4106163543652</v>
      </c>
      <c r="U29" s="1029">
        <f t="shared" si="6"/>
        <v>49.54527938483875</v>
      </c>
      <c r="V29" s="1202">
        <f t="shared" si="7"/>
        <v>33.030186256559169</v>
      </c>
      <c r="W29" s="10"/>
      <c r="X29" s="1037">
        <f>'Baseline data (from input)'!AS16*'4A SWD Case 3'!$D$12</f>
        <v>0</v>
      </c>
      <c r="Y29" s="1030">
        <f>Parameters!S131</f>
        <v>0.71500000000000008</v>
      </c>
      <c r="Z29" s="1030">
        <f t="shared" si="8"/>
        <v>0.2</v>
      </c>
      <c r="AA29" s="1029">
        <f t="shared" si="9"/>
        <v>0</v>
      </c>
      <c r="AB29" s="1029">
        <f t="shared" si="10"/>
        <v>0</v>
      </c>
      <c r="AC29" s="303">
        <f t="shared" si="11"/>
        <v>0</v>
      </c>
      <c r="AD29" s="1029">
        <f t="shared" si="12"/>
        <v>0</v>
      </c>
      <c r="AE29" s="1029">
        <f t="shared" si="13"/>
        <v>0</v>
      </c>
      <c r="AF29" s="1202">
        <f t="shared" si="14"/>
        <v>0</v>
      </c>
      <c r="AG29" s="10"/>
      <c r="AH29" s="1037">
        <f>'Baseline data (from input)'!AS16*'4A SWD Case 3'!$D$12</f>
        <v>0</v>
      </c>
      <c r="AI29" s="1030">
        <f>Parameters!S131</f>
        <v>0.71500000000000008</v>
      </c>
      <c r="AJ29" s="1030">
        <f t="shared" si="15"/>
        <v>0.2</v>
      </c>
      <c r="AK29" s="1029">
        <f t="shared" si="16"/>
        <v>0</v>
      </c>
      <c r="AL29" s="1029">
        <f t="shared" si="17"/>
        <v>0</v>
      </c>
      <c r="AM29" s="303">
        <f t="shared" si="18"/>
        <v>0</v>
      </c>
      <c r="AN29" s="1029">
        <f t="shared" si="19"/>
        <v>0</v>
      </c>
      <c r="AO29" s="1029">
        <f t="shared" si="20"/>
        <v>0</v>
      </c>
      <c r="AP29" s="1202">
        <f t="shared" si="21"/>
        <v>0</v>
      </c>
      <c r="AR29" s="1037">
        <v>0</v>
      </c>
      <c r="AS29" s="1030">
        <v>1</v>
      </c>
      <c r="AT29" s="1030">
        <f t="shared" si="22"/>
        <v>0.05</v>
      </c>
      <c r="AU29" s="1029">
        <f t="shared" si="23"/>
        <v>0</v>
      </c>
      <c r="AV29" s="1029">
        <f t="shared" si="24"/>
        <v>0</v>
      </c>
      <c r="AW29" s="303">
        <f t="shared" si="25"/>
        <v>0</v>
      </c>
      <c r="AX29" s="1045">
        <f t="shared" si="26"/>
        <v>0</v>
      </c>
      <c r="AY29" s="1045">
        <f t="shared" si="27"/>
        <v>0</v>
      </c>
      <c r="AZ29" s="1202">
        <f t="shared" si="28"/>
        <v>0</v>
      </c>
      <c r="BB29" s="317">
        <f t="shared" si="29"/>
        <v>33.030186256559169</v>
      </c>
      <c r="BC29" s="318">
        <f t="shared" si="30"/>
        <v>0</v>
      </c>
      <c r="BD29" s="1214">
        <f t="shared" si="31"/>
        <v>0</v>
      </c>
      <c r="BE29" s="318">
        <f t="shared" si="32"/>
        <v>33.030186256559169</v>
      </c>
      <c r="BF29" s="104">
        <v>0</v>
      </c>
      <c r="BG29" s="319">
        <f t="shared" si="33"/>
        <v>33.030186256559169</v>
      </c>
      <c r="BI29" s="317">
        <f t="shared" si="34"/>
        <v>33.030186256559169</v>
      </c>
      <c r="BJ29" s="318">
        <f t="shared" si="35"/>
        <v>0</v>
      </c>
      <c r="BK29" s="1214">
        <f t="shared" si="36"/>
        <v>0</v>
      </c>
      <c r="BL29" s="318">
        <f t="shared" si="37"/>
        <v>33.030186256559169</v>
      </c>
      <c r="BM29" s="104">
        <v>0</v>
      </c>
      <c r="BN29" s="319">
        <f t="shared" si="38"/>
        <v>33.030186256559169</v>
      </c>
    </row>
    <row r="30" spans="1:66">
      <c r="A30" s="995">
        <f>'Input data'!A61</f>
        <v>1961</v>
      </c>
      <c r="B30" s="987">
        <f>'Input data'!B61</f>
        <v>7.6498422000000001</v>
      </c>
      <c r="C30" s="987">
        <f>'Baseline data (from input)'!B17</f>
        <v>578.73</v>
      </c>
      <c r="D30" s="899">
        <f>'Baseline data (from input)'!T17</f>
        <v>0.8</v>
      </c>
      <c r="E30" s="899">
        <f t="shared" si="39"/>
        <v>0.19892488097366726</v>
      </c>
      <c r="F30" s="899">
        <f t="shared" si="0"/>
        <v>0.26585903447659598</v>
      </c>
      <c r="G30" s="899">
        <f t="shared" si="0"/>
        <v>8.9228108703258049E-2</v>
      </c>
      <c r="H30" s="899">
        <f t="shared" si="0"/>
        <v>0</v>
      </c>
      <c r="I30" s="899">
        <f t="shared" si="0"/>
        <v>0</v>
      </c>
      <c r="J30" s="899">
        <f t="shared" si="0"/>
        <v>0</v>
      </c>
      <c r="K30" s="899">
        <f t="shared" si="0"/>
        <v>0.4459879758464787</v>
      </c>
      <c r="L30" s="996">
        <f t="shared" si="40"/>
        <v>1</v>
      </c>
      <c r="M30" s="102"/>
      <c r="N30" s="1037">
        <f t="shared" si="1"/>
        <v>3541.7545411248002</v>
      </c>
      <c r="O30" s="1030">
        <f>Parameters!R132</f>
        <v>0.73</v>
      </c>
      <c r="P30" s="1030">
        <f>E30*'MSW characteristics'!$B$28+'MSW characteristics'!$B$29*'4A SWD Case 3'!F30+'4A SWD Case 3'!G30*'MSW characteristics'!$B$30+'MSW characteristics'!$B$31*'4A SWD Case 3'!H30+'4A SWD Case 3'!I30*'MSW characteristics'!$B$32+'MSW characteristics'!$B$33*'4A SWD Case 3'!J30+'4A SWD Case 3'!K30*'MSW characteristics'!$B$35</f>
        <v>0.11870178252267252</v>
      </c>
      <c r="Q30" s="1029">
        <f t="shared" si="2"/>
        <v>153.45059071058859</v>
      </c>
      <c r="R30" s="1029">
        <f t="shared" si="3"/>
        <v>153.45059071058859</v>
      </c>
      <c r="S30" s="303">
        <f t="shared" si="4"/>
        <v>0</v>
      </c>
      <c r="T30" s="1029">
        <f t="shared" si="5"/>
        <v>1211.608301113836</v>
      </c>
      <c r="U30" s="1029">
        <f t="shared" si="6"/>
        <v>54.252905951117825</v>
      </c>
      <c r="V30" s="1202">
        <f t="shared" si="7"/>
        <v>36.168603967411883</v>
      </c>
      <c r="W30" s="10"/>
      <c r="X30" s="1037">
        <f>'Baseline data (from input)'!AS17*'4A SWD Case 3'!$D$12</f>
        <v>1545.6154512386593</v>
      </c>
      <c r="Y30" s="1030">
        <f>Parameters!S132</f>
        <v>0.71500000000000008</v>
      </c>
      <c r="Z30" s="1030">
        <f t="shared" si="8"/>
        <v>0.2</v>
      </c>
      <c r="AA30" s="1029">
        <f t="shared" si="9"/>
        <v>110.51150476356415</v>
      </c>
      <c r="AB30" s="1029">
        <f t="shared" si="10"/>
        <v>110.51150476356415</v>
      </c>
      <c r="AC30" s="303">
        <f t="shared" si="11"/>
        <v>0</v>
      </c>
      <c r="AD30" s="1029">
        <f t="shared" si="12"/>
        <v>110.51150476356415</v>
      </c>
      <c r="AE30" s="1029">
        <f t="shared" si="13"/>
        <v>0</v>
      </c>
      <c r="AF30" s="1202">
        <f t="shared" si="14"/>
        <v>0</v>
      </c>
      <c r="AG30" s="10"/>
      <c r="AH30" s="1037">
        <f>'Baseline data (from input)'!AS17*'4A SWD Case 3'!$D$12</f>
        <v>1545.6154512386593</v>
      </c>
      <c r="AI30" s="1030">
        <f>Parameters!S132</f>
        <v>0.71500000000000008</v>
      </c>
      <c r="AJ30" s="1030">
        <f t="shared" si="15"/>
        <v>0.2</v>
      </c>
      <c r="AK30" s="1029">
        <f t="shared" si="16"/>
        <v>110.51150476356415</v>
      </c>
      <c r="AL30" s="1029">
        <f t="shared" si="17"/>
        <v>110.51150476356415</v>
      </c>
      <c r="AM30" s="303">
        <f t="shared" si="18"/>
        <v>0</v>
      </c>
      <c r="AN30" s="1029">
        <f t="shared" si="19"/>
        <v>110.51150476356415</v>
      </c>
      <c r="AO30" s="1029">
        <f t="shared" si="20"/>
        <v>0</v>
      </c>
      <c r="AP30" s="1202">
        <f t="shared" si="21"/>
        <v>0</v>
      </c>
      <c r="AR30" s="1037">
        <v>0</v>
      </c>
      <c r="AS30" s="1030">
        <v>1</v>
      </c>
      <c r="AT30" s="1030">
        <f t="shared" si="22"/>
        <v>0.05</v>
      </c>
      <c r="AU30" s="1029">
        <f t="shared" si="23"/>
        <v>0</v>
      </c>
      <c r="AV30" s="1029">
        <f t="shared" si="24"/>
        <v>0</v>
      </c>
      <c r="AW30" s="303">
        <f t="shared" si="25"/>
        <v>0</v>
      </c>
      <c r="AX30" s="1045">
        <f t="shared" si="26"/>
        <v>0</v>
      </c>
      <c r="AY30" s="1045">
        <f t="shared" si="27"/>
        <v>0</v>
      </c>
      <c r="AZ30" s="1202">
        <f t="shared" si="28"/>
        <v>0</v>
      </c>
      <c r="BB30" s="317">
        <f t="shared" si="29"/>
        <v>36.168603967411883</v>
      </c>
      <c r="BC30" s="318">
        <f t="shared" si="30"/>
        <v>0</v>
      </c>
      <c r="BD30" s="1214">
        <f t="shared" si="31"/>
        <v>0</v>
      </c>
      <c r="BE30" s="318">
        <f t="shared" si="32"/>
        <v>36.168603967411883</v>
      </c>
      <c r="BF30" s="104">
        <v>0</v>
      </c>
      <c r="BG30" s="319">
        <f t="shared" si="33"/>
        <v>36.168603967411883</v>
      </c>
      <c r="BI30" s="317">
        <f t="shared" si="34"/>
        <v>36.168603967411883</v>
      </c>
      <c r="BJ30" s="318">
        <f t="shared" si="35"/>
        <v>0</v>
      </c>
      <c r="BK30" s="1214">
        <f t="shared" si="36"/>
        <v>0</v>
      </c>
      <c r="BL30" s="318">
        <f t="shared" si="37"/>
        <v>36.168603967411883</v>
      </c>
      <c r="BM30" s="104">
        <v>0</v>
      </c>
      <c r="BN30" s="319">
        <f t="shared" si="38"/>
        <v>36.168603967411883</v>
      </c>
    </row>
    <row r="31" spans="1:66">
      <c r="A31" s="995">
        <f>'Input data'!A62</f>
        <v>1962</v>
      </c>
      <c r="B31" s="987">
        <f>'Input data'!B62</f>
        <v>7.8559936000000006</v>
      </c>
      <c r="C31" s="987">
        <f>'Baseline data (from input)'!B18</f>
        <v>578.73</v>
      </c>
      <c r="D31" s="899">
        <f>'Baseline data (from input)'!T18</f>
        <v>0.8</v>
      </c>
      <c r="E31" s="899">
        <f t="shared" si="39"/>
        <v>0.19892488097366726</v>
      </c>
      <c r="F31" s="899">
        <f t="shared" si="0"/>
        <v>0.26585903447659598</v>
      </c>
      <c r="G31" s="899">
        <f t="shared" si="0"/>
        <v>8.9228108703258049E-2</v>
      </c>
      <c r="H31" s="899">
        <f t="shared" si="0"/>
        <v>0</v>
      </c>
      <c r="I31" s="899">
        <f t="shared" si="0"/>
        <v>0</v>
      </c>
      <c r="J31" s="899">
        <f t="shared" si="0"/>
        <v>0</v>
      </c>
      <c r="K31" s="899">
        <f t="shared" si="0"/>
        <v>0.4459879758464787</v>
      </c>
      <c r="L31" s="996">
        <f t="shared" si="40"/>
        <v>1</v>
      </c>
      <c r="M31" s="102"/>
      <c r="N31" s="1037">
        <f t="shared" si="1"/>
        <v>3637.1993409024008</v>
      </c>
      <c r="O31" s="1030">
        <f>Parameters!R133</f>
        <v>0.73</v>
      </c>
      <c r="P31" s="1030">
        <f>E31*'MSW characteristics'!$B$28+'MSW characteristics'!$B$29*'4A SWD Case 3'!F31+'4A SWD Case 3'!G31*'MSW characteristics'!$B$30+'MSW characteristics'!$B$31*'4A SWD Case 3'!H31+'4A SWD Case 3'!I31*'MSW characteristics'!$B$32+'MSW characteristics'!$B$33*'4A SWD Case 3'!J31+'4A SWD Case 3'!K31*'MSW characteristics'!$B$35</f>
        <v>0.11870178252267252</v>
      </c>
      <c r="Q31" s="1029">
        <f t="shared" si="2"/>
        <v>157.58584648172268</v>
      </c>
      <c r="R31" s="1029">
        <f t="shared" si="3"/>
        <v>157.58584648172268</v>
      </c>
      <c r="S31" s="303">
        <f t="shared" si="4"/>
        <v>0</v>
      </c>
      <c r="T31" s="1029">
        <f t="shared" si="5"/>
        <v>1310.1033134705247</v>
      </c>
      <c r="U31" s="1029">
        <f t="shared" si="6"/>
        <v>59.090834125033965</v>
      </c>
      <c r="V31" s="1202">
        <f t="shared" si="7"/>
        <v>39.393889416689312</v>
      </c>
      <c r="W31" s="10"/>
      <c r="X31" s="1037">
        <f>'Baseline data (from input)'!AS18*'4A SWD Case 3'!$D$12</f>
        <v>1641.1017669144405</v>
      </c>
      <c r="Y31" s="1030">
        <f>Parameters!S133</f>
        <v>0.71500000000000008</v>
      </c>
      <c r="Z31" s="1030">
        <f t="shared" si="8"/>
        <v>0.2</v>
      </c>
      <c r="AA31" s="1029">
        <f t="shared" si="9"/>
        <v>117.33877633438252</v>
      </c>
      <c r="AB31" s="1029">
        <f t="shared" si="10"/>
        <v>117.33877633438252</v>
      </c>
      <c r="AC31" s="303">
        <f t="shared" si="11"/>
        <v>0</v>
      </c>
      <c r="AD31" s="1029">
        <f t="shared" si="12"/>
        <v>222.46057141133554</v>
      </c>
      <c r="AE31" s="1029">
        <f t="shared" si="13"/>
        <v>5.3897096866111083</v>
      </c>
      <c r="AF31" s="1202">
        <f t="shared" si="14"/>
        <v>3.5931397910740723</v>
      </c>
      <c r="AG31" s="10"/>
      <c r="AH31" s="1037">
        <f>'Baseline data (from input)'!AS18*'4A SWD Case 3'!$D$12</f>
        <v>1641.1017669144405</v>
      </c>
      <c r="AI31" s="1030">
        <f>Parameters!S133</f>
        <v>0.71500000000000008</v>
      </c>
      <c r="AJ31" s="1030">
        <f t="shared" si="15"/>
        <v>0.2</v>
      </c>
      <c r="AK31" s="1029">
        <f t="shared" si="16"/>
        <v>117.33877633438252</v>
      </c>
      <c r="AL31" s="1029">
        <f t="shared" si="17"/>
        <v>117.33877633438252</v>
      </c>
      <c r="AM31" s="303">
        <f t="shared" si="18"/>
        <v>0</v>
      </c>
      <c r="AN31" s="1029">
        <f t="shared" si="19"/>
        <v>222.46057141133554</v>
      </c>
      <c r="AO31" s="1029">
        <f t="shared" si="20"/>
        <v>5.3897096866111083</v>
      </c>
      <c r="AP31" s="1202">
        <f t="shared" si="21"/>
        <v>3.5931397910740723</v>
      </c>
      <c r="AR31" s="1037">
        <v>0</v>
      </c>
      <c r="AS31" s="1030">
        <v>1</v>
      </c>
      <c r="AT31" s="1030">
        <f t="shared" si="22"/>
        <v>0.05</v>
      </c>
      <c r="AU31" s="1029">
        <f t="shared" si="23"/>
        <v>0</v>
      </c>
      <c r="AV31" s="1029">
        <f t="shared" si="24"/>
        <v>0</v>
      </c>
      <c r="AW31" s="303">
        <f t="shared" si="25"/>
        <v>0</v>
      </c>
      <c r="AX31" s="1045">
        <f t="shared" si="26"/>
        <v>0</v>
      </c>
      <c r="AY31" s="1045">
        <f t="shared" si="27"/>
        <v>0</v>
      </c>
      <c r="AZ31" s="1202">
        <f t="shared" si="28"/>
        <v>0</v>
      </c>
      <c r="BB31" s="317">
        <f t="shared" si="29"/>
        <v>39.393889416689312</v>
      </c>
      <c r="BC31" s="318">
        <f t="shared" si="30"/>
        <v>3.5931397910740723</v>
      </c>
      <c r="BD31" s="1214">
        <f t="shared" si="31"/>
        <v>0</v>
      </c>
      <c r="BE31" s="318">
        <f t="shared" si="32"/>
        <v>42.987029207763385</v>
      </c>
      <c r="BF31" s="104">
        <v>0</v>
      </c>
      <c r="BG31" s="319">
        <f t="shared" si="33"/>
        <v>42.987029207763385</v>
      </c>
      <c r="BI31" s="317">
        <f t="shared" si="34"/>
        <v>39.393889416689312</v>
      </c>
      <c r="BJ31" s="318">
        <f t="shared" si="35"/>
        <v>3.5931397910740723</v>
      </c>
      <c r="BK31" s="1214">
        <f t="shared" si="36"/>
        <v>0</v>
      </c>
      <c r="BL31" s="318">
        <f t="shared" si="37"/>
        <v>42.987029207763385</v>
      </c>
      <c r="BM31" s="104">
        <v>0</v>
      </c>
      <c r="BN31" s="319">
        <f t="shared" si="38"/>
        <v>42.987029207763385</v>
      </c>
    </row>
    <row r="32" spans="1:66">
      <c r="A32" s="127">
        <f>'Input data'!A63</f>
        <v>1963</v>
      </c>
      <c r="B32" s="988">
        <f>'Input data'!B63</f>
        <v>8.062145000000001</v>
      </c>
      <c r="C32" s="988">
        <f>'Baseline data (from input)'!B19</f>
        <v>578.73</v>
      </c>
      <c r="D32" s="899">
        <f>'Baseline data (from input)'!T19</f>
        <v>0.8</v>
      </c>
      <c r="E32" s="899">
        <f t="shared" si="39"/>
        <v>0.19892488097366726</v>
      </c>
      <c r="F32" s="899">
        <f t="shared" si="0"/>
        <v>0.26585903447659598</v>
      </c>
      <c r="G32" s="899">
        <f t="shared" si="0"/>
        <v>8.9228108703258049E-2</v>
      </c>
      <c r="H32" s="899">
        <f t="shared" si="0"/>
        <v>0</v>
      </c>
      <c r="I32" s="899">
        <f t="shared" si="0"/>
        <v>0</v>
      </c>
      <c r="J32" s="899">
        <f t="shared" si="0"/>
        <v>0</v>
      </c>
      <c r="K32" s="899">
        <f t="shared" si="0"/>
        <v>0.4459879758464787</v>
      </c>
      <c r="L32" s="996">
        <f t="shared" si="40"/>
        <v>1</v>
      </c>
      <c r="M32" s="101"/>
      <c r="N32" s="317">
        <f t="shared" si="1"/>
        <v>3732.6441406800004</v>
      </c>
      <c r="O32" s="1031">
        <f>Parameters!R134</f>
        <v>0.73</v>
      </c>
      <c r="P32" s="1031">
        <f>E32*'MSW characteristics'!$B$28+'MSW characteristics'!$B$29*'4A SWD Case 3'!F32+'4A SWD Case 3'!G32*'MSW characteristics'!$B$30+'MSW characteristics'!$B$31*'4A SWD Case 3'!H32+'4A SWD Case 3'!I32*'MSW characteristics'!$B$32+'MSW characteristics'!$B$33*'4A SWD Case 3'!J32+'4A SWD Case 3'!K32*'MSW characteristics'!$B$35</f>
        <v>0.11870178252267252</v>
      </c>
      <c r="Q32" s="1029">
        <f t="shared" si="2"/>
        <v>161.72110225285672</v>
      </c>
      <c r="R32" s="1029">
        <f t="shared" si="3"/>
        <v>161.72110225285672</v>
      </c>
      <c r="S32" s="303">
        <f t="shared" si="4"/>
        <v>0</v>
      </c>
      <c r="T32" s="1029">
        <f t="shared" si="5"/>
        <v>1407.9299231619025</v>
      </c>
      <c r="U32" s="1029">
        <f t="shared" si="6"/>
        <v>63.894492561478955</v>
      </c>
      <c r="V32" s="1202">
        <f t="shared" si="7"/>
        <v>42.596328374319306</v>
      </c>
      <c r="X32" s="317">
        <f>'Baseline data (from input)'!AS19*'4A SWD Case 3'!$D$12</f>
        <v>1762.1102566145044</v>
      </c>
      <c r="Y32" s="1031">
        <f>Parameters!S134</f>
        <v>0.71500000000000008</v>
      </c>
      <c r="Z32" s="1031">
        <f t="shared" si="8"/>
        <v>0.2</v>
      </c>
      <c r="AA32" s="1029">
        <f t="shared" si="9"/>
        <v>125.99088334793707</v>
      </c>
      <c r="AB32" s="1029">
        <f t="shared" si="10"/>
        <v>125.99088334793707</v>
      </c>
      <c r="AC32" s="303">
        <f t="shared" si="11"/>
        <v>0</v>
      </c>
      <c r="AD32" s="1029">
        <f t="shared" si="12"/>
        <v>337.60192466564177</v>
      </c>
      <c r="AE32" s="1029">
        <f t="shared" si="13"/>
        <v>10.849530093630841</v>
      </c>
      <c r="AF32" s="1202">
        <f t="shared" si="14"/>
        <v>7.2330200624205609</v>
      </c>
      <c r="AH32" s="317">
        <f>'Baseline data (from input)'!AS19*'4A SWD Case 3'!$D$12</f>
        <v>1762.1102566145044</v>
      </c>
      <c r="AI32" s="1031">
        <f>Parameters!S134</f>
        <v>0.71500000000000008</v>
      </c>
      <c r="AJ32" s="1031">
        <f t="shared" si="15"/>
        <v>0.2</v>
      </c>
      <c r="AK32" s="1029">
        <f t="shared" si="16"/>
        <v>125.99088334793707</v>
      </c>
      <c r="AL32" s="1029">
        <f t="shared" si="17"/>
        <v>125.99088334793707</v>
      </c>
      <c r="AM32" s="303">
        <f t="shared" si="18"/>
        <v>0</v>
      </c>
      <c r="AN32" s="1029">
        <f t="shared" si="19"/>
        <v>337.60192466564177</v>
      </c>
      <c r="AO32" s="1029">
        <f t="shared" si="20"/>
        <v>10.849530093630841</v>
      </c>
      <c r="AP32" s="1202">
        <f t="shared" si="21"/>
        <v>7.2330200624205609</v>
      </c>
      <c r="AR32" s="1037">
        <v>0</v>
      </c>
      <c r="AS32" s="1030">
        <v>1</v>
      </c>
      <c r="AT32" s="1030">
        <f t="shared" si="22"/>
        <v>0.05</v>
      </c>
      <c r="AU32" s="1029">
        <f t="shared" si="23"/>
        <v>0</v>
      </c>
      <c r="AV32" s="1029">
        <f t="shared" si="24"/>
        <v>0</v>
      </c>
      <c r="AW32" s="303">
        <f t="shared" si="25"/>
        <v>0</v>
      </c>
      <c r="AX32" s="1045">
        <f t="shared" si="26"/>
        <v>0</v>
      </c>
      <c r="AY32" s="1045">
        <f t="shared" si="27"/>
        <v>0</v>
      </c>
      <c r="AZ32" s="1202">
        <f t="shared" si="28"/>
        <v>0</v>
      </c>
      <c r="BB32" s="317">
        <f t="shared" si="29"/>
        <v>42.596328374319306</v>
      </c>
      <c r="BC32" s="318">
        <f t="shared" si="30"/>
        <v>7.2330200624205609</v>
      </c>
      <c r="BD32" s="1214">
        <f t="shared" si="31"/>
        <v>0</v>
      </c>
      <c r="BE32" s="318">
        <f t="shared" si="32"/>
        <v>49.829348436739863</v>
      </c>
      <c r="BF32" s="104">
        <v>0</v>
      </c>
      <c r="BG32" s="319">
        <f t="shared" si="33"/>
        <v>49.829348436739863</v>
      </c>
      <c r="BI32" s="317">
        <f t="shared" si="34"/>
        <v>42.596328374319306</v>
      </c>
      <c r="BJ32" s="318">
        <f t="shared" si="35"/>
        <v>7.2330200624205609</v>
      </c>
      <c r="BK32" s="1214">
        <f t="shared" si="36"/>
        <v>0</v>
      </c>
      <c r="BL32" s="318">
        <f t="shared" si="37"/>
        <v>49.829348436739863</v>
      </c>
      <c r="BM32" s="104">
        <v>0</v>
      </c>
      <c r="BN32" s="319">
        <f t="shared" si="38"/>
        <v>49.829348436739863</v>
      </c>
    </row>
    <row r="33" spans="1:66">
      <c r="A33" s="127">
        <f>'Input data'!A64</f>
        <v>1964</v>
      </c>
      <c r="B33" s="988">
        <f>'Input data'!B64</f>
        <v>8.2682964000000005</v>
      </c>
      <c r="C33" s="988">
        <f>'Baseline data (from input)'!B20</f>
        <v>578.73</v>
      </c>
      <c r="D33" s="899">
        <f>'Baseline data (from input)'!T20</f>
        <v>0.8</v>
      </c>
      <c r="E33" s="899">
        <f t="shared" si="39"/>
        <v>0.19892488097366726</v>
      </c>
      <c r="F33" s="899">
        <f t="shared" si="0"/>
        <v>0.26585903447659598</v>
      </c>
      <c r="G33" s="899">
        <f t="shared" si="0"/>
        <v>8.9228108703258049E-2</v>
      </c>
      <c r="H33" s="899">
        <f t="shared" si="0"/>
        <v>0</v>
      </c>
      <c r="I33" s="899">
        <f t="shared" si="0"/>
        <v>0</v>
      </c>
      <c r="J33" s="899">
        <f t="shared" si="0"/>
        <v>0</v>
      </c>
      <c r="K33" s="899">
        <f t="shared" si="0"/>
        <v>0.4459879758464787</v>
      </c>
      <c r="L33" s="996">
        <f t="shared" si="40"/>
        <v>1</v>
      </c>
      <c r="N33" s="317">
        <f t="shared" si="1"/>
        <v>3828.0889404576005</v>
      </c>
      <c r="O33" s="1031">
        <f>Parameters!R135</f>
        <v>0.73</v>
      </c>
      <c r="P33" s="1031">
        <f>E33*'MSW characteristics'!$B$28+'MSW characteristics'!$B$29*'4A SWD Case 3'!F33+'4A SWD Case 3'!G33*'MSW characteristics'!$B$30+'MSW characteristics'!$B$31*'4A SWD Case 3'!H33+'4A SWD Case 3'!I33*'MSW characteristics'!$B$32+'MSW characteristics'!$B$33*'4A SWD Case 3'!J33+'4A SWD Case 3'!K33*'MSW characteristics'!$B$35</f>
        <v>0.11870178252267252</v>
      </c>
      <c r="Q33" s="1029">
        <f t="shared" si="2"/>
        <v>165.85635802399077</v>
      </c>
      <c r="R33" s="1029">
        <f t="shared" si="3"/>
        <v>165.85635802399077</v>
      </c>
      <c r="S33" s="303">
        <f t="shared" si="4"/>
        <v>0</v>
      </c>
      <c r="T33" s="1029">
        <f t="shared" si="5"/>
        <v>1505.1207285706218</v>
      </c>
      <c r="U33" s="1029">
        <f t="shared" si="6"/>
        <v>68.66555261527148</v>
      </c>
      <c r="V33" s="1202">
        <f t="shared" si="7"/>
        <v>45.777035076847653</v>
      </c>
      <c r="X33" s="317">
        <f>'Baseline data (from input)'!AS20*'4A SWD Case 3'!$D$12</f>
        <v>1902.0179637567517</v>
      </c>
      <c r="Y33" s="1031">
        <f>Parameters!S135</f>
        <v>0.71500000000000008</v>
      </c>
      <c r="Z33" s="1031">
        <f t="shared" si="8"/>
        <v>0.2</v>
      </c>
      <c r="AA33" s="1029">
        <f t="shared" si="9"/>
        <v>135.99428440860777</v>
      </c>
      <c r="AB33" s="1029">
        <f t="shared" si="10"/>
        <v>135.99428440860777</v>
      </c>
      <c r="AC33" s="303">
        <f t="shared" si="11"/>
        <v>0</v>
      </c>
      <c r="AD33" s="1029">
        <f t="shared" si="12"/>
        <v>457.13116891863962</v>
      </c>
      <c r="AE33" s="1029">
        <f t="shared" si="13"/>
        <v>16.465040155609941</v>
      </c>
      <c r="AF33" s="1202">
        <f t="shared" si="14"/>
        <v>10.976693437073294</v>
      </c>
      <c r="AH33" s="317">
        <f>'Baseline data (from input)'!AS20*'4A SWD Case 3'!$D$12</f>
        <v>1902.0179637567517</v>
      </c>
      <c r="AI33" s="1031">
        <f>Parameters!S135</f>
        <v>0.71500000000000008</v>
      </c>
      <c r="AJ33" s="1031">
        <f t="shared" si="15"/>
        <v>0.2</v>
      </c>
      <c r="AK33" s="1029">
        <f t="shared" si="16"/>
        <v>135.99428440860777</v>
      </c>
      <c r="AL33" s="1029">
        <f t="shared" si="17"/>
        <v>135.99428440860777</v>
      </c>
      <c r="AM33" s="303">
        <f t="shared" si="18"/>
        <v>0</v>
      </c>
      <c r="AN33" s="1029">
        <f t="shared" si="19"/>
        <v>457.13116891863962</v>
      </c>
      <c r="AO33" s="1029">
        <f t="shared" si="20"/>
        <v>16.465040155609941</v>
      </c>
      <c r="AP33" s="1202">
        <f t="shared" si="21"/>
        <v>10.976693437073294</v>
      </c>
      <c r="AR33" s="1037">
        <v>0</v>
      </c>
      <c r="AS33" s="1030">
        <v>1</v>
      </c>
      <c r="AT33" s="1030">
        <f t="shared" si="22"/>
        <v>0.05</v>
      </c>
      <c r="AU33" s="1029">
        <f t="shared" si="23"/>
        <v>0</v>
      </c>
      <c r="AV33" s="1029">
        <f t="shared" si="24"/>
        <v>0</v>
      </c>
      <c r="AW33" s="303">
        <f t="shared" si="25"/>
        <v>0</v>
      </c>
      <c r="AX33" s="1045">
        <f t="shared" si="26"/>
        <v>0</v>
      </c>
      <c r="AY33" s="1045">
        <f t="shared" si="27"/>
        <v>0</v>
      </c>
      <c r="AZ33" s="1202">
        <f t="shared" si="28"/>
        <v>0</v>
      </c>
      <c r="BB33" s="317">
        <f t="shared" si="29"/>
        <v>45.777035076847653</v>
      </c>
      <c r="BC33" s="318">
        <f t="shared" si="30"/>
        <v>10.976693437073294</v>
      </c>
      <c r="BD33" s="1214">
        <f t="shared" si="31"/>
        <v>0</v>
      </c>
      <c r="BE33" s="318">
        <f t="shared" si="32"/>
        <v>56.753728513920947</v>
      </c>
      <c r="BF33" s="104">
        <v>0</v>
      </c>
      <c r="BG33" s="319">
        <f t="shared" si="33"/>
        <v>56.753728513920947</v>
      </c>
      <c r="BI33" s="317">
        <f t="shared" si="34"/>
        <v>45.777035076847653</v>
      </c>
      <c r="BJ33" s="318">
        <f t="shared" si="35"/>
        <v>10.976693437073294</v>
      </c>
      <c r="BK33" s="1214">
        <f t="shared" si="36"/>
        <v>0</v>
      </c>
      <c r="BL33" s="318">
        <f t="shared" si="37"/>
        <v>56.753728513920947</v>
      </c>
      <c r="BM33" s="104">
        <v>0</v>
      </c>
      <c r="BN33" s="319">
        <f t="shared" si="38"/>
        <v>56.753728513920947</v>
      </c>
    </row>
    <row r="34" spans="1:66">
      <c r="A34" s="127">
        <f>'Input data'!A65</f>
        <v>1965</v>
      </c>
      <c r="B34" s="988">
        <f>'Input data'!B65</f>
        <v>8.4744478000000001</v>
      </c>
      <c r="C34" s="988">
        <f>'Baseline data (from input)'!B21</f>
        <v>578.73</v>
      </c>
      <c r="D34" s="899">
        <f>'Baseline data (from input)'!T21</f>
        <v>0.8</v>
      </c>
      <c r="E34" s="899">
        <f t="shared" si="39"/>
        <v>0.19892488097366726</v>
      </c>
      <c r="F34" s="899">
        <f t="shared" si="0"/>
        <v>0.26585903447659598</v>
      </c>
      <c r="G34" s="899">
        <f t="shared" si="0"/>
        <v>8.9228108703258049E-2</v>
      </c>
      <c r="H34" s="899">
        <f t="shared" si="0"/>
        <v>0</v>
      </c>
      <c r="I34" s="899">
        <f t="shared" si="0"/>
        <v>0</v>
      </c>
      <c r="J34" s="899">
        <f t="shared" si="0"/>
        <v>0</v>
      </c>
      <c r="K34" s="899">
        <f t="shared" si="0"/>
        <v>0.4459879758464787</v>
      </c>
      <c r="L34" s="996">
        <f t="shared" si="40"/>
        <v>1</v>
      </c>
      <c r="N34" s="317">
        <f t="shared" si="1"/>
        <v>3923.5337402352002</v>
      </c>
      <c r="O34" s="1031">
        <f>Parameters!R136</f>
        <v>0.73</v>
      </c>
      <c r="P34" s="1031">
        <f>E34*'MSW characteristics'!$B$28+'MSW characteristics'!$B$29*'4A SWD Case 3'!F34+'4A SWD Case 3'!G34*'MSW characteristics'!$B$30+'MSW characteristics'!$B$31*'4A SWD Case 3'!H34+'4A SWD Case 3'!I34*'MSW characteristics'!$B$32+'MSW characteristics'!$B$33*'4A SWD Case 3'!J34+'4A SWD Case 3'!K34*'MSW characteristics'!$B$35</f>
        <v>0.11870178252267252</v>
      </c>
      <c r="Q34" s="1029">
        <f t="shared" si="2"/>
        <v>169.99161379512481</v>
      </c>
      <c r="R34" s="1029">
        <f t="shared" si="3"/>
        <v>169.99161379512481</v>
      </c>
      <c r="S34" s="303">
        <f t="shared" si="4"/>
        <v>0</v>
      </c>
      <c r="T34" s="1029">
        <f t="shared" si="5"/>
        <v>1601.7067382374528</v>
      </c>
      <c r="U34" s="1029">
        <f t="shared" si="6"/>
        <v>73.405604128293845</v>
      </c>
      <c r="V34" s="1202">
        <f t="shared" si="7"/>
        <v>48.937069418862563</v>
      </c>
      <c r="X34" s="317">
        <f>'Baseline data (from input)'!AS21*'4A SWD Case 3'!$D$12</f>
        <v>2018.4739745641532</v>
      </c>
      <c r="Y34" s="1031">
        <f>Parameters!S136</f>
        <v>0.71500000000000008</v>
      </c>
      <c r="Z34" s="1031">
        <f t="shared" si="8"/>
        <v>0.2</v>
      </c>
      <c r="AA34" s="1029">
        <f t="shared" si="9"/>
        <v>144.32088918133698</v>
      </c>
      <c r="AB34" s="1029">
        <f t="shared" si="10"/>
        <v>144.32088918133698</v>
      </c>
      <c r="AC34" s="303">
        <f t="shared" si="11"/>
        <v>0</v>
      </c>
      <c r="AD34" s="1029">
        <f t="shared" si="12"/>
        <v>579.15750791315327</v>
      </c>
      <c r="AE34" s="1029">
        <f t="shared" si="13"/>
        <v>22.294550186823368</v>
      </c>
      <c r="AF34" s="1202">
        <f t="shared" si="14"/>
        <v>14.863033457882246</v>
      </c>
      <c r="AH34" s="317">
        <f>'Baseline data (from input)'!AS21*'4A SWD Case 3'!$D$12</f>
        <v>2018.4739745641532</v>
      </c>
      <c r="AI34" s="1031">
        <f>Parameters!S136</f>
        <v>0.71500000000000008</v>
      </c>
      <c r="AJ34" s="1031">
        <f t="shared" si="15"/>
        <v>0.2</v>
      </c>
      <c r="AK34" s="1029">
        <f t="shared" si="16"/>
        <v>144.32088918133698</v>
      </c>
      <c r="AL34" s="1029">
        <f t="shared" si="17"/>
        <v>144.32088918133698</v>
      </c>
      <c r="AM34" s="303">
        <f t="shared" si="18"/>
        <v>0</v>
      </c>
      <c r="AN34" s="1029">
        <f t="shared" si="19"/>
        <v>579.15750791315327</v>
      </c>
      <c r="AO34" s="1029">
        <f t="shared" si="20"/>
        <v>22.294550186823368</v>
      </c>
      <c r="AP34" s="1202">
        <f t="shared" si="21"/>
        <v>14.863033457882246</v>
      </c>
      <c r="AR34" s="1037">
        <v>0</v>
      </c>
      <c r="AS34" s="1030">
        <v>1</v>
      </c>
      <c r="AT34" s="1030">
        <f t="shared" si="22"/>
        <v>0.05</v>
      </c>
      <c r="AU34" s="1029">
        <f t="shared" si="23"/>
        <v>0</v>
      </c>
      <c r="AV34" s="1029">
        <f t="shared" si="24"/>
        <v>0</v>
      </c>
      <c r="AW34" s="303">
        <f t="shared" si="25"/>
        <v>0</v>
      </c>
      <c r="AX34" s="1045">
        <f t="shared" si="26"/>
        <v>0</v>
      </c>
      <c r="AY34" s="1045">
        <f t="shared" si="27"/>
        <v>0</v>
      </c>
      <c r="AZ34" s="1202">
        <f t="shared" si="28"/>
        <v>0</v>
      </c>
      <c r="BB34" s="317">
        <f t="shared" si="29"/>
        <v>48.937069418862563</v>
      </c>
      <c r="BC34" s="318">
        <f t="shared" si="30"/>
        <v>14.863033457882246</v>
      </c>
      <c r="BD34" s="1214">
        <f t="shared" si="31"/>
        <v>0</v>
      </c>
      <c r="BE34" s="318">
        <f t="shared" si="32"/>
        <v>63.800102876744809</v>
      </c>
      <c r="BF34" s="104">
        <v>0</v>
      </c>
      <c r="BG34" s="319">
        <f t="shared" si="33"/>
        <v>63.800102876744809</v>
      </c>
      <c r="BI34" s="317">
        <f t="shared" si="34"/>
        <v>48.937069418862563</v>
      </c>
      <c r="BJ34" s="318">
        <f t="shared" si="35"/>
        <v>14.863033457882246</v>
      </c>
      <c r="BK34" s="1214">
        <f t="shared" si="36"/>
        <v>0</v>
      </c>
      <c r="BL34" s="318">
        <f t="shared" si="37"/>
        <v>63.800102876744809</v>
      </c>
      <c r="BM34" s="104">
        <v>0</v>
      </c>
      <c r="BN34" s="319">
        <f t="shared" si="38"/>
        <v>63.800102876744809</v>
      </c>
    </row>
    <row r="35" spans="1:66">
      <c r="A35" s="127">
        <f>'Input data'!A66</f>
        <v>1966</v>
      </c>
      <c r="B35" s="988">
        <f>'Input data'!B66</f>
        <v>8.7407319999999995</v>
      </c>
      <c r="C35" s="988">
        <f>'Baseline data (from input)'!B22</f>
        <v>578.73</v>
      </c>
      <c r="D35" s="899">
        <f>'Baseline data (from input)'!T22</f>
        <v>0.8</v>
      </c>
      <c r="E35" s="899">
        <f t="shared" si="39"/>
        <v>0.19892488097366726</v>
      </c>
      <c r="F35" s="899">
        <f t="shared" si="0"/>
        <v>0.26585903447659598</v>
      </c>
      <c r="G35" s="899">
        <f t="shared" si="0"/>
        <v>8.9228108703258049E-2</v>
      </c>
      <c r="H35" s="899">
        <f t="shared" si="0"/>
        <v>0</v>
      </c>
      <c r="I35" s="899">
        <f t="shared" si="0"/>
        <v>0</v>
      </c>
      <c r="J35" s="899">
        <f t="shared" si="0"/>
        <v>0</v>
      </c>
      <c r="K35" s="899">
        <f t="shared" si="0"/>
        <v>0.4459879758464787</v>
      </c>
      <c r="L35" s="996">
        <f t="shared" si="40"/>
        <v>1</v>
      </c>
      <c r="N35" s="317">
        <f t="shared" si="1"/>
        <v>4046.8190642879999</v>
      </c>
      <c r="O35" s="1031">
        <f>Parameters!R137</f>
        <v>0.73</v>
      </c>
      <c r="P35" s="1031">
        <f>E35*'MSW characteristics'!$B$28+'MSW characteristics'!$B$29*'4A SWD Case 3'!F35+'4A SWD Case 3'!G35*'MSW characteristics'!$B$30+'MSW characteristics'!$B$31*'4A SWD Case 3'!H35+'4A SWD Case 3'!I35*'MSW characteristics'!$B$32+'MSW characteristics'!$B$33*'4A SWD Case 3'!J35+'4A SWD Case 3'!K35*'MSW characteristics'!$B$35</f>
        <v>0.11870178252267252</v>
      </c>
      <c r="Q35" s="1029">
        <f t="shared" si="2"/>
        <v>175.33309231436752</v>
      </c>
      <c r="R35" s="1029">
        <f t="shared" si="3"/>
        <v>175.33309231436752</v>
      </c>
      <c r="S35" s="303">
        <f t="shared" si="4"/>
        <v>0</v>
      </c>
      <c r="T35" s="1029">
        <f t="shared" si="5"/>
        <v>1698.9236711468957</v>
      </c>
      <c r="U35" s="1029">
        <f t="shared" si="6"/>
        <v>78.116159404924787</v>
      </c>
      <c r="V35" s="1202">
        <f t="shared" si="7"/>
        <v>52.077439603283189</v>
      </c>
      <c r="X35" s="317">
        <f>'Baseline data (from input)'!AS22*'4A SWD Case 3'!$D$12</f>
        <v>2108.0600718444775</v>
      </c>
      <c r="Y35" s="1031">
        <f>Parameters!S137</f>
        <v>0.71500000000000008</v>
      </c>
      <c r="Z35" s="1031">
        <f t="shared" si="8"/>
        <v>0.2</v>
      </c>
      <c r="AA35" s="1029">
        <f t="shared" si="9"/>
        <v>150.72629513688017</v>
      </c>
      <c r="AB35" s="1029">
        <f t="shared" si="10"/>
        <v>150.72629513688017</v>
      </c>
      <c r="AC35" s="303">
        <f t="shared" si="11"/>
        <v>0</v>
      </c>
      <c r="AD35" s="1029">
        <f t="shared" si="12"/>
        <v>701.63795808437669</v>
      </c>
      <c r="AE35" s="1029">
        <f t="shared" si="13"/>
        <v>28.245844965656762</v>
      </c>
      <c r="AF35" s="1202">
        <f t="shared" si="14"/>
        <v>18.830563310437842</v>
      </c>
      <c r="AH35" s="317">
        <f>'Baseline data (from input)'!AS22*'4A SWD Case 3'!$D$12</f>
        <v>2108.0600718444775</v>
      </c>
      <c r="AI35" s="1031">
        <f>Parameters!S137</f>
        <v>0.71500000000000008</v>
      </c>
      <c r="AJ35" s="1031">
        <f t="shared" si="15"/>
        <v>0.2</v>
      </c>
      <c r="AK35" s="1029">
        <f t="shared" si="16"/>
        <v>150.72629513688017</v>
      </c>
      <c r="AL35" s="1029">
        <f t="shared" si="17"/>
        <v>150.72629513688017</v>
      </c>
      <c r="AM35" s="303">
        <f t="shared" si="18"/>
        <v>0</v>
      </c>
      <c r="AN35" s="1029">
        <f t="shared" si="19"/>
        <v>701.63795808437669</v>
      </c>
      <c r="AO35" s="1029">
        <f t="shared" si="20"/>
        <v>28.245844965656762</v>
      </c>
      <c r="AP35" s="1202">
        <f t="shared" si="21"/>
        <v>18.830563310437842</v>
      </c>
      <c r="AR35" s="1037">
        <v>0</v>
      </c>
      <c r="AS35" s="1030">
        <v>1</v>
      </c>
      <c r="AT35" s="1030">
        <f t="shared" si="22"/>
        <v>0.05</v>
      </c>
      <c r="AU35" s="1029">
        <f t="shared" si="23"/>
        <v>0</v>
      </c>
      <c r="AV35" s="1029">
        <f t="shared" si="24"/>
        <v>0</v>
      </c>
      <c r="AW35" s="303">
        <f t="shared" si="25"/>
        <v>0</v>
      </c>
      <c r="AX35" s="1045">
        <f t="shared" si="26"/>
        <v>0</v>
      </c>
      <c r="AY35" s="1045">
        <f t="shared" si="27"/>
        <v>0</v>
      </c>
      <c r="AZ35" s="1202">
        <f t="shared" si="28"/>
        <v>0</v>
      </c>
      <c r="BB35" s="317">
        <f t="shared" si="29"/>
        <v>52.077439603283189</v>
      </c>
      <c r="BC35" s="318">
        <f t="shared" si="30"/>
        <v>18.830563310437842</v>
      </c>
      <c r="BD35" s="1214">
        <f t="shared" si="31"/>
        <v>0</v>
      </c>
      <c r="BE35" s="318">
        <f t="shared" si="32"/>
        <v>70.908002913721035</v>
      </c>
      <c r="BF35" s="104">
        <v>0</v>
      </c>
      <c r="BG35" s="319">
        <f t="shared" si="33"/>
        <v>70.908002913721035</v>
      </c>
      <c r="BI35" s="317">
        <f t="shared" si="34"/>
        <v>52.077439603283189</v>
      </c>
      <c r="BJ35" s="318">
        <f t="shared" si="35"/>
        <v>18.830563310437842</v>
      </c>
      <c r="BK35" s="1214">
        <f t="shared" si="36"/>
        <v>0</v>
      </c>
      <c r="BL35" s="318">
        <f t="shared" si="37"/>
        <v>70.908002913721035</v>
      </c>
      <c r="BM35" s="104">
        <v>0</v>
      </c>
      <c r="BN35" s="319">
        <f t="shared" si="38"/>
        <v>70.908002913721035</v>
      </c>
    </row>
    <row r="36" spans="1:66">
      <c r="A36" s="127">
        <f>'Input data'!A67</f>
        <v>1967</v>
      </c>
      <c r="B36" s="988">
        <f>'Input data'!B67</f>
        <v>9.0098299199999996</v>
      </c>
      <c r="C36" s="988">
        <f>'Baseline data (from input)'!B23</f>
        <v>578.73</v>
      </c>
      <c r="D36" s="899">
        <f>'Baseline data (from input)'!T23</f>
        <v>0.8</v>
      </c>
      <c r="E36" s="899">
        <f t="shared" si="39"/>
        <v>0.19892488097366726</v>
      </c>
      <c r="F36" s="899">
        <f t="shared" si="39"/>
        <v>0.26585903447659598</v>
      </c>
      <c r="G36" s="899">
        <f t="shared" si="39"/>
        <v>8.9228108703258049E-2</v>
      </c>
      <c r="H36" s="899">
        <f t="shared" si="39"/>
        <v>0</v>
      </c>
      <c r="I36" s="899">
        <f t="shared" si="39"/>
        <v>0</v>
      </c>
      <c r="J36" s="899">
        <f t="shared" si="39"/>
        <v>0</v>
      </c>
      <c r="K36" s="899">
        <f t="shared" si="39"/>
        <v>0.4459879758464787</v>
      </c>
      <c r="L36" s="996">
        <f t="shared" si="40"/>
        <v>1</v>
      </c>
      <c r="N36" s="317">
        <f t="shared" si="1"/>
        <v>4171.4070956812802</v>
      </c>
      <c r="O36" s="1031">
        <f>Parameters!R138</f>
        <v>0.73</v>
      </c>
      <c r="P36" s="1031">
        <f>E36*'MSW characteristics'!$B$28+'MSW characteristics'!$B$29*'4A SWD Case 3'!F36+'4A SWD Case 3'!G36*'MSW characteristics'!$B$30+'MSW characteristics'!$B$31*'4A SWD Case 3'!H36+'4A SWD Case 3'!I36*'MSW characteristics'!$B$32+'MSW characteristics'!$B$33*'4A SWD Case 3'!J36+'4A SWD Case 3'!K36*'MSW characteristics'!$B$35</f>
        <v>0.11870178252267252</v>
      </c>
      <c r="Q36" s="1029">
        <f t="shared" si="2"/>
        <v>180.73101212805869</v>
      </c>
      <c r="R36" s="1029">
        <f t="shared" si="3"/>
        <v>180.73101212805869</v>
      </c>
      <c r="S36" s="303">
        <f t="shared" si="4"/>
        <v>0</v>
      </c>
      <c r="T36" s="1029">
        <f t="shared" si="5"/>
        <v>1796.7971981037606</v>
      </c>
      <c r="U36" s="1029">
        <f t="shared" si="6"/>
        <v>82.857485171193787</v>
      </c>
      <c r="V36" s="1202">
        <f t="shared" si="7"/>
        <v>55.238323447462527</v>
      </c>
      <c r="X36" s="317">
        <f>'Baseline data (from input)'!AS23*'4A SWD Case 3'!$D$12</f>
        <v>2259.7682157966651</v>
      </c>
      <c r="Y36" s="1031">
        <f>Parameters!S138</f>
        <v>0.71500000000000008</v>
      </c>
      <c r="Z36" s="1031">
        <f t="shared" si="8"/>
        <v>0.2</v>
      </c>
      <c r="AA36" s="1029">
        <f t="shared" si="9"/>
        <v>161.57342742946159</v>
      </c>
      <c r="AB36" s="1029">
        <f t="shared" si="10"/>
        <v>161.57342742946159</v>
      </c>
      <c r="AC36" s="303">
        <f t="shared" si="11"/>
        <v>0</v>
      </c>
      <c r="AD36" s="1029">
        <f t="shared" si="12"/>
        <v>828.99209850591933</v>
      </c>
      <c r="AE36" s="1029">
        <f t="shared" si="13"/>
        <v>34.21928700791895</v>
      </c>
      <c r="AF36" s="1202">
        <f t="shared" si="14"/>
        <v>22.812858005279299</v>
      </c>
      <c r="AH36" s="317">
        <f>'Baseline data (from input)'!AS23*'4A SWD Case 3'!$D$12</f>
        <v>2259.7682157966651</v>
      </c>
      <c r="AI36" s="1031">
        <f>Parameters!S138</f>
        <v>0.71500000000000008</v>
      </c>
      <c r="AJ36" s="1031">
        <f t="shared" si="15"/>
        <v>0.2</v>
      </c>
      <c r="AK36" s="1029">
        <f t="shared" si="16"/>
        <v>161.57342742946159</v>
      </c>
      <c r="AL36" s="1029">
        <f t="shared" si="17"/>
        <v>161.57342742946159</v>
      </c>
      <c r="AM36" s="303">
        <f t="shared" si="18"/>
        <v>0</v>
      </c>
      <c r="AN36" s="1029">
        <f t="shared" si="19"/>
        <v>828.99209850591933</v>
      </c>
      <c r="AO36" s="1029">
        <f t="shared" si="20"/>
        <v>34.21928700791895</v>
      </c>
      <c r="AP36" s="1202">
        <f t="shared" si="21"/>
        <v>22.812858005279299</v>
      </c>
      <c r="AR36" s="1037">
        <v>0</v>
      </c>
      <c r="AS36" s="1030">
        <v>1</v>
      </c>
      <c r="AT36" s="1030">
        <f t="shared" si="22"/>
        <v>0.05</v>
      </c>
      <c r="AU36" s="1029">
        <f t="shared" si="23"/>
        <v>0</v>
      </c>
      <c r="AV36" s="1029">
        <f t="shared" si="24"/>
        <v>0</v>
      </c>
      <c r="AW36" s="303">
        <f t="shared" si="25"/>
        <v>0</v>
      </c>
      <c r="AX36" s="1045">
        <f t="shared" si="26"/>
        <v>0</v>
      </c>
      <c r="AY36" s="1045">
        <f t="shared" si="27"/>
        <v>0</v>
      </c>
      <c r="AZ36" s="1202">
        <f t="shared" si="28"/>
        <v>0</v>
      </c>
      <c r="BB36" s="317">
        <f t="shared" si="29"/>
        <v>55.238323447462527</v>
      </c>
      <c r="BC36" s="318">
        <f t="shared" si="30"/>
        <v>22.812858005279299</v>
      </c>
      <c r="BD36" s="1214">
        <f t="shared" si="31"/>
        <v>0</v>
      </c>
      <c r="BE36" s="318">
        <f t="shared" si="32"/>
        <v>78.05118145274183</v>
      </c>
      <c r="BF36" s="104">
        <v>0</v>
      </c>
      <c r="BG36" s="319">
        <f t="shared" si="33"/>
        <v>78.05118145274183</v>
      </c>
      <c r="BI36" s="317">
        <f t="shared" si="34"/>
        <v>55.238323447462527</v>
      </c>
      <c r="BJ36" s="318">
        <f t="shared" si="35"/>
        <v>22.812858005279299</v>
      </c>
      <c r="BK36" s="1214">
        <f t="shared" si="36"/>
        <v>0</v>
      </c>
      <c r="BL36" s="318">
        <f t="shared" si="37"/>
        <v>78.05118145274183</v>
      </c>
      <c r="BM36" s="104">
        <v>0</v>
      </c>
      <c r="BN36" s="319">
        <f t="shared" si="38"/>
        <v>78.05118145274183</v>
      </c>
    </row>
    <row r="37" spans="1:66">
      <c r="A37" s="127">
        <f>'Input data'!A68</f>
        <v>1968</v>
      </c>
      <c r="B37" s="988">
        <f>'Input data'!B68</f>
        <v>9.2808861600000014</v>
      </c>
      <c r="C37" s="988">
        <f>'Baseline data (from input)'!B24</f>
        <v>578.73</v>
      </c>
      <c r="D37" s="899">
        <f>'Baseline data (from input)'!T24</f>
        <v>0.8</v>
      </c>
      <c r="E37" s="899">
        <f t="shared" ref="E37:K52" si="41">E36</f>
        <v>0.19892488097366726</v>
      </c>
      <c r="F37" s="899">
        <f t="shared" si="41"/>
        <v>0.26585903447659598</v>
      </c>
      <c r="G37" s="899">
        <f t="shared" si="41"/>
        <v>8.9228108703258049E-2</v>
      </c>
      <c r="H37" s="899">
        <f t="shared" si="41"/>
        <v>0</v>
      </c>
      <c r="I37" s="899">
        <f t="shared" si="41"/>
        <v>0</v>
      </c>
      <c r="J37" s="899">
        <f t="shared" si="41"/>
        <v>0</v>
      </c>
      <c r="K37" s="899">
        <f t="shared" si="41"/>
        <v>0.4459879758464787</v>
      </c>
      <c r="L37" s="996">
        <f t="shared" si="40"/>
        <v>1</v>
      </c>
      <c r="N37" s="317">
        <f t="shared" si="1"/>
        <v>4296.9017979014416</v>
      </c>
      <c r="O37" s="1031">
        <f>Parameters!R139</f>
        <v>0.73</v>
      </c>
      <c r="P37" s="1031">
        <f>E37*'MSW characteristics'!$B$28+'MSW characteristics'!$B$29*'4A SWD Case 3'!F37+'4A SWD Case 3'!G37*'MSW characteristics'!$B$30+'MSW characteristics'!$B$31*'4A SWD Case 3'!H37+'4A SWD Case 3'!I37*'MSW characteristics'!$B$32+'MSW characteristics'!$B$33*'4A SWD Case 3'!J37+'4A SWD Case 3'!K37*'MSW characteristics'!$B$35</f>
        <v>0.11870178252267252</v>
      </c>
      <c r="Q37" s="1029">
        <f t="shared" si="2"/>
        <v>186.16821449855877</v>
      </c>
      <c r="R37" s="1029">
        <f t="shared" si="3"/>
        <v>186.16821449855877</v>
      </c>
      <c r="S37" s="303">
        <f t="shared" si="4"/>
        <v>0</v>
      </c>
      <c r="T37" s="1029">
        <f t="shared" si="5"/>
        <v>1895.3345791952943</v>
      </c>
      <c r="U37" s="1029">
        <f t="shared" si="6"/>
        <v>87.630833407024966</v>
      </c>
      <c r="V37" s="1202">
        <f t="shared" si="7"/>
        <v>58.420555604683308</v>
      </c>
      <c r="X37" s="317">
        <f>'Baseline data (from input)'!AS24*'4A SWD Case 3'!$D$12</f>
        <v>2353.6264415640917</v>
      </c>
      <c r="Y37" s="1031">
        <f>Parameters!S139</f>
        <v>0.71500000000000008</v>
      </c>
      <c r="Z37" s="1031">
        <f t="shared" si="8"/>
        <v>0.2</v>
      </c>
      <c r="AA37" s="1029">
        <f t="shared" si="9"/>
        <v>168.28429057183257</v>
      </c>
      <c r="AB37" s="1029">
        <f t="shared" si="10"/>
        <v>168.28429057183257</v>
      </c>
      <c r="AC37" s="303">
        <f t="shared" si="11"/>
        <v>0</v>
      </c>
      <c r="AD37" s="1029">
        <f t="shared" si="12"/>
        <v>956.84596734925742</v>
      </c>
      <c r="AE37" s="1029">
        <f t="shared" si="13"/>
        <v>40.430421728494466</v>
      </c>
      <c r="AF37" s="1202">
        <f t="shared" si="14"/>
        <v>26.953614485662978</v>
      </c>
      <c r="AH37" s="317">
        <f>'Baseline data (from input)'!AS24*'4A SWD Case 3'!$D$12</f>
        <v>2353.6264415640917</v>
      </c>
      <c r="AI37" s="1031">
        <f>Parameters!S139</f>
        <v>0.71500000000000008</v>
      </c>
      <c r="AJ37" s="1031">
        <f t="shared" si="15"/>
        <v>0.2</v>
      </c>
      <c r="AK37" s="1029">
        <f t="shared" si="16"/>
        <v>168.28429057183257</v>
      </c>
      <c r="AL37" s="1029">
        <f t="shared" si="17"/>
        <v>168.28429057183257</v>
      </c>
      <c r="AM37" s="303">
        <f t="shared" si="18"/>
        <v>0</v>
      </c>
      <c r="AN37" s="1029">
        <f t="shared" si="19"/>
        <v>956.84596734925742</v>
      </c>
      <c r="AO37" s="1029">
        <f t="shared" si="20"/>
        <v>40.430421728494466</v>
      </c>
      <c r="AP37" s="1202">
        <f t="shared" si="21"/>
        <v>26.953614485662978</v>
      </c>
      <c r="AR37" s="1037">
        <v>0</v>
      </c>
      <c r="AS37" s="1030">
        <v>1</v>
      </c>
      <c r="AT37" s="1030">
        <f t="shared" si="22"/>
        <v>0.05</v>
      </c>
      <c r="AU37" s="1029">
        <f t="shared" si="23"/>
        <v>0</v>
      </c>
      <c r="AV37" s="1029">
        <f t="shared" si="24"/>
        <v>0</v>
      </c>
      <c r="AW37" s="303">
        <f t="shared" si="25"/>
        <v>0</v>
      </c>
      <c r="AX37" s="1045">
        <f t="shared" si="26"/>
        <v>0</v>
      </c>
      <c r="AY37" s="1045">
        <f t="shared" si="27"/>
        <v>0</v>
      </c>
      <c r="AZ37" s="1202">
        <f t="shared" si="28"/>
        <v>0</v>
      </c>
      <c r="BB37" s="317">
        <f t="shared" si="29"/>
        <v>58.420555604683308</v>
      </c>
      <c r="BC37" s="318">
        <f t="shared" si="30"/>
        <v>26.953614485662978</v>
      </c>
      <c r="BD37" s="1214">
        <f t="shared" si="31"/>
        <v>0</v>
      </c>
      <c r="BE37" s="318">
        <f t="shared" si="32"/>
        <v>85.374170090346283</v>
      </c>
      <c r="BF37" s="104">
        <v>0</v>
      </c>
      <c r="BG37" s="319">
        <f t="shared" si="33"/>
        <v>85.374170090346283</v>
      </c>
      <c r="BI37" s="317">
        <f t="shared" si="34"/>
        <v>58.420555604683308</v>
      </c>
      <c r="BJ37" s="318">
        <f t="shared" si="35"/>
        <v>26.953614485662978</v>
      </c>
      <c r="BK37" s="1214">
        <f t="shared" si="36"/>
        <v>0</v>
      </c>
      <c r="BL37" s="318">
        <f t="shared" si="37"/>
        <v>85.374170090346283</v>
      </c>
      <c r="BM37" s="104">
        <v>0</v>
      </c>
      <c r="BN37" s="319">
        <f t="shared" si="38"/>
        <v>85.374170090346283</v>
      </c>
    </row>
    <row r="38" spans="1:66">
      <c r="A38" s="127">
        <f>'Input data'!A69</f>
        <v>1969</v>
      </c>
      <c r="B38" s="988">
        <f>'Input data'!B69</f>
        <v>9.5539007199999997</v>
      </c>
      <c r="C38" s="988">
        <f>'Baseline data (from input)'!B25</f>
        <v>578.73</v>
      </c>
      <c r="D38" s="899">
        <f>'Baseline data (from input)'!T25</f>
        <v>0.8</v>
      </c>
      <c r="E38" s="899">
        <f t="shared" si="41"/>
        <v>0.19892488097366726</v>
      </c>
      <c r="F38" s="899">
        <f t="shared" si="41"/>
        <v>0.26585903447659598</v>
      </c>
      <c r="G38" s="899">
        <f t="shared" si="41"/>
        <v>8.9228108703258049E-2</v>
      </c>
      <c r="H38" s="899">
        <f t="shared" si="41"/>
        <v>0</v>
      </c>
      <c r="I38" s="899">
        <f t="shared" si="41"/>
        <v>0</v>
      </c>
      <c r="J38" s="899">
        <f t="shared" si="41"/>
        <v>0</v>
      </c>
      <c r="K38" s="899">
        <f t="shared" si="41"/>
        <v>0.4459879758464787</v>
      </c>
      <c r="L38" s="996">
        <f t="shared" si="40"/>
        <v>1</v>
      </c>
      <c r="N38" s="317">
        <f t="shared" si="1"/>
        <v>4423.3031709484803</v>
      </c>
      <c r="O38" s="1031">
        <f>Parameters!R140</f>
        <v>0.73</v>
      </c>
      <c r="P38" s="1031">
        <f>E38*'MSW characteristics'!$B$28+'MSW characteristics'!$B$29*'4A SWD Case 3'!F38+'4A SWD Case 3'!G38*'MSW characteristics'!$B$30+'MSW characteristics'!$B$31*'4A SWD Case 3'!H38+'4A SWD Case 3'!I38*'MSW characteristics'!$B$32+'MSW characteristics'!$B$33*'4A SWD Case 3'!J38+'4A SWD Case 3'!K38*'MSW characteristics'!$B$35</f>
        <v>0.11870178252267252</v>
      </c>
      <c r="Q38" s="1029">
        <f t="shared" si="2"/>
        <v>191.6446994258676</v>
      </c>
      <c r="R38" s="1029">
        <f t="shared" si="3"/>
        <v>191.6446994258676</v>
      </c>
      <c r="S38" s="303">
        <f t="shared" si="4"/>
        <v>0</v>
      </c>
      <c r="T38" s="1029">
        <f t="shared" si="5"/>
        <v>1994.5427204301104</v>
      </c>
      <c r="U38" s="1029">
        <f t="shared" si="6"/>
        <v>92.436558191051532</v>
      </c>
      <c r="V38" s="1202">
        <f t="shared" si="7"/>
        <v>61.624372127367685</v>
      </c>
      <c r="X38" s="317">
        <f>'Baseline data (from input)'!AS25*'4A SWD Case 3'!$D$12</f>
        <v>2464.6194777168885</v>
      </c>
      <c r="Y38" s="1031">
        <f>Parameters!S140</f>
        <v>0.71500000000000008</v>
      </c>
      <c r="Z38" s="1031">
        <f t="shared" si="8"/>
        <v>0.2</v>
      </c>
      <c r="AA38" s="1029">
        <f t="shared" si="9"/>
        <v>176.22029265675755</v>
      </c>
      <c r="AB38" s="1029">
        <f t="shared" si="10"/>
        <v>176.22029265675755</v>
      </c>
      <c r="AC38" s="303">
        <f t="shared" si="11"/>
        <v>0</v>
      </c>
      <c r="AD38" s="1029">
        <f t="shared" si="12"/>
        <v>1086.4003315142206</v>
      </c>
      <c r="AE38" s="1029">
        <f t="shared" si="13"/>
        <v>46.66592849179429</v>
      </c>
      <c r="AF38" s="1202">
        <f t="shared" si="14"/>
        <v>31.110618994529528</v>
      </c>
      <c r="AH38" s="317">
        <f>'Baseline data (from input)'!AS25*'4A SWD Case 3'!$D$12</f>
        <v>2464.6194777168885</v>
      </c>
      <c r="AI38" s="1031">
        <f>Parameters!S140</f>
        <v>0.71500000000000008</v>
      </c>
      <c r="AJ38" s="1031">
        <f t="shared" si="15"/>
        <v>0.2</v>
      </c>
      <c r="AK38" s="1029">
        <f t="shared" si="16"/>
        <v>176.22029265675755</v>
      </c>
      <c r="AL38" s="1029">
        <f t="shared" si="17"/>
        <v>176.22029265675755</v>
      </c>
      <c r="AM38" s="303">
        <f t="shared" si="18"/>
        <v>0</v>
      </c>
      <c r="AN38" s="1029">
        <f t="shared" si="19"/>
        <v>1086.4003315142206</v>
      </c>
      <c r="AO38" s="1029">
        <f t="shared" si="20"/>
        <v>46.66592849179429</v>
      </c>
      <c r="AP38" s="1202">
        <f t="shared" si="21"/>
        <v>31.110618994529528</v>
      </c>
      <c r="AR38" s="1037">
        <v>0</v>
      </c>
      <c r="AS38" s="1030">
        <v>1</v>
      </c>
      <c r="AT38" s="1030">
        <f t="shared" si="22"/>
        <v>0.05</v>
      </c>
      <c r="AU38" s="1029">
        <f t="shared" si="23"/>
        <v>0</v>
      </c>
      <c r="AV38" s="1029">
        <f t="shared" si="24"/>
        <v>0</v>
      </c>
      <c r="AW38" s="303">
        <f t="shared" si="25"/>
        <v>0</v>
      </c>
      <c r="AX38" s="1045">
        <f t="shared" si="26"/>
        <v>0</v>
      </c>
      <c r="AY38" s="1045">
        <f t="shared" si="27"/>
        <v>0</v>
      </c>
      <c r="AZ38" s="1202">
        <f t="shared" si="28"/>
        <v>0</v>
      </c>
      <c r="BB38" s="317">
        <f t="shared" si="29"/>
        <v>61.624372127367685</v>
      </c>
      <c r="BC38" s="318">
        <f t="shared" si="30"/>
        <v>31.110618994529528</v>
      </c>
      <c r="BD38" s="1214">
        <f t="shared" si="31"/>
        <v>0</v>
      </c>
      <c r="BE38" s="318">
        <f t="shared" si="32"/>
        <v>92.73499112189721</v>
      </c>
      <c r="BF38" s="104">
        <v>0</v>
      </c>
      <c r="BG38" s="319">
        <f t="shared" si="33"/>
        <v>92.73499112189721</v>
      </c>
      <c r="BI38" s="317">
        <f t="shared" si="34"/>
        <v>61.624372127367685</v>
      </c>
      <c r="BJ38" s="318">
        <f t="shared" si="35"/>
        <v>31.110618994529528</v>
      </c>
      <c r="BK38" s="1214">
        <f t="shared" si="36"/>
        <v>0</v>
      </c>
      <c r="BL38" s="318">
        <f t="shared" si="37"/>
        <v>92.73499112189721</v>
      </c>
      <c r="BM38" s="104">
        <v>0</v>
      </c>
      <c r="BN38" s="319">
        <f t="shared" si="38"/>
        <v>92.73499112189721</v>
      </c>
    </row>
    <row r="39" spans="1:66">
      <c r="A39" s="127">
        <f>'Input data'!A70</f>
        <v>1970</v>
      </c>
      <c r="B39" s="988">
        <f>'Input data'!B70</f>
        <v>9.8288735999999997</v>
      </c>
      <c r="C39" s="988">
        <f>'Baseline data (from input)'!B26</f>
        <v>578.73</v>
      </c>
      <c r="D39" s="899">
        <f>'Baseline data (from input)'!T26</f>
        <v>0.8</v>
      </c>
      <c r="E39" s="899">
        <f t="shared" si="41"/>
        <v>0.19892488097366726</v>
      </c>
      <c r="F39" s="899">
        <f t="shared" si="41"/>
        <v>0.26585903447659598</v>
      </c>
      <c r="G39" s="899">
        <f t="shared" si="41"/>
        <v>8.9228108703258049E-2</v>
      </c>
      <c r="H39" s="899">
        <f t="shared" si="41"/>
        <v>0</v>
      </c>
      <c r="I39" s="899">
        <f t="shared" si="41"/>
        <v>0</v>
      </c>
      <c r="J39" s="899">
        <f t="shared" si="41"/>
        <v>0</v>
      </c>
      <c r="K39" s="899">
        <f t="shared" si="41"/>
        <v>0.4459879758464787</v>
      </c>
      <c r="L39" s="996">
        <f t="shared" si="40"/>
        <v>1</v>
      </c>
      <c r="N39" s="317">
        <f t="shared" si="1"/>
        <v>4550.6112148224001</v>
      </c>
      <c r="O39" s="1031">
        <f>Parameters!R141</f>
        <v>0.73</v>
      </c>
      <c r="P39" s="1031">
        <f>E39*'MSW characteristics'!$B$28+'MSW characteristics'!$B$29*'4A SWD Case 3'!F39+'4A SWD Case 3'!G39*'MSW characteristics'!$B$30+'MSW characteristics'!$B$31*'4A SWD Case 3'!H39+'4A SWD Case 3'!I39*'MSW characteristics'!$B$32+'MSW characteristics'!$B$33*'4A SWD Case 3'!J39+'4A SWD Case 3'!K39*'MSW characteristics'!$B$35</f>
        <v>0.11870178252267252</v>
      </c>
      <c r="Q39" s="1029">
        <f t="shared" si="2"/>
        <v>197.16046690998536</v>
      </c>
      <c r="R39" s="1029">
        <f t="shared" si="3"/>
        <v>197.16046690998536</v>
      </c>
      <c r="S39" s="303">
        <f t="shared" si="4"/>
        <v>0</v>
      </c>
      <c r="T39" s="1029">
        <f t="shared" si="5"/>
        <v>2094.428191006808</v>
      </c>
      <c r="U39" s="1029">
        <f t="shared" si="6"/>
        <v>97.274996333287959</v>
      </c>
      <c r="V39" s="1202">
        <f t="shared" si="7"/>
        <v>64.849997555525306</v>
      </c>
      <c r="X39" s="317">
        <f>'Baseline data (from input)'!AS26*'4A SWD Case 3'!$D$12</f>
        <v>2593.9793227699874</v>
      </c>
      <c r="Y39" s="1031">
        <f>Parameters!S141</f>
        <v>0.71500000000000008</v>
      </c>
      <c r="Z39" s="1031">
        <f t="shared" si="8"/>
        <v>0.2</v>
      </c>
      <c r="AA39" s="1029">
        <f t="shared" si="9"/>
        <v>185.46952157805413</v>
      </c>
      <c r="AB39" s="1029">
        <f t="shared" si="10"/>
        <v>185.46952157805413</v>
      </c>
      <c r="AC39" s="303">
        <f t="shared" si="11"/>
        <v>0</v>
      </c>
      <c r="AD39" s="1029">
        <f t="shared" si="12"/>
        <v>1218.8854837017111</v>
      </c>
      <c r="AE39" s="1029">
        <f t="shared" si="13"/>
        <v>52.984369390563621</v>
      </c>
      <c r="AF39" s="1202">
        <f t="shared" si="14"/>
        <v>35.322912927042417</v>
      </c>
      <c r="AH39" s="317">
        <f>'Baseline data (from input)'!AS26*'4A SWD Case 3'!$D$12</f>
        <v>2593.9793227699874</v>
      </c>
      <c r="AI39" s="1031">
        <f>Parameters!S141</f>
        <v>0.71500000000000008</v>
      </c>
      <c r="AJ39" s="1031">
        <f t="shared" si="15"/>
        <v>0.2</v>
      </c>
      <c r="AK39" s="1029">
        <f t="shared" si="16"/>
        <v>185.46952157805413</v>
      </c>
      <c r="AL39" s="1029">
        <f t="shared" si="17"/>
        <v>185.46952157805413</v>
      </c>
      <c r="AM39" s="303">
        <f t="shared" si="18"/>
        <v>0</v>
      </c>
      <c r="AN39" s="1029">
        <f t="shared" si="19"/>
        <v>1218.8854837017111</v>
      </c>
      <c r="AO39" s="1029">
        <f t="shared" si="20"/>
        <v>52.984369390563621</v>
      </c>
      <c r="AP39" s="1202">
        <f t="shared" si="21"/>
        <v>35.322912927042417</v>
      </c>
      <c r="AR39" s="1037">
        <v>0</v>
      </c>
      <c r="AS39" s="1030">
        <v>1</v>
      </c>
      <c r="AT39" s="1030">
        <f t="shared" si="22"/>
        <v>0.05</v>
      </c>
      <c r="AU39" s="1029">
        <f t="shared" si="23"/>
        <v>0</v>
      </c>
      <c r="AV39" s="1029">
        <f t="shared" si="24"/>
        <v>0</v>
      </c>
      <c r="AW39" s="303">
        <f t="shared" si="25"/>
        <v>0</v>
      </c>
      <c r="AX39" s="1045">
        <f t="shared" si="26"/>
        <v>0</v>
      </c>
      <c r="AY39" s="1045">
        <f t="shared" si="27"/>
        <v>0</v>
      </c>
      <c r="AZ39" s="1202">
        <f t="shared" si="28"/>
        <v>0</v>
      </c>
      <c r="BB39" s="317">
        <f t="shared" si="29"/>
        <v>64.849997555525306</v>
      </c>
      <c r="BC39" s="318">
        <f t="shared" si="30"/>
        <v>35.322912927042417</v>
      </c>
      <c r="BD39" s="1214">
        <f t="shared" si="31"/>
        <v>0</v>
      </c>
      <c r="BE39" s="318">
        <f t="shared" si="32"/>
        <v>100.17291048256772</v>
      </c>
      <c r="BF39" s="104">
        <v>0</v>
      </c>
      <c r="BG39" s="319">
        <f t="shared" si="33"/>
        <v>100.17291048256772</v>
      </c>
      <c r="BI39" s="317">
        <f t="shared" si="34"/>
        <v>64.849997555525306</v>
      </c>
      <c r="BJ39" s="318">
        <f t="shared" si="35"/>
        <v>35.322912927042417</v>
      </c>
      <c r="BK39" s="1214">
        <f t="shared" si="36"/>
        <v>0</v>
      </c>
      <c r="BL39" s="318">
        <f t="shared" si="37"/>
        <v>100.17291048256772</v>
      </c>
      <c r="BM39" s="104">
        <v>0</v>
      </c>
      <c r="BN39" s="319">
        <f t="shared" si="38"/>
        <v>100.17291048256772</v>
      </c>
    </row>
    <row r="40" spans="1:66">
      <c r="A40" s="127">
        <f>'Input data'!A71</f>
        <v>1971</v>
      </c>
      <c r="B40" s="988">
        <f>'Input data'!B71</f>
        <v>20.567820000000001</v>
      </c>
      <c r="C40" s="988">
        <f>'Baseline data (from input)'!B27</f>
        <v>578.73</v>
      </c>
      <c r="D40" s="899">
        <f>'Baseline data (from input)'!T27</f>
        <v>0.8</v>
      </c>
      <c r="E40" s="899">
        <f t="shared" si="41"/>
        <v>0.19892488097366726</v>
      </c>
      <c r="F40" s="899">
        <f t="shared" si="41"/>
        <v>0.26585903447659598</v>
      </c>
      <c r="G40" s="899">
        <f t="shared" si="41"/>
        <v>8.9228108703258049E-2</v>
      </c>
      <c r="H40" s="899">
        <f t="shared" si="41"/>
        <v>0</v>
      </c>
      <c r="I40" s="899">
        <f t="shared" si="41"/>
        <v>0</v>
      </c>
      <c r="J40" s="899">
        <f t="shared" si="41"/>
        <v>0</v>
      </c>
      <c r="K40" s="899">
        <f t="shared" si="41"/>
        <v>0.4459879758464787</v>
      </c>
      <c r="L40" s="996">
        <f t="shared" si="40"/>
        <v>1</v>
      </c>
      <c r="N40" s="317">
        <f t="shared" si="1"/>
        <v>9522.5715748800012</v>
      </c>
      <c r="O40" s="1031">
        <f>Parameters!R142</f>
        <v>0.73</v>
      </c>
      <c r="P40" s="1031">
        <f>E40*'MSW characteristics'!$B$28+'MSW characteristics'!$B$29*'4A SWD Case 3'!F40+'4A SWD Case 3'!G40*'MSW characteristics'!$B$30+'MSW characteristics'!$B$31*'4A SWD Case 3'!H40+'4A SWD Case 3'!I40*'MSW characteristics'!$B$32+'MSW characteristics'!$B$33*'4A SWD Case 3'!J40+'4A SWD Case 3'!K40*'MSW characteristics'!$B$35</f>
        <v>0.11870178252267252</v>
      </c>
      <c r="Q40" s="1029">
        <f t="shared" si="2"/>
        <v>412.57637035036601</v>
      </c>
      <c r="R40" s="1029">
        <f t="shared" si="3"/>
        <v>412.57637035036601</v>
      </c>
      <c r="S40" s="303">
        <f t="shared" si="4"/>
        <v>0</v>
      </c>
      <c r="T40" s="1029">
        <f t="shared" si="5"/>
        <v>2404.8580931398437</v>
      </c>
      <c r="U40" s="1029">
        <f t="shared" si="6"/>
        <v>102.14646821733049</v>
      </c>
      <c r="V40" s="1202">
        <f t="shared" si="7"/>
        <v>68.097645478220329</v>
      </c>
      <c r="X40" s="317">
        <f>'Baseline data (from input)'!AS27*'4A SWD Case 3'!$D$12</f>
        <v>2704.9749309256895</v>
      </c>
      <c r="Y40" s="1031">
        <f>Parameters!S142</f>
        <v>0.71500000000000008</v>
      </c>
      <c r="Z40" s="1031">
        <f t="shared" si="8"/>
        <v>0.2</v>
      </c>
      <c r="AA40" s="1029">
        <f t="shared" si="9"/>
        <v>193.40570756118683</v>
      </c>
      <c r="AB40" s="1029">
        <f t="shared" si="10"/>
        <v>193.40570756118683</v>
      </c>
      <c r="AC40" s="303">
        <f t="shared" si="11"/>
        <v>0</v>
      </c>
      <c r="AD40" s="1029">
        <f t="shared" si="12"/>
        <v>1352.8454447550398</v>
      </c>
      <c r="AE40" s="1029">
        <f t="shared" si="13"/>
        <v>59.445746507858019</v>
      </c>
      <c r="AF40" s="1202">
        <f t="shared" si="14"/>
        <v>39.630497671905346</v>
      </c>
      <c r="AH40" s="317">
        <f>'Baseline data (from input)'!AS27*'4A SWD Case 3'!$D$12</f>
        <v>2704.9749309256895</v>
      </c>
      <c r="AI40" s="1031">
        <f>Parameters!S142</f>
        <v>0.71500000000000008</v>
      </c>
      <c r="AJ40" s="1031">
        <f t="shared" si="15"/>
        <v>0.2</v>
      </c>
      <c r="AK40" s="1029">
        <f t="shared" si="16"/>
        <v>193.40570756118683</v>
      </c>
      <c r="AL40" s="1029">
        <f t="shared" si="17"/>
        <v>193.40570756118683</v>
      </c>
      <c r="AM40" s="303">
        <f t="shared" si="18"/>
        <v>0</v>
      </c>
      <c r="AN40" s="1029">
        <f t="shared" si="19"/>
        <v>1352.8454447550398</v>
      </c>
      <c r="AO40" s="1029">
        <f t="shared" si="20"/>
        <v>59.445746507858019</v>
      </c>
      <c r="AP40" s="1202">
        <f t="shared" si="21"/>
        <v>39.630497671905346</v>
      </c>
      <c r="AR40" s="1037">
        <v>0</v>
      </c>
      <c r="AS40" s="1030">
        <v>1</v>
      </c>
      <c r="AT40" s="1030">
        <f t="shared" si="22"/>
        <v>0.05</v>
      </c>
      <c r="AU40" s="1029">
        <f t="shared" si="23"/>
        <v>0</v>
      </c>
      <c r="AV40" s="1029">
        <f t="shared" si="24"/>
        <v>0</v>
      </c>
      <c r="AW40" s="303">
        <f t="shared" si="25"/>
        <v>0</v>
      </c>
      <c r="AX40" s="1045">
        <f t="shared" si="26"/>
        <v>0</v>
      </c>
      <c r="AY40" s="1045">
        <f t="shared" si="27"/>
        <v>0</v>
      </c>
      <c r="AZ40" s="1202">
        <f t="shared" si="28"/>
        <v>0</v>
      </c>
      <c r="BB40" s="317">
        <f t="shared" si="29"/>
        <v>68.097645478220329</v>
      </c>
      <c r="BC40" s="318">
        <f t="shared" si="30"/>
        <v>39.630497671905346</v>
      </c>
      <c r="BD40" s="1214">
        <f t="shared" si="31"/>
        <v>0</v>
      </c>
      <c r="BE40" s="318">
        <f t="shared" si="32"/>
        <v>107.72814315012567</v>
      </c>
      <c r="BF40" s="104">
        <v>0</v>
      </c>
      <c r="BG40" s="319">
        <f t="shared" si="33"/>
        <v>107.72814315012567</v>
      </c>
      <c r="BI40" s="317">
        <f t="shared" si="34"/>
        <v>68.097645478220329</v>
      </c>
      <c r="BJ40" s="318">
        <f t="shared" si="35"/>
        <v>39.630497671905346</v>
      </c>
      <c r="BK40" s="1214">
        <f t="shared" si="36"/>
        <v>0</v>
      </c>
      <c r="BL40" s="318">
        <f t="shared" si="37"/>
        <v>107.72814315012567</v>
      </c>
      <c r="BM40" s="104">
        <v>0</v>
      </c>
      <c r="BN40" s="319">
        <f t="shared" si="38"/>
        <v>107.72814315012567</v>
      </c>
    </row>
    <row r="41" spans="1:66">
      <c r="A41" s="127">
        <f>'Input data'!A72</f>
        <v>1972</v>
      </c>
      <c r="B41" s="988">
        <f>'Input data'!B72</f>
        <v>21.04466</v>
      </c>
      <c r="C41" s="988">
        <f>'Baseline data (from input)'!B28</f>
        <v>578.73</v>
      </c>
      <c r="D41" s="899">
        <f>'Baseline data (from input)'!T28</f>
        <v>0.8</v>
      </c>
      <c r="E41" s="899">
        <f t="shared" si="41"/>
        <v>0.19892488097366726</v>
      </c>
      <c r="F41" s="899">
        <f t="shared" si="41"/>
        <v>0.26585903447659598</v>
      </c>
      <c r="G41" s="899">
        <f t="shared" si="41"/>
        <v>8.9228108703258049E-2</v>
      </c>
      <c r="H41" s="899">
        <f t="shared" si="41"/>
        <v>0</v>
      </c>
      <c r="I41" s="899">
        <f t="shared" si="41"/>
        <v>0</v>
      </c>
      <c r="J41" s="899">
        <f t="shared" si="41"/>
        <v>0</v>
      </c>
      <c r="K41" s="899">
        <f t="shared" si="41"/>
        <v>0.4459879758464787</v>
      </c>
      <c r="L41" s="996">
        <f t="shared" si="40"/>
        <v>1</v>
      </c>
      <c r="N41" s="317">
        <f t="shared" si="1"/>
        <v>9743.3408654400009</v>
      </c>
      <c r="O41" s="1031">
        <f>Parameters!R143</f>
        <v>0.73</v>
      </c>
      <c r="P41" s="1031">
        <f>E41*'MSW characteristics'!$B$28+'MSW characteristics'!$B$29*'4A SWD Case 3'!F41+'4A SWD Case 3'!G41*'MSW characteristics'!$B$30+'MSW characteristics'!$B$31*'4A SWD Case 3'!H41+'4A SWD Case 3'!I41*'MSW characteristics'!$B$32+'MSW characteristics'!$B$33*'4A SWD Case 3'!J41+'4A SWD Case 3'!K41*'MSW characteristics'!$B$35</f>
        <v>0.11870178252267252</v>
      </c>
      <c r="Q41" s="1029">
        <f t="shared" si="2"/>
        <v>422.14145388561025</v>
      </c>
      <c r="R41" s="1029">
        <f t="shared" si="3"/>
        <v>422.14145388561025</v>
      </c>
      <c r="S41" s="303">
        <f t="shared" si="4"/>
        <v>0</v>
      </c>
      <c r="T41" s="1029">
        <f t="shared" si="5"/>
        <v>2709.7132338289084</v>
      </c>
      <c r="U41" s="1029">
        <f t="shared" si="6"/>
        <v>117.28631319654568</v>
      </c>
      <c r="V41" s="1202">
        <f t="shared" si="7"/>
        <v>78.190875464363785</v>
      </c>
      <c r="X41" s="317">
        <f>'Baseline data (from input)'!AS28*'4A SWD Case 3'!$D$12</f>
        <v>2749.7358293012139</v>
      </c>
      <c r="Y41" s="1031">
        <f>Parameters!S143</f>
        <v>0.71500000000000008</v>
      </c>
      <c r="Z41" s="1031">
        <f t="shared" si="8"/>
        <v>0.2</v>
      </c>
      <c r="AA41" s="1029">
        <f t="shared" si="9"/>
        <v>196.60611179503681</v>
      </c>
      <c r="AB41" s="1029">
        <f t="shared" si="10"/>
        <v>196.60611179503681</v>
      </c>
      <c r="AC41" s="303">
        <f t="shared" si="11"/>
        <v>0</v>
      </c>
      <c r="AD41" s="1029">
        <f t="shared" si="12"/>
        <v>1483.472505647786</v>
      </c>
      <c r="AE41" s="1029">
        <f t="shared" si="13"/>
        <v>65.979050902290794</v>
      </c>
      <c r="AF41" s="1202">
        <f t="shared" si="14"/>
        <v>43.986033934860529</v>
      </c>
      <c r="AH41" s="317">
        <f>'Baseline data (from input)'!AS28*'4A SWD Case 3'!$D$12</f>
        <v>2749.7358293012139</v>
      </c>
      <c r="AI41" s="1031">
        <f>Parameters!S143</f>
        <v>0.71500000000000008</v>
      </c>
      <c r="AJ41" s="1031">
        <f t="shared" si="15"/>
        <v>0.2</v>
      </c>
      <c r="AK41" s="1029">
        <f t="shared" si="16"/>
        <v>196.60611179503681</v>
      </c>
      <c r="AL41" s="1029">
        <f t="shared" si="17"/>
        <v>196.60611179503681</v>
      </c>
      <c r="AM41" s="303">
        <f t="shared" si="18"/>
        <v>0</v>
      </c>
      <c r="AN41" s="1029">
        <f t="shared" si="19"/>
        <v>1483.472505647786</v>
      </c>
      <c r="AO41" s="1029">
        <f t="shared" si="20"/>
        <v>65.979050902290794</v>
      </c>
      <c r="AP41" s="1202">
        <f t="shared" si="21"/>
        <v>43.986033934860529</v>
      </c>
      <c r="AR41" s="1037">
        <v>0</v>
      </c>
      <c r="AS41" s="1030">
        <v>1</v>
      </c>
      <c r="AT41" s="1030">
        <f t="shared" si="22"/>
        <v>0.05</v>
      </c>
      <c r="AU41" s="1029">
        <f t="shared" si="23"/>
        <v>0</v>
      </c>
      <c r="AV41" s="1029">
        <f t="shared" si="24"/>
        <v>0</v>
      </c>
      <c r="AW41" s="303">
        <f t="shared" si="25"/>
        <v>0</v>
      </c>
      <c r="AX41" s="1045">
        <f t="shared" si="26"/>
        <v>0</v>
      </c>
      <c r="AY41" s="1045">
        <f t="shared" si="27"/>
        <v>0</v>
      </c>
      <c r="AZ41" s="1202">
        <f t="shared" si="28"/>
        <v>0</v>
      </c>
      <c r="BB41" s="317">
        <f t="shared" si="29"/>
        <v>78.190875464363785</v>
      </c>
      <c r="BC41" s="318">
        <f t="shared" si="30"/>
        <v>43.986033934860529</v>
      </c>
      <c r="BD41" s="1214">
        <f t="shared" si="31"/>
        <v>0</v>
      </c>
      <c r="BE41" s="318">
        <f t="shared" si="32"/>
        <v>122.17690939922431</v>
      </c>
      <c r="BF41" s="104">
        <v>0</v>
      </c>
      <c r="BG41" s="319">
        <f t="shared" si="33"/>
        <v>122.17690939922431</v>
      </c>
      <c r="BI41" s="317">
        <f t="shared" si="34"/>
        <v>78.190875464363785</v>
      </c>
      <c r="BJ41" s="318">
        <f t="shared" si="35"/>
        <v>43.986033934860529</v>
      </c>
      <c r="BK41" s="1214">
        <f t="shared" si="36"/>
        <v>0</v>
      </c>
      <c r="BL41" s="318">
        <f t="shared" si="37"/>
        <v>122.17690939922431</v>
      </c>
      <c r="BM41" s="104">
        <v>0</v>
      </c>
      <c r="BN41" s="319">
        <f t="shared" si="38"/>
        <v>122.17690939922431</v>
      </c>
    </row>
    <row r="42" spans="1:66">
      <c r="A42" s="127">
        <f>'Input data'!A73</f>
        <v>1973</v>
      </c>
      <c r="B42" s="988">
        <f>'Input data'!B73</f>
        <v>21.526959999999999</v>
      </c>
      <c r="C42" s="988">
        <f>'Baseline data (from input)'!B29</f>
        <v>578.73</v>
      </c>
      <c r="D42" s="899">
        <f>'Baseline data (from input)'!T29</f>
        <v>0.8</v>
      </c>
      <c r="E42" s="899">
        <f t="shared" si="41"/>
        <v>0.19892488097366726</v>
      </c>
      <c r="F42" s="899">
        <f t="shared" si="41"/>
        <v>0.26585903447659598</v>
      </c>
      <c r="G42" s="899">
        <f t="shared" si="41"/>
        <v>8.9228108703258049E-2</v>
      </c>
      <c r="H42" s="899">
        <f t="shared" si="41"/>
        <v>0</v>
      </c>
      <c r="I42" s="899">
        <f t="shared" si="41"/>
        <v>0</v>
      </c>
      <c r="J42" s="899">
        <f t="shared" si="41"/>
        <v>0</v>
      </c>
      <c r="K42" s="899">
        <f t="shared" si="41"/>
        <v>0.4459879758464787</v>
      </c>
      <c r="L42" s="996">
        <f t="shared" si="40"/>
        <v>1</v>
      </c>
      <c r="N42" s="317">
        <f t="shared" si="1"/>
        <v>9966.6380486400012</v>
      </c>
      <c r="O42" s="1031">
        <f>Parameters!R144</f>
        <v>0.73</v>
      </c>
      <c r="P42" s="1031">
        <f>E42*'MSW characteristics'!$B$28+'MSW characteristics'!$B$29*'4A SWD Case 3'!F42+'4A SWD Case 3'!G42*'MSW characteristics'!$B$30+'MSW characteristics'!$B$31*'4A SWD Case 3'!H42+'4A SWD Case 3'!I42*'MSW characteristics'!$B$32+'MSW characteristics'!$B$33*'4A SWD Case 3'!J42+'4A SWD Case 3'!K42*'MSW characteristics'!$B$35</f>
        <v>0.11870178252267252</v>
      </c>
      <c r="Q42" s="1029">
        <f t="shared" si="2"/>
        <v>431.81606127812836</v>
      </c>
      <c r="R42" s="1029">
        <f t="shared" si="3"/>
        <v>431.81606127812836</v>
      </c>
      <c r="S42" s="303">
        <f t="shared" si="4"/>
        <v>0</v>
      </c>
      <c r="T42" s="1029">
        <f t="shared" si="5"/>
        <v>3009.3750212551699</v>
      </c>
      <c r="U42" s="1029">
        <f t="shared" si="6"/>
        <v>132.15427385186715</v>
      </c>
      <c r="V42" s="1202">
        <f t="shared" si="7"/>
        <v>88.102849234578102</v>
      </c>
      <c r="X42" s="317">
        <f>'Baseline data (from input)'!AS29*'4A SWD Case 3'!$D$12</f>
        <v>2875.4536912251474</v>
      </c>
      <c r="Y42" s="1031">
        <f>Parameters!S144</f>
        <v>0.71500000000000008</v>
      </c>
      <c r="Z42" s="1031">
        <f t="shared" si="8"/>
        <v>0.2</v>
      </c>
      <c r="AA42" s="1029">
        <f t="shared" si="9"/>
        <v>205.59493892259806</v>
      </c>
      <c r="AB42" s="1029">
        <f t="shared" si="10"/>
        <v>205.59493892259806</v>
      </c>
      <c r="AC42" s="303">
        <f t="shared" si="11"/>
        <v>0</v>
      </c>
      <c r="AD42" s="1029">
        <f t="shared" si="12"/>
        <v>1616.7176367325737</v>
      </c>
      <c r="AE42" s="1029">
        <f t="shared" si="13"/>
        <v>72.349807837810303</v>
      </c>
      <c r="AF42" s="1202">
        <f t="shared" si="14"/>
        <v>48.233205225206866</v>
      </c>
      <c r="AH42" s="317">
        <f>'Baseline data (from input)'!AS29*'4A SWD Case 3'!$D$12</f>
        <v>2875.4536912251474</v>
      </c>
      <c r="AI42" s="1031">
        <f>Parameters!S144</f>
        <v>0.71500000000000008</v>
      </c>
      <c r="AJ42" s="1031">
        <f t="shared" si="15"/>
        <v>0.2</v>
      </c>
      <c r="AK42" s="1029">
        <f t="shared" si="16"/>
        <v>205.59493892259806</v>
      </c>
      <c r="AL42" s="1029">
        <f t="shared" si="17"/>
        <v>205.59493892259806</v>
      </c>
      <c r="AM42" s="303">
        <f t="shared" si="18"/>
        <v>0</v>
      </c>
      <c r="AN42" s="1029">
        <f t="shared" si="19"/>
        <v>1616.7176367325737</v>
      </c>
      <c r="AO42" s="1029">
        <f t="shared" si="20"/>
        <v>72.349807837810303</v>
      </c>
      <c r="AP42" s="1202">
        <f t="shared" si="21"/>
        <v>48.233205225206866</v>
      </c>
      <c r="AR42" s="1037">
        <v>0</v>
      </c>
      <c r="AS42" s="1030">
        <v>1</v>
      </c>
      <c r="AT42" s="1030">
        <f t="shared" si="22"/>
        <v>0.05</v>
      </c>
      <c r="AU42" s="1029">
        <f t="shared" si="23"/>
        <v>0</v>
      </c>
      <c r="AV42" s="1029">
        <f t="shared" si="24"/>
        <v>0</v>
      </c>
      <c r="AW42" s="303">
        <f t="shared" si="25"/>
        <v>0</v>
      </c>
      <c r="AX42" s="1045">
        <f t="shared" si="26"/>
        <v>0</v>
      </c>
      <c r="AY42" s="1045">
        <f t="shared" si="27"/>
        <v>0</v>
      </c>
      <c r="AZ42" s="1202">
        <f t="shared" si="28"/>
        <v>0</v>
      </c>
      <c r="BB42" s="317">
        <f t="shared" si="29"/>
        <v>88.102849234578102</v>
      </c>
      <c r="BC42" s="318">
        <f t="shared" si="30"/>
        <v>48.233205225206866</v>
      </c>
      <c r="BD42" s="1214">
        <f t="shared" si="31"/>
        <v>0</v>
      </c>
      <c r="BE42" s="318">
        <f t="shared" si="32"/>
        <v>136.33605445978498</v>
      </c>
      <c r="BF42" s="104">
        <v>0</v>
      </c>
      <c r="BG42" s="319">
        <f t="shared" si="33"/>
        <v>136.33605445978498</v>
      </c>
      <c r="BI42" s="317">
        <f t="shared" si="34"/>
        <v>88.102849234578102</v>
      </c>
      <c r="BJ42" s="318">
        <f t="shared" si="35"/>
        <v>48.233205225206866</v>
      </c>
      <c r="BK42" s="1214">
        <f t="shared" si="36"/>
        <v>0</v>
      </c>
      <c r="BL42" s="318">
        <f t="shared" si="37"/>
        <v>136.33605445978498</v>
      </c>
      <c r="BM42" s="104">
        <v>0</v>
      </c>
      <c r="BN42" s="319">
        <f t="shared" si="38"/>
        <v>136.33605445978498</v>
      </c>
    </row>
    <row r="43" spans="1:66">
      <c r="A43" s="127">
        <f>'Input data'!A74</f>
        <v>1974</v>
      </c>
      <c r="B43" s="988">
        <f>'Input data'!B74</f>
        <v>22.012900000000002</v>
      </c>
      <c r="C43" s="988">
        <f>'Baseline data (from input)'!B30</f>
        <v>578.73</v>
      </c>
      <c r="D43" s="899">
        <f>'Baseline data (from input)'!T30</f>
        <v>0.8</v>
      </c>
      <c r="E43" s="899">
        <f t="shared" si="41"/>
        <v>0.19892488097366726</v>
      </c>
      <c r="F43" s="899">
        <f t="shared" si="41"/>
        <v>0.26585903447659598</v>
      </c>
      <c r="G43" s="899">
        <f t="shared" si="41"/>
        <v>8.9228108703258049E-2</v>
      </c>
      <c r="H43" s="899">
        <f t="shared" si="41"/>
        <v>0</v>
      </c>
      <c r="I43" s="899">
        <f t="shared" si="41"/>
        <v>0</v>
      </c>
      <c r="J43" s="899">
        <f t="shared" si="41"/>
        <v>0</v>
      </c>
      <c r="K43" s="899">
        <f t="shared" si="41"/>
        <v>0.4459879758464787</v>
      </c>
      <c r="L43" s="996">
        <f t="shared" si="40"/>
        <v>1</v>
      </c>
      <c r="N43" s="317">
        <f t="shared" si="1"/>
        <v>10191.620493600001</v>
      </c>
      <c r="O43" s="1031">
        <f>Parameters!R145</f>
        <v>0.73</v>
      </c>
      <c r="P43" s="1031">
        <f>E43*'MSW characteristics'!$B$28+'MSW characteristics'!$B$29*'4A SWD Case 3'!F43+'4A SWD Case 3'!G43*'MSW characteristics'!$B$30+'MSW characteristics'!$B$31*'4A SWD Case 3'!H43+'4A SWD Case 3'!I43*'MSW characteristics'!$B$32+'MSW characteristics'!$B$33*'4A SWD Case 3'!J43+'4A SWD Case 3'!K43*'MSW characteristics'!$B$35</f>
        <v>0.11870178252267252</v>
      </c>
      <c r="Q43" s="1029">
        <f t="shared" si="2"/>
        <v>441.56368457549576</v>
      </c>
      <c r="R43" s="1029">
        <f t="shared" si="3"/>
        <v>441.56368457549576</v>
      </c>
      <c r="S43" s="303">
        <f t="shared" si="4"/>
        <v>0</v>
      </c>
      <c r="T43" s="1029">
        <f t="shared" si="5"/>
        <v>3304.1697541508752</v>
      </c>
      <c r="U43" s="1029">
        <f t="shared" si="6"/>
        <v>146.76895167979063</v>
      </c>
      <c r="V43" s="1202">
        <f t="shared" si="7"/>
        <v>97.845967786527083</v>
      </c>
      <c r="X43" s="317">
        <f>'Baseline data (from input)'!AS30*'4A SWD Case 3'!$D$12</f>
        <v>3051.1742322967516</v>
      </c>
      <c r="Y43" s="1031">
        <f>Parameters!S145</f>
        <v>0.71500000000000008</v>
      </c>
      <c r="Z43" s="1031">
        <f t="shared" si="8"/>
        <v>0.2</v>
      </c>
      <c r="AA43" s="1029">
        <f t="shared" si="9"/>
        <v>218.15895760921779</v>
      </c>
      <c r="AB43" s="1029">
        <f t="shared" si="10"/>
        <v>218.15895760921779</v>
      </c>
      <c r="AC43" s="303">
        <f t="shared" si="11"/>
        <v>0</v>
      </c>
      <c r="AD43" s="1029">
        <f t="shared" si="12"/>
        <v>1756.0283447784984</v>
      </c>
      <c r="AE43" s="1029">
        <f t="shared" si="13"/>
        <v>78.848249563293194</v>
      </c>
      <c r="AF43" s="1202">
        <f t="shared" si="14"/>
        <v>52.565499708862127</v>
      </c>
      <c r="AH43" s="317">
        <f>'Baseline data (from input)'!AS30*'4A SWD Case 3'!$D$12</f>
        <v>3051.1742322967516</v>
      </c>
      <c r="AI43" s="1031">
        <f>Parameters!S145</f>
        <v>0.71500000000000008</v>
      </c>
      <c r="AJ43" s="1031">
        <f t="shared" si="15"/>
        <v>0.2</v>
      </c>
      <c r="AK43" s="1029">
        <f t="shared" si="16"/>
        <v>218.15895760921779</v>
      </c>
      <c r="AL43" s="1029">
        <f t="shared" si="17"/>
        <v>218.15895760921779</v>
      </c>
      <c r="AM43" s="303">
        <f t="shared" si="18"/>
        <v>0</v>
      </c>
      <c r="AN43" s="1029">
        <f t="shared" si="19"/>
        <v>1756.0283447784984</v>
      </c>
      <c r="AO43" s="1029">
        <f t="shared" si="20"/>
        <v>78.848249563293194</v>
      </c>
      <c r="AP43" s="1202">
        <f t="shared" si="21"/>
        <v>52.565499708862127</v>
      </c>
      <c r="AR43" s="1037">
        <v>0</v>
      </c>
      <c r="AS43" s="1030">
        <v>1</v>
      </c>
      <c r="AT43" s="1030">
        <f t="shared" si="22"/>
        <v>0.05</v>
      </c>
      <c r="AU43" s="1029">
        <f t="shared" si="23"/>
        <v>0</v>
      </c>
      <c r="AV43" s="1029">
        <f t="shared" si="24"/>
        <v>0</v>
      </c>
      <c r="AW43" s="303">
        <f t="shared" si="25"/>
        <v>0</v>
      </c>
      <c r="AX43" s="1045">
        <f t="shared" si="26"/>
        <v>0</v>
      </c>
      <c r="AY43" s="1045">
        <f t="shared" si="27"/>
        <v>0</v>
      </c>
      <c r="AZ43" s="1202">
        <f t="shared" si="28"/>
        <v>0</v>
      </c>
      <c r="BB43" s="317">
        <f t="shared" si="29"/>
        <v>97.845967786527083</v>
      </c>
      <c r="BC43" s="318">
        <f t="shared" si="30"/>
        <v>52.565499708862127</v>
      </c>
      <c r="BD43" s="1214">
        <f t="shared" si="31"/>
        <v>0</v>
      </c>
      <c r="BE43" s="318">
        <f t="shared" si="32"/>
        <v>150.41146749538922</v>
      </c>
      <c r="BF43" s="104">
        <v>0</v>
      </c>
      <c r="BG43" s="319">
        <f t="shared" si="33"/>
        <v>150.41146749538922</v>
      </c>
      <c r="BI43" s="317">
        <f t="shared" si="34"/>
        <v>97.845967786527083</v>
      </c>
      <c r="BJ43" s="318">
        <f t="shared" si="35"/>
        <v>52.565499708862127</v>
      </c>
      <c r="BK43" s="1214">
        <f t="shared" si="36"/>
        <v>0</v>
      </c>
      <c r="BL43" s="318">
        <f t="shared" si="37"/>
        <v>150.41146749538922</v>
      </c>
      <c r="BM43" s="104">
        <v>0</v>
      </c>
      <c r="BN43" s="319">
        <f t="shared" si="38"/>
        <v>150.41146749538922</v>
      </c>
    </row>
    <row r="44" spans="1:66">
      <c r="A44" s="127">
        <f>'Input data'!A75</f>
        <v>1975</v>
      </c>
      <c r="B44" s="988">
        <f>'Input data'!B75</f>
        <v>22.502480000000002</v>
      </c>
      <c r="C44" s="988">
        <f>'Baseline data (from input)'!B31</f>
        <v>578.73</v>
      </c>
      <c r="D44" s="899">
        <f>'Baseline data (from input)'!T31</f>
        <v>0.8</v>
      </c>
      <c r="E44" s="899">
        <f t="shared" si="41"/>
        <v>0.19892488097366726</v>
      </c>
      <c r="F44" s="899">
        <f t="shared" si="41"/>
        <v>0.26585903447659598</v>
      </c>
      <c r="G44" s="899">
        <f t="shared" si="41"/>
        <v>8.9228108703258049E-2</v>
      </c>
      <c r="H44" s="899">
        <f t="shared" si="41"/>
        <v>0</v>
      </c>
      <c r="I44" s="899">
        <f t="shared" si="41"/>
        <v>0</v>
      </c>
      <c r="J44" s="899">
        <f t="shared" si="41"/>
        <v>0</v>
      </c>
      <c r="K44" s="899">
        <f t="shared" si="41"/>
        <v>0.4459879758464787</v>
      </c>
      <c r="L44" s="996">
        <f t="shared" si="40"/>
        <v>1</v>
      </c>
      <c r="N44" s="317">
        <f t="shared" si="1"/>
        <v>10418.288200320001</v>
      </c>
      <c r="O44" s="1031">
        <f>Parameters!R146</f>
        <v>0.73</v>
      </c>
      <c r="P44" s="1031">
        <f>E44*'MSW characteristics'!$B$28+'MSW characteristics'!$B$29*'4A SWD Case 3'!F44+'4A SWD Case 3'!G44*'MSW characteristics'!$B$30+'MSW characteristics'!$B$31*'4A SWD Case 3'!H44+'4A SWD Case 3'!I44*'MSW characteristics'!$B$32+'MSW characteristics'!$B$33*'4A SWD Case 3'!J44+'4A SWD Case 3'!K44*'MSW characteristics'!$B$35</f>
        <v>0.11870178252267252</v>
      </c>
      <c r="Q44" s="1029">
        <f t="shared" si="2"/>
        <v>451.38432377771215</v>
      </c>
      <c r="R44" s="1029">
        <f t="shared" si="3"/>
        <v>451.38432377771215</v>
      </c>
      <c r="S44" s="303">
        <f t="shared" si="4"/>
        <v>0</v>
      </c>
      <c r="T44" s="1029">
        <f t="shared" si="5"/>
        <v>3594.407817471315</v>
      </c>
      <c r="U44" s="1029">
        <f t="shared" si="6"/>
        <v>161.14626045727246</v>
      </c>
      <c r="V44" s="1202">
        <f t="shared" si="7"/>
        <v>107.4308403048483</v>
      </c>
      <c r="X44" s="317">
        <f>'Baseline data (from input)'!AS31*'4A SWD Case 3'!$D$12</f>
        <v>3102.9053101953209</v>
      </c>
      <c r="Y44" s="1031">
        <f>Parameters!S146</f>
        <v>0.71500000000000008</v>
      </c>
      <c r="Z44" s="1031">
        <f t="shared" si="8"/>
        <v>0.2</v>
      </c>
      <c r="AA44" s="1029">
        <f t="shared" si="9"/>
        <v>221.85772967896548</v>
      </c>
      <c r="AB44" s="1029">
        <f t="shared" si="10"/>
        <v>221.85772967896548</v>
      </c>
      <c r="AC44" s="303">
        <f t="shared" si="11"/>
        <v>0</v>
      </c>
      <c r="AD44" s="1029">
        <f t="shared" si="12"/>
        <v>1892.243561489558</v>
      </c>
      <c r="AE44" s="1029">
        <f t="shared" si="13"/>
        <v>85.642512967905958</v>
      </c>
      <c r="AF44" s="1202">
        <f t="shared" si="14"/>
        <v>57.095008645270639</v>
      </c>
      <c r="AH44" s="317">
        <f>'Baseline data (from input)'!AS31*'4A SWD Case 3'!$D$12</f>
        <v>3102.9053101953209</v>
      </c>
      <c r="AI44" s="1031">
        <f>Parameters!S146</f>
        <v>0.71500000000000008</v>
      </c>
      <c r="AJ44" s="1031">
        <f t="shared" si="15"/>
        <v>0.2</v>
      </c>
      <c r="AK44" s="1029">
        <f t="shared" si="16"/>
        <v>221.85772967896548</v>
      </c>
      <c r="AL44" s="1029">
        <f t="shared" si="17"/>
        <v>221.85772967896548</v>
      </c>
      <c r="AM44" s="303">
        <f t="shared" si="18"/>
        <v>0</v>
      </c>
      <c r="AN44" s="1029">
        <f t="shared" si="19"/>
        <v>1892.243561489558</v>
      </c>
      <c r="AO44" s="1029">
        <f t="shared" si="20"/>
        <v>85.642512967905958</v>
      </c>
      <c r="AP44" s="1202">
        <f t="shared" si="21"/>
        <v>57.095008645270639</v>
      </c>
      <c r="AR44" s="1037">
        <v>0</v>
      </c>
      <c r="AS44" s="1030">
        <v>1</v>
      </c>
      <c r="AT44" s="1030">
        <f t="shared" si="22"/>
        <v>0.05</v>
      </c>
      <c r="AU44" s="1029">
        <f t="shared" si="23"/>
        <v>0</v>
      </c>
      <c r="AV44" s="1029">
        <f t="shared" si="24"/>
        <v>0</v>
      </c>
      <c r="AW44" s="303">
        <f t="shared" si="25"/>
        <v>0</v>
      </c>
      <c r="AX44" s="1045">
        <f t="shared" si="26"/>
        <v>0</v>
      </c>
      <c r="AY44" s="1045">
        <f t="shared" si="27"/>
        <v>0</v>
      </c>
      <c r="AZ44" s="1202">
        <f t="shared" si="28"/>
        <v>0</v>
      </c>
      <c r="BB44" s="317">
        <f t="shared" si="29"/>
        <v>107.4308403048483</v>
      </c>
      <c r="BC44" s="318">
        <f t="shared" si="30"/>
        <v>57.095008645270639</v>
      </c>
      <c r="BD44" s="1214">
        <f t="shared" si="31"/>
        <v>0</v>
      </c>
      <c r="BE44" s="318">
        <f t="shared" si="32"/>
        <v>164.52584895011893</v>
      </c>
      <c r="BF44" s="104">
        <v>0</v>
      </c>
      <c r="BG44" s="319">
        <f t="shared" si="33"/>
        <v>164.52584895011893</v>
      </c>
      <c r="BI44" s="317">
        <f t="shared" si="34"/>
        <v>107.4308403048483</v>
      </c>
      <c r="BJ44" s="318">
        <f t="shared" si="35"/>
        <v>57.095008645270639</v>
      </c>
      <c r="BK44" s="1214">
        <f t="shared" si="36"/>
        <v>0</v>
      </c>
      <c r="BL44" s="318">
        <f t="shared" si="37"/>
        <v>164.52584895011893</v>
      </c>
      <c r="BM44" s="104">
        <v>0</v>
      </c>
      <c r="BN44" s="319">
        <f t="shared" si="38"/>
        <v>164.52584895011893</v>
      </c>
    </row>
    <row r="45" spans="1:66">
      <c r="A45" s="127">
        <f>'Input data'!A76</f>
        <v>1976</v>
      </c>
      <c r="B45" s="988">
        <f>'Input data'!B76</f>
        <v>22.993880000000001</v>
      </c>
      <c r="C45" s="988">
        <f>'Baseline data (from input)'!B32</f>
        <v>578.73</v>
      </c>
      <c r="D45" s="899">
        <f>'Baseline data (from input)'!T32</f>
        <v>0.8</v>
      </c>
      <c r="E45" s="899">
        <f t="shared" si="41"/>
        <v>0.19892488097366726</v>
      </c>
      <c r="F45" s="899">
        <f t="shared" si="41"/>
        <v>0.26585903447659598</v>
      </c>
      <c r="G45" s="899">
        <f t="shared" si="41"/>
        <v>8.9228108703258049E-2</v>
      </c>
      <c r="H45" s="899">
        <f t="shared" si="41"/>
        <v>0</v>
      </c>
      <c r="I45" s="899">
        <f t="shared" si="41"/>
        <v>0</v>
      </c>
      <c r="J45" s="899">
        <f t="shared" si="41"/>
        <v>0</v>
      </c>
      <c r="K45" s="899">
        <f t="shared" si="41"/>
        <v>0.4459879758464787</v>
      </c>
      <c r="L45" s="996">
        <f t="shared" si="40"/>
        <v>1</v>
      </c>
      <c r="N45" s="317">
        <f t="shared" si="1"/>
        <v>10645.798537920002</v>
      </c>
      <c r="O45" s="1031">
        <f>Parameters!R147</f>
        <v>0.73</v>
      </c>
      <c r="P45" s="1031">
        <f>E45*'MSW characteristics'!$B$28+'MSW characteristics'!$B$29*'4A SWD Case 3'!F45+'4A SWD Case 3'!G45*'MSW characteristics'!$B$30+'MSW characteristics'!$B$31*'4A SWD Case 3'!H45+'4A SWD Case 3'!I45*'MSW characteristics'!$B$32+'MSW characteristics'!$B$33*'4A SWD Case 3'!J45+'4A SWD Case 3'!K45*'MSW characteristics'!$B$35</f>
        <v>0.11870178252267252</v>
      </c>
      <c r="Q45" s="1029">
        <f t="shared" si="2"/>
        <v>461.24147093235331</v>
      </c>
      <c r="R45" s="1029">
        <f t="shared" si="3"/>
        <v>461.24147093235331</v>
      </c>
      <c r="S45" s="303">
        <f t="shared" si="4"/>
        <v>0</v>
      </c>
      <c r="T45" s="1029">
        <f t="shared" si="5"/>
        <v>3880.34795056646</v>
      </c>
      <c r="U45" s="1029">
        <f t="shared" si="6"/>
        <v>175.30133783720851</v>
      </c>
      <c r="V45" s="1202">
        <f t="shared" si="7"/>
        <v>116.86755855813901</v>
      </c>
      <c r="X45" s="317">
        <f>'Baseline data (from input)'!AS32*'4A SWD Case 3'!$D$12</f>
        <v>3172.7177025611873</v>
      </c>
      <c r="Y45" s="1031">
        <f>Parameters!S147</f>
        <v>0.71500000000000008</v>
      </c>
      <c r="Z45" s="1031">
        <f t="shared" si="8"/>
        <v>0.2</v>
      </c>
      <c r="AA45" s="1029">
        <f t="shared" si="9"/>
        <v>226.84931573312494</v>
      </c>
      <c r="AB45" s="1029">
        <f t="shared" si="10"/>
        <v>226.84931573312494</v>
      </c>
      <c r="AC45" s="303">
        <f t="shared" si="11"/>
        <v>0</v>
      </c>
      <c r="AD45" s="1029">
        <f t="shared" si="12"/>
        <v>2026.8070697440187</v>
      </c>
      <c r="AE45" s="1029">
        <f t="shared" si="13"/>
        <v>92.285807478664296</v>
      </c>
      <c r="AF45" s="1202">
        <f t="shared" si="14"/>
        <v>61.523871652442864</v>
      </c>
      <c r="AH45" s="317">
        <f>'Baseline data (from input)'!AS32*'4A SWD Case 3'!$D$12</f>
        <v>3172.7177025611873</v>
      </c>
      <c r="AI45" s="1031">
        <f>Parameters!S147</f>
        <v>0.71500000000000008</v>
      </c>
      <c r="AJ45" s="1031">
        <f t="shared" si="15"/>
        <v>0.2</v>
      </c>
      <c r="AK45" s="1029">
        <f t="shared" si="16"/>
        <v>226.84931573312494</v>
      </c>
      <c r="AL45" s="1029">
        <f t="shared" si="17"/>
        <v>226.84931573312494</v>
      </c>
      <c r="AM45" s="303">
        <f t="shared" si="18"/>
        <v>0</v>
      </c>
      <c r="AN45" s="1029">
        <f t="shared" si="19"/>
        <v>2026.8070697440187</v>
      </c>
      <c r="AO45" s="1029">
        <f t="shared" si="20"/>
        <v>92.285807478664296</v>
      </c>
      <c r="AP45" s="1202">
        <f t="shared" si="21"/>
        <v>61.523871652442864</v>
      </c>
      <c r="AR45" s="1037">
        <v>0</v>
      </c>
      <c r="AS45" s="1030">
        <v>1</v>
      </c>
      <c r="AT45" s="1030">
        <f t="shared" si="22"/>
        <v>0.05</v>
      </c>
      <c r="AU45" s="1029">
        <f t="shared" si="23"/>
        <v>0</v>
      </c>
      <c r="AV45" s="1029">
        <f t="shared" si="24"/>
        <v>0</v>
      </c>
      <c r="AW45" s="303">
        <f t="shared" si="25"/>
        <v>0</v>
      </c>
      <c r="AX45" s="1045">
        <f t="shared" si="26"/>
        <v>0</v>
      </c>
      <c r="AY45" s="1045">
        <f t="shared" si="27"/>
        <v>0</v>
      </c>
      <c r="AZ45" s="1202">
        <f t="shared" si="28"/>
        <v>0</v>
      </c>
      <c r="BB45" s="317">
        <f t="shared" si="29"/>
        <v>116.86755855813901</v>
      </c>
      <c r="BC45" s="318">
        <f t="shared" si="30"/>
        <v>61.523871652442864</v>
      </c>
      <c r="BD45" s="1214">
        <f t="shared" si="31"/>
        <v>0</v>
      </c>
      <c r="BE45" s="318">
        <f t="shared" si="32"/>
        <v>178.39143021058186</v>
      </c>
      <c r="BF45" s="104">
        <v>0</v>
      </c>
      <c r="BG45" s="319">
        <f t="shared" si="33"/>
        <v>178.39143021058186</v>
      </c>
      <c r="BI45" s="317">
        <f t="shared" si="34"/>
        <v>116.86755855813901</v>
      </c>
      <c r="BJ45" s="318">
        <f t="shared" si="35"/>
        <v>61.523871652442864</v>
      </c>
      <c r="BK45" s="1214">
        <f t="shared" si="36"/>
        <v>0</v>
      </c>
      <c r="BL45" s="318">
        <f t="shared" si="37"/>
        <v>178.39143021058186</v>
      </c>
      <c r="BM45" s="104">
        <v>0</v>
      </c>
      <c r="BN45" s="319">
        <f t="shared" si="38"/>
        <v>178.39143021058186</v>
      </c>
    </row>
    <row r="46" spans="1:66">
      <c r="A46" s="127">
        <f>'Input data'!A77</f>
        <v>1977</v>
      </c>
      <c r="B46" s="988">
        <f>'Input data'!B77</f>
        <v>23.483460000000001</v>
      </c>
      <c r="C46" s="988">
        <f>'Baseline data (from input)'!B33</f>
        <v>578.73</v>
      </c>
      <c r="D46" s="899">
        <f>'Baseline data (from input)'!T33</f>
        <v>0.8</v>
      </c>
      <c r="E46" s="899">
        <f t="shared" si="41"/>
        <v>0.19892488097366726</v>
      </c>
      <c r="F46" s="899">
        <f t="shared" si="41"/>
        <v>0.26585903447659598</v>
      </c>
      <c r="G46" s="899">
        <f t="shared" si="41"/>
        <v>8.9228108703258049E-2</v>
      </c>
      <c r="H46" s="899">
        <f t="shared" si="41"/>
        <v>0</v>
      </c>
      <c r="I46" s="899">
        <f t="shared" si="41"/>
        <v>0</v>
      </c>
      <c r="J46" s="899">
        <f t="shared" si="41"/>
        <v>0</v>
      </c>
      <c r="K46" s="899">
        <f t="shared" si="41"/>
        <v>0.4459879758464787</v>
      </c>
      <c r="L46" s="996">
        <f t="shared" si="40"/>
        <v>1</v>
      </c>
      <c r="N46" s="317">
        <f t="shared" si="1"/>
        <v>10872.466244640002</v>
      </c>
      <c r="O46" s="1031">
        <f>Parameters!R148</f>
        <v>0.73</v>
      </c>
      <c r="P46" s="1031">
        <f>E46*'MSW characteristics'!$B$28+'MSW characteristics'!$B$29*'4A SWD Case 3'!F46+'4A SWD Case 3'!G46*'MSW characteristics'!$B$30+'MSW characteristics'!$B$31*'4A SWD Case 3'!H46+'4A SWD Case 3'!I46*'MSW characteristics'!$B$32+'MSW characteristics'!$B$33*'4A SWD Case 3'!J46+'4A SWD Case 3'!K46*'MSW characteristics'!$B$35</f>
        <v>0.11870178252267252</v>
      </c>
      <c r="Q46" s="1029">
        <f t="shared" si="2"/>
        <v>471.06211013456971</v>
      </c>
      <c r="R46" s="1029">
        <f t="shared" si="3"/>
        <v>471.06211013456971</v>
      </c>
      <c r="S46" s="303">
        <f t="shared" si="4"/>
        <v>0</v>
      </c>
      <c r="T46" s="1029">
        <f t="shared" si="5"/>
        <v>4162.1632580144287</v>
      </c>
      <c r="U46" s="1029">
        <f t="shared" si="6"/>
        <v>189.24680268660117</v>
      </c>
      <c r="V46" s="1202">
        <f t="shared" si="7"/>
        <v>126.16453512440079</v>
      </c>
      <c r="X46" s="317">
        <f>'Baseline data (from input)'!AS33*'4A SWD Case 3'!$D$12</f>
        <v>3169.7341570729163</v>
      </c>
      <c r="Y46" s="1031">
        <f>Parameters!S148</f>
        <v>0.71500000000000008</v>
      </c>
      <c r="Z46" s="1031">
        <f t="shared" si="8"/>
        <v>0.2</v>
      </c>
      <c r="AA46" s="1029">
        <f t="shared" si="9"/>
        <v>226.63599223071358</v>
      </c>
      <c r="AB46" s="1029">
        <f t="shared" si="10"/>
        <v>226.63599223071358</v>
      </c>
      <c r="AC46" s="303">
        <f t="shared" si="11"/>
        <v>0</v>
      </c>
      <c r="AD46" s="1029">
        <f t="shared" si="12"/>
        <v>2154.5945147572952</v>
      </c>
      <c r="AE46" s="1029">
        <f t="shared" si="13"/>
        <v>98.848547217437257</v>
      </c>
      <c r="AF46" s="1202">
        <f t="shared" si="14"/>
        <v>65.899031478291505</v>
      </c>
      <c r="AH46" s="317">
        <f>'Baseline data (from input)'!AS33*'4A SWD Case 3'!$D$12</f>
        <v>3169.7341570729163</v>
      </c>
      <c r="AI46" s="1031">
        <f>Parameters!S148</f>
        <v>0.71500000000000008</v>
      </c>
      <c r="AJ46" s="1031">
        <f t="shared" si="15"/>
        <v>0.2</v>
      </c>
      <c r="AK46" s="1029">
        <f t="shared" si="16"/>
        <v>226.63599223071358</v>
      </c>
      <c r="AL46" s="1029">
        <f t="shared" si="17"/>
        <v>226.63599223071358</v>
      </c>
      <c r="AM46" s="303">
        <f t="shared" si="18"/>
        <v>0</v>
      </c>
      <c r="AN46" s="1029">
        <f t="shared" si="19"/>
        <v>2154.5945147572952</v>
      </c>
      <c r="AO46" s="1029">
        <f t="shared" si="20"/>
        <v>98.848547217437257</v>
      </c>
      <c r="AP46" s="1202">
        <f t="shared" si="21"/>
        <v>65.899031478291505</v>
      </c>
      <c r="AR46" s="1037">
        <v>0</v>
      </c>
      <c r="AS46" s="1030">
        <v>1</v>
      </c>
      <c r="AT46" s="1030">
        <f t="shared" si="22"/>
        <v>0.05</v>
      </c>
      <c r="AU46" s="1029">
        <f t="shared" si="23"/>
        <v>0</v>
      </c>
      <c r="AV46" s="1029">
        <f t="shared" si="24"/>
        <v>0</v>
      </c>
      <c r="AW46" s="303">
        <f t="shared" si="25"/>
        <v>0</v>
      </c>
      <c r="AX46" s="1045">
        <f t="shared" si="26"/>
        <v>0</v>
      </c>
      <c r="AY46" s="1045">
        <f t="shared" si="27"/>
        <v>0</v>
      </c>
      <c r="AZ46" s="1202">
        <f t="shared" si="28"/>
        <v>0</v>
      </c>
      <c r="BB46" s="317">
        <f t="shared" si="29"/>
        <v>126.16453512440079</v>
      </c>
      <c r="BC46" s="318">
        <f t="shared" si="30"/>
        <v>65.899031478291505</v>
      </c>
      <c r="BD46" s="1214">
        <f t="shared" si="31"/>
        <v>0</v>
      </c>
      <c r="BE46" s="318">
        <f t="shared" si="32"/>
        <v>192.06356660269228</v>
      </c>
      <c r="BF46" s="104">
        <v>0</v>
      </c>
      <c r="BG46" s="319">
        <f t="shared" si="33"/>
        <v>192.06356660269228</v>
      </c>
      <c r="BI46" s="317">
        <f t="shared" si="34"/>
        <v>126.16453512440079</v>
      </c>
      <c r="BJ46" s="318">
        <f t="shared" si="35"/>
        <v>65.899031478291505</v>
      </c>
      <c r="BK46" s="1214">
        <f t="shared" si="36"/>
        <v>0</v>
      </c>
      <c r="BL46" s="318">
        <f t="shared" si="37"/>
        <v>192.06356660269228</v>
      </c>
      <c r="BM46" s="104">
        <v>0</v>
      </c>
      <c r="BN46" s="319">
        <f t="shared" si="38"/>
        <v>192.06356660269228</v>
      </c>
    </row>
    <row r="47" spans="1:66">
      <c r="A47" s="127">
        <f>'Input data'!A78</f>
        <v>1978</v>
      </c>
      <c r="B47" s="988">
        <f>'Input data'!B78</f>
        <v>23.983049999999999</v>
      </c>
      <c r="C47" s="988">
        <f>'Baseline data (from input)'!B34</f>
        <v>578.73</v>
      </c>
      <c r="D47" s="899">
        <f>'Baseline data (from input)'!T34</f>
        <v>0.8</v>
      </c>
      <c r="E47" s="899">
        <f t="shared" si="41"/>
        <v>0.19892488097366726</v>
      </c>
      <c r="F47" s="899">
        <f t="shared" si="41"/>
        <v>0.26585903447659598</v>
      </c>
      <c r="G47" s="899">
        <f t="shared" si="41"/>
        <v>8.9228108703258049E-2</v>
      </c>
      <c r="H47" s="899">
        <f t="shared" si="41"/>
        <v>0</v>
      </c>
      <c r="I47" s="899">
        <f t="shared" si="41"/>
        <v>0</v>
      </c>
      <c r="J47" s="899">
        <f t="shared" si="41"/>
        <v>0</v>
      </c>
      <c r="K47" s="899">
        <f t="shared" si="41"/>
        <v>0.4459879758464787</v>
      </c>
      <c r="L47" s="996">
        <f t="shared" si="40"/>
        <v>1</v>
      </c>
      <c r="N47" s="317">
        <f t="shared" si="1"/>
        <v>11103.7684212</v>
      </c>
      <c r="O47" s="1031">
        <f>Parameters!R149</f>
        <v>0.73</v>
      </c>
      <c r="P47" s="1031">
        <f>E47*'MSW characteristics'!$B$28+'MSW characteristics'!$B$29*'4A SWD Case 3'!F47+'4A SWD Case 3'!G47*'MSW characteristics'!$B$30+'MSW characteristics'!$B$31*'4A SWD Case 3'!H47+'4A SWD Case 3'!I47*'MSW characteristics'!$B$32+'MSW characteristics'!$B$33*'4A SWD Case 3'!J47+'4A SWD Case 3'!K47*'MSW characteristics'!$B$35</f>
        <v>0.11870178252267252</v>
      </c>
      <c r="Q47" s="1029">
        <f t="shared" si="2"/>
        <v>481.08354307512144</v>
      </c>
      <c r="R47" s="1029">
        <f t="shared" si="3"/>
        <v>481.08354307512144</v>
      </c>
      <c r="S47" s="303">
        <f t="shared" si="4"/>
        <v>0</v>
      </c>
      <c r="T47" s="1029">
        <f t="shared" si="5"/>
        <v>4440.2557036742037</v>
      </c>
      <c r="U47" s="1029">
        <f t="shared" si="6"/>
        <v>202.99109741534681</v>
      </c>
      <c r="V47" s="1202">
        <f t="shared" si="7"/>
        <v>135.32739827689787</v>
      </c>
      <c r="X47" s="317">
        <f>'Baseline data (from input)'!AS34*'4A SWD Case 3'!$D$12</f>
        <v>3265.2873453299067</v>
      </c>
      <c r="Y47" s="1031">
        <f>Parameters!S149</f>
        <v>0.71500000000000008</v>
      </c>
      <c r="Z47" s="1031">
        <f t="shared" si="8"/>
        <v>0.2</v>
      </c>
      <c r="AA47" s="1029">
        <f t="shared" si="9"/>
        <v>233.46804519108838</v>
      </c>
      <c r="AB47" s="1029">
        <f t="shared" si="10"/>
        <v>233.46804519108838</v>
      </c>
      <c r="AC47" s="303">
        <f t="shared" si="11"/>
        <v>0</v>
      </c>
      <c r="AD47" s="1029">
        <f t="shared" si="12"/>
        <v>2282.9817454960657</v>
      </c>
      <c r="AE47" s="1029">
        <f t="shared" si="13"/>
        <v>105.08081445231811</v>
      </c>
      <c r="AF47" s="1202">
        <f t="shared" si="14"/>
        <v>70.053876301545401</v>
      </c>
      <c r="AH47" s="317">
        <f>'Baseline data (from input)'!AS34*'4A SWD Case 3'!$D$12</f>
        <v>3265.2873453299067</v>
      </c>
      <c r="AI47" s="1031">
        <f>Parameters!S149</f>
        <v>0.71500000000000008</v>
      </c>
      <c r="AJ47" s="1031">
        <f t="shared" si="15"/>
        <v>0.2</v>
      </c>
      <c r="AK47" s="1029">
        <f t="shared" si="16"/>
        <v>233.46804519108838</v>
      </c>
      <c r="AL47" s="1029">
        <f t="shared" si="17"/>
        <v>233.46804519108838</v>
      </c>
      <c r="AM47" s="303">
        <f t="shared" si="18"/>
        <v>0</v>
      </c>
      <c r="AN47" s="1029">
        <f t="shared" si="19"/>
        <v>2282.9817454960657</v>
      </c>
      <c r="AO47" s="1029">
        <f t="shared" si="20"/>
        <v>105.08081445231811</v>
      </c>
      <c r="AP47" s="1202">
        <f t="shared" si="21"/>
        <v>70.053876301545401</v>
      </c>
      <c r="AR47" s="1037">
        <v>0</v>
      </c>
      <c r="AS47" s="1030">
        <v>1</v>
      </c>
      <c r="AT47" s="1030">
        <f t="shared" si="22"/>
        <v>0.05</v>
      </c>
      <c r="AU47" s="1029">
        <f t="shared" si="23"/>
        <v>0</v>
      </c>
      <c r="AV47" s="1029">
        <f t="shared" si="24"/>
        <v>0</v>
      </c>
      <c r="AW47" s="303">
        <f t="shared" si="25"/>
        <v>0</v>
      </c>
      <c r="AX47" s="1045">
        <f t="shared" si="26"/>
        <v>0</v>
      </c>
      <c r="AY47" s="1045">
        <f t="shared" si="27"/>
        <v>0</v>
      </c>
      <c r="AZ47" s="1202">
        <f t="shared" si="28"/>
        <v>0</v>
      </c>
      <c r="BB47" s="317">
        <f t="shared" si="29"/>
        <v>135.32739827689787</v>
      </c>
      <c r="BC47" s="318">
        <f t="shared" si="30"/>
        <v>70.053876301545401</v>
      </c>
      <c r="BD47" s="1214">
        <f t="shared" si="31"/>
        <v>0</v>
      </c>
      <c r="BE47" s="318">
        <f t="shared" si="32"/>
        <v>205.38127457844325</v>
      </c>
      <c r="BF47" s="104">
        <v>0</v>
      </c>
      <c r="BG47" s="319">
        <f t="shared" si="33"/>
        <v>205.38127457844325</v>
      </c>
      <c r="BI47" s="317">
        <f t="shared" si="34"/>
        <v>135.32739827689787</v>
      </c>
      <c r="BJ47" s="318">
        <f t="shared" si="35"/>
        <v>70.053876301545401</v>
      </c>
      <c r="BK47" s="1214">
        <f t="shared" si="36"/>
        <v>0</v>
      </c>
      <c r="BL47" s="318">
        <f t="shared" si="37"/>
        <v>205.38127457844325</v>
      </c>
      <c r="BM47" s="104">
        <v>0</v>
      </c>
      <c r="BN47" s="319">
        <f t="shared" si="38"/>
        <v>205.38127457844325</v>
      </c>
    </row>
    <row r="48" spans="1:66">
      <c r="A48" s="127">
        <f>'Input data'!A79</f>
        <v>1979</v>
      </c>
      <c r="B48" s="988">
        <f>'Input data'!B79</f>
        <v>24.516309999999997</v>
      </c>
      <c r="C48" s="988">
        <f>'Baseline data (from input)'!B35</f>
        <v>578.73</v>
      </c>
      <c r="D48" s="899">
        <f>'Baseline data (from input)'!T35</f>
        <v>0.8</v>
      </c>
      <c r="E48" s="899">
        <f t="shared" si="41"/>
        <v>0.19892488097366726</v>
      </c>
      <c r="F48" s="899">
        <f t="shared" si="41"/>
        <v>0.26585903447659598</v>
      </c>
      <c r="G48" s="899">
        <f t="shared" si="41"/>
        <v>8.9228108703258049E-2</v>
      </c>
      <c r="H48" s="899">
        <f t="shared" si="41"/>
        <v>0</v>
      </c>
      <c r="I48" s="899">
        <f t="shared" si="41"/>
        <v>0</v>
      </c>
      <c r="J48" s="899">
        <f t="shared" si="41"/>
        <v>0</v>
      </c>
      <c r="K48" s="899">
        <f t="shared" si="41"/>
        <v>0.4459879758464787</v>
      </c>
      <c r="L48" s="996">
        <f t="shared" si="40"/>
        <v>1</v>
      </c>
      <c r="N48" s="317">
        <f t="shared" si="1"/>
        <v>11350.659269039999</v>
      </c>
      <c r="O48" s="1031">
        <f>Parameters!R150</f>
        <v>0.73</v>
      </c>
      <c r="P48" s="1031">
        <f>E48*'MSW characteristics'!$B$28+'MSW characteristics'!$B$29*'4A SWD Case 3'!F48+'4A SWD Case 3'!G48*'MSW characteristics'!$B$30+'MSW characteristics'!$B$31*'4A SWD Case 3'!H48+'4A SWD Case 3'!I48*'MSW characteristics'!$B$32+'MSW characteristics'!$B$33*'4A SWD Case 3'!J48+'4A SWD Case 3'!K48*'MSW characteristics'!$B$35</f>
        <v>0.11870178252267252</v>
      </c>
      <c r="Q48" s="1029">
        <f t="shared" si="2"/>
        <v>491.78037313552818</v>
      </c>
      <c r="R48" s="1029">
        <f t="shared" si="3"/>
        <v>491.78037313552818</v>
      </c>
      <c r="S48" s="303">
        <f t="shared" si="4"/>
        <v>0</v>
      </c>
      <c r="T48" s="1029">
        <f t="shared" si="5"/>
        <v>4715.4822507775534</v>
      </c>
      <c r="U48" s="1029">
        <f t="shared" si="6"/>
        <v>216.55382603217797</v>
      </c>
      <c r="V48" s="1202">
        <f t="shared" si="7"/>
        <v>144.36921735478532</v>
      </c>
      <c r="X48" s="317">
        <f>'Baseline data (from input)'!AS35*'4A SWD Case 3'!$D$12</f>
        <v>3389.0581866273906</v>
      </c>
      <c r="Y48" s="1031">
        <f>Parameters!S150</f>
        <v>0.71500000000000008</v>
      </c>
      <c r="Z48" s="1031">
        <f t="shared" si="8"/>
        <v>0.2</v>
      </c>
      <c r="AA48" s="1029">
        <f t="shared" si="9"/>
        <v>242.31766034385848</v>
      </c>
      <c r="AB48" s="1029">
        <f t="shared" si="10"/>
        <v>242.31766034385848</v>
      </c>
      <c r="AC48" s="303">
        <f t="shared" si="11"/>
        <v>0</v>
      </c>
      <c r="AD48" s="1029">
        <f t="shared" si="12"/>
        <v>2413.9570722577164</v>
      </c>
      <c r="AE48" s="1029">
        <f t="shared" si="13"/>
        <v>111.34233358220757</v>
      </c>
      <c r="AF48" s="1202">
        <f t="shared" si="14"/>
        <v>74.228222388138377</v>
      </c>
      <c r="AH48" s="317">
        <f>'Baseline data (from input)'!AS35*'4A SWD Case 3'!$D$12</f>
        <v>3389.0581866273906</v>
      </c>
      <c r="AI48" s="1031">
        <f>Parameters!S150</f>
        <v>0.71500000000000008</v>
      </c>
      <c r="AJ48" s="1031">
        <f t="shared" si="15"/>
        <v>0.2</v>
      </c>
      <c r="AK48" s="1029">
        <f t="shared" si="16"/>
        <v>242.31766034385848</v>
      </c>
      <c r="AL48" s="1029">
        <f t="shared" si="17"/>
        <v>242.31766034385848</v>
      </c>
      <c r="AM48" s="303">
        <f t="shared" si="18"/>
        <v>0</v>
      </c>
      <c r="AN48" s="1029">
        <f t="shared" si="19"/>
        <v>2413.9570722577164</v>
      </c>
      <c r="AO48" s="1029">
        <f t="shared" si="20"/>
        <v>111.34233358220757</v>
      </c>
      <c r="AP48" s="1202">
        <f t="shared" si="21"/>
        <v>74.228222388138377</v>
      </c>
      <c r="AR48" s="1037">
        <v>0</v>
      </c>
      <c r="AS48" s="1030">
        <v>1</v>
      </c>
      <c r="AT48" s="1030">
        <f t="shared" si="22"/>
        <v>0.05</v>
      </c>
      <c r="AU48" s="1029">
        <f t="shared" si="23"/>
        <v>0</v>
      </c>
      <c r="AV48" s="1029">
        <f t="shared" si="24"/>
        <v>0</v>
      </c>
      <c r="AW48" s="198">
        <f t="shared" si="25"/>
        <v>0</v>
      </c>
      <c r="AX48" s="1045">
        <f t="shared" si="26"/>
        <v>0</v>
      </c>
      <c r="AY48" s="1045">
        <f t="shared" si="27"/>
        <v>0</v>
      </c>
      <c r="AZ48" s="1202">
        <f t="shared" si="28"/>
        <v>0</v>
      </c>
      <c r="BB48" s="317">
        <f t="shared" si="29"/>
        <v>144.36921735478532</v>
      </c>
      <c r="BC48" s="318">
        <f t="shared" si="30"/>
        <v>74.228222388138377</v>
      </c>
      <c r="BD48" s="1214">
        <f t="shared" si="31"/>
        <v>0</v>
      </c>
      <c r="BE48" s="318">
        <f t="shared" si="32"/>
        <v>218.59743974292371</v>
      </c>
      <c r="BF48" s="104">
        <v>0</v>
      </c>
      <c r="BG48" s="319">
        <f t="shared" si="33"/>
        <v>218.59743974292371</v>
      </c>
      <c r="BI48" s="317">
        <f t="shared" si="34"/>
        <v>144.36921735478532</v>
      </c>
      <c r="BJ48" s="318">
        <f t="shared" si="35"/>
        <v>74.228222388138377</v>
      </c>
      <c r="BK48" s="1214">
        <f t="shared" si="36"/>
        <v>0</v>
      </c>
      <c r="BL48" s="318">
        <f t="shared" si="37"/>
        <v>218.59743974292371</v>
      </c>
      <c r="BM48" s="104">
        <v>0</v>
      </c>
      <c r="BN48" s="319">
        <f t="shared" si="38"/>
        <v>218.59743974292371</v>
      </c>
    </row>
    <row r="49" spans="1:66">
      <c r="A49" s="127">
        <f>'Input data'!A80</f>
        <v>1980</v>
      </c>
      <c r="B49" s="988">
        <f>'Input data'!B80</f>
        <v>25.094160000000002</v>
      </c>
      <c r="C49" s="988">
        <f>'Baseline data (from input)'!B36</f>
        <v>578.73</v>
      </c>
      <c r="D49" s="899">
        <f>'Baseline data (from input)'!T36</f>
        <v>0.8</v>
      </c>
      <c r="E49" s="899">
        <f t="shared" si="41"/>
        <v>0.19892488097366726</v>
      </c>
      <c r="F49" s="899">
        <f t="shared" si="41"/>
        <v>0.26585903447659598</v>
      </c>
      <c r="G49" s="899">
        <f t="shared" si="41"/>
        <v>8.9228108703258049E-2</v>
      </c>
      <c r="H49" s="899">
        <f t="shared" si="41"/>
        <v>0</v>
      </c>
      <c r="I49" s="899">
        <f t="shared" si="41"/>
        <v>0</v>
      </c>
      <c r="J49" s="899">
        <f t="shared" si="41"/>
        <v>0</v>
      </c>
      <c r="K49" s="899">
        <f t="shared" si="41"/>
        <v>0.4459879758464787</v>
      </c>
      <c r="L49" s="996">
        <f t="shared" si="40"/>
        <v>1</v>
      </c>
      <c r="N49" s="317">
        <f t="shared" si="1"/>
        <v>11618.194573440001</v>
      </c>
      <c r="O49" s="1031">
        <f>Parameters!R151</f>
        <v>0.73</v>
      </c>
      <c r="P49" s="1031">
        <f>E49*'MSW characteristics'!$B$28+'MSW characteristics'!$B$29*'4A SWD Case 3'!F49+'4A SWD Case 3'!G49*'MSW characteristics'!$B$30+'MSW characteristics'!$B$31*'4A SWD Case 3'!H49+'4A SWD Case 3'!I49*'MSW characteristics'!$B$32+'MSW characteristics'!$B$33*'4A SWD Case 3'!J49+'4A SWD Case 3'!K49*'MSW characteristics'!$B$35</f>
        <v>0.11870178252267252</v>
      </c>
      <c r="Q49" s="1029">
        <f t="shared" si="2"/>
        <v>503.37164803033767</v>
      </c>
      <c r="R49" s="1029">
        <f t="shared" si="3"/>
        <v>503.37164803033767</v>
      </c>
      <c r="S49" s="303">
        <f t="shared" si="4"/>
        <v>0</v>
      </c>
      <c r="T49" s="1029">
        <f t="shared" si="5"/>
        <v>4988.8771156808016</v>
      </c>
      <c r="U49" s="1029">
        <f t="shared" si="6"/>
        <v>229.97678312708967</v>
      </c>
      <c r="V49" s="1202">
        <f t="shared" si="7"/>
        <v>153.31785541805979</v>
      </c>
      <c r="X49" s="317">
        <f>'Baseline data (from input)'!AS36*'4A SWD Case 3'!$D$12</f>
        <v>3613.4336673176531</v>
      </c>
      <c r="Y49" s="1031">
        <f>Parameters!S151</f>
        <v>0.71500000000000008</v>
      </c>
      <c r="Z49" s="1031">
        <f t="shared" si="8"/>
        <v>0.2</v>
      </c>
      <c r="AA49" s="1029">
        <f t="shared" si="9"/>
        <v>258.36050721321226</v>
      </c>
      <c r="AB49" s="1029">
        <f t="shared" si="10"/>
        <v>258.36050721321226</v>
      </c>
      <c r="AC49" s="303">
        <f t="shared" si="11"/>
        <v>0</v>
      </c>
      <c r="AD49" s="1029">
        <f t="shared" si="12"/>
        <v>2554.5875038263484</v>
      </c>
      <c r="AE49" s="1029">
        <f t="shared" si="13"/>
        <v>117.73007564458031</v>
      </c>
      <c r="AF49" s="1202">
        <f t="shared" si="14"/>
        <v>78.486717096386869</v>
      </c>
      <c r="AH49" s="317">
        <f>'Baseline data (from input)'!AS36*'4A SWD Case 3'!$D$12</f>
        <v>3613.4336673176531</v>
      </c>
      <c r="AI49" s="1031">
        <f>Parameters!S151</f>
        <v>0.71500000000000008</v>
      </c>
      <c r="AJ49" s="1031">
        <f t="shared" si="15"/>
        <v>0.2</v>
      </c>
      <c r="AK49" s="1029">
        <f t="shared" si="16"/>
        <v>258.36050721321226</v>
      </c>
      <c r="AL49" s="1029">
        <f t="shared" si="17"/>
        <v>258.36050721321226</v>
      </c>
      <c r="AM49" s="303">
        <f t="shared" si="18"/>
        <v>0</v>
      </c>
      <c r="AN49" s="1029">
        <f t="shared" si="19"/>
        <v>2554.5875038263484</v>
      </c>
      <c r="AO49" s="1029">
        <f t="shared" si="20"/>
        <v>117.73007564458031</v>
      </c>
      <c r="AP49" s="1202">
        <f t="shared" si="21"/>
        <v>78.486717096386869</v>
      </c>
      <c r="AR49" s="1037">
        <v>0</v>
      </c>
      <c r="AS49" s="1030">
        <v>1</v>
      </c>
      <c r="AT49" s="1030">
        <f t="shared" si="22"/>
        <v>0.05</v>
      </c>
      <c r="AU49" s="1029">
        <f t="shared" si="23"/>
        <v>0</v>
      </c>
      <c r="AV49" s="1029">
        <f t="shared" si="24"/>
        <v>0</v>
      </c>
      <c r="AW49" s="198">
        <f t="shared" si="25"/>
        <v>0</v>
      </c>
      <c r="AX49" s="1045">
        <f t="shared" ref="AX49:AX112" si="42">AV49+(AX48*$E$8)</f>
        <v>0</v>
      </c>
      <c r="AY49" s="1045">
        <f t="shared" si="27"/>
        <v>0</v>
      </c>
      <c r="AZ49" s="1202">
        <f t="shared" si="28"/>
        <v>0</v>
      </c>
      <c r="BB49" s="317">
        <f t="shared" si="29"/>
        <v>153.31785541805979</v>
      </c>
      <c r="BC49" s="318">
        <f t="shared" si="30"/>
        <v>78.486717096386869</v>
      </c>
      <c r="BD49" s="1214">
        <f t="shared" si="31"/>
        <v>0</v>
      </c>
      <c r="BE49" s="318">
        <f t="shared" si="32"/>
        <v>231.80457251444665</v>
      </c>
      <c r="BF49" s="104">
        <v>0</v>
      </c>
      <c r="BG49" s="319">
        <f t="shared" si="33"/>
        <v>231.80457251444665</v>
      </c>
      <c r="BI49" s="317">
        <f t="shared" si="34"/>
        <v>153.31785541805979</v>
      </c>
      <c r="BJ49" s="318">
        <f t="shared" si="35"/>
        <v>78.486717096386869</v>
      </c>
      <c r="BK49" s="1214">
        <f t="shared" si="36"/>
        <v>0</v>
      </c>
      <c r="BL49" s="318">
        <f t="shared" si="37"/>
        <v>231.80457251444665</v>
      </c>
      <c r="BM49" s="104">
        <v>0</v>
      </c>
      <c r="BN49" s="319">
        <f t="shared" si="38"/>
        <v>231.80457251444665</v>
      </c>
    </row>
    <row r="50" spans="1:66">
      <c r="A50" s="127">
        <f>'Input data'!A81</f>
        <v>1981</v>
      </c>
      <c r="B50" s="988">
        <f>'Input data'!B81</f>
        <v>25.712049999999998</v>
      </c>
      <c r="C50" s="988">
        <f>'Baseline data (from input)'!B37</f>
        <v>578.73</v>
      </c>
      <c r="D50" s="899">
        <f>'Baseline data (from input)'!T37</f>
        <v>0.8</v>
      </c>
      <c r="E50" s="899">
        <f t="shared" si="41"/>
        <v>0.19892488097366726</v>
      </c>
      <c r="F50" s="899">
        <f t="shared" si="41"/>
        <v>0.26585903447659598</v>
      </c>
      <c r="G50" s="899">
        <f t="shared" si="41"/>
        <v>8.9228108703258049E-2</v>
      </c>
      <c r="H50" s="899">
        <f t="shared" si="41"/>
        <v>0</v>
      </c>
      <c r="I50" s="899">
        <f t="shared" si="41"/>
        <v>0</v>
      </c>
      <c r="J50" s="899">
        <f t="shared" si="41"/>
        <v>0</v>
      </c>
      <c r="K50" s="899">
        <f t="shared" si="41"/>
        <v>0.4459879758464787</v>
      </c>
      <c r="L50" s="996">
        <f t="shared" si="40"/>
        <v>1</v>
      </c>
      <c r="N50" s="317">
        <f t="shared" si="1"/>
        <v>11904.267757200001</v>
      </c>
      <c r="O50" s="1031">
        <f>Parameters!R152</f>
        <v>0.73</v>
      </c>
      <c r="P50" s="1031">
        <f>E50*'MSW characteristics'!$B$28+'MSW characteristics'!$B$29*'4A SWD Case 3'!F50+'4A SWD Case 3'!G50*'MSW characteristics'!$B$30+'MSW characteristics'!$B$31*'4A SWD Case 3'!H50+'4A SWD Case 3'!I50*'MSW characteristics'!$B$32+'MSW characteristics'!$B$33*'4A SWD Case 3'!J50+'4A SWD Case 3'!K50*'MSW characteristics'!$B$35</f>
        <v>0.11870178252267252</v>
      </c>
      <c r="Q50" s="1029">
        <f t="shared" si="2"/>
        <v>515.76609787848815</v>
      </c>
      <c r="R50" s="1029">
        <f t="shared" si="3"/>
        <v>515.76609787848815</v>
      </c>
      <c r="S50" s="303">
        <f t="shared" si="4"/>
        <v>0</v>
      </c>
      <c r="T50" s="1029">
        <f t="shared" si="5"/>
        <v>5261.3328055323191</v>
      </c>
      <c r="U50" s="1029">
        <f t="shared" si="6"/>
        <v>243.31040802697063</v>
      </c>
      <c r="V50" s="1202">
        <f t="shared" si="7"/>
        <v>162.2069386846471</v>
      </c>
      <c r="X50" s="317">
        <f>'Baseline data (from input)'!AS37*'4A SWD Case 3'!$D$12</f>
        <v>3807.1403580322944</v>
      </c>
      <c r="Y50" s="1031">
        <f>Parameters!S152</f>
        <v>0.71500000000000008</v>
      </c>
      <c r="Z50" s="1031">
        <f t="shared" si="8"/>
        <v>0.2</v>
      </c>
      <c r="AA50" s="1029">
        <f t="shared" si="9"/>
        <v>272.21053559930908</v>
      </c>
      <c r="AB50" s="1029">
        <f t="shared" si="10"/>
        <v>272.21053559930908</v>
      </c>
      <c r="AC50" s="303">
        <f t="shared" si="11"/>
        <v>0</v>
      </c>
      <c r="AD50" s="1029">
        <f t="shared" si="12"/>
        <v>2702.2093367007619</v>
      </c>
      <c r="AE50" s="1029">
        <f t="shared" si="13"/>
        <v>124.58870272489546</v>
      </c>
      <c r="AF50" s="1202">
        <f t="shared" si="14"/>
        <v>83.059135149930299</v>
      </c>
      <c r="AH50" s="317">
        <f>'Baseline data (from input)'!AS37*'4A SWD Case 3'!$D$12</f>
        <v>3807.1403580322944</v>
      </c>
      <c r="AI50" s="1031">
        <f>Parameters!S152</f>
        <v>0.71500000000000008</v>
      </c>
      <c r="AJ50" s="1031">
        <f t="shared" si="15"/>
        <v>0.2</v>
      </c>
      <c r="AK50" s="1029">
        <f t="shared" si="16"/>
        <v>272.21053559930908</v>
      </c>
      <c r="AL50" s="1029">
        <f t="shared" si="17"/>
        <v>272.21053559930908</v>
      </c>
      <c r="AM50" s="303">
        <f t="shared" si="18"/>
        <v>0</v>
      </c>
      <c r="AN50" s="1029">
        <f t="shared" si="19"/>
        <v>2702.2093367007619</v>
      </c>
      <c r="AO50" s="1029">
        <f t="shared" si="20"/>
        <v>124.58870272489546</v>
      </c>
      <c r="AP50" s="1202">
        <f t="shared" si="21"/>
        <v>83.059135149930299</v>
      </c>
      <c r="AR50" s="1037">
        <v>0</v>
      </c>
      <c r="AS50" s="1030">
        <v>1</v>
      </c>
      <c r="AT50" s="1030">
        <f t="shared" si="22"/>
        <v>0.05</v>
      </c>
      <c r="AU50" s="1029">
        <f t="shared" si="23"/>
        <v>0</v>
      </c>
      <c r="AV50" s="1029">
        <f t="shared" si="24"/>
        <v>0</v>
      </c>
      <c r="AW50" s="198">
        <f t="shared" si="25"/>
        <v>0</v>
      </c>
      <c r="AX50" s="1045">
        <f t="shared" si="42"/>
        <v>0</v>
      </c>
      <c r="AY50" s="1045">
        <f t="shared" si="27"/>
        <v>0</v>
      </c>
      <c r="AZ50" s="1202">
        <f t="shared" si="28"/>
        <v>0</v>
      </c>
      <c r="BB50" s="317">
        <f t="shared" si="29"/>
        <v>162.2069386846471</v>
      </c>
      <c r="BC50" s="318">
        <f t="shared" si="30"/>
        <v>83.059135149930299</v>
      </c>
      <c r="BD50" s="1214">
        <f t="shared" si="31"/>
        <v>0</v>
      </c>
      <c r="BE50" s="318">
        <f t="shared" si="32"/>
        <v>245.26607383457741</v>
      </c>
      <c r="BF50" s="104">
        <v>0</v>
      </c>
      <c r="BG50" s="319">
        <f t="shared" si="33"/>
        <v>245.26607383457741</v>
      </c>
      <c r="BI50" s="317">
        <f t="shared" si="34"/>
        <v>162.2069386846471</v>
      </c>
      <c r="BJ50" s="318">
        <f t="shared" si="35"/>
        <v>83.059135149930299</v>
      </c>
      <c r="BK50" s="1214">
        <f t="shared" si="36"/>
        <v>0</v>
      </c>
      <c r="BL50" s="318">
        <f t="shared" si="37"/>
        <v>245.26607383457741</v>
      </c>
      <c r="BM50" s="104">
        <v>0</v>
      </c>
      <c r="BN50" s="319">
        <f t="shared" si="38"/>
        <v>245.26607383457741</v>
      </c>
    </row>
    <row r="51" spans="1:66">
      <c r="A51" s="127">
        <f>'Input data'!A82</f>
        <v>1982</v>
      </c>
      <c r="B51" s="988">
        <f>'Input data'!B82</f>
        <v>26.364520000000002</v>
      </c>
      <c r="C51" s="988">
        <f>'Baseline data (from input)'!B38</f>
        <v>578.73</v>
      </c>
      <c r="D51" s="899">
        <f>'Baseline data (from input)'!T38</f>
        <v>0.8</v>
      </c>
      <c r="E51" s="899">
        <f t="shared" si="41"/>
        <v>0.19892488097366726</v>
      </c>
      <c r="F51" s="899">
        <f t="shared" si="41"/>
        <v>0.26585903447659598</v>
      </c>
      <c r="G51" s="899">
        <f t="shared" si="41"/>
        <v>8.9228108703258049E-2</v>
      </c>
      <c r="H51" s="899">
        <f t="shared" si="41"/>
        <v>0</v>
      </c>
      <c r="I51" s="899">
        <f t="shared" si="41"/>
        <v>0</v>
      </c>
      <c r="J51" s="899">
        <f t="shared" si="41"/>
        <v>0</v>
      </c>
      <c r="K51" s="899">
        <f t="shared" si="41"/>
        <v>0.4459879758464787</v>
      </c>
      <c r="L51" s="996">
        <f t="shared" si="40"/>
        <v>1</v>
      </c>
      <c r="N51" s="317">
        <f t="shared" si="1"/>
        <v>12206.350927680003</v>
      </c>
      <c r="O51" s="1031">
        <f>Parameters!R153</f>
        <v>0.73</v>
      </c>
      <c r="P51" s="1031">
        <f>E51*'MSW characteristics'!$B$28+'MSW characteristics'!$B$29*'4A SWD Case 3'!F51+'4A SWD Case 3'!G51*'MSW characteristics'!$B$30+'MSW characteristics'!$B$31*'4A SWD Case 3'!H51+'4A SWD Case 3'!I51*'MSW characteristics'!$B$32+'MSW characteristics'!$B$33*'4A SWD Case 3'!J51+'4A SWD Case 3'!K51*'MSW characteristics'!$B$35</f>
        <v>0.11870178252267252</v>
      </c>
      <c r="Q51" s="1029">
        <f t="shared" si="2"/>
        <v>528.85419882270617</v>
      </c>
      <c r="R51" s="1029">
        <f t="shared" si="3"/>
        <v>528.85419882270617</v>
      </c>
      <c r="S51" s="303">
        <f t="shared" si="4"/>
        <v>0</v>
      </c>
      <c r="T51" s="1029">
        <f t="shared" si="5"/>
        <v>5533.5887755359408</v>
      </c>
      <c r="U51" s="1029">
        <f t="shared" si="6"/>
        <v>256.59822881908411</v>
      </c>
      <c r="V51" s="1202">
        <f t="shared" si="7"/>
        <v>171.0654858793894</v>
      </c>
      <c r="X51" s="317">
        <f>'Baseline data (from input)'!AS38*'4A SWD Case 3'!$D$12</f>
        <v>3792.5441333367248</v>
      </c>
      <c r="Y51" s="1031">
        <f>Parameters!S153</f>
        <v>0.71500000000000008</v>
      </c>
      <c r="Z51" s="1031">
        <f t="shared" si="8"/>
        <v>0.2</v>
      </c>
      <c r="AA51" s="1029">
        <f t="shared" si="9"/>
        <v>271.16690553357586</v>
      </c>
      <c r="AB51" s="1029">
        <f t="shared" si="10"/>
        <v>271.16690553357586</v>
      </c>
      <c r="AC51" s="303">
        <f t="shared" si="11"/>
        <v>0</v>
      </c>
      <c r="AD51" s="1029">
        <f t="shared" si="12"/>
        <v>2841.587937763898</v>
      </c>
      <c r="AE51" s="1029">
        <f t="shared" si="13"/>
        <v>131.78830447044001</v>
      </c>
      <c r="AF51" s="1202">
        <f t="shared" si="14"/>
        <v>87.858869646960002</v>
      </c>
      <c r="AH51" s="317">
        <f>'Baseline data (from input)'!AS38*'4A SWD Case 3'!$D$12</f>
        <v>3792.5441333367248</v>
      </c>
      <c r="AI51" s="1031">
        <f>Parameters!S153</f>
        <v>0.71500000000000008</v>
      </c>
      <c r="AJ51" s="1031">
        <f t="shared" si="15"/>
        <v>0.2</v>
      </c>
      <c r="AK51" s="1029">
        <f t="shared" si="16"/>
        <v>271.16690553357586</v>
      </c>
      <c r="AL51" s="1029">
        <f t="shared" si="17"/>
        <v>271.16690553357586</v>
      </c>
      <c r="AM51" s="303">
        <f t="shared" si="18"/>
        <v>0</v>
      </c>
      <c r="AN51" s="1029">
        <f t="shared" si="19"/>
        <v>2841.587937763898</v>
      </c>
      <c r="AO51" s="1029">
        <f t="shared" si="20"/>
        <v>131.78830447044001</v>
      </c>
      <c r="AP51" s="1202">
        <f t="shared" si="21"/>
        <v>87.858869646960002</v>
      </c>
      <c r="AR51" s="1037">
        <v>0</v>
      </c>
      <c r="AS51" s="1030">
        <v>1</v>
      </c>
      <c r="AT51" s="1030">
        <f t="shared" si="22"/>
        <v>0.05</v>
      </c>
      <c r="AU51" s="1029">
        <f t="shared" si="23"/>
        <v>0</v>
      </c>
      <c r="AV51" s="1029">
        <f t="shared" si="24"/>
        <v>0</v>
      </c>
      <c r="AW51" s="198">
        <f t="shared" si="25"/>
        <v>0</v>
      </c>
      <c r="AX51" s="1045">
        <f t="shared" si="42"/>
        <v>0</v>
      </c>
      <c r="AY51" s="1045">
        <f t="shared" si="27"/>
        <v>0</v>
      </c>
      <c r="AZ51" s="1202">
        <f t="shared" si="28"/>
        <v>0</v>
      </c>
      <c r="BB51" s="317">
        <f t="shared" si="29"/>
        <v>171.0654858793894</v>
      </c>
      <c r="BC51" s="318">
        <f t="shared" si="30"/>
        <v>87.858869646960002</v>
      </c>
      <c r="BD51" s="1214">
        <f t="shared" si="31"/>
        <v>0</v>
      </c>
      <c r="BE51" s="318">
        <f t="shared" si="32"/>
        <v>258.92435552634942</v>
      </c>
      <c r="BF51" s="104">
        <v>0</v>
      </c>
      <c r="BG51" s="319">
        <f t="shared" si="33"/>
        <v>258.92435552634942</v>
      </c>
      <c r="BI51" s="317">
        <f t="shared" si="34"/>
        <v>171.0654858793894</v>
      </c>
      <c r="BJ51" s="318">
        <f t="shared" si="35"/>
        <v>87.858869646960002</v>
      </c>
      <c r="BK51" s="1214">
        <f t="shared" si="36"/>
        <v>0</v>
      </c>
      <c r="BL51" s="318">
        <f t="shared" si="37"/>
        <v>258.92435552634942</v>
      </c>
      <c r="BM51" s="104">
        <v>0</v>
      </c>
      <c r="BN51" s="319">
        <f t="shared" si="38"/>
        <v>258.92435552634942</v>
      </c>
    </row>
    <row r="52" spans="1:66">
      <c r="A52" s="127">
        <f>'Input data'!A83</f>
        <v>1983</v>
      </c>
      <c r="B52" s="988">
        <f>'Input data'!B83</f>
        <v>27.048839999999998</v>
      </c>
      <c r="C52" s="988">
        <f>'Baseline data (from input)'!B39</f>
        <v>578.73</v>
      </c>
      <c r="D52" s="899">
        <f>'Baseline data (from input)'!T39</f>
        <v>0.8</v>
      </c>
      <c r="E52" s="899">
        <f t="shared" si="41"/>
        <v>0.19892488097366726</v>
      </c>
      <c r="F52" s="899">
        <f t="shared" si="41"/>
        <v>0.26585903447659598</v>
      </c>
      <c r="G52" s="899">
        <f t="shared" si="41"/>
        <v>8.9228108703258049E-2</v>
      </c>
      <c r="H52" s="899">
        <f t="shared" si="41"/>
        <v>0</v>
      </c>
      <c r="I52" s="899">
        <f t="shared" si="41"/>
        <v>0</v>
      </c>
      <c r="J52" s="899">
        <f t="shared" si="41"/>
        <v>0</v>
      </c>
      <c r="K52" s="899">
        <f t="shared" si="41"/>
        <v>0.4459879758464787</v>
      </c>
      <c r="L52" s="996">
        <f t="shared" si="40"/>
        <v>1</v>
      </c>
      <c r="N52" s="317">
        <f t="shared" si="1"/>
        <v>12523.180138560001</v>
      </c>
      <c r="O52" s="1031">
        <f>Parameters!R154</f>
        <v>0.73</v>
      </c>
      <c r="P52" s="1031">
        <f>E52*'MSW characteristics'!$B$28+'MSW characteristics'!$B$29*'4A SWD Case 3'!F52+'4A SWD Case 3'!G52*'MSW characteristics'!$B$30+'MSW characteristics'!$B$31*'4A SWD Case 3'!H52+'4A SWD Case 3'!I52*'MSW characteristics'!$B$32+'MSW characteristics'!$B$33*'4A SWD Case 3'!J52+'4A SWD Case 3'!K52*'MSW characteristics'!$B$35</f>
        <v>0.11870178252267252</v>
      </c>
      <c r="Q52" s="1029">
        <f t="shared" si="2"/>
        <v>542.58118893435449</v>
      </c>
      <c r="R52" s="1029">
        <f t="shared" si="3"/>
        <v>542.58118893435449</v>
      </c>
      <c r="S52" s="303">
        <f t="shared" si="4"/>
        <v>0</v>
      </c>
      <c r="T52" s="1029">
        <f t="shared" si="5"/>
        <v>5806.2936553110176</v>
      </c>
      <c r="U52" s="1029">
        <f t="shared" si="6"/>
        <v>269.87630915927707</v>
      </c>
      <c r="V52" s="1202">
        <f t="shared" si="7"/>
        <v>179.91753943951804</v>
      </c>
      <c r="X52" s="317">
        <f>'Baseline data (from input)'!AS39*'4A SWD Case 3'!$D$12</f>
        <v>3722.5131191048081</v>
      </c>
      <c r="Y52" s="1031">
        <f>Parameters!S154</f>
        <v>0.71500000000000008</v>
      </c>
      <c r="Z52" s="1031">
        <f t="shared" si="8"/>
        <v>0.2</v>
      </c>
      <c r="AA52" s="1029">
        <f t="shared" si="9"/>
        <v>266.15968801599382</v>
      </c>
      <c r="AB52" s="1029">
        <f t="shared" si="10"/>
        <v>266.15968801599382</v>
      </c>
      <c r="AC52" s="303">
        <f t="shared" si="11"/>
        <v>0</v>
      </c>
      <c r="AD52" s="1029">
        <f t="shared" si="12"/>
        <v>2969.1617467233173</v>
      </c>
      <c r="AE52" s="1029">
        <f t="shared" si="13"/>
        <v>138.58587905657456</v>
      </c>
      <c r="AF52" s="1202">
        <f t="shared" si="14"/>
        <v>92.390586037716375</v>
      </c>
      <c r="AH52" s="317">
        <f>'Baseline data (from input)'!AS39*'4A SWD Case 3'!$D$12</f>
        <v>3722.5131191048081</v>
      </c>
      <c r="AI52" s="1031">
        <f>Parameters!S154</f>
        <v>0.71500000000000008</v>
      </c>
      <c r="AJ52" s="1031">
        <f t="shared" si="15"/>
        <v>0.2</v>
      </c>
      <c r="AK52" s="1029">
        <f t="shared" si="16"/>
        <v>266.15968801599382</v>
      </c>
      <c r="AL52" s="1029">
        <f t="shared" si="17"/>
        <v>266.15968801599382</v>
      </c>
      <c r="AM52" s="303">
        <f t="shared" si="18"/>
        <v>0</v>
      </c>
      <c r="AN52" s="1029">
        <f t="shared" si="19"/>
        <v>2969.1617467233173</v>
      </c>
      <c r="AO52" s="1029">
        <f t="shared" si="20"/>
        <v>138.58587905657456</v>
      </c>
      <c r="AP52" s="1202">
        <f t="shared" si="21"/>
        <v>92.390586037716375</v>
      </c>
      <c r="AR52" s="1037">
        <v>0</v>
      </c>
      <c r="AS52" s="1030">
        <v>1</v>
      </c>
      <c r="AT52" s="1030">
        <f t="shared" si="22"/>
        <v>0.05</v>
      </c>
      <c r="AU52" s="1029">
        <f t="shared" si="23"/>
        <v>0</v>
      </c>
      <c r="AV52" s="1029">
        <f t="shared" si="24"/>
        <v>0</v>
      </c>
      <c r="AW52" s="198">
        <f t="shared" si="25"/>
        <v>0</v>
      </c>
      <c r="AX52" s="1045">
        <f t="shared" si="42"/>
        <v>0</v>
      </c>
      <c r="AY52" s="1045">
        <f t="shared" si="27"/>
        <v>0</v>
      </c>
      <c r="AZ52" s="1202">
        <f t="shared" si="28"/>
        <v>0</v>
      </c>
      <c r="BB52" s="317">
        <f t="shared" si="29"/>
        <v>179.91753943951804</v>
      </c>
      <c r="BC52" s="318">
        <f t="shared" si="30"/>
        <v>92.390586037716375</v>
      </c>
      <c r="BD52" s="1214">
        <f t="shared" si="31"/>
        <v>0</v>
      </c>
      <c r="BE52" s="318">
        <f t="shared" si="32"/>
        <v>272.3081254772344</v>
      </c>
      <c r="BF52" s="104">
        <v>0</v>
      </c>
      <c r="BG52" s="319">
        <f t="shared" si="33"/>
        <v>272.3081254772344</v>
      </c>
      <c r="BI52" s="317">
        <f t="shared" si="34"/>
        <v>179.91753943951804</v>
      </c>
      <c r="BJ52" s="318">
        <f t="shared" si="35"/>
        <v>92.390586037716375</v>
      </c>
      <c r="BK52" s="1214">
        <f t="shared" si="36"/>
        <v>0</v>
      </c>
      <c r="BL52" s="318">
        <f t="shared" si="37"/>
        <v>272.3081254772344</v>
      </c>
      <c r="BM52" s="104">
        <v>0</v>
      </c>
      <c r="BN52" s="319">
        <f t="shared" si="38"/>
        <v>272.3081254772344</v>
      </c>
    </row>
    <row r="53" spans="1:66">
      <c r="A53" s="127">
        <f>'Input data'!A84</f>
        <v>1984</v>
      </c>
      <c r="B53" s="988">
        <f>'Input data'!B84</f>
        <v>27.759549999999997</v>
      </c>
      <c r="C53" s="988">
        <f>'Baseline data (from input)'!B40</f>
        <v>578.73</v>
      </c>
      <c r="D53" s="899">
        <f>'Baseline data (from input)'!T40</f>
        <v>0.8</v>
      </c>
      <c r="E53" s="899">
        <f t="shared" ref="E53:K68" si="43">E52</f>
        <v>0.19892488097366726</v>
      </c>
      <c r="F53" s="899">
        <f t="shared" si="43"/>
        <v>0.26585903447659598</v>
      </c>
      <c r="G53" s="899">
        <f t="shared" si="43"/>
        <v>8.9228108703258049E-2</v>
      </c>
      <c r="H53" s="899">
        <f t="shared" si="43"/>
        <v>0</v>
      </c>
      <c r="I53" s="899">
        <f t="shared" si="43"/>
        <v>0</v>
      </c>
      <c r="J53" s="899">
        <f t="shared" si="43"/>
        <v>0</v>
      </c>
      <c r="K53" s="899">
        <f t="shared" si="43"/>
        <v>0.4459879758464787</v>
      </c>
      <c r="L53" s="996">
        <f t="shared" si="40"/>
        <v>1</v>
      </c>
      <c r="N53" s="317">
        <f t="shared" si="1"/>
        <v>12852.2274972</v>
      </c>
      <c r="O53" s="1031">
        <f>Parameters!R155</f>
        <v>0.73</v>
      </c>
      <c r="P53" s="1031">
        <f>E53*'MSW characteristics'!$B$28+'MSW characteristics'!$B$29*'4A SWD Case 3'!F53+'4A SWD Case 3'!G53*'MSW characteristics'!$B$30+'MSW characteristics'!$B$31*'4A SWD Case 3'!H53+'4A SWD Case 3'!I53*'MSW characteristics'!$B$32+'MSW characteristics'!$B$33*'4A SWD Case 3'!J53+'4A SWD Case 3'!K53*'MSW characteristics'!$B$35</f>
        <v>0.11870178252267252</v>
      </c>
      <c r="Q53" s="1029">
        <f t="shared" si="2"/>
        <v>556.83754435615924</v>
      </c>
      <c r="R53" s="1029">
        <f t="shared" si="3"/>
        <v>556.83754435615924</v>
      </c>
      <c r="S53" s="303">
        <f t="shared" si="4"/>
        <v>0</v>
      </c>
      <c r="T53" s="1029">
        <f t="shared" si="5"/>
        <v>6079.9549165798053</v>
      </c>
      <c r="U53" s="1029">
        <f t="shared" si="6"/>
        <v>283.17628308737119</v>
      </c>
      <c r="V53" s="1202">
        <f t="shared" si="7"/>
        <v>188.78418872491412</v>
      </c>
      <c r="X53" s="317">
        <f>'Baseline data (from input)'!AS40*'4A SWD Case 3'!$D$12</f>
        <v>3912.3283405877869</v>
      </c>
      <c r="Y53" s="1031">
        <f>Parameters!S155</f>
        <v>0.71500000000000008</v>
      </c>
      <c r="Z53" s="1031">
        <f t="shared" si="8"/>
        <v>0.2</v>
      </c>
      <c r="AA53" s="1029">
        <f t="shared" si="9"/>
        <v>279.73147635202685</v>
      </c>
      <c r="AB53" s="1029">
        <f t="shared" si="10"/>
        <v>279.73147635202685</v>
      </c>
      <c r="AC53" s="303">
        <f t="shared" si="11"/>
        <v>0</v>
      </c>
      <c r="AD53" s="1029">
        <f t="shared" si="12"/>
        <v>3104.0854959371827</v>
      </c>
      <c r="AE53" s="1029">
        <f t="shared" si="13"/>
        <v>144.8077271381614</v>
      </c>
      <c r="AF53" s="1202">
        <f t="shared" si="14"/>
        <v>96.53848475877426</v>
      </c>
      <c r="AH53" s="317">
        <f>'Baseline data (from input)'!AS40*'4A SWD Case 3'!$D$12</f>
        <v>3912.3283405877869</v>
      </c>
      <c r="AI53" s="1031">
        <f>Parameters!S155</f>
        <v>0.71500000000000008</v>
      </c>
      <c r="AJ53" s="1031">
        <f t="shared" si="15"/>
        <v>0.2</v>
      </c>
      <c r="AK53" s="1029">
        <f t="shared" si="16"/>
        <v>279.73147635202685</v>
      </c>
      <c r="AL53" s="1029">
        <f t="shared" si="17"/>
        <v>279.73147635202685</v>
      </c>
      <c r="AM53" s="303">
        <f t="shared" si="18"/>
        <v>0</v>
      </c>
      <c r="AN53" s="1029">
        <f t="shared" si="19"/>
        <v>3104.0854959371827</v>
      </c>
      <c r="AO53" s="1029">
        <f t="shared" si="20"/>
        <v>144.8077271381614</v>
      </c>
      <c r="AP53" s="1202">
        <f t="shared" si="21"/>
        <v>96.53848475877426</v>
      </c>
      <c r="AR53" s="1037">
        <v>0</v>
      </c>
      <c r="AS53" s="1030">
        <v>1</v>
      </c>
      <c r="AT53" s="1030">
        <f t="shared" si="22"/>
        <v>0.05</v>
      </c>
      <c r="AU53" s="1029">
        <f t="shared" si="23"/>
        <v>0</v>
      </c>
      <c r="AV53" s="1029">
        <f t="shared" si="24"/>
        <v>0</v>
      </c>
      <c r="AW53" s="198">
        <f t="shared" si="25"/>
        <v>0</v>
      </c>
      <c r="AX53" s="1045">
        <f t="shared" si="42"/>
        <v>0</v>
      </c>
      <c r="AY53" s="1045">
        <f t="shared" si="27"/>
        <v>0</v>
      </c>
      <c r="AZ53" s="1202">
        <f t="shared" si="28"/>
        <v>0</v>
      </c>
      <c r="BB53" s="317">
        <f t="shared" si="29"/>
        <v>188.78418872491412</v>
      </c>
      <c r="BC53" s="318">
        <f t="shared" si="30"/>
        <v>96.53848475877426</v>
      </c>
      <c r="BD53" s="1214">
        <f t="shared" si="31"/>
        <v>0</v>
      </c>
      <c r="BE53" s="318">
        <f t="shared" si="32"/>
        <v>285.32267348368839</v>
      </c>
      <c r="BF53" s="104">
        <v>0</v>
      </c>
      <c r="BG53" s="319">
        <f t="shared" si="33"/>
        <v>285.32267348368839</v>
      </c>
      <c r="BI53" s="317">
        <f t="shared" si="34"/>
        <v>188.78418872491412</v>
      </c>
      <c r="BJ53" s="318">
        <f t="shared" si="35"/>
        <v>96.53848475877426</v>
      </c>
      <c r="BK53" s="1214">
        <f t="shared" si="36"/>
        <v>0</v>
      </c>
      <c r="BL53" s="318">
        <f t="shared" si="37"/>
        <v>285.32267348368839</v>
      </c>
      <c r="BM53" s="104">
        <v>0</v>
      </c>
      <c r="BN53" s="319">
        <f t="shared" si="38"/>
        <v>285.32267348368839</v>
      </c>
    </row>
    <row r="54" spans="1:66">
      <c r="A54" s="127">
        <f>'Input data'!A85</f>
        <v>1985</v>
      </c>
      <c r="B54" s="988">
        <f>'Input data'!B85</f>
        <v>28.490279999999998</v>
      </c>
      <c r="C54" s="988">
        <f>'Baseline data (from input)'!B41</f>
        <v>578.73</v>
      </c>
      <c r="D54" s="899">
        <f>'Baseline data (from input)'!T41</f>
        <v>0.8</v>
      </c>
      <c r="E54" s="899">
        <f t="shared" si="43"/>
        <v>0.19892488097366726</v>
      </c>
      <c r="F54" s="899">
        <f t="shared" si="43"/>
        <v>0.26585903447659598</v>
      </c>
      <c r="G54" s="899">
        <f t="shared" si="43"/>
        <v>8.9228108703258049E-2</v>
      </c>
      <c r="H54" s="899">
        <f t="shared" si="43"/>
        <v>0</v>
      </c>
      <c r="I54" s="899">
        <f t="shared" si="43"/>
        <v>0</v>
      </c>
      <c r="J54" s="899">
        <f t="shared" si="43"/>
        <v>0</v>
      </c>
      <c r="K54" s="899">
        <f t="shared" si="43"/>
        <v>0.4459879758464787</v>
      </c>
      <c r="L54" s="996">
        <f t="shared" si="40"/>
        <v>1</v>
      </c>
      <c r="N54" s="317">
        <f t="shared" si="1"/>
        <v>13190.543795520001</v>
      </c>
      <c r="O54" s="1031">
        <f>Parameters!R156</f>
        <v>0.73</v>
      </c>
      <c r="P54" s="1031">
        <f>E54*'MSW characteristics'!$B$28+'MSW characteristics'!$B$29*'4A SWD Case 3'!F54+'4A SWD Case 3'!G54*'MSW characteristics'!$B$30+'MSW characteristics'!$B$31*'4A SWD Case 3'!H54+'4A SWD Case 3'!I54*'MSW characteristics'!$B$32+'MSW characteristics'!$B$33*'4A SWD Case 3'!J54+'4A SWD Case 3'!K54*'MSW characteristics'!$B$35</f>
        <v>0.11870178252267252</v>
      </c>
      <c r="Q54" s="1029">
        <f t="shared" si="2"/>
        <v>571.4954872546349</v>
      </c>
      <c r="R54" s="1029">
        <f t="shared" si="3"/>
        <v>571.4954872546349</v>
      </c>
      <c r="S54" s="303">
        <f t="shared" si="4"/>
        <v>0</v>
      </c>
      <c r="T54" s="1029">
        <f t="shared" si="5"/>
        <v>6354.9275035431301</v>
      </c>
      <c r="U54" s="1029">
        <f t="shared" si="6"/>
        <v>296.52290029131041</v>
      </c>
      <c r="V54" s="1202">
        <f t="shared" si="7"/>
        <v>197.68193352754028</v>
      </c>
      <c r="X54" s="317">
        <f>'Baseline data (from input)'!AS41*'4A SWD Case 3'!$D$12</f>
        <v>3864.9311197077423</v>
      </c>
      <c r="Y54" s="1031">
        <f>Parameters!S156</f>
        <v>0.71500000000000008</v>
      </c>
      <c r="Z54" s="1031">
        <f t="shared" si="8"/>
        <v>0.2</v>
      </c>
      <c r="AA54" s="1029">
        <f t="shared" si="9"/>
        <v>276.34257505910364</v>
      </c>
      <c r="AB54" s="1029">
        <f t="shared" si="10"/>
        <v>276.34257505910364</v>
      </c>
      <c r="AC54" s="303">
        <f t="shared" si="11"/>
        <v>0</v>
      </c>
      <c r="AD54" s="1029">
        <f t="shared" si="12"/>
        <v>3229.0400349604433</v>
      </c>
      <c r="AE54" s="1029">
        <f t="shared" si="13"/>
        <v>151.38803603584296</v>
      </c>
      <c r="AF54" s="1202">
        <f t="shared" si="14"/>
        <v>100.92535735722863</v>
      </c>
      <c r="AH54" s="317">
        <f>'Baseline data (from input)'!AS41*'4A SWD Case 3'!$D$12</f>
        <v>3864.9311197077423</v>
      </c>
      <c r="AI54" s="1031">
        <f>Parameters!S156</f>
        <v>0.71500000000000008</v>
      </c>
      <c r="AJ54" s="1031">
        <f t="shared" si="15"/>
        <v>0.2</v>
      </c>
      <c r="AK54" s="1029">
        <f t="shared" si="16"/>
        <v>276.34257505910364</v>
      </c>
      <c r="AL54" s="1029">
        <f t="shared" si="17"/>
        <v>276.34257505910364</v>
      </c>
      <c r="AM54" s="303">
        <f t="shared" si="18"/>
        <v>0</v>
      </c>
      <c r="AN54" s="1029">
        <f t="shared" si="19"/>
        <v>3229.0400349604433</v>
      </c>
      <c r="AO54" s="1029">
        <f t="shared" si="20"/>
        <v>151.38803603584296</v>
      </c>
      <c r="AP54" s="1202">
        <f t="shared" si="21"/>
        <v>100.92535735722863</v>
      </c>
      <c r="AR54" s="1037">
        <v>0</v>
      </c>
      <c r="AS54" s="1030">
        <v>1</v>
      </c>
      <c r="AT54" s="1030">
        <f t="shared" si="22"/>
        <v>0.05</v>
      </c>
      <c r="AU54" s="1029">
        <f t="shared" si="23"/>
        <v>0</v>
      </c>
      <c r="AV54" s="1029">
        <f t="shared" si="24"/>
        <v>0</v>
      </c>
      <c r="AW54" s="198">
        <f t="shared" si="25"/>
        <v>0</v>
      </c>
      <c r="AX54" s="1045">
        <f t="shared" si="42"/>
        <v>0</v>
      </c>
      <c r="AY54" s="1045">
        <f t="shared" si="27"/>
        <v>0</v>
      </c>
      <c r="AZ54" s="1202">
        <f t="shared" si="28"/>
        <v>0</v>
      </c>
      <c r="BB54" s="317">
        <f t="shared" si="29"/>
        <v>197.68193352754028</v>
      </c>
      <c r="BC54" s="318">
        <f t="shared" si="30"/>
        <v>100.92535735722863</v>
      </c>
      <c r="BD54" s="1214">
        <f t="shared" si="31"/>
        <v>0</v>
      </c>
      <c r="BE54" s="318">
        <f t="shared" si="32"/>
        <v>298.60729088476893</v>
      </c>
      <c r="BF54" s="104">
        <v>0</v>
      </c>
      <c r="BG54" s="319">
        <f t="shared" si="33"/>
        <v>298.60729088476893</v>
      </c>
      <c r="BI54" s="317">
        <f t="shared" si="34"/>
        <v>197.68193352754028</v>
      </c>
      <c r="BJ54" s="318">
        <f t="shared" si="35"/>
        <v>100.92535735722863</v>
      </c>
      <c r="BK54" s="1214">
        <f t="shared" si="36"/>
        <v>0</v>
      </c>
      <c r="BL54" s="318">
        <f t="shared" si="37"/>
        <v>298.60729088476893</v>
      </c>
      <c r="BM54" s="104">
        <v>0</v>
      </c>
      <c r="BN54" s="319">
        <f t="shared" si="38"/>
        <v>298.60729088476893</v>
      </c>
    </row>
    <row r="55" spans="1:66">
      <c r="A55" s="127">
        <f>'Input data'!A86</f>
        <v>1986</v>
      </c>
      <c r="B55" s="988">
        <f>'Input data'!B86</f>
        <v>29.230110000000003</v>
      </c>
      <c r="C55" s="988">
        <f>'Baseline data (from input)'!B42</f>
        <v>578.73</v>
      </c>
      <c r="D55" s="899">
        <f>'Baseline data (from input)'!T42</f>
        <v>0.8</v>
      </c>
      <c r="E55" s="899">
        <f t="shared" si="43"/>
        <v>0.19892488097366726</v>
      </c>
      <c r="F55" s="899">
        <f t="shared" si="43"/>
        <v>0.26585903447659598</v>
      </c>
      <c r="G55" s="899">
        <f t="shared" si="43"/>
        <v>8.9228108703258049E-2</v>
      </c>
      <c r="H55" s="899">
        <f t="shared" si="43"/>
        <v>0</v>
      </c>
      <c r="I55" s="899">
        <f t="shared" si="43"/>
        <v>0</v>
      </c>
      <c r="J55" s="899">
        <f t="shared" si="43"/>
        <v>0</v>
      </c>
      <c r="K55" s="899">
        <f t="shared" si="43"/>
        <v>0.4459879758464787</v>
      </c>
      <c r="L55" s="996">
        <f t="shared" si="40"/>
        <v>1</v>
      </c>
      <c r="N55" s="317">
        <f t="shared" si="1"/>
        <v>13533.073248240004</v>
      </c>
      <c r="O55" s="1031">
        <f>Parameters!R157</f>
        <v>0.73</v>
      </c>
      <c r="P55" s="1031">
        <f>E55*'MSW characteristics'!$B$28+'MSW characteristics'!$B$29*'4A SWD Case 3'!F55+'4A SWD Case 3'!G55*'MSW characteristics'!$B$30+'MSW characteristics'!$B$31*'4A SWD Case 3'!H55+'4A SWD Case 3'!I55*'MSW characteristics'!$B$32+'MSW characteristics'!$B$33*'4A SWD Case 3'!J55+'4A SWD Case 3'!K55*'MSW characteristics'!$B$35</f>
        <v>0.11870178252267252</v>
      </c>
      <c r="Q55" s="1029">
        <f t="shared" si="2"/>
        <v>586.33596991523348</v>
      </c>
      <c r="R55" s="1029">
        <f t="shared" si="3"/>
        <v>586.33596991523348</v>
      </c>
      <c r="S55" s="303">
        <f t="shared" si="4"/>
        <v>0</v>
      </c>
      <c r="T55" s="1029">
        <f t="shared" si="5"/>
        <v>6631.3300018543241</v>
      </c>
      <c r="U55" s="1029">
        <f t="shared" si="6"/>
        <v>309.9334716040392</v>
      </c>
      <c r="V55" s="1202">
        <f t="shared" si="7"/>
        <v>206.62231440269281</v>
      </c>
      <c r="X55" s="317">
        <f>'Baseline data (from input)'!AS42*'4A SWD Case 3'!$D$12</f>
        <v>3865.6204215927955</v>
      </c>
      <c r="Y55" s="1031">
        <f>Parameters!S157</f>
        <v>0.71500000000000008</v>
      </c>
      <c r="Z55" s="1031">
        <f t="shared" si="8"/>
        <v>0.2</v>
      </c>
      <c r="AA55" s="1029">
        <f t="shared" si="9"/>
        <v>276.39186014388497</v>
      </c>
      <c r="AB55" s="1029">
        <f t="shared" si="10"/>
        <v>276.39186014388497</v>
      </c>
      <c r="AC55" s="303">
        <f t="shared" si="11"/>
        <v>0</v>
      </c>
      <c r="AD55" s="1029">
        <f t="shared" si="12"/>
        <v>3347.9497542890731</v>
      </c>
      <c r="AE55" s="1029">
        <f t="shared" si="13"/>
        <v>157.48214081525535</v>
      </c>
      <c r="AF55" s="1202">
        <f t="shared" si="14"/>
        <v>104.9880938768369</v>
      </c>
      <c r="AH55" s="317">
        <f>'Baseline data (from input)'!AS42*'4A SWD Case 3'!$D$12</f>
        <v>3865.6204215927955</v>
      </c>
      <c r="AI55" s="1031">
        <f>Parameters!S157</f>
        <v>0.71500000000000008</v>
      </c>
      <c r="AJ55" s="1031">
        <f t="shared" si="15"/>
        <v>0.2</v>
      </c>
      <c r="AK55" s="1029">
        <f t="shared" si="16"/>
        <v>276.39186014388497</v>
      </c>
      <c r="AL55" s="1029">
        <f t="shared" si="17"/>
        <v>276.39186014388497</v>
      </c>
      <c r="AM55" s="303">
        <f t="shared" si="18"/>
        <v>0</v>
      </c>
      <c r="AN55" s="1029">
        <f t="shared" si="19"/>
        <v>3347.9497542890731</v>
      </c>
      <c r="AO55" s="1029">
        <f t="shared" si="20"/>
        <v>157.48214081525535</v>
      </c>
      <c r="AP55" s="1202">
        <f t="shared" si="21"/>
        <v>104.9880938768369</v>
      </c>
      <c r="AR55" s="1037">
        <v>0</v>
      </c>
      <c r="AS55" s="1030">
        <v>1</v>
      </c>
      <c r="AT55" s="1030">
        <f t="shared" si="22"/>
        <v>0.05</v>
      </c>
      <c r="AU55" s="1029">
        <f t="shared" si="23"/>
        <v>0</v>
      </c>
      <c r="AV55" s="1029">
        <f t="shared" si="24"/>
        <v>0</v>
      </c>
      <c r="AW55" s="198">
        <f t="shared" si="25"/>
        <v>0</v>
      </c>
      <c r="AX55" s="1045">
        <f t="shared" si="42"/>
        <v>0</v>
      </c>
      <c r="AY55" s="1045">
        <f t="shared" si="27"/>
        <v>0</v>
      </c>
      <c r="AZ55" s="1202">
        <f t="shared" si="28"/>
        <v>0</v>
      </c>
      <c r="BB55" s="317">
        <f t="shared" si="29"/>
        <v>206.62231440269281</v>
      </c>
      <c r="BC55" s="318">
        <f t="shared" si="30"/>
        <v>104.9880938768369</v>
      </c>
      <c r="BD55" s="1214">
        <f t="shared" si="31"/>
        <v>0</v>
      </c>
      <c r="BE55" s="318">
        <f t="shared" si="32"/>
        <v>311.61040827952968</v>
      </c>
      <c r="BF55" s="104">
        <v>0</v>
      </c>
      <c r="BG55" s="319">
        <f t="shared" si="33"/>
        <v>311.61040827952968</v>
      </c>
      <c r="BI55" s="317">
        <f t="shared" si="34"/>
        <v>206.62231440269281</v>
      </c>
      <c r="BJ55" s="318">
        <f t="shared" si="35"/>
        <v>104.9880938768369</v>
      </c>
      <c r="BK55" s="1214">
        <f t="shared" si="36"/>
        <v>0</v>
      </c>
      <c r="BL55" s="318">
        <f t="shared" si="37"/>
        <v>311.61040827952968</v>
      </c>
      <c r="BM55" s="104">
        <v>0</v>
      </c>
      <c r="BN55" s="319">
        <f t="shared" si="38"/>
        <v>311.61040827952968</v>
      </c>
    </row>
    <row r="56" spans="1:66">
      <c r="A56" s="127">
        <f>'Input data'!A87</f>
        <v>1987</v>
      </c>
      <c r="B56" s="988">
        <f>'Input data'!B87</f>
        <v>29.96903</v>
      </c>
      <c r="C56" s="988">
        <f>'Baseline data (from input)'!B43</f>
        <v>578.73</v>
      </c>
      <c r="D56" s="899">
        <f>'Baseline data (from input)'!T43</f>
        <v>0.8</v>
      </c>
      <c r="E56" s="899">
        <f t="shared" si="43"/>
        <v>0.19892488097366726</v>
      </c>
      <c r="F56" s="899">
        <f t="shared" si="43"/>
        <v>0.26585903447659598</v>
      </c>
      <c r="G56" s="899">
        <f t="shared" si="43"/>
        <v>8.9228108703258049E-2</v>
      </c>
      <c r="H56" s="899">
        <f t="shared" si="43"/>
        <v>0</v>
      </c>
      <c r="I56" s="899">
        <f t="shared" si="43"/>
        <v>0</v>
      </c>
      <c r="J56" s="899">
        <f t="shared" si="43"/>
        <v>0</v>
      </c>
      <c r="K56" s="899">
        <f t="shared" si="43"/>
        <v>0.4459879758464787</v>
      </c>
      <c r="L56" s="996">
        <f t="shared" si="40"/>
        <v>1</v>
      </c>
      <c r="N56" s="317">
        <f t="shared" si="1"/>
        <v>13875.181385520002</v>
      </c>
      <c r="O56" s="1031">
        <f>Parameters!R158</f>
        <v>0.73</v>
      </c>
      <c r="P56" s="1031">
        <f>E56*'MSW characteristics'!$B$28+'MSW characteristics'!$B$29*'4A SWD Case 3'!F56+'4A SWD Case 3'!G56*'MSW characteristics'!$B$30+'MSW characteristics'!$B$31*'4A SWD Case 3'!H56+'4A SWD Case 3'!I56*'MSW characteristics'!$B$32+'MSW characteristics'!$B$33*'4A SWD Case 3'!J56+'4A SWD Case 3'!K56*'MSW characteristics'!$B$35</f>
        <v>0.11870178252267252</v>
      </c>
      <c r="Q56" s="1029">
        <f t="shared" si="2"/>
        <v>601.15819859961971</v>
      </c>
      <c r="R56" s="1029">
        <f t="shared" si="3"/>
        <v>601.15819859961971</v>
      </c>
      <c r="S56" s="303">
        <f t="shared" si="4"/>
        <v>0</v>
      </c>
      <c r="T56" s="1029">
        <f t="shared" si="5"/>
        <v>6909.0744199378278</v>
      </c>
      <c r="U56" s="1029">
        <f t="shared" si="6"/>
        <v>323.41378051611656</v>
      </c>
      <c r="V56" s="1202">
        <f t="shared" si="7"/>
        <v>215.60918701074436</v>
      </c>
      <c r="X56" s="317">
        <f>'Baseline data (from input)'!AS43*'4A SWD Case 3'!$D$12</f>
        <v>3946.8268712993636</v>
      </c>
      <c r="Y56" s="1031">
        <f>Parameters!S158</f>
        <v>0.71500000000000008</v>
      </c>
      <c r="Z56" s="1031">
        <f t="shared" si="8"/>
        <v>0.2</v>
      </c>
      <c r="AA56" s="1029">
        <f t="shared" si="9"/>
        <v>282.19812129790455</v>
      </c>
      <c r="AB56" s="1029">
        <f t="shared" si="10"/>
        <v>282.19812129790455</v>
      </c>
      <c r="AC56" s="303">
        <f t="shared" si="11"/>
        <v>0</v>
      </c>
      <c r="AD56" s="1029">
        <f t="shared" si="12"/>
        <v>3466.8664393276063</v>
      </c>
      <c r="AE56" s="1029">
        <f t="shared" si="13"/>
        <v>163.28143625937119</v>
      </c>
      <c r="AF56" s="1202">
        <f t="shared" si="14"/>
        <v>108.8542908395808</v>
      </c>
      <c r="AH56" s="317">
        <f>'Baseline data (from input)'!AS43*'4A SWD Case 3'!$D$12</f>
        <v>3946.8268712993636</v>
      </c>
      <c r="AI56" s="1031">
        <f>Parameters!S158</f>
        <v>0.71500000000000008</v>
      </c>
      <c r="AJ56" s="1031">
        <f t="shared" si="15"/>
        <v>0.2</v>
      </c>
      <c r="AK56" s="1029">
        <f t="shared" si="16"/>
        <v>282.19812129790455</v>
      </c>
      <c r="AL56" s="1029">
        <f t="shared" si="17"/>
        <v>282.19812129790455</v>
      </c>
      <c r="AM56" s="303">
        <f t="shared" si="18"/>
        <v>0</v>
      </c>
      <c r="AN56" s="1029">
        <f t="shared" si="19"/>
        <v>3466.8664393276063</v>
      </c>
      <c r="AO56" s="1029">
        <f t="shared" si="20"/>
        <v>163.28143625937119</v>
      </c>
      <c r="AP56" s="1202">
        <f t="shared" si="21"/>
        <v>108.8542908395808</v>
      </c>
      <c r="AR56" s="1037">
        <v>0</v>
      </c>
      <c r="AS56" s="1030">
        <v>1</v>
      </c>
      <c r="AT56" s="1030">
        <f t="shared" si="22"/>
        <v>0.05</v>
      </c>
      <c r="AU56" s="1029">
        <f t="shared" si="23"/>
        <v>0</v>
      </c>
      <c r="AV56" s="1029">
        <f t="shared" si="24"/>
        <v>0</v>
      </c>
      <c r="AW56" s="198">
        <f t="shared" si="25"/>
        <v>0</v>
      </c>
      <c r="AX56" s="1045">
        <f t="shared" si="42"/>
        <v>0</v>
      </c>
      <c r="AY56" s="1045">
        <f t="shared" si="27"/>
        <v>0</v>
      </c>
      <c r="AZ56" s="1202">
        <f t="shared" si="28"/>
        <v>0</v>
      </c>
      <c r="BB56" s="317">
        <f t="shared" si="29"/>
        <v>215.60918701074436</v>
      </c>
      <c r="BC56" s="318">
        <f t="shared" si="30"/>
        <v>108.8542908395808</v>
      </c>
      <c r="BD56" s="1214">
        <f t="shared" si="31"/>
        <v>0</v>
      </c>
      <c r="BE56" s="318">
        <f t="shared" si="32"/>
        <v>324.46347785032515</v>
      </c>
      <c r="BF56" s="104">
        <v>0</v>
      </c>
      <c r="BG56" s="319">
        <f t="shared" si="33"/>
        <v>324.46347785032515</v>
      </c>
      <c r="BI56" s="317">
        <f t="shared" si="34"/>
        <v>215.60918701074436</v>
      </c>
      <c r="BJ56" s="318">
        <f t="shared" si="35"/>
        <v>108.8542908395808</v>
      </c>
      <c r="BK56" s="1214">
        <f t="shared" si="36"/>
        <v>0</v>
      </c>
      <c r="BL56" s="318">
        <f t="shared" si="37"/>
        <v>324.46347785032515</v>
      </c>
      <c r="BM56" s="104">
        <v>0</v>
      </c>
      <c r="BN56" s="319">
        <f t="shared" si="38"/>
        <v>324.46347785032515</v>
      </c>
    </row>
    <row r="57" spans="1:66">
      <c r="A57" s="127">
        <f>'Input data'!A88</f>
        <v>1988</v>
      </c>
      <c r="B57" s="988">
        <f>'Input data'!B88</f>
        <v>30.692480000000003</v>
      </c>
      <c r="C57" s="988">
        <f>'Baseline data (from input)'!B44</f>
        <v>578.73</v>
      </c>
      <c r="D57" s="899">
        <f>'Baseline data (from input)'!T44</f>
        <v>0.8</v>
      </c>
      <c r="E57" s="899">
        <f t="shared" si="43"/>
        <v>0.19892488097366726</v>
      </c>
      <c r="F57" s="899">
        <f t="shared" si="43"/>
        <v>0.26585903447659598</v>
      </c>
      <c r="G57" s="899">
        <f t="shared" si="43"/>
        <v>8.9228108703258049E-2</v>
      </c>
      <c r="H57" s="899">
        <f t="shared" si="43"/>
        <v>0</v>
      </c>
      <c r="I57" s="899">
        <f t="shared" si="43"/>
        <v>0</v>
      </c>
      <c r="J57" s="899">
        <f t="shared" si="43"/>
        <v>0</v>
      </c>
      <c r="K57" s="899">
        <f t="shared" si="43"/>
        <v>0.4459879758464787</v>
      </c>
      <c r="L57" s="996">
        <f t="shared" si="40"/>
        <v>1</v>
      </c>
      <c r="N57" s="317">
        <f t="shared" si="1"/>
        <v>14210.127160320004</v>
      </c>
      <c r="O57" s="1031">
        <f>Parameters!R159</f>
        <v>0.73</v>
      </c>
      <c r="P57" s="1031">
        <f>E57*'MSW characteristics'!$B$28+'MSW characteristics'!$B$29*'4A SWD Case 3'!F57+'4A SWD Case 3'!G57*'MSW characteristics'!$B$30+'MSW characteristics'!$B$31*'4A SWD Case 3'!H57+'4A SWD Case 3'!I57*'MSW characteristics'!$B$32+'MSW characteristics'!$B$33*'4A SWD Case 3'!J57+'4A SWD Case 3'!K57*'MSW characteristics'!$B$35</f>
        <v>0.11870178252267252</v>
      </c>
      <c r="Q57" s="1029">
        <f t="shared" si="2"/>
        <v>615.67010968839691</v>
      </c>
      <c r="R57" s="1029">
        <f t="shared" si="3"/>
        <v>615.67010968839691</v>
      </c>
      <c r="S57" s="303">
        <f t="shared" si="4"/>
        <v>0</v>
      </c>
      <c r="T57" s="1029">
        <f t="shared" si="5"/>
        <v>7187.7849939984617</v>
      </c>
      <c r="U57" s="1029">
        <f t="shared" si="6"/>
        <v>336.95953562776333</v>
      </c>
      <c r="V57" s="1202">
        <f t="shared" si="7"/>
        <v>224.63969041850888</v>
      </c>
      <c r="X57" s="317">
        <f>'Baseline data (from input)'!AS44*'4A SWD Case 3'!$D$12</f>
        <v>4112.5988313734861</v>
      </c>
      <c r="Y57" s="1031">
        <f>Parameters!S159</f>
        <v>0.71500000000000008</v>
      </c>
      <c r="Z57" s="1031">
        <f t="shared" si="8"/>
        <v>0.2</v>
      </c>
      <c r="AA57" s="1029">
        <f t="shared" si="9"/>
        <v>294.05081644320433</v>
      </c>
      <c r="AB57" s="1029">
        <f t="shared" si="10"/>
        <v>294.05081644320433</v>
      </c>
      <c r="AC57" s="303">
        <f t="shared" si="11"/>
        <v>0</v>
      </c>
      <c r="AD57" s="1029">
        <f t="shared" si="12"/>
        <v>3591.8361843456428</v>
      </c>
      <c r="AE57" s="1029">
        <f t="shared" si="13"/>
        <v>169.08107142516781</v>
      </c>
      <c r="AF57" s="1202">
        <f t="shared" si="14"/>
        <v>112.7207142834452</v>
      </c>
      <c r="AH57" s="317">
        <f>'Baseline data (from input)'!AS44*'4A SWD Case 3'!$D$12</f>
        <v>4112.5988313734861</v>
      </c>
      <c r="AI57" s="1031">
        <f>Parameters!S159</f>
        <v>0.71500000000000008</v>
      </c>
      <c r="AJ57" s="1031">
        <f t="shared" si="15"/>
        <v>0.2</v>
      </c>
      <c r="AK57" s="1029">
        <f t="shared" si="16"/>
        <v>294.05081644320433</v>
      </c>
      <c r="AL57" s="1029">
        <f t="shared" si="17"/>
        <v>294.05081644320433</v>
      </c>
      <c r="AM57" s="303">
        <f t="shared" si="18"/>
        <v>0</v>
      </c>
      <c r="AN57" s="1029">
        <f t="shared" si="19"/>
        <v>3591.8361843456428</v>
      </c>
      <c r="AO57" s="1029">
        <f t="shared" si="20"/>
        <v>169.08107142516781</v>
      </c>
      <c r="AP57" s="1202">
        <f t="shared" si="21"/>
        <v>112.7207142834452</v>
      </c>
      <c r="AR57" s="1037">
        <v>0</v>
      </c>
      <c r="AS57" s="1030">
        <v>1</v>
      </c>
      <c r="AT57" s="1030">
        <f t="shared" si="22"/>
        <v>0.05</v>
      </c>
      <c r="AU57" s="1029">
        <f t="shared" si="23"/>
        <v>0</v>
      </c>
      <c r="AV57" s="1029">
        <f t="shared" si="24"/>
        <v>0</v>
      </c>
      <c r="AW57" s="198">
        <f t="shared" si="25"/>
        <v>0</v>
      </c>
      <c r="AX57" s="1045">
        <f t="shared" si="42"/>
        <v>0</v>
      </c>
      <c r="AY57" s="1045">
        <f t="shared" si="27"/>
        <v>0</v>
      </c>
      <c r="AZ57" s="1202">
        <f t="shared" si="28"/>
        <v>0</v>
      </c>
      <c r="BB57" s="317">
        <f t="shared" si="29"/>
        <v>224.63969041850888</v>
      </c>
      <c r="BC57" s="318">
        <f t="shared" si="30"/>
        <v>112.7207142834452</v>
      </c>
      <c r="BD57" s="1214">
        <f t="shared" si="31"/>
        <v>0</v>
      </c>
      <c r="BE57" s="318">
        <f t="shared" si="32"/>
        <v>337.36040470195405</v>
      </c>
      <c r="BF57" s="104">
        <v>0</v>
      </c>
      <c r="BG57" s="319">
        <f t="shared" si="33"/>
        <v>337.36040470195405</v>
      </c>
      <c r="BI57" s="317">
        <f t="shared" si="34"/>
        <v>224.63969041850888</v>
      </c>
      <c r="BJ57" s="318">
        <f t="shared" si="35"/>
        <v>112.7207142834452</v>
      </c>
      <c r="BK57" s="1214">
        <f t="shared" si="36"/>
        <v>0</v>
      </c>
      <c r="BL57" s="318">
        <f t="shared" si="37"/>
        <v>337.36040470195405</v>
      </c>
      <c r="BM57" s="104">
        <v>0</v>
      </c>
      <c r="BN57" s="319">
        <f t="shared" si="38"/>
        <v>337.36040470195405</v>
      </c>
    </row>
    <row r="58" spans="1:66">
      <c r="A58" s="127">
        <f>'Input data'!A89</f>
        <v>1989</v>
      </c>
      <c r="B58" s="988">
        <f>'Input data'!B89</f>
        <v>31.386810000000001</v>
      </c>
      <c r="C58" s="988">
        <f>'Baseline data (from input)'!B45</f>
        <v>578.73</v>
      </c>
      <c r="D58" s="899">
        <f>'Baseline data (from input)'!T45</f>
        <v>0.8</v>
      </c>
      <c r="E58" s="899">
        <f t="shared" si="43"/>
        <v>0.19892488097366726</v>
      </c>
      <c r="F58" s="899">
        <f t="shared" si="43"/>
        <v>0.26585903447659598</v>
      </c>
      <c r="G58" s="899">
        <f t="shared" si="43"/>
        <v>8.9228108703258049E-2</v>
      </c>
      <c r="H58" s="899">
        <f t="shared" si="43"/>
        <v>0</v>
      </c>
      <c r="I58" s="899">
        <f t="shared" si="43"/>
        <v>0</v>
      </c>
      <c r="J58" s="899">
        <f t="shared" si="43"/>
        <v>0</v>
      </c>
      <c r="K58" s="899">
        <f t="shared" si="43"/>
        <v>0.4459879758464787</v>
      </c>
      <c r="L58" s="996">
        <f t="shared" si="40"/>
        <v>1</v>
      </c>
      <c r="N58" s="317">
        <f t="shared" si="1"/>
        <v>14531.590841040001</v>
      </c>
      <c r="O58" s="1031">
        <f>Parameters!R160</f>
        <v>0.73</v>
      </c>
      <c r="P58" s="1031">
        <f>E58*'MSW characteristics'!$B$28+'MSW characteristics'!$B$29*'4A SWD Case 3'!F58+'4A SWD Case 3'!G58*'MSW characteristics'!$B$30+'MSW characteristics'!$B$31*'4A SWD Case 3'!H58+'4A SWD Case 3'!I58*'MSW characteristics'!$B$32+'MSW characteristics'!$B$33*'4A SWD Case 3'!J58+'4A SWD Case 3'!K58*'MSW characteristics'!$B$35</f>
        <v>0.11870178252267252</v>
      </c>
      <c r="Q58" s="1029">
        <f t="shared" si="2"/>
        <v>629.59789353838028</v>
      </c>
      <c r="R58" s="1029">
        <f t="shared" si="3"/>
        <v>629.59789353838028</v>
      </c>
      <c r="S58" s="303">
        <f t="shared" si="4"/>
        <v>0</v>
      </c>
      <c r="T58" s="1029">
        <f t="shared" si="5"/>
        <v>7466.8304768144053</v>
      </c>
      <c r="U58" s="1029">
        <f t="shared" si="6"/>
        <v>350.55241072243683</v>
      </c>
      <c r="V58" s="1202">
        <f t="shared" si="7"/>
        <v>233.70160714829123</v>
      </c>
      <c r="X58" s="317">
        <f>'Baseline data (from input)'!AS45*'4A SWD Case 3'!$D$12</f>
        <v>4211.0866967104384</v>
      </c>
      <c r="Y58" s="1031">
        <f>Parameters!S160</f>
        <v>0.71500000000000008</v>
      </c>
      <c r="Z58" s="1031">
        <f t="shared" si="8"/>
        <v>0.2</v>
      </c>
      <c r="AA58" s="1029">
        <f t="shared" si="9"/>
        <v>301.09269881479639</v>
      </c>
      <c r="AB58" s="1029">
        <f t="shared" si="10"/>
        <v>301.09269881479639</v>
      </c>
      <c r="AC58" s="303">
        <f t="shared" si="11"/>
        <v>0</v>
      </c>
      <c r="AD58" s="1029">
        <f t="shared" si="12"/>
        <v>3717.7529653507427</v>
      </c>
      <c r="AE58" s="1029">
        <f t="shared" si="13"/>
        <v>175.17591780969647</v>
      </c>
      <c r="AF58" s="1202">
        <f t="shared" si="14"/>
        <v>116.78394520646431</v>
      </c>
      <c r="AH58" s="317">
        <f>'Baseline data (from input)'!AS45*'4A SWD Case 3'!$D$12</f>
        <v>4211.0866967104384</v>
      </c>
      <c r="AI58" s="1031">
        <f>Parameters!S160</f>
        <v>0.71500000000000008</v>
      </c>
      <c r="AJ58" s="1031">
        <f t="shared" si="15"/>
        <v>0.2</v>
      </c>
      <c r="AK58" s="1029">
        <f t="shared" si="16"/>
        <v>301.09269881479639</v>
      </c>
      <c r="AL58" s="1029">
        <f t="shared" si="17"/>
        <v>301.09269881479639</v>
      </c>
      <c r="AM58" s="303">
        <f t="shared" si="18"/>
        <v>0</v>
      </c>
      <c r="AN58" s="1029">
        <f t="shared" si="19"/>
        <v>3717.7529653507427</v>
      </c>
      <c r="AO58" s="1029">
        <f t="shared" si="20"/>
        <v>175.17591780969647</v>
      </c>
      <c r="AP58" s="1202">
        <f t="shared" si="21"/>
        <v>116.78394520646431</v>
      </c>
      <c r="AR58" s="1037">
        <v>0</v>
      </c>
      <c r="AS58" s="1030">
        <v>1</v>
      </c>
      <c r="AT58" s="1030">
        <f t="shared" si="22"/>
        <v>0.05</v>
      </c>
      <c r="AU58" s="1029">
        <f t="shared" si="23"/>
        <v>0</v>
      </c>
      <c r="AV58" s="1029">
        <f t="shared" si="24"/>
        <v>0</v>
      </c>
      <c r="AW58" s="198">
        <f t="shared" si="25"/>
        <v>0</v>
      </c>
      <c r="AX58" s="1045">
        <f t="shared" si="42"/>
        <v>0</v>
      </c>
      <c r="AY58" s="1045">
        <f t="shared" si="27"/>
        <v>0</v>
      </c>
      <c r="AZ58" s="1202">
        <f t="shared" si="28"/>
        <v>0</v>
      </c>
      <c r="BB58" s="317">
        <f t="shared" si="29"/>
        <v>233.70160714829123</v>
      </c>
      <c r="BC58" s="318">
        <f t="shared" si="30"/>
        <v>116.78394520646431</v>
      </c>
      <c r="BD58" s="1214">
        <f t="shared" si="31"/>
        <v>0</v>
      </c>
      <c r="BE58" s="318">
        <f t="shared" si="32"/>
        <v>350.48555235475555</v>
      </c>
      <c r="BF58" s="104">
        <v>0</v>
      </c>
      <c r="BG58" s="319">
        <f t="shared" si="33"/>
        <v>350.48555235475555</v>
      </c>
      <c r="BI58" s="317">
        <f t="shared" si="34"/>
        <v>233.70160714829123</v>
      </c>
      <c r="BJ58" s="318">
        <f t="shared" si="35"/>
        <v>116.78394520646431</v>
      </c>
      <c r="BK58" s="1214">
        <f t="shared" si="36"/>
        <v>0</v>
      </c>
      <c r="BL58" s="318">
        <f t="shared" si="37"/>
        <v>350.48555235475555</v>
      </c>
      <c r="BM58" s="104">
        <v>0</v>
      </c>
      <c r="BN58" s="319">
        <f t="shared" si="38"/>
        <v>350.48555235475555</v>
      </c>
    </row>
    <row r="59" spans="1:66">
      <c r="A59" s="127">
        <f>'Input data'!A90</f>
        <v>1990</v>
      </c>
      <c r="B59" s="988">
        <f>'Input data'!B90</f>
        <v>32.032000000000004</v>
      </c>
      <c r="C59" s="988">
        <f>'Baseline data (from input)'!B46</f>
        <v>578.73</v>
      </c>
      <c r="D59" s="899">
        <f>'Baseline data (from input)'!T46</f>
        <v>0.8</v>
      </c>
      <c r="E59" s="899">
        <f t="shared" si="43"/>
        <v>0.19892488097366726</v>
      </c>
      <c r="F59" s="899">
        <f t="shared" si="43"/>
        <v>0.26585903447659598</v>
      </c>
      <c r="G59" s="899">
        <f t="shared" si="43"/>
        <v>8.9228108703258049E-2</v>
      </c>
      <c r="H59" s="899">
        <f t="shared" si="43"/>
        <v>0</v>
      </c>
      <c r="I59" s="899">
        <f t="shared" si="43"/>
        <v>0</v>
      </c>
      <c r="J59" s="899">
        <f t="shared" si="43"/>
        <v>0</v>
      </c>
      <c r="K59" s="899">
        <f t="shared" si="43"/>
        <v>0.4459879758464787</v>
      </c>
      <c r="L59" s="996">
        <f t="shared" si="40"/>
        <v>1</v>
      </c>
      <c r="N59" s="317">
        <f t="shared" si="1"/>
        <v>14830.303488000003</v>
      </c>
      <c r="O59" s="1031">
        <f>Parameters!R161</f>
        <v>0.73</v>
      </c>
      <c r="P59" s="1031">
        <f>E59*'MSW characteristics'!$B$28+'MSW characteristics'!$B$29*'4A SWD Case 3'!F59+'4A SWD Case 3'!G59*'MSW characteristics'!$B$30+'MSW characteristics'!$B$31*'4A SWD Case 3'!H59+'4A SWD Case 3'!I59*'MSW characteristics'!$B$32+'MSW characteristics'!$B$33*'4A SWD Case 3'!J59+'4A SWD Case 3'!K59*'MSW characteristics'!$B$35</f>
        <v>0.11870178252267252</v>
      </c>
      <c r="Q59" s="1029">
        <f t="shared" si="2"/>
        <v>642.53996267289995</v>
      </c>
      <c r="R59" s="1029">
        <f t="shared" si="3"/>
        <v>642.53996267289995</v>
      </c>
      <c r="S59" s="303">
        <f t="shared" si="4"/>
        <v>0</v>
      </c>
      <c r="T59" s="1029">
        <f t="shared" si="5"/>
        <v>7745.2088199774589</v>
      </c>
      <c r="U59" s="1029">
        <f t="shared" si="6"/>
        <v>364.1616195098465</v>
      </c>
      <c r="V59" s="1202">
        <f t="shared" si="7"/>
        <v>242.77441300656434</v>
      </c>
      <c r="X59" s="317">
        <f>'Baseline data (from input)'!AS46*'4A SWD Case 3'!$D$12</f>
        <v>4197.7044663843517</v>
      </c>
      <c r="Y59" s="1031">
        <f>Parameters!S161</f>
        <v>0.71500000000000008</v>
      </c>
      <c r="Z59" s="1031">
        <f t="shared" si="8"/>
        <v>0.2</v>
      </c>
      <c r="AA59" s="1029">
        <f t="shared" si="9"/>
        <v>300.13586934648123</v>
      </c>
      <c r="AB59" s="1029">
        <f t="shared" si="10"/>
        <v>300.13586934648123</v>
      </c>
      <c r="AC59" s="303">
        <f t="shared" si="11"/>
        <v>0</v>
      </c>
      <c r="AD59" s="1029">
        <f t="shared" si="12"/>
        <v>3836.5718830128912</v>
      </c>
      <c r="AE59" s="1029">
        <f t="shared" si="13"/>
        <v>181.31695168433274</v>
      </c>
      <c r="AF59" s="1202">
        <f t="shared" si="14"/>
        <v>120.87796778955516</v>
      </c>
      <c r="AH59" s="317">
        <f>'Baseline data (from input)'!AS46*'4A SWD Case 3'!$D$12</f>
        <v>4197.7044663843517</v>
      </c>
      <c r="AI59" s="1031">
        <f>Parameters!S161</f>
        <v>0.71500000000000008</v>
      </c>
      <c r="AJ59" s="1031">
        <f t="shared" si="15"/>
        <v>0.2</v>
      </c>
      <c r="AK59" s="1029">
        <f t="shared" si="16"/>
        <v>300.13586934648123</v>
      </c>
      <c r="AL59" s="1029">
        <f t="shared" si="17"/>
        <v>300.13586934648123</v>
      </c>
      <c r="AM59" s="303">
        <f t="shared" si="18"/>
        <v>0</v>
      </c>
      <c r="AN59" s="1029">
        <f t="shared" si="19"/>
        <v>3836.5718830128912</v>
      </c>
      <c r="AO59" s="1029">
        <f t="shared" si="20"/>
        <v>181.31695168433274</v>
      </c>
      <c r="AP59" s="1202">
        <f t="shared" si="21"/>
        <v>120.87796778955516</v>
      </c>
      <c r="AR59" s="1037">
        <v>0</v>
      </c>
      <c r="AS59" s="1030">
        <v>1</v>
      </c>
      <c r="AT59" s="1030">
        <f t="shared" si="22"/>
        <v>0.05</v>
      </c>
      <c r="AU59" s="1029">
        <f t="shared" si="23"/>
        <v>0</v>
      </c>
      <c r="AV59" s="1029">
        <f t="shared" si="24"/>
        <v>0</v>
      </c>
      <c r="AW59" s="198">
        <f t="shared" si="25"/>
        <v>0</v>
      </c>
      <c r="AX59" s="1045">
        <f t="shared" si="42"/>
        <v>0</v>
      </c>
      <c r="AY59" s="1045">
        <f t="shared" si="27"/>
        <v>0</v>
      </c>
      <c r="AZ59" s="1202">
        <f t="shared" si="28"/>
        <v>0</v>
      </c>
      <c r="BB59" s="317">
        <f t="shared" si="29"/>
        <v>242.77441300656434</v>
      </c>
      <c r="BC59" s="318">
        <f t="shared" si="30"/>
        <v>120.87796778955516</v>
      </c>
      <c r="BD59" s="1214">
        <f t="shared" si="31"/>
        <v>0</v>
      </c>
      <c r="BE59" s="318">
        <f t="shared" si="32"/>
        <v>363.65238079611947</v>
      </c>
      <c r="BF59" s="104">
        <v>0</v>
      </c>
      <c r="BG59" s="319">
        <f t="shared" si="33"/>
        <v>363.65238079611947</v>
      </c>
      <c r="BI59" s="317">
        <f t="shared" si="34"/>
        <v>242.77441300656434</v>
      </c>
      <c r="BJ59" s="318">
        <f t="shared" si="35"/>
        <v>120.87796778955516</v>
      </c>
      <c r="BK59" s="1214">
        <f t="shared" si="36"/>
        <v>0</v>
      </c>
      <c r="BL59" s="318">
        <f t="shared" si="37"/>
        <v>363.65238079611947</v>
      </c>
      <c r="BM59" s="104">
        <v>0</v>
      </c>
      <c r="BN59" s="319">
        <f t="shared" si="38"/>
        <v>363.65238079611947</v>
      </c>
    </row>
    <row r="60" spans="1:66">
      <c r="A60" s="127">
        <f>'Input data'!A91</f>
        <v>1991</v>
      </c>
      <c r="B60" s="988">
        <f>'Input data'!B91</f>
        <v>32.69903</v>
      </c>
      <c r="C60" s="988">
        <f>'Baseline data (from input)'!B47</f>
        <v>578.73</v>
      </c>
      <c r="D60" s="899">
        <f>'Baseline data (from input)'!T47</f>
        <v>0.8</v>
      </c>
      <c r="E60" s="899">
        <f t="shared" si="43"/>
        <v>0.19892488097366726</v>
      </c>
      <c r="F60" s="899">
        <f t="shared" si="43"/>
        <v>0.26585903447659598</v>
      </c>
      <c r="G60" s="899">
        <f t="shared" si="43"/>
        <v>8.9228108703258049E-2</v>
      </c>
      <c r="H60" s="899">
        <f t="shared" si="43"/>
        <v>0</v>
      </c>
      <c r="I60" s="899">
        <f t="shared" si="43"/>
        <v>0</v>
      </c>
      <c r="J60" s="899">
        <f t="shared" si="43"/>
        <v>0</v>
      </c>
      <c r="K60" s="899">
        <f t="shared" si="43"/>
        <v>0.4459879758464787</v>
      </c>
      <c r="L60" s="996">
        <f t="shared" si="40"/>
        <v>1</v>
      </c>
      <c r="N60" s="317">
        <f t="shared" si="1"/>
        <v>15139.127705520003</v>
      </c>
      <c r="O60" s="1031">
        <f>Parameters!R162</f>
        <v>0.73</v>
      </c>
      <c r="P60" s="1031">
        <f>E60*'MSW characteristics'!$B$28+'MSW characteristics'!$B$29*'4A SWD Case 3'!F60+'4A SWD Case 3'!G60*'MSW characteristics'!$B$30+'MSW characteristics'!$B$31*'4A SWD Case 3'!H60+'4A SWD Case 3'!I60*'MSW characteristics'!$B$32+'MSW characteristics'!$B$33*'4A SWD Case 3'!J60+'4A SWD Case 3'!K60*'MSW characteristics'!$B$35</f>
        <v>0.11870178252267252</v>
      </c>
      <c r="Q60" s="1029">
        <f t="shared" si="2"/>
        <v>655.92012723651465</v>
      </c>
      <c r="R60" s="1029">
        <f t="shared" si="3"/>
        <v>655.92012723651465</v>
      </c>
      <c r="S60" s="303">
        <f t="shared" si="4"/>
        <v>0</v>
      </c>
      <c r="T60" s="1029">
        <f t="shared" si="5"/>
        <v>8023.3906557015271</v>
      </c>
      <c r="U60" s="1029">
        <f t="shared" si="6"/>
        <v>377.73829151244638</v>
      </c>
      <c r="V60" s="1202">
        <f t="shared" si="7"/>
        <v>251.82552767496426</v>
      </c>
      <c r="X60" s="317">
        <f>'Baseline data (from input)'!AS47*'4A SWD Case 3'!$D$12</f>
        <v>4154.9626052978174</v>
      </c>
      <c r="Y60" s="1031">
        <f>Parameters!S162</f>
        <v>0.71500000000000008</v>
      </c>
      <c r="Z60" s="1031">
        <f t="shared" si="8"/>
        <v>0.2</v>
      </c>
      <c r="AA60" s="1029">
        <f t="shared" si="9"/>
        <v>297.07982627879397</v>
      </c>
      <c r="AB60" s="1029">
        <f t="shared" si="10"/>
        <v>297.07982627879397</v>
      </c>
      <c r="AC60" s="303">
        <f t="shared" si="11"/>
        <v>0</v>
      </c>
      <c r="AD60" s="1029">
        <f t="shared" si="12"/>
        <v>3946.5398906127671</v>
      </c>
      <c r="AE60" s="1029">
        <f t="shared" si="13"/>
        <v>187.11181867891801</v>
      </c>
      <c r="AF60" s="1202">
        <f t="shared" si="14"/>
        <v>124.741212452612</v>
      </c>
      <c r="AH60" s="317">
        <f>'Baseline data (from input)'!AS47*'4A SWD Case 3'!$D$12</f>
        <v>4154.9626052978174</v>
      </c>
      <c r="AI60" s="1031">
        <f>Parameters!S162</f>
        <v>0.71500000000000008</v>
      </c>
      <c r="AJ60" s="1031">
        <f t="shared" si="15"/>
        <v>0.2</v>
      </c>
      <c r="AK60" s="1029">
        <f t="shared" si="16"/>
        <v>297.07982627879397</v>
      </c>
      <c r="AL60" s="1029">
        <f t="shared" si="17"/>
        <v>297.07982627879397</v>
      </c>
      <c r="AM60" s="303">
        <f t="shared" si="18"/>
        <v>0</v>
      </c>
      <c r="AN60" s="1029">
        <f t="shared" si="19"/>
        <v>3946.5398906127671</v>
      </c>
      <c r="AO60" s="1029">
        <f t="shared" si="20"/>
        <v>187.11181867891801</v>
      </c>
      <c r="AP60" s="1202">
        <f t="shared" si="21"/>
        <v>124.741212452612</v>
      </c>
      <c r="AR60" s="1037">
        <v>0</v>
      </c>
      <c r="AS60" s="1030">
        <v>1</v>
      </c>
      <c r="AT60" s="1030">
        <f t="shared" si="22"/>
        <v>0.05</v>
      </c>
      <c r="AU60" s="1029">
        <f t="shared" si="23"/>
        <v>0</v>
      </c>
      <c r="AV60" s="1029">
        <f t="shared" si="24"/>
        <v>0</v>
      </c>
      <c r="AW60" s="198">
        <f t="shared" si="25"/>
        <v>0</v>
      </c>
      <c r="AX60" s="1045">
        <f t="shared" si="42"/>
        <v>0</v>
      </c>
      <c r="AY60" s="1045">
        <f t="shared" si="27"/>
        <v>0</v>
      </c>
      <c r="AZ60" s="1202">
        <f t="shared" si="28"/>
        <v>0</v>
      </c>
      <c r="BB60" s="317">
        <f t="shared" si="29"/>
        <v>251.82552767496426</v>
      </c>
      <c r="BC60" s="318">
        <f t="shared" si="30"/>
        <v>124.741212452612</v>
      </c>
      <c r="BD60" s="1214">
        <f t="shared" si="31"/>
        <v>0</v>
      </c>
      <c r="BE60" s="318">
        <f t="shared" si="32"/>
        <v>376.56674012757628</v>
      </c>
      <c r="BF60" s="104">
        <v>0</v>
      </c>
      <c r="BG60" s="319">
        <f t="shared" si="33"/>
        <v>376.56674012757628</v>
      </c>
      <c r="BI60" s="317">
        <f t="shared" si="34"/>
        <v>251.82552767496426</v>
      </c>
      <c r="BJ60" s="318">
        <f t="shared" si="35"/>
        <v>124.741212452612</v>
      </c>
      <c r="BK60" s="1214">
        <f t="shared" si="36"/>
        <v>0</v>
      </c>
      <c r="BL60" s="318">
        <f t="shared" si="37"/>
        <v>376.56674012757628</v>
      </c>
      <c r="BM60" s="104">
        <v>0</v>
      </c>
      <c r="BN60" s="319">
        <f t="shared" si="38"/>
        <v>376.56674012757628</v>
      </c>
    </row>
    <row r="61" spans="1:66">
      <c r="A61" s="127">
        <f>'Input data'!A92</f>
        <v>1992</v>
      </c>
      <c r="B61" s="988">
        <f>'Input data'!B92</f>
        <v>33.388809999999999</v>
      </c>
      <c r="C61" s="988">
        <f>'Baseline data (from input)'!B48</f>
        <v>578.73</v>
      </c>
      <c r="D61" s="899">
        <f>'Baseline data (from input)'!T48</f>
        <v>0.8</v>
      </c>
      <c r="E61" s="899">
        <f t="shared" si="43"/>
        <v>0.19892488097366726</v>
      </c>
      <c r="F61" s="899">
        <f t="shared" si="43"/>
        <v>0.26585903447659598</v>
      </c>
      <c r="G61" s="899">
        <f t="shared" si="43"/>
        <v>8.9228108703258049E-2</v>
      </c>
      <c r="H61" s="899">
        <f t="shared" si="43"/>
        <v>0</v>
      </c>
      <c r="I61" s="899">
        <f t="shared" si="43"/>
        <v>0</v>
      </c>
      <c r="J61" s="899">
        <f t="shared" si="43"/>
        <v>0</v>
      </c>
      <c r="K61" s="899">
        <f t="shared" si="43"/>
        <v>0.4459879758464787</v>
      </c>
      <c r="L61" s="996">
        <f t="shared" si="40"/>
        <v>1</v>
      </c>
      <c r="N61" s="317">
        <f t="shared" si="1"/>
        <v>15458.484809039999</v>
      </c>
      <c r="O61" s="1031">
        <f>Parameters!R163</f>
        <v>0.73</v>
      </c>
      <c r="P61" s="1031">
        <f>E61*'MSW characteristics'!$B$28+'MSW characteristics'!$B$29*'4A SWD Case 3'!F61+'4A SWD Case 3'!G61*'MSW characteristics'!$B$30+'MSW characteristics'!$B$31*'4A SWD Case 3'!H61+'4A SWD Case 3'!I61*'MSW characteristics'!$B$32+'MSW characteristics'!$B$33*'4A SWD Case 3'!J61+'4A SWD Case 3'!K61*'MSW characteristics'!$B$35</f>
        <v>0.11870178252267252</v>
      </c>
      <c r="Q61" s="1029">
        <f t="shared" si="2"/>
        <v>669.75664120543661</v>
      </c>
      <c r="R61" s="1029">
        <f t="shared" si="3"/>
        <v>669.75664120543661</v>
      </c>
      <c r="S61" s="303">
        <f t="shared" si="4"/>
        <v>0</v>
      </c>
      <c r="T61" s="1029">
        <f t="shared" si="5"/>
        <v>8301.8419171728056</v>
      </c>
      <c r="U61" s="1029">
        <f t="shared" si="6"/>
        <v>391.30537973415699</v>
      </c>
      <c r="V61" s="1202">
        <f t="shared" si="7"/>
        <v>260.87025315610464</v>
      </c>
      <c r="X61" s="317">
        <f>'Baseline data (from input)'!AS48*'4A SWD Case 3'!$D$12</f>
        <v>4066.1686907059261</v>
      </c>
      <c r="Y61" s="1031">
        <f>Parameters!S163</f>
        <v>0.71500000000000008</v>
      </c>
      <c r="Z61" s="1031">
        <f t="shared" si="8"/>
        <v>0.2</v>
      </c>
      <c r="AA61" s="1029">
        <f t="shared" si="9"/>
        <v>290.73106138547377</v>
      </c>
      <c r="AB61" s="1029">
        <f t="shared" si="10"/>
        <v>290.73106138547377</v>
      </c>
      <c r="AC61" s="303">
        <f t="shared" si="11"/>
        <v>0</v>
      </c>
      <c r="AD61" s="1029">
        <f t="shared" si="12"/>
        <v>4044.7959303021671</v>
      </c>
      <c r="AE61" s="1029">
        <f t="shared" si="13"/>
        <v>192.47502169607381</v>
      </c>
      <c r="AF61" s="1202">
        <f t="shared" si="14"/>
        <v>128.31668113071586</v>
      </c>
      <c r="AH61" s="317">
        <f>'Baseline data (from input)'!AS48*'4A SWD Case 3'!$D$12</f>
        <v>4066.1686907059261</v>
      </c>
      <c r="AI61" s="1031">
        <f>Parameters!S163</f>
        <v>0.71500000000000008</v>
      </c>
      <c r="AJ61" s="1031">
        <f t="shared" si="15"/>
        <v>0.2</v>
      </c>
      <c r="AK61" s="1029">
        <f t="shared" si="16"/>
        <v>290.73106138547377</v>
      </c>
      <c r="AL61" s="1029">
        <f t="shared" si="17"/>
        <v>290.73106138547377</v>
      </c>
      <c r="AM61" s="303">
        <f t="shared" si="18"/>
        <v>0</v>
      </c>
      <c r="AN61" s="1029">
        <f t="shared" si="19"/>
        <v>4044.7959303021671</v>
      </c>
      <c r="AO61" s="1029">
        <f t="shared" si="20"/>
        <v>192.47502169607381</v>
      </c>
      <c r="AP61" s="1202">
        <f t="shared" si="21"/>
        <v>128.31668113071586</v>
      </c>
      <c r="AR61" s="1037">
        <v>0</v>
      </c>
      <c r="AS61" s="1030">
        <v>1</v>
      </c>
      <c r="AT61" s="1030">
        <f t="shared" si="22"/>
        <v>0.05</v>
      </c>
      <c r="AU61" s="1029">
        <f t="shared" si="23"/>
        <v>0</v>
      </c>
      <c r="AV61" s="1029">
        <f t="shared" si="24"/>
        <v>0</v>
      </c>
      <c r="AW61" s="198">
        <f t="shared" si="25"/>
        <v>0</v>
      </c>
      <c r="AX61" s="1045">
        <f t="shared" si="42"/>
        <v>0</v>
      </c>
      <c r="AY61" s="1045">
        <f t="shared" si="27"/>
        <v>0</v>
      </c>
      <c r="AZ61" s="1202">
        <f t="shared" si="28"/>
        <v>0</v>
      </c>
      <c r="BB61" s="317">
        <f t="shared" si="29"/>
        <v>260.87025315610464</v>
      </c>
      <c r="BC61" s="318">
        <f t="shared" si="30"/>
        <v>128.31668113071586</v>
      </c>
      <c r="BD61" s="1214">
        <f t="shared" si="31"/>
        <v>0</v>
      </c>
      <c r="BE61" s="318">
        <f t="shared" si="32"/>
        <v>389.18693428682047</v>
      </c>
      <c r="BF61" s="104">
        <v>0</v>
      </c>
      <c r="BG61" s="319">
        <f t="shared" si="33"/>
        <v>389.18693428682047</v>
      </c>
      <c r="BI61" s="317">
        <f t="shared" si="34"/>
        <v>260.87025315610464</v>
      </c>
      <c r="BJ61" s="318">
        <f t="shared" si="35"/>
        <v>128.31668113071586</v>
      </c>
      <c r="BK61" s="1214">
        <f t="shared" si="36"/>
        <v>0</v>
      </c>
      <c r="BL61" s="318">
        <f t="shared" si="37"/>
        <v>389.18693428682047</v>
      </c>
      <c r="BM61" s="104">
        <v>0</v>
      </c>
      <c r="BN61" s="319">
        <f t="shared" si="38"/>
        <v>389.18693428682047</v>
      </c>
    </row>
    <row r="62" spans="1:66">
      <c r="A62" s="127">
        <f>'Input data'!A93</f>
        <v>1993</v>
      </c>
      <c r="B62" s="988">
        <f>'Input data'!B93</f>
        <v>34.101339999999993</v>
      </c>
      <c r="C62" s="988">
        <f>'Baseline data (from input)'!B49</f>
        <v>578.73</v>
      </c>
      <c r="D62" s="899">
        <f>'Baseline data (from input)'!T49</f>
        <v>0.8</v>
      </c>
      <c r="E62" s="899">
        <f t="shared" si="43"/>
        <v>0.19892488097366726</v>
      </c>
      <c r="F62" s="899">
        <f t="shared" si="43"/>
        <v>0.26585903447659598</v>
      </c>
      <c r="G62" s="899">
        <f t="shared" si="43"/>
        <v>8.9228108703258049E-2</v>
      </c>
      <c r="H62" s="899">
        <f t="shared" si="43"/>
        <v>0</v>
      </c>
      <c r="I62" s="899">
        <f t="shared" si="43"/>
        <v>0</v>
      </c>
      <c r="J62" s="899">
        <f t="shared" si="43"/>
        <v>0</v>
      </c>
      <c r="K62" s="899">
        <f t="shared" si="43"/>
        <v>0.4459879758464787</v>
      </c>
      <c r="L62" s="996">
        <f t="shared" si="40"/>
        <v>1</v>
      </c>
      <c r="N62" s="317">
        <f t="shared" si="1"/>
        <v>15788.374798559998</v>
      </c>
      <c r="O62" s="1031">
        <f>Parameters!R164</f>
        <v>0.73</v>
      </c>
      <c r="P62" s="1031">
        <f>E62*'MSW characteristics'!$B$28+'MSW characteristics'!$B$29*'4A SWD Case 3'!F62+'4A SWD Case 3'!G62*'MSW characteristics'!$B$30+'MSW characteristics'!$B$31*'4A SWD Case 3'!H62+'4A SWD Case 3'!I62*'MSW characteristics'!$B$32+'MSW characteristics'!$B$33*'4A SWD Case 3'!J62+'4A SWD Case 3'!K62*'MSW characteristics'!$B$35</f>
        <v>0.11870178252267252</v>
      </c>
      <c r="Q62" s="1029">
        <f t="shared" si="2"/>
        <v>684.04950457966606</v>
      </c>
      <c r="R62" s="1029">
        <f t="shared" si="3"/>
        <v>684.04950457966606</v>
      </c>
      <c r="S62" s="303">
        <f t="shared" si="4"/>
        <v>0</v>
      </c>
      <c r="T62" s="1029">
        <f t="shared" si="5"/>
        <v>8581.0058137478591</v>
      </c>
      <c r="U62" s="1029">
        <f t="shared" si="6"/>
        <v>404.8856080046134</v>
      </c>
      <c r="V62" s="1202">
        <f t="shared" si="7"/>
        <v>269.92373866974225</v>
      </c>
      <c r="X62" s="317">
        <f>'Baseline data (from input)'!AS49*'4A SWD Case 3'!$D$12</f>
        <v>4116.3256912019551</v>
      </c>
      <c r="Y62" s="1031">
        <f>Parameters!S164</f>
        <v>0.71500000000000008</v>
      </c>
      <c r="Z62" s="1031">
        <f t="shared" si="8"/>
        <v>0.2</v>
      </c>
      <c r="AA62" s="1029">
        <f t="shared" si="9"/>
        <v>294.31728692093981</v>
      </c>
      <c r="AB62" s="1029">
        <f t="shared" si="10"/>
        <v>294.31728692093981</v>
      </c>
      <c r="AC62" s="303">
        <f t="shared" si="11"/>
        <v>0</v>
      </c>
      <c r="AD62" s="1029">
        <f t="shared" si="12"/>
        <v>4141.8461919251004</v>
      </c>
      <c r="AE62" s="1029">
        <f t="shared" si="13"/>
        <v>197.26702529800653</v>
      </c>
      <c r="AF62" s="1202">
        <f t="shared" si="14"/>
        <v>131.51135019867101</v>
      </c>
      <c r="AH62" s="317">
        <f>'Baseline data (from input)'!AS49*'4A SWD Case 3'!$D$12</f>
        <v>4116.3256912019551</v>
      </c>
      <c r="AI62" s="1031">
        <f>Parameters!S164</f>
        <v>0.71500000000000008</v>
      </c>
      <c r="AJ62" s="1031">
        <f t="shared" si="15"/>
        <v>0.2</v>
      </c>
      <c r="AK62" s="1029">
        <f t="shared" si="16"/>
        <v>294.31728692093981</v>
      </c>
      <c r="AL62" s="1029">
        <f t="shared" si="17"/>
        <v>294.31728692093981</v>
      </c>
      <c r="AM62" s="303">
        <f t="shared" si="18"/>
        <v>0</v>
      </c>
      <c r="AN62" s="1029">
        <f t="shared" si="19"/>
        <v>4141.8461919251004</v>
      </c>
      <c r="AO62" s="1029">
        <f t="shared" si="20"/>
        <v>197.26702529800653</v>
      </c>
      <c r="AP62" s="1202">
        <f t="shared" si="21"/>
        <v>131.51135019867101</v>
      </c>
      <c r="AR62" s="1037">
        <v>0</v>
      </c>
      <c r="AS62" s="1030">
        <v>1</v>
      </c>
      <c r="AT62" s="1030">
        <f t="shared" si="22"/>
        <v>0.05</v>
      </c>
      <c r="AU62" s="1029">
        <f t="shared" si="23"/>
        <v>0</v>
      </c>
      <c r="AV62" s="1029">
        <f t="shared" si="24"/>
        <v>0</v>
      </c>
      <c r="AW62" s="198">
        <f t="shared" si="25"/>
        <v>0</v>
      </c>
      <c r="AX62" s="1045">
        <f t="shared" si="42"/>
        <v>0</v>
      </c>
      <c r="AY62" s="1045">
        <f t="shared" si="27"/>
        <v>0</v>
      </c>
      <c r="AZ62" s="1202">
        <f t="shared" si="28"/>
        <v>0</v>
      </c>
      <c r="BB62" s="317">
        <f t="shared" si="29"/>
        <v>269.92373866974225</v>
      </c>
      <c r="BC62" s="318">
        <f t="shared" si="30"/>
        <v>131.51135019867101</v>
      </c>
      <c r="BD62" s="1214">
        <f t="shared" si="31"/>
        <v>0</v>
      </c>
      <c r="BE62" s="318">
        <f t="shared" si="32"/>
        <v>401.43508886841323</v>
      </c>
      <c r="BF62" s="104">
        <v>0</v>
      </c>
      <c r="BG62" s="319">
        <f t="shared" si="33"/>
        <v>401.43508886841323</v>
      </c>
      <c r="BI62" s="317">
        <f t="shared" si="34"/>
        <v>269.92373866974225</v>
      </c>
      <c r="BJ62" s="318">
        <f t="shared" si="35"/>
        <v>131.51135019867101</v>
      </c>
      <c r="BK62" s="1214">
        <f t="shared" si="36"/>
        <v>0</v>
      </c>
      <c r="BL62" s="318">
        <f t="shared" si="37"/>
        <v>401.43508886841323</v>
      </c>
      <c r="BM62" s="104">
        <v>0</v>
      </c>
      <c r="BN62" s="319">
        <f t="shared" si="38"/>
        <v>401.43508886841323</v>
      </c>
    </row>
    <row r="63" spans="1:66">
      <c r="A63" s="127">
        <f>'Input data'!A94</f>
        <v>1994</v>
      </c>
      <c r="B63" s="988">
        <f>'Input data'!B94</f>
        <v>34.837530000000001</v>
      </c>
      <c r="C63" s="988">
        <f>'Baseline data (from input)'!B50</f>
        <v>578.73</v>
      </c>
      <c r="D63" s="899">
        <f>'Baseline data (from input)'!T50</f>
        <v>0.8</v>
      </c>
      <c r="E63" s="899">
        <f t="shared" si="43"/>
        <v>0.19892488097366726</v>
      </c>
      <c r="F63" s="899">
        <f t="shared" si="43"/>
        <v>0.26585903447659598</v>
      </c>
      <c r="G63" s="899">
        <f t="shared" si="43"/>
        <v>8.9228108703258049E-2</v>
      </c>
      <c r="H63" s="899">
        <f t="shared" si="43"/>
        <v>0</v>
      </c>
      <c r="I63" s="899">
        <f t="shared" si="43"/>
        <v>0</v>
      </c>
      <c r="J63" s="899">
        <f t="shared" si="43"/>
        <v>0</v>
      </c>
      <c r="K63" s="899">
        <f t="shared" si="43"/>
        <v>0.4459879758464787</v>
      </c>
      <c r="L63" s="996">
        <f t="shared" si="40"/>
        <v>1</v>
      </c>
      <c r="N63" s="317">
        <f t="shared" si="1"/>
        <v>16129.218989520003</v>
      </c>
      <c r="O63" s="1031">
        <f>Parameters!R165</f>
        <v>0.73</v>
      </c>
      <c r="P63" s="1031">
        <f>E63*'MSW characteristics'!$B$28+'MSW characteristics'!$B$29*'4A SWD Case 3'!F63+'4A SWD Case 3'!G63*'MSW characteristics'!$B$30+'MSW characteristics'!$B$31*'4A SWD Case 3'!H63+'4A SWD Case 3'!I63*'MSW characteristics'!$B$32+'MSW characteristics'!$B$33*'4A SWD Case 3'!J63+'4A SWD Case 3'!K63*'MSW characteristics'!$B$35</f>
        <v>0.11870178252267252</v>
      </c>
      <c r="Q63" s="1029">
        <f t="shared" si="2"/>
        <v>698.81697133541559</v>
      </c>
      <c r="R63" s="1029">
        <f t="shared" si="3"/>
        <v>698.81697133541559</v>
      </c>
      <c r="S63" s="303">
        <f t="shared" si="4"/>
        <v>0</v>
      </c>
      <c r="T63" s="1029">
        <f t="shared" si="5"/>
        <v>8861.3221931840726</v>
      </c>
      <c r="U63" s="1029">
        <f t="shared" si="6"/>
        <v>418.50059189920194</v>
      </c>
      <c r="V63" s="1202">
        <f t="shared" si="7"/>
        <v>279.00039459946794</v>
      </c>
      <c r="X63" s="317">
        <f>'Baseline data (from input)'!AS50*'4A SWD Case 3'!$D$12</f>
        <v>4248.0481565006739</v>
      </c>
      <c r="Y63" s="1031">
        <f>Parameters!S165</f>
        <v>0.71500000000000008</v>
      </c>
      <c r="Z63" s="1031">
        <f t="shared" si="8"/>
        <v>0.2</v>
      </c>
      <c r="AA63" s="1029">
        <f t="shared" si="9"/>
        <v>303.73544318979827</v>
      </c>
      <c r="AB63" s="1029">
        <f t="shared" si="10"/>
        <v>303.73544318979827</v>
      </c>
      <c r="AC63" s="303">
        <f t="shared" si="11"/>
        <v>0</v>
      </c>
      <c r="AD63" s="1029">
        <f t="shared" si="12"/>
        <v>4243.5814127051854</v>
      </c>
      <c r="AE63" s="1029">
        <f t="shared" si="13"/>
        <v>202.00022240971325</v>
      </c>
      <c r="AF63" s="1202">
        <f t="shared" si="14"/>
        <v>134.66681493980883</v>
      </c>
      <c r="AH63" s="317">
        <f>'Baseline data (from input)'!AS50*'4A SWD Case 3'!$D$12</f>
        <v>4248.0481565006739</v>
      </c>
      <c r="AI63" s="1031">
        <f>Parameters!S165</f>
        <v>0.71500000000000008</v>
      </c>
      <c r="AJ63" s="1031">
        <f t="shared" si="15"/>
        <v>0.2</v>
      </c>
      <c r="AK63" s="1029">
        <f t="shared" si="16"/>
        <v>303.73544318979827</v>
      </c>
      <c r="AL63" s="1029">
        <f t="shared" si="17"/>
        <v>303.73544318979827</v>
      </c>
      <c r="AM63" s="303">
        <f t="shared" si="18"/>
        <v>0</v>
      </c>
      <c r="AN63" s="1029">
        <f t="shared" si="19"/>
        <v>4243.5814127051854</v>
      </c>
      <c r="AO63" s="1029">
        <f t="shared" si="20"/>
        <v>202.00022240971325</v>
      </c>
      <c r="AP63" s="1202">
        <f t="shared" si="21"/>
        <v>134.66681493980883</v>
      </c>
      <c r="AR63" s="1037">
        <v>0</v>
      </c>
      <c r="AS63" s="1030">
        <v>1</v>
      </c>
      <c r="AT63" s="1030">
        <f t="shared" si="22"/>
        <v>0.05</v>
      </c>
      <c r="AU63" s="1029">
        <f t="shared" si="23"/>
        <v>0</v>
      </c>
      <c r="AV63" s="1029">
        <f t="shared" si="24"/>
        <v>0</v>
      </c>
      <c r="AW63" s="198">
        <f t="shared" si="25"/>
        <v>0</v>
      </c>
      <c r="AX63" s="1045">
        <f t="shared" si="42"/>
        <v>0</v>
      </c>
      <c r="AY63" s="1045">
        <f t="shared" si="27"/>
        <v>0</v>
      </c>
      <c r="AZ63" s="1202">
        <f t="shared" si="28"/>
        <v>0</v>
      </c>
      <c r="BB63" s="317">
        <f t="shared" si="29"/>
        <v>279.00039459946794</v>
      </c>
      <c r="BC63" s="318">
        <f t="shared" si="30"/>
        <v>134.66681493980883</v>
      </c>
      <c r="BD63" s="1214">
        <f t="shared" si="31"/>
        <v>0</v>
      </c>
      <c r="BE63" s="318">
        <f t="shared" si="32"/>
        <v>413.66720953927677</v>
      </c>
      <c r="BF63" s="104">
        <v>0</v>
      </c>
      <c r="BG63" s="319">
        <f t="shared" si="33"/>
        <v>413.66720953927677</v>
      </c>
      <c r="BI63" s="317">
        <f t="shared" si="34"/>
        <v>279.00039459946794</v>
      </c>
      <c r="BJ63" s="318">
        <f t="shared" si="35"/>
        <v>134.66681493980883</v>
      </c>
      <c r="BK63" s="1214">
        <f t="shared" si="36"/>
        <v>0</v>
      </c>
      <c r="BL63" s="318">
        <f t="shared" si="37"/>
        <v>413.66720953927677</v>
      </c>
      <c r="BM63" s="104">
        <v>0</v>
      </c>
      <c r="BN63" s="319">
        <f t="shared" si="38"/>
        <v>413.66720953927677</v>
      </c>
    </row>
    <row r="64" spans="1:66">
      <c r="A64" s="127">
        <f>'Input data'!A95</f>
        <v>1995</v>
      </c>
      <c r="B64" s="988">
        <f>'Input data'!B95</f>
        <v>35.599199999999996</v>
      </c>
      <c r="C64" s="988">
        <f>'Baseline data (from input)'!B51</f>
        <v>578.73</v>
      </c>
      <c r="D64" s="899">
        <f>'Baseline data (from input)'!T51</f>
        <v>0.8</v>
      </c>
      <c r="E64" s="899">
        <f t="shared" si="43"/>
        <v>0.19892488097366726</v>
      </c>
      <c r="F64" s="899">
        <f t="shared" si="43"/>
        <v>0.26585903447659598</v>
      </c>
      <c r="G64" s="899">
        <f t="shared" si="43"/>
        <v>8.9228108703258049E-2</v>
      </c>
      <c r="H64" s="899">
        <f t="shared" si="43"/>
        <v>0</v>
      </c>
      <c r="I64" s="899">
        <f t="shared" si="43"/>
        <v>0</v>
      </c>
      <c r="J64" s="899">
        <f t="shared" si="43"/>
        <v>0</v>
      </c>
      <c r="K64" s="899">
        <f t="shared" si="43"/>
        <v>0.4459879758464787</v>
      </c>
      <c r="L64" s="996">
        <f t="shared" si="40"/>
        <v>1</v>
      </c>
      <c r="N64" s="317">
        <f t="shared" si="1"/>
        <v>16481.8600128</v>
      </c>
      <c r="O64" s="1031">
        <f>Parameters!R166</f>
        <v>0.73</v>
      </c>
      <c r="P64" s="1031">
        <f>E64*'MSW characteristics'!$B$28+'MSW characteristics'!$B$29*'4A SWD Case 3'!F64+'4A SWD Case 3'!G64*'MSW characteristics'!$B$30+'MSW characteristics'!$B$31*'4A SWD Case 3'!H64+'4A SWD Case 3'!I64*'MSW characteristics'!$B$32+'MSW characteristics'!$B$33*'4A SWD Case 3'!J64+'4A SWD Case 3'!K64*'MSW characteristics'!$B$35</f>
        <v>0.11870178252267252</v>
      </c>
      <c r="Q64" s="1029">
        <f t="shared" si="2"/>
        <v>714.09554942510908</v>
      </c>
      <c r="R64" s="1029">
        <f t="shared" si="3"/>
        <v>714.09554942510908</v>
      </c>
      <c r="S64" s="303">
        <f t="shared" si="4"/>
        <v>0</v>
      </c>
      <c r="T64" s="1029">
        <f t="shared" si="5"/>
        <v>9143.2459595629989</v>
      </c>
      <c r="U64" s="1029">
        <f t="shared" si="6"/>
        <v>432.17178304618227</v>
      </c>
      <c r="V64" s="1202">
        <f t="shared" si="7"/>
        <v>288.11452203078818</v>
      </c>
      <c r="X64" s="317">
        <f>'Baseline data (from input)'!AS51*'4A SWD Case 3'!$D$12</f>
        <v>4379.7374547066283</v>
      </c>
      <c r="Y64" s="1031">
        <f>Parameters!S166</f>
        <v>0.71500000000000008</v>
      </c>
      <c r="Z64" s="1031">
        <f t="shared" si="8"/>
        <v>0.2</v>
      </c>
      <c r="AA64" s="1029">
        <f t="shared" si="9"/>
        <v>313.15122801152398</v>
      </c>
      <c r="AB64" s="1029">
        <f t="shared" si="10"/>
        <v>313.15122801152398</v>
      </c>
      <c r="AC64" s="303">
        <f t="shared" si="11"/>
        <v>0</v>
      </c>
      <c r="AD64" s="1029">
        <f t="shared" si="12"/>
        <v>4349.7707330410049</v>
      </c>
      <c r="AE64" s="1029">
        <f t="shared" si="13"/>
        <v>206.96190767570491</v>
      </c>
      <c r="AF64" s="1202">
        <f t="shared" si="14"/>
        <v>137.9746051171366</v>
      </c>
      <c r="AH64" s="317">
        <f>'Baseline data (from input)'!AS51*'4A SWD Case 3'!$D$12</f>
        <v>4379.7374547066283</v>
      </c>
      <c r="AI64" s="1031">
        <f>Parameters!S166</f>
        <v>0.71500000000000008</v>
      </c>
      <c r="AJ64" s="1031">
        <f t="shared" si="15"/>
        <v>0.2</v>
      </c>
      <c r="AK64" s="1029">
        <f t="shared" si="16"/>
        <v>313.15122801152398</v>
      </c>
      <c r="AL64" s="1029">
        <f t="shared" si="17"/>
        <v>313.15122801152398</v>
      </c>
      <c r="AM64" s="303">
        <f t="shared" si="18"/>
        <v>0</v>
      </c>
      <c r="AN64" s="1029">
        <f t="shared" si="19"/>
        <v>4349.7707330410049</v>
      </c>
      <c r="AO64" s="1029">
        <f t="shared" si="20"/>
        <v>206.96190767570491</v>
      </c>
      <c r="AP64" s="1202">
        <f t="shared" si="21"/>
        <v>137.9746051171366</v>
      </c>
      <c r="AR64" s="1037">
        <v>0</v>
      </c>
      <c r="AS64" s="1030">
        <v>1</v>
      </c>
      <c r="AT64" s="1030">
        <f t="shared" si="22"/>
        <v>0.05</v>
      </c>
      <c r="AU64" s="1029">
        <f t="shared" si="23"/>
        <v>0</v>
      </c>
      <c r="AV64" s="1029">
        <f t="shared" si="24"/>
        <v>0</v>
      </c>
      <c r="AW64" s="198">
        <f t="shared" si="25"/>
        <v>0</v>
      </c>
      <c r="AX64" s="1045">
        <f t="shared" si="42"/>
        <v>0</v>
      </c>
      <c r="AY64" s="1045">
        <f t="shared" si="27"/>
        <v>0</v>
      </c>
      <c r="AZ64" s="1202">
        <f t="shared" si="28"/>
        <v>0</v>
      </c>
      <c r="BB64" s="317">
        <f t="shared" si="29"/>
        <v>288.11452203078818</v>
      </c>
      <c r="BC64" s="318">
        <f t="shared" si="30"/>
        <v>137.9746051171366</v>
      </c>
      <c r="BD64" s="1214">
        <f t="shared" si="31"/>
        <v>0</v>
      </c>
      <c r="BE64" s="318">
        <f t="shared" si="32"/>
        <v>426.08912714792478</v>
      </c>
      <c r="BF64" s="104">
        <v>0</v>
      </c>
      <c r="BG64" s="319">
        <f t="shared" si="33"/>
        <v>426.08912714792478</v>
      </c>
      <c r="BI64" s="317">
        <f t="shared" si="34"/>
        <v>288.11452203078818</v>
      </c>
      <c r="BJ64" s="318">
        <f t="shared" si="35"/>
        <v>137.9746051171366</v>
      </c>
      <c r="BK64" s="1214">
        <f t="shared" si="36"/>
        <v>0</v>
      </c>
      <c r="BL64" s="318">
        <f t="shared" si="37"/>
        <v>426.08912714792478</v>
      </c>
      <c r="BM64" s="104">
        <v>0</v>
      </c>
      <c r="BN64" s="319">
        <f t="shared" si="38"/>
        <v>426.08912714792478</v>
      </c>
    </row>
    <row r="65" spans="1:66">
      <c r="A65" s="127">
        <f>'Input data'!A96</f>
        <v>1996</v>
      </c>
      <c r="B65" s="988">
        <f>'Input data'!B96</f>
        <v>36.4</v>
      </c>
      <c r="C65" s="988">
        <f>'Baseline data (from input)'!B52</f>
        <v>578.73</v>
      </c>
      <c r="D65" s="899">
        <f>'Baseline data (from input)'!T52</f>
        <v>0.8</v>
      </c>
      <c r="E65" s="899">
        <f t="shared" si="43"/>
        <v>0.19892488097366726</v>
      </c>
      <c r="F65" s="899">
        <f t="shared" si="43"/>
        <v>0.26585903447659598</v>
      </c>
      <c r="G65" s="899">
        <f t="shared" si="43"/>
        <v>8.9228108703258049E-2</v>
      </c>
      <c r="H65" s="899">
        <f t="shared" si="43"/>
        <v>0</v>
      </c>
      <c r="I65" s="899">
        <f t="shared" si="43"/>
        <v>0</v>
      </c>
      <c r="J65" s="899">
        <f t="shared" si="43"/>
        <v>0</v>
      </c>
      <c r="K65" s="899">
        <f t="shared" si="43"/>
        <v>0.4459879758464787</v>
      </c>
      <c r="L65" s="996">
        <f t="shared" si="40"/>
        <v>1</v>
      </c>
      <c r="N65" s="317">
        <f t="shared" si="1"/>
        <v>16852.617600000001</v>
      </c>
      <c r="O65" s="1031">
        <f>Parameters!R167</f>
        <v>0.73</v>
      </c>
      <c r="P65" s="1031">
        <f>E65*'MSW characteristics'!$B$28+'MSW characteristics'!$B$29*'4A SWD Case 3'!F65+'4A SWD Case 3'!G65*'MSW characteristics'!$B$30+'MSW characteristics'!$B$31*'4A SWD Case 3'!H65+'4A SWD Case 3'!I65*'MSW characteristics'!$B$32+'MSW characteristics'!$B$33*'4A SWD Case 3'!J65+'4A SWD Case 3'!K65*'MSW characteristics'!$B$35</f>
        <v>0.11870178252267252</v>
      </c>
      <c r="Q65" s="1029">
        <f t="shared" si="2"/>
        <v>730.15904849193169</v>
      </c>
      <c r="R65" s="1029">
        <f t="shared" si="3"/>
        <v>730.15904849193169</v>
      </c>
      <c r="S65" s="303">
        <f t="shared" si="4"/>
        <v>0</v>
      </c>
      <c r="T65" s="1029">
        <f t="shared" si="5"/>
        <v>9427.4836406755221</v>
      </c>
      <c r="U65" s="1029">
        <f t="shared" si="6"/>
        <v>445.92136737940876</v>
      </c>
      <c r="V65" s="1202">
        <f t="shared" si="7"/>
        <v>297.28091158627251</v>
      </c>
      <c r="X65" s="317">
        <f>'Baseline data (from input)'!AS52*'4A SWD Case 3'!$D$12</f>
        <v>4568.066119753541</v>
      </c>
      <c r="Y65" s="1031">
        <f>Parameters!S167</f>
        <v>0.71500000000000008</v>
      </c>
      <c r="Z65" s="1031">
        <f t="shared" si="8"/>
        <v>0.2</v>
      </c>
      <c r="AA65" s="1029">
        <f t="shared" si="9"/>
        <v>326.61672756237823</v>
      </c>
      <c r="AB65" s="1029">
        <f t="shared" si="10"/>
        <v>326.61672756237823</v>
      </c>
      <c r="AC65" s="303">
        <f t="shared" si="11"/>
        <v>0</v>
      </c>
      <c r="AD65" s="1029">
        <f t="shared" si="12"/>
        <v>4464.2466386630222</v>
      </c>
      <c r="AE65" s="1029">
        <f t="shared" si="13"/>
        <v>212.14082194036087</v>
      </c>
      <c r="AF65" s="1202">
        <f t="shared" si="14"/>
        <v>141.42721462690724</v>
      </c>
      <c r="AH65" s="317">
        <f>'Baseline data (from input)'!AS52*'4A SWD Case 3'!$D$12</f>
        <v>4568.066119753541</v>
      </c>
      <c r="AI65" s="1031">
        <f>Parameters!S167</f>
        <v>0.71500000000000008</v>
      </c>
      <c r="AJ65" s="1031">
        <f t="shared" si="15"/>
        <v>0.2</v>
      </c>
      <c r="AK65" s="1029">
        <f t="shared" si="16"/>
        <v>326.61672756237823</v>
      </c>
      <c r="AL65" s="1029">
        <f t="shared" si="17"/>
        <v>326.61672756237823</v>
      </c>
      <c r="AM65" s="303">
        <f t="shared" si="18"/>
        <v>0</v>
      </c>
      <c r="AN65" s="1029">
        <f t="shared" si="19"/>
        <v>4464.2466386630222</v>
      </c>
      <c r="AO65" s="1029">
        <f t="shared" si="20"/>
        <v>212.14082194036087</v>
      </c>
      <c r="AP65" s="1202">
        <f t="shared" si="21"/>
        <v>141.42721462690724</v>
      </c>
      <c r="AR65" s="317">
        <f>V65*W65*X65</f>
        <v>0</v>
      </c>
      <c r="AS65" s="1030">
        <v>1</v>
      </c>
      <c r="AT65" s="1030">
        <f t="shared" si="22"/>
        <v>0.05</v>
      </c>
      <c r="AU65" s="1029">
        <f t="shared" si="23"/>
        <v>0</v>
      </c>
      <c r="AV65" s="1029">
        <f t="shared" si="24"/>
        <v>0</v>
      </c>
      <c r="AW65" s="198">
        <f t="shared" si="25"/>
        <v>0</v>
      </c>
      <c r="AX65" s="1045">
        <f t="shared" si="42"/>
        <v>0</v>
      </c>
      <c r="AY65" s="1045">
        <f t="shared" si="27"/>
        <v>0</v>
      </c>
      <c r="AZ65" s="1202">
        <f t="shared" si="28"/>
        <v>0</v>
      </c>
      <c r="BB65" s="317">
        <f t="shared" si="29"/>
        <v>297.28091158627251</v>
      </c>
      <c r="BC65" s="318">
        <f t="shared" si="30"/>
        <v>141.42721462690724</v>
      </c>
      <c r="BD65" s="1214">
        <f t="shared" si="31"/>
        <v>0</v>
      </c>
      <c r="BE65" s="318">
        <f t="shared" si="32"/>
        <v>438.70812621317975</v>
      </c>
      <c r="BF65" s="104">
        <v>0</v>
      </c>
      <c r="BG65" s="319">
        <f t="shared" si="33"/>
        <v>438.70812621317975</v>
      </c>
      <c r="BI65" s="317">
        <f t="shared" si="34"/>
        <v>297.28091158627251</v>
      </c>
      <c r="BJ65" s="318">
        <f t="shared" si="35"/>
        <v>141.42721462690724</v>
      </c>
      <c r="BK65" s="1214">
        <f t="shared" si="36"/>
        <v>0</v>
      </c>
      <c r="BL65" s="318">
        <f t="shared" si="37"/>
        <v>438.70812621317975</v>
      </c>
      <c r="BM65" s="104">
        <v>0</v>
      </c>
      <c r="BN65" s="319">
        <f t="shared" si="38"/>
        <v>438.70812621317975</v>
      </c>
    </row>
    <row r="66" spans="1:66">
      <c r="A66" s="127">
        <f>'Input data'!A97</f>
        <v>1997</v>
      </c>
      <c r="B66" s="988">
        <f>'Input data'!B97</f>
        <v>37.242660000000001</v>
      </c>
      <c r="C66" s="988">
        <f>'Baseline data (from input)'!B53</f>
        <v>578.73</v>
      </c>
      <c r="D66" s="899">
        <f>'Baseline data (from input)'!T53</f>
        <v>0.8</v>
      </c>
      <c r="E66" s="899">
        <f t="shared" si="43"/>
        <v>0.19892488097366726</v>
      </c>
      <c r="F66" s="899">
        <f t="shared" si="43"/>
        <v>0.26585903447659598</v>
      </c>
      <c r="G66" s="899">
        <f t="shared" si="43"/>
        <v>8.9228108703258049E-2</v>
      </c>
      <c r="H66" s="899">
        <f t="shared" si="43"/>
        <v>0</v>
      </c>
      <c r="I66" s="899">
        <f t="shared" si="43"/>
        <v>0</v>
      </c>
      <c r="J66" s="899">
        <f t="shared" si="43"/>
        <v>0</v>
      </c>
      <c r="K66" s="899">
        <f t="shared" si="43"/>
        <v>0.4459879758464787</v>
      </c>
      <c r="L66" s="996">
        <f t="shared" si="40"/>
        <v>1</v>
      </c>
      <c r="N66" s="317">
        <f t="shared" si="1"/>
        <v>17242.755697440003</v>
      </c>
      <c r="O66" s="1031">
        <f>Parameters!R168</f>
        <v>0.73</v>
      </c>
      <c r="P66" s="1031">
        <f>E66*'MSW characteristics'!$B$28+'MSW characteristics'!$B$29*'4A SWD Case 3'!F66+'4A SWD Case 3'!G66*'MSW characteristics'!$B$30+'MSW characteristics'!$B$31*'4A SWD Case 3'!H66+'4A SWD Case 3'!I66*'MSW characteristics'!$B$32+'MSW characteristics'!$B$33*'4A SWD Case 3'!J66+'4A SWD Case 3'!K66*'MSW characteristics'!$B$35</f>
        <v>0.11870178252267252</v>
      </c>
      <c r="Q66" s="1029">
        <f t="shared" si="2"/>
        <v>747.06223046451998</v>
      </c>
      <c r="R66" s="1029">
        <f t="shared" si="3"/>
        <v>747.06223046451998</v>
      </c>
      <c r="S66" s="303">
        <f t="shared" si="4"/>
        <v>0</v>
      </c>
      <c r="T66" s="1029">
        <f t="shared" si="5"/>
        <v>9714.7620684741942</v>
      </c>
      <c r="U66" s="1029">
        <f t="shared" si="6"/>
        <v>459.78380266584907</v>
      </c>
      <c r="V66" s="1202">
        <f t="shared" si="7"/>
        <v>306.52253511056603</v>
      </c>
      <c r="X66" s="317">
        <f>'Baseline data (from input)'!AS53*'4A SWD Case 3'!$D$12</f>
        <v>4686.8359355274115</v>
      </c>
      <c r="Y66" s="1031">
        <f>Parameters!S168</f>
        <v>0.71500000000000008</v>
      </c>
      <c r="Z66" s="1031">
        <f t="shared" si="8"/>
        <v>0.2</v>
      </c>
      <c r="AA66" s="1029">
        <f t="shared" si="9"/>
        <v>335.10876939021</v>
      </c>
      <c r="AB66" s="1029">
        <f t="shared" si="10"/>
        <v>335.10876939021</v>
      </c>
      <c r="AC66" s="303">
        <f t="shared" si="11"/>
        <v>0</v>
      </c>
      <c r="AD66" s="1029">
        <f t="shared" si="12"/>
        <v>4581.631530314884</v>
      </c>
      <c r="AE66" s="1029">
        <f t="shared" si="13"/>
        <v>217.72387773834859</v>
      </c>
      <c r="AF66" s="1202">
        <f t="shared" si="14"/>
        <v>145.14925182556573</v>
      </c>
      <c r="AH66" s="317">
        <f>'Baseline data (from input)'!AS53*'4A SWD Case 3'!$D$12</f>
        <v>4686.8359355274115</v>
      </c>
      <c r="AI66" s="1031">
        <f>Parameters!S168</f>
        <v>0.71500000000000008</v>
      </c>
      <c r="AJ66" s="1031">
        <f t="shared" si="15"/>
        <v>0.2</v>
      </c>
      <c r="AK66" s="1029">
        <f t="shared" si="16"/>
        <v>335.10876939021</v>
      </c>
      <c r="AL66" s="1029">
        <f t="shared" si="17"/>
        <v>335.10876939021</v>
      </c>
      <c r="AM66" s="303">
        <f t="shared" si="18"/>
        <v>0</v>
      </c>
      <c r="AN66" s="1029">
        <f t="shared" si="19"/>
        <v>4581.631530314884</v>
      </c>
      <c r="AO66" s="1029">
        <f t="shared" si="20"/>
        <v>217.72387773834859</v>
      </c>
      <c r="AP66" s="1202">
        <f t="shared" si="21"/>
        <v>145.14925182556573</v>
      </c>
      <c r="AR66" s="317">
        <f>V66*W66*X66</f>
        <v>0</v>
      </c>
      <c r="AS66" s="1030">
        <v>1</v>
      </c>
      <c r="AT66" s="1030">
        <f t="shared" si="22"/>
        <v>0.05</v>
      </c>
      <c r="AU66" s="1029">
        <f t="shared" si="23"/>
        <v>0</v>
      </c>
      <c r="AV66" s="1029">
        <f t="shared" si="24"/>
        <v>0</v>
      </c>
      <c r="AW66" s="198">
        <f t="shared" si="25"/>
        <v>0</v>
      </c>
      <c r="AX66" s="1045">
        <f t="shared" si="42"/>
        <v>0</v>
      </c>
      <c r="AY66" s="1045">
        <f t="shared" si="27"/>
        <v>0</v>
      </c>
      <c r="AZ66" s="1202">
        <f t="shared" si="28"/>
        <v>0</v>
      </c>
      <c r="BB66" s="317">
        <f t="shared" si="29"/>
        <v>306.52253511056603</v>
      </c>
      <c r="BC66" s="318">
        <f t="shared" si="30"/>
        <v>145.14925182556573</v>
      </c>
      <c r="BD66" s="1214">
        <f t="shared" si="31"/>
        <v>0</v>
      </c>
      <c r="BE66" s="318">
        <f t="shared" si="32"/>
        <v>451.67178693613175</v>
      </c>
      <c r="BF66" s="104">
        <v>0</v>
      </c>
      <c r="BG66" s="319">
        <f t="shared" si="33"/>
        <v>451.67178693613175</v>
      </c>
      <c r="BI66" s="317">
        <f t="shared" si="34"/>
        <v>306.52253511056603</v>
      </c>
      <c r="BJ66" s="318">
        <f t="shared" si="35"/>
        <v>145.14925182556573</v>
      </c>
      <c r="BK66" s="1214">
        <f t="shared" si="36"/>
        <v>0</v>
      </c>
      <c r="BL66" s="318">
        <f t="shared" si="37"/>
        <v>451.67178693613175</v>
      </c>
      <c r="BM66" s="104">
        <v>0</v>
      </c>
      <c r="BN66" s="319">
        <f t="shared" si="38"/>
        <v>451.67178693613175</v>
      </c>
    </row>
    <row r="67" spans="1:66">
      <c r="A67" s="127">
        <f>'Input data'!A98</f>
        <v>1998</v>
      </c>
      <c r="B67" s="988">
        <f>'Input data'!B98</f>
        <v>38.128999999999998</v>
      </c>
      <c r="C67" s="988">
        <f>'Baseline data (from input)'!B54</f>
        <v>578.73</v>
      </c>
      <c r="D67" s="899">
        <f>'Baseline data (from input)'!T54</f>
        <v>0.8</v>
      </c>
      <c r="E67" s="899">
        <f t="shared" si="43"/>
        <v>0.19892488097366726</v>
      </c>
      <c r="F67" s="899">
        <f t="shared" si="43"/>
        <v>0.26585903447659598</v>
      </c>
      <c r="G67" s="899">
        <f t="shared" si="43"/>
        <v>8.9228108703258049E-2</v>
      </c>
      <c r="H67" s="899">
        <f t="shared" si="43"/>
        <v>0</v>
      </c>
      <c r="I67" s="899">
        <f t="shared" si="43"/>
        <v>0</v>
      </c>
      <c r="J67" s="899">
        <f t="shared" si="43"/>
        <v>0</v>
      </c>
      <c r="K67" s="899">
        <f t="shared" si="43"/>
        <v>0.4459879758464787</v>
      </c>
      <c r="L67" s="996">
        <f t="shared" si="40"/>
        <v>1</v>
      </c>
      <c r="N67" s="317">
        <f t="shared" si="1"/>
        <v>17653.116936000002</v>
      </c>
      <c r="O67" s="1031">
        <f>Parameters!R169</f>
        <v>0.73</v>
      </c>
      <c r="P67" s="1031">
        <f>E67*'MSW characteristics'!$B$28+'MSW characteristics'!$B$29*'4A SWD Case 3'!F67+'4A SWD Case 3'!G67*'MSW characteristics'!$B$30+'MSW characteristics'!$B$31*'4A SWD Case 3'!H67+'4A SWD Case 3'!I67*'MSW characteristics'!$B$32+'MSW characteristics'!$B$33*'4A SWD Case 3'!J67+'4A SWD Case 3'!K67*'MSW characteristics'!$B$35</f>
        <v>0.11870178252267252</v>
      </c>
      <c r="Q67" s="1029">
        <f t="shared" si="2"/>
        <v>764.84160329529846</v>
      </c>
      <c r="R67" s="1029">
        <f t="shared" si="3"/>
        <v>764.84160329529846</v>
      </c>
      <c r="S67" s="303">
        <f t="shared" si="4"/>
        <v>0</v>
      </c>
      <c r="T67" s="1029">
        <f t="shared" si="5"/>
        <v>10005.809134851374</v>
      </c>
      <c r="U67" s="1029">
        <f t="shared" si="6"/>
        <v>473.79453691812034</v>
      </c>
      <c r="V67" s="1202">
        <f t="shared" si="7"/>
        <v>315.86302461208021</v>
      </c>
      <c r="X67" s="317">
        <f>'Baseline data (from input)'!AS54*'4A SWD Case 3'!$D$12</f>
        <v>4710.2701576209138</v>
      </c>
      <c r="Y67" s="1031">
        <f>Parameters!S169</f>
        <v>0.71500000000000008</v>
      </c>
      <c r="Z67" s="1031">
        <f t="shared" si="8"/>
        <v>0.2</v>
      </c>
      <c r="AA67" s="1029">
        <f t="shared" si="9"/>
        <v>336.78431626989538</v>
      </c>
      <c r="AB67" s="1029">
        <f t="shared" si="10"/>
        <v>336.78431626989538</v>
      </c>
      <c r="AC67" s="303">
        <f t="shared" si="11"/>
        <v>0</v>
      </c>
      <c r="AD67" s="1029">
        <f t="shared" si="12"/>
        <v>4694.9670401256481</v>
      </c>
      <c r="AE67" s="1029">
        <f t="shared" si="13"/>
        <v>223.44880645913122</v>
      </c>
      <c r="AF67" s="1202">
        <f t="shared" si="14"/>
        <v>148.96587097275415</v>
      </c>
      <c r="AH67" s="317">
        <f>'Baseline data (from input)'!AS54*'4A SWD Case 3'!$D$12</f>
        <v>4710.2701576209138</v>
      </c>
      <c r="AI67" s="1031">
        <f>Parameters!S169</f>
        <v>0.71500000000000008</v>
      </c>
      <c r="AJ67" s="1031">
        <f t="shared" si="15"/>
        <v>0.2</v>
      </c>
      <c r="AK67" s="1029">
        <f t="shared" si="16"/>
        <v>336.78431626989538</v>
      </c>
      <c r="AL67" s="1029">
        <f t="shared" si="17"/>
        <v>336.78431626989538</v>
      </c>
      <c r="AM67" s="303">
        <f t="shared" si="18"/>
        <v>0</v>
      </c>
      <c r="AN67" s="1029">
        <f t="shared" si="19"/>
        <v>4694.9670401256481</v>
      </c>
      <c r="AO67" s="1029">
        <f t="shared" si="20"/>
        <v>223.44880645913122</v>
      </c>
      <c r="AP67" s="1202">
        <f t="shared" si="21"/>
        <v>148.96587097275415</v>
      </c>
      <c r="AR67" s="317">
        <f>V67*W67*X67</f>
        <v>0</v>
      </c>
      <c r="AS67" s="1030">
        <v>1</v>
      </c>
      <c r="AT67" s="1030">
        <f t="shared" si="22"/>
        <v>0.05</v>
      </c>
      <c r="AU67" s="1029">
        <f t="shared" si="23"/>
        <v>0</v>
      </c>
      <c r="AV67" s="1029">
        <f t="shared" si="24"/>
        <v>0</v>
      </c>
      <c r="AW67" s="198">
        <f t="shared" si="25"/>
        <v>0</v>
      </c>
      <c r="AX67" s="1045">
        <f t="shared" si="42"/>
        <v>0</v>
      </c>
      <c r="AY67" s="1045">
        <f t="shared" si="27"/>
        <v>0</v>
      </c>
      <c r="AZ67" s="1202">
        <f t="shared" si="28"/>
        <v>0</v>
      </c>
      <c r="BB67" s="317">
        <f t="shared" si="29"/>
        <v>315.86302461208021</v>
      </c>
      <c r="BC67" s="318">
        <f t="shared" si="30"/>
        <v>148.96587097275415</v>
      </c>
      <c r="BD67" s="1214">
        <f t="shared" si="31"/>
        <v>0</v>
      </c>
      <c r="BE67" s="318">
        <f t="shared" si="32"/>
        <v>464.82889558483436</v>
      </c>
      <c r="BF67" s="104">
        <v>0</v>
      </c>
      <c r="BG67" s="319">
        <f t="shared" si="33"/>
        <v>464.82889558483436</v>
      </c>
      <c r="BI67" s="317">
        <f t="shared" si="34"/>
        <v>315.86302461208021</v>
      </c>
      <c r="BJ67" s="318">
        <f t="shared" si="35"/>
        <v>148.96587097275415</v>
      </c>
      <c r="BK67" s="1214">
        <f t="shared" si="36"/>
        <v>0</v>
      </c>
      <c r="BL67" s="318">
        <f t="shared" si="37"/>
        <v>464.82889558483436</v>
      </c>
      <c r="BM67" s="104">
        <v>0</v>
      </c>
      <c r="BN67" s="319">
        <f t="shared" si="38"/>
        <v>464.82889558483436</v>
      </c>
    </row>
    <row r="68" spans="1:66" ht="15" thickBot="1">
      <c r="A68" s="127">
        <f>'Input data'!A99</f>
        <v>1999</v>
      </c>
      <c r="B68" s="988">
        <f>'Input data'!B99</f>
        <v>39.059930000000001</v>
      </c>
      <c r="C68" s="988">
        <f>'Baseline data (from input)'!B55</f>
        <v>578.73</v>
      </c>
      <c r="D68" s="899">
        <f>'Baseline data (from input)'!T55</f>
        <v>0.8</v>
      </c>
      <c r="E68" s="899">
        <f t="shared" si="43"/>
        <v>0.19892488097366726</v>
      </c>
      <c r="F68" s="899">
        <f t="shared" si="43"/>
        <v>0.26585903447659598</v>
      </c>
      <c r="G68" s="899">
        <f t="shared" si="43"/>
        <v>8.9228108703258049E-2</v>
      </c>
      <c r="H68" s="899">
        <f t="shared" si="43"/>
        <v>0</v>
      </c>
      <c r="I68" s="899">
        <f t="shared" si="43"/>
        <v>0</v>
      </c>
      <c r="J68" s="899">
        <f t="shared" si="43"/>
        <v>0</v>
      </c>
      <c r="K68" s="899">
        <f t="shared" si="43"/>
        <v>0.4459879758464787</v>
      </c>
      <c r="L68" s="996">
        <f t="shared" si="40"/>
        <v>1</v>
      </c>
      <c r="N68" s="1039">
        <f t="shared" si="1"/>
        <v>18084.122631120001</v>
      </c>
      <c r="O68" s="1040">
        <f>Parameters!R170</f>
        <v>0.73</v>
      </c>
      <c r="P68" s="1040">
        <f>E68*'MSW characteristics'!$B$28+'MSW characteristics'!$B$29*'4A SWD Case 3'!F68+'4A SWD Case 3'!G68*'MSW characteristics'!$B$30+'MSW characteristics'!$B$31*'4A SWD Case 3'!H68+'4A SWD Case 3'!I68*'MSW characteristics'!$B$32+'MSW characteristics'!$B$33*'4A SWD Case 3'!J68+'4A SWD Case 3'!K68*'MSW characteristics'!$B$35</f>
        <v>0.11870178252267252</v>
      </c>
      <c r="Q68" s="1041">
        <f t="shared" si="2"/>
        <v>783.51542096047967</v>
      </c>
      <c r="R68" s="1041">
        <f t="shared" si="3"/>
        <v>783.51542096047967</v>
      </c>
      <c r="S68" s="1042">
        <f t="shared" si="4"/>
        <v>0</v>
      </c>
      <c r="T68" s="1041">
        <f t="shared" si="5"/>
        <v>10301.335485969139</v>
      </c>
      <c r="U68" s="1041">
        <f t="shared" si="6"/>
        <v>487.98906984271429</v>
      </c>
      <c r="V68" s="1210">
        <f t="shared" si="7"/>
        <v>325.32604656180951</v>
      </c>
      <c r="X68" s="1039">
        <f>'Baseline data (from input)'!AS55*'4A SWD Case 3'!$D$12</f>
        <v>4823.3164645331717</v>
      </c>
      <c r="Y68" s="1040">
        <f>Parameters!S170</f>
        <v>0.71500000000000008</v>
      </c>
      <c r="Z68" s="1040">
        <f t="shared" si="8"/>
        <v>0.2</v>
      </c>
      <c r="AA68" s="1041">
        <f t="shared" si="9"/>
        <v>344.86712721412187</v>
      </c>
      <c r="AB68" s="1041">
        <f t="shared" si="10"/>
        <v>344.86712721412187</v>
      </c>
      <c r="AC68" s="1042">
        <f t="shared" si="11"/>
        <v>0</v>
      </c>
      <c r="AD68" s="1041">
        <f t="shared" si="12"/>
        <v>4810.8579228426624</v>
      </c>
      <c r="AE68" s="1041">
        <f t="shared" si="13"/>
        <v>228.97624449710716</v>
      </c>
      <c r="AF68" s="1210">
        <f t="shared" si="14"/>
        <v>152.6508296647381</v>
      </c>
      <c r="AH68" s="1039">
        <f>'Baseline data (from input)'!AS55*'4A SWD Case 3'!$D$12</f>
        <v>4823.3164645331717</v>
      </c>
      <c r="AI68" s="1040">
        <f>Parameters!S170</f>
        <v>0.71500000000000008</v>
      </c>
      <c r="AJ68" s="1040">
        <f t="shared" si="15"/>
        <v>0.2</v>
      </c>
      <c r="AK68" s="1041">
        <f t="shared" si="16"/>
        <v>344.86712721412187</v>
      </c>
      <c r="AL68" s="1041">
        <f t="shared" si="17"/>
        <v>344.86712721412187</v>
      </c>
      <c r="AM68" s="1042">
        <f t="shared" si="18"/>
        <v>0</v>
      </c>
      <c r="AN68" s="1041">
        <f t="shared" si="19"/>
        <v>4810.8579228426624</v>
      </c>
      <c r="AO68" s="1041">
        <f t="shared" si="20"/>
        <v>228.97624449710716</v>
      </c>
      <c r="AP68" s="1210">
        <f t="shared" si="21"/>
        <v>152.6508296647381</v>
      </c>
      <c r="AR68" s="1039">
        <f>V68*W68*X68</f>
        <v>0</v>
      </c>
      <c r="AS68" s="1046">
        <v>1</v>
      </c>
      <c r="AT68" s="1046">
        <f t="shared" si="22"/>
        <v>0.05</v>
      </c>
      <c r="AU68" s="1041">
        <f t="shared" si="23"/>
        <v>0</v>
      </c>
      <c r="AV68" s="1041">
        <f t="shared" si="24"/>
        <v>0</v>
      </c>
      <c r="AW68" s="1047">
        <f t="shared" si="25"/>
        <v>0</v>
      </c>
      <c r="AX68" s="1048">
        <f t="shared" si="42"/>
        <v>0</v>
      </c>
      <c r="AY68" s="1048">
        <f t="shared" si="27"/>
        <v>0</v>
      </c>
      <c r="AZ68" s="1210">
        <f t="shared" si="28"/>
        <v>0</v>
      </c>
      <c r="BB68" s="317">
        <f t="shared" si="29"/>
        <v>325.32604656180951</v>
      </c>
      <c r="BC68" s="318">
        <f t="shared" si="30"/>
        <v>152.6508296647381</v>
      </c>
      <c r="BD68" s="1214">
        <f t="shared" si="31"/>
        <v>0</v>
      </c>
      <c r="BE68" s="318">
        <f t="shared" si="32"/>
        <v>477.97687622654757</v>
      </c>
      <c r="BF68" s="104">
        <v>0</v>
      </c>
      <c r="BG68" s="319">
        <f t="shared" si="33"/>
        <v>477.97687622654757</v>
      </c>
      <c r="BI68" s="317">
        <f t="shared" si="34"/>
        <v>325.32604656180951</v>
      </c>
      <c r="BJ68" s="318">
        <f t="shared" si="35"/>
        <v>152.6508296647381</v>
      </c>
      <c r="BK68" s="1214">
        <f t="shared" si="36"/>
        <v>0</v>
      </c>
      <c r="BL68" s="318">
        <f t="shared" si="37"/>
        <v>477.97687622654757</v>
      </c>
      <c r="BM68" s="104">
        <v>0</v>
      </c>
      <c r="BN68" s="319">
        <f t="shared" si="38"/>
        <v>477.97687622654757</v>
      </c>
    </row>
    <row r="69" spans="1:66">
      <c r="A69" s="1002">
        <f>'Input data'!A100</f>
        <v>2000</v>
      </c>
      <c r="B69" s="1003">
        <f>'Input data'!B100</f>
        <v>44</v>
      </c>
      <c r="C69" s="1003">
        <f>'Baseline data (from input)'!B56</f>
        <v>578.73</v>
      </c>
      <c r="D69" s="1004">
        <f>'Baseline data (from input)'!T56</f>
        <v>0.8</v>
      </c>
      <c r="E69" s="1004">
        <f t="shared" ref="E69:K84" si="44">E68</f>
        <v>0.19892488097366726</v>
      </c>
      <c r="F69" s="1004">
        <f t="shared" si="44"/>
        <v>0.26585903447659598</v>
      </c>
      <c r="G69" s="1004">
        <f t="shared" si="44"/>
        <v>8.9228108703258049E-2</v>
      </c>
      <c r="H69" s="1004">
        <f t="shared" si="44"/>
        <v>0</v>
      </c>
      <c r="I69" s="1004">
        <f t="shared" si="44"/>
        <v>0</v>
      </c>
      <c r="J69" s="1004">
        <f t="shared" si="44"/>
        <v>0</v>
      </c>
      <c r="K69" s="1004">
        <f t="shared" si="44"/>
        <v>0.4459879758464787</v>
      </c>
      <c r="L69" s="1005">
        <f t="shared" si="40"/>
        <v>1</v>
      </c>
      <c r="N69" s="1013">
        <f t="shared" si="1"/>
        <v>20371.296000000002</v>
      </c>
      <c r="O69" s="1007">
        <f>Parameters!R171</f>
        <v>0.73</v>
      </c>
      <c r="P69" s="1007">
        <f>E69*'MSW characteristics'!$B$28+'MSW characteristics'!$B$29*'4A SWD Case 3'!F69+'4A SWD Case 3'!G69*'MSW characteristics'!$B$30+'MSW characteristics'!$B$31*'4A SWD Case 3'!H69+'4A SWD Case 3'!I69*'MSW characteristics'!$B$32+'MSW characteristics'!$B$33*'4A SWD Case 3'!J69+'4A SWD Case 3'!K69*'MSW characteristics'!$B$35</f>
        <v>0.11870178252267252</v>
      </c>
      <c r="Q69" s="1006">
        <f t="shared" si="2"/>
        <v>882.60983883640097</v>
      </c>
      <c r="R69" s="1006">
        <f t="shared" si="3"/>
        <v>882.60983883640097</v>
      </c>
      <c r="S69" s="1008">
        <f t="shared" si="4"/>
        <v>0</v>
      </c>
      <c r="T69" s="1006">
        <f t="shared" si="5"/>
        <v>10681.543264743608</v>
      </c>
      <c r="U69" s="1006">
        <f t="shared" si="6"/>
        <v>502.40206006193176</v>
      </c>
      <c r="V69" s="1019">
        <f t="shared" si="7"/>
        <v>334.93470670795449</v>
      </c>
      <c r="X69" s="1009">
        <f>'Baseline data (from input)'!AS56*'4A SWD Case 3'!$D$12</f>
        <v>5025.8959237020454</v>
      </c>
      <c r="Y69" s="1010">
        <f>Parameters!S171</f>
        <v>0.71500000000000008</v>
      </c>
      <c r="Z69" s="1010">
        <f t="shared" si="8"/>
        <v>0.2</v>
      </c>
      <c r="AA69" s="1011">
        <f t="shared" si="9"/>
        <v>359.35155854469633</v>
      </c>
      <c r="AB69" s="1011">
        <f t="shared" si="10"/>
        <v>359.35155854469633</v>
      </c>
      <c r="AC69" s="1012">
        <f t="shared" si="11"/>
        <v>0</v>
      </c>
      <c r="AD69" s="1011">
        <f t="shared" si="12"/>
        <v>4935.5811718450232</v>
      </c>
      <c r="AE69" s="1011">
        <f t="shared" si="13"/>
        <v>234.62830954233621</v>
      </c>
      <c r="AF69" s="1018">
        <f t="shared" si="14"/>
        <v>156.41887302822414</v>
      </c>
      <c r="AH69" s="1009">
        <f>'Baseline data (from input)'!AS56*'4A SWD Case 3'!$D$12</f>
        <v>5025.8959237020454</v>
      </c>
      <c r="AI69" s="1010">
        <f>Parameters!S171</f>
        <v>0.71500000000000008</v>
      </c>
      <c r="AJ69" s="1010">
        <f t="shared" si="15"/>
        <v>0.2</v>
      </c>
      <c r="AK69" s="1011">
        <f t="shared" si="16"/>
        <v>359.35155854469633</v>
      </c>
      <c r="AL69" s="1011">
        <f t="shared" si="17"/>
        <v>359.35155854469633</v>
      </c>
      <c r="AM69" s="1012">
        <f t="shared" si="18"/>
        <v>0</v>
      </c>
      <c r="AN69" s="1011">
        <f t="shared" si="19"/>
        <v>4935.5811718450232</v>
      </c>
      <c r="AO69" s="1011">
        <f t="shared" si="20"/>
        <v>234.62830954233621</v>
      </c>
      <c r="AP69" s="1018">
        <f t="shared" si="21"/>
        <v>156.41887302822414</v>
      </c>
      <c r="AR69" s="1021">
        <v>501</v>
      </c>
      <c r="AS69" s="1007">
        <v>1</v>
      </c>
      <c r="AT69" s="1007">
        <f t="shared" si="22"/>
        <v>0.05</v>
      </c>
      <c r="AU69" s="1006">
        <f t="shared" si="23"/>
        <v>12.525</v>
      </c>
      <c r="AV69" s="1006">
        <f t="shared" si="24"/>
        <v>12.525</v>
      </c>
      <c r="AW69" s="1008">
        <f t="shared" si="25"/>
        <v>0</v>
      </c>
      <c r="AX69" s="1006">
        <f t="shared" si="42"/>
        <v>12.525</v>
      </c>
      <c r="AY69" s="1006">
        <f>AW69+AX68*(1-$E$8)</f>
        <v>0</v>
      </c>
      <c r="AZ69" s="1022">
        <f>AY69*16/12*$E$11</f>
        <v>0</v>
      </c>
      <c r="BB69" s="1211">
        <f t="shared" si="29"/>
        <v>334.93470670795449</v>
      </c>
      <c r="BC69" s="1025">
        <f t="shared" si="30"/>
        <v>156.41887302822414</v>
      </c>
      <c r="BD69" s="1215">
        <f>AZ69</f>
        <v>0</v>
      </c>
      <c r="BE69" s="1025">
        <f t="shared" si="32"/>
        <v>491.35357973617863</v>
      </c>
      <c r="BF69" s="115">
        <v>0</v>
      </c>
      <c r="BG69" s="1204">
        <f t="shared" si="33"/>
        <v>491.35357973617863</v>
      </c>
      <c r="BI69" s="1211">
        <f t="shared" si="34"/>
        <v>334.93470670795449</v>
      </c>
      <c r="BJ69" s="1025">
        <f t="shared" si="35"/>
        <v>156.41887302822414</v>
      </c>
      <c r="BK69" s="1215">
        <f t="shared" si="36"/>
        <v>0</v>
      </c>
      <c r="BL69" s="1025">
        <f t="shared" si="37"/>
        <v>491.35357973617863</v>
      </c>
      <c r="BM69" s="115">
        <v>0</v>
      </c>
      <c r="BN69" s="1204">
        <f t="shared" si="38"/>
        <v>491.35357973617863</v>
      </c>
    </row>
    <row r="70" spans="1:66">
      <c r="A70" s="941">
        <f>'Input data'!A101</f>
        <v>2001</v>
      </c>
      <c r="B70" s="989">
        <f>'Input data'!B101</f>
        <v>44.91</v>
      </c>
      <c r="C70" s="989">
        <f>'Baseline data (from input)'!B57</f>
        <v>578.73</v>
      </c>
      <c r="D70" s="990">
        <f>'Baseline data (from input)'!T57</f>
        <v>0.8</v>
      </c>
      <c r="E70" s="990">
        <f t="shared" si="44"/>
        <v>0.19892488097366726</v>
      </c>
      <c r="F70" s="990">
        <f t="shared" si="44"/>
        <v>0.26585903447659598</v>
      </c>
      <c r="G70" s="990">
        <f t="shared" si="44"/>
        <v>8.9228108703258049E-2</v>
      </c>
      <c r="H70" s="990">
        <f t="shared" si="44"/>
        <v>0</v>
      </c>
      <c r="I70" s="990">
        <f t="shared" si="44"/>
        <v>0</v>
      </c>
      <c r="J70" s="990">
        <f t="shared" si="44"/>
        <v>0</v>
      </c>
      <c r="K70" s="990">
        <f t="shared" si="44"/>
        <v>0.4459879758464787</v>
      </c>
      <c r="L70" s="997">
        <f t="shared" si="40"/>
        <v>1</v>
      </c>
      <c r="N70" s="1013">
        <f t="shared" si="1"/>
        <v>20792.611440000001</v>
      </c>
      <c r="O70" s="1007">
        <f>Parameters!R172</f>
        <v>0.73</v>
      </c>
      <c r="P70" s="1007">
        <f>E70*'MSW characteristics'!$B$28+'MSW characteristics'!$B$29*'4A SWD Case 3'!F70+'4A SWD Case 3'!G70*'MSW characteristics'!$B$30+'MSW characteristics'!$B$31*'4A SWD Case 3'!H70+'4A SWD Case 3'!I70*'MSW characteristics'!$B$32+'MSW characteristics'!$B$33*'4A SWD Case 3'!J70+'4A SWD Case 3'!K70*'MSW characteristics'!$B$35</f>
        <v>0.11870178252267252</v>
      </c>
      <c r="Q70" s="1006">
        <f t="shared" si="2"/>
        <v>900.86381504869917</v>
      </c>
      <c r="R70" s="1006">
        <f t="shared" si="3"/>
        <v>900.86381504869917</v>
      </c>
      <c r="S70" s="1008">
        <f t="shared" si="4"/>
        <v>0</v>
      </c>
      <c r="T70" s="1006">
        <f t="shared" si="5"/>
        <v>11061.462067550239</v>
      </c>
      <c r="U70" s="1006">
        <f t="shared" si="6"/>
        <v>520.94501224206783</v>
      </c>
      <c r="V70" s="1019">
        <f t="shared" si="7"/>
        <v>347.29667482804524</v>
      </c>
      <c r="X70" s="1013">
        <f>'Baseline data (from input)'!AS57*'4A SWD Case 3'!$D$12</f>
        <v>5161.5948405850759</v>
      </c>
      <c r="Y70" s="1007">
        <f>Parameters!S172</f>
        <v>0.71500000000000008</v>
      </c>
      <c r="Z70" s="1007">
        <f t="shared" si="8"/>
        <v>0.2</v>
      </c>
      <c r="AA70" s="1006">
        <f t="shared" si="9"/>
        <v>369.05403110183295</v>
      </c>
      <c r="AB70" s="1006">
        <f t="shared" si="10"/>
        <v>369.05403110183295</v>
      </c>
      <c r="AC70" s="1008">
        <f t="shared" si="11"/>
        <v>0</v>
      </c>
      <c r="AD70" s="1006">
        <f t="shared" si="12"/>
        <v>5063.9240687725342</v>
      </c>
      <c r="AE70" s="1006">
        <f t="shared" si="13"/>
        <v>240.7111341743221</v>
      </c>
      <c r="AF70" s="1019">
        <f t="shared" si="14"/>
        <v>160.47408944954807</v>
      </c>
      <c r="AH70" s="1013">
        <f>'Baseline data (from input)'!AS57*'4A SWD Case 3'!$D$12</f>
        <v>5161.5948405850759</v>
      </c>
      <c r="AI70" s="1007">
        <f>Parameters!S172</f>
        <v>0.71500000000000008</v>
      </c>
      <c r="AJ70" s="1007">
        <f t="shared" si="15"/>
        <v>0.2</v>
      </c>
      <c r="AK70" s="1006">
        <f t="shared" si="16"/>
        <v>369.05403110183295</v>
      </c>
      <c r="AL70" s="1006">
        <f t="shared" si="17"/>
        <v>369.05403110183295</v>
      </c>
      <c r="AM70" s="1008">
        <f t="shared" si="18"/>
        <v>0</v>
      </c>
      <c r="AN70" s="1006">
        <f t="shared" si="19"/>
        <v>5063.9240687725342</v>
      </c>
      <c r="AO70" s="1006">
        <f t="shared" si="20"/>
        <v>240.7111341743221</v>
      </c>
      <c r="AP70" s="1019">
        <f t="shared" si="21"/>
        <v>160.47408944954807</v>
      </c>
      <c r="AR70" s="1021">
        <v>501</v>
      </c>
      <c r="AS70" s="1007">
        <v>1</v>
      </c>
      <c r="AT70" s="1007">
        <f t="shared" si="22"/>
        <v>0.05</v>
      </c>
      <c r="AU70" s="1006">
        <f t="shared" si="23"/>
        <v>12.525</v>
      </c>
      <c r="AV70" s="1006">
        <f t="shared" si="24"/>
        <v>12.525</v>
      </c>
      <c r="AW70" s="1008">
        <f t="shared" si="25"/>
        <v>0</v>
      </c>
      <c r="AX70" s="1006">
        <f t="shared" si="42"/>
        <v>24.320600783142716</v>
      </c>
      <c r="AY70" s="1006">
        <f>AW70+AX69*(1-$E$8)</f>
        <v>0.72939921685728482</v>
      </c>
      <c r="AZ70" s="1022">
        <f t="shared" ref="AZ70:AZ119" si="45">AY70*16/12*$E$11</f>
        <v>0.48626614457152323</v>
      </c>
      <c r="BB70" s="317">
        <f t="shared" si="29"/>
        <v>347.29667482804524</v>
      </c>
      <c r="BC70" s="318">
        <f t="shared" si="30"/>
        <v>160.47408944954807</v>
      </c>
      <c r="BD70" s="1214">
        <f t="shared" ref="BD70:BD86" si="46">AZ70</f>
        <v>0.48626614457152323</v>
      </c>
      <c r="BE70" s="318">
        <f t="shared" si="32"/>
        <v>508.25703042216486</v>
      </c>
      <c r="BF70" s="104">
        <v>0</v>
      </c>
      <c r="BG70" s="1205">
        <f t="shared" si="33"/>
        <v>508.25703042216486</v>
      </c>
      <c r="BI70" s="317">
        <f t="shared" si="34"/>
        <v>347.29667482804524</v>
      </c>
      <c r="BJ70" s="318">
        <f t="shared" si="35"/>
        <v>160.47408944954807</v>
      </c>
      <c r="BK70" s="1214">
        <f t="shared" si="36"/>
        <v>0.48626614457152323</v>
      </c>
      <c r="BL70" s="318">
        <f t="shared" si="37"/>
        <v>508.25703042216486</v>
      </c>
      <c r="BM70" s="104">
        <v>0</v>
      </c>
      <c r="BN70" s="1205">
        <f t="shared" si="38"/>
        <v>508.25703042216486</v>
      </c>
    </row>
    <row r="71" spans="1:66">
      <c r="A71" s="941">
        <f>'Input data'!A102</f>
        <v>2002</v>
      </c>
      <c r="B71" s="989">
        <f>'Input data'!B102</f>
        <v>45.533000000000001</v>
      </c>
      <c r="C71" s="989">
        <f>'Baseline data (from input)'!B58</f>
        <v>578.73</v>
      </c>
      <c r="D71" s="990">
        <f>'Baseline data (from input)'!T58</f>
        <v>0.8</v>
      </c>
      <c r="E71" s="990">
        <f t="shared" si="44"/>
        <v>0.19892488097366726</v>
      </c>
      <c r="F71" s="990">
        <f t="shared" si="44"/>
        <v>0.26585903447659598</v>
      </c>
      <c r="G71" s="990">
        <f t="shared" si="44"/>
        <v>8.9228108703258049E-2</v>
      </c>
      <c r="H71" s="990">
        <f t="shared" si="44"/>
        <v>0</v>
      </c>
      <c r="I71" s="990">
        <f t="shared" si="44"/>
        <v>0</v>
      </c>
      <c r="J71" s="990">
        <f t="shared" si="44"/>
        <v>0</v>
      </c>
      <c r="K71" s="990">
        <f t="shared" si="44"/>
        <v>0.4459879758464787</v>
      </c>
      <c r="L71" s="997">
        <f t="shared" si="40"/>
        <v>1</v>
      </c>
      <c r="N71" s="1013">
        <f t="shared" si="1"/>
        <v>21081.050472000003</v>
      </c>
      <c r="O71" s="1007">
        <f>Parameters!R173</f>
        <v>0.73</v>
      </c>
      <c r="P71" s="1007">
        <f>E71*'MSW characteristics'!$B$28+'MSW characteristics'!$B$29*'4A SWD Case 3'!F71+'4A SWD Case 3'!G71*'MSW characteristics'!$B$30+'MSW characteristics'!$B$31*'4A SWD Case 3'!H71+'4A SWD Case 3'!I71*'MSW characteristics'!$B$32+'MSW characteristics'!$B$33*'4A SWD Case 3'!J71+'4A SWD Case 3'!K71*'MSW characteristics'!$B$35</f>
        <v>0.11870178252267252</v>
      </c>
      <c r="Q71" s="1006">
        <f t="shared" si="2"/>
        <v>913.36076799404191</v>
      </c>
      <c r="R71" s="1006">
        <f t="shared" si="3"/>
        <v>913.36076799404191</v>
      </c>
      <c r="S71" s="1008">
        <f t="shared" si="4"/>
        <v>0</v>
      </c>
      <c r="T71" s="1006">
        <f t="shared" si="5"/>
        <v>11435.348964646333</v>
      </c>
      <c r="U71" s="1006">
        <f t="shared" si="6"/>
        <v>539.47387089794699</v>
      </c>
      <c r="V71" s="1019">
        <f t="shared" si="7"/>
        <v>359.64924726529802</v>
      </c>
      <c r="X71" s="1013">
        <f>'Baseline data (from input)'!AS58*'4A SWD Case 3'!$D$12</f>
        <v>5352.5935851478289</v>
      </c>
      <c r="Y71" s="1007">
        <f>Parameters!S173</f>
        <v>0.71500000000000008</v>
      </c>
      <c r="Z71" s="1007">
        <f t="shared" si="8"/>
        <v>0.2</v>
      </c>
      <c r="AA71" s="1006">
        <f t="shared" si="9"/>
        <v>382.71044133806981</v>
      </c>
      <c r="AB71" s="1006">
        <f t="shared" si="10"/>
        <v>382.71044133806981</v>
      </c>
      <c r="AC71" s="1008">
        <f t="shared" si="11"/>
        <v>0</v>
      </c>
      <c r="AD71" s="1006">
        <f t="shared" si="12"/>
        <v>5199.6640189918817</v>
      </c>
      <c r="AE71" s="1006">
        <f t="shared" si="13"/>
        <v>246.97049111872235</v>
      </c>
      <c r="AF71" s="1019">
        <f t="shared" si="14"/>
        <v>164.64699407914824</v>
      </c>
      <c r="AH71" s="1013">
        <f>'Baseline data (from input)'!AS58*'4A SWD Case 3'!$D$12</f>
        <v>5352.5935851478289</v>
      </c>
      <c r="AI71" s="1007">
        <f>Parameters!S173</f>
        <v>0.71500000000000008</v>
      </c>
      <c r="AJ71" s="1007">
        <f t="shared" si="15"/>
        <v>0.2</v>
      </c>
      <c r="AK71" s="1006">
        <f t="shared" si="16"/>
        <v>382.71044133806981</v>
      </c>
      <c r="AL71" s="1006">
        <f t="shared" si="17"/>
        <v>382.71044133806981</v>
      </c>
      <c r="AM71" s="1008">
        <f t="shared" si="18"/>
        <v>0</v>
      </c>
      <c r="AN71" s="1006">
        <f t="shared" si="19"/>
        <v>5199.6640189918817</v>
      </c>
      <c r="AO71" s="1006">
        <f t="shared" si="20"/>
        <v>246.97049111872235</v>
      </c>
      <c r="AP71" s="1019">
        <f t="shared" si="21"/>
        <v>164.64699407914824</v>
      </c>
      <c r="AR71" s="1021">
        <v>501</v>
      </c>
      <c r="AS71" s="1007">
        <v>1</v>
      </c>
      <c r="AT71" s="1007">
        <f t="shared" si="22"/>
        <v>0.05</v>
      </c>
      <c r="AU71" s="1006">
        <f t="shared" si="23"/>
        <v>12.525</v>
      </c>
      <c r="AV71" s="1006">
        <f t="shared" si="24"/>
        <v>12.525</v>
      </c>
      <c r="AW71" s="1008">
        <f t="shared" si="25"/>
        <v>0</v>
      </c>
      <c r="AX71" s="1006">
        <f t="shared" si="42"/>
        <v>35.429279253025115</v>
      </c>
      <c r="AY71" s="1006">
        <f t="shared" ref="AY71:AY119" si="47">AW71+AX70*(1-$E$8)</f>
        <v>1.416321530117602</v>
      </c>
      <c r="AZ71" s="1022">
        <f t="shared" si="45"/>
        <v>0.94421435341173465</v>
      </c>
      <c r="BB71" s="317">
        <f t="shared" si="29"/>
        <v>359.64924726529802</v>
      </c>
      <c r="BC71" s="318">
        <f t="shared" si="30"/>
        <v>164.64699407914824</v>
      </c>
      <c r="BD71" s="1214">
        <f t="shared" si="46"/>
        <v>0.94421435341173465</v>
      </c>
      <c r="BE71" s="318">
        <f t="shared" si="32"/>
        <v>525.24045569785801</v>
      </c>
      <c r="BF71" s="104">
        <v>0</v>
      </c>
      <c r="BG71" s="1205">
        <f t="shared" si="33"/>
        <v>525.24045569785801</v>
      </c>
      <c r="BI71" s="317">
        <f t="shared" si="34"/>
        <v>359.64924726529802</v>
      </c>
      <c r="BJ71" s="318">
        <f t="shared" si="35"/>
        <v>164.64699407914824</v>
      </c>
      <c r="BK71" s="1214">
        <f t="shared" si="36"/>
        <v>0.94421435341173465</v>
      </c>
      <c r="BL71" s="318">
        <f t="shared" si="37"/>
        <v>525.24045569785801</v>
      </c>
      <c r="BM71" s="104">
        <v>0</v>
      </c>
      <c r="BN71" s="1205">
        <f t="shared" si="38"/>
        <v>525.24045569785801</v>
      </c>
    </row>
    <row r="72" spans="1:66">
      <c r="A72" s="941">
        <f>'Input data'!A103</f>
        <v>2003</v>
      </c>
      <c r="B72" s="989">
        <f>'Input data'!B103</f>
        <v>46.116</v>
      </c>
      <c r="C72" s="989">
        <f>'Baseline data (from input)'!B59</f>
        <v>578.73</v>
      </c>
      <c r="D72" s="990">
        <f>'Baseline data (from input)'!T59</f>
        <v>0.8</v>
      </c>
      <c r="E72" s="990">
        <f t="shared" si="44"/>
        <v>0.19892488097366726</v>
      </c>
      <c r="F72" s="990">
        <f t="shared" si="44"/>
        <v>0.26585903447659598</v>
      </c>
      <c r="G72" s="990">
        <f t="shared" si="44"/>
        <v>8.9228108703258049E-2</v>
      </c>
      <c r="H72" s="990">
        <f t="shared" si="44"/>
        <v>0</v>
      </c>
      <c r="I72" s="990">
        <f t="shared" si="44"/>
        <v>0</v>
      </c>
      <c r="J72" s="990">
        <f t="shared" si="44"/>
        <v>0</v>
      </c>
      <c r="K72" s="990">
        <f t="shared" si="44"/>
        <v>0.4459879758464787</v>
      </c>
      <c r="L72" s="997">
        <f t="shared" si="40"/>
        <v>1</v>
      </c>
      <c r="N72" s="1013">
        <f t="shared" si="1"/>
        <v>21350.970144000003</v>
      </c>
      <c r="O72" s="1007">
        <f>Parameters!R174</f>
        <v>0.73</v>
      </c>
      <c r="P72" s="1007">
        <f>E72*'MSW characteristics'!$B$28+'MSW characteristics'!$B$29*'4A SWD Case 3'!F72+'4A SWD Case 3'!G72*'MSW characteristics'!$B$30+'MSW characteristics'!$B$31*'4A SWD Case 3'!H72+'4A SWD Case 3'!I72*'MSW characteristics'!$B$32+'MSW characteristics'!$B$33*'4A SWD Case 3'!J72+'4A SWD Case 3'!K72*'MSW characteristics'!$B$35</f>
        <v>0.11870178252267252</v>
      </c>
      <c r="Q72" s="1006">
        <f t="shared" si="2"/>
        <v>925.0553483586242</v>
      </c>
      <c r="R72" s="1006">
        <f t="shared" si="3"/>
        <v>925.0553483586242</v>
      </c>
      <c r="S72" s="1008">
        <f t="shared" si="4"/>
        <v>0</v>
      </c>
      <c r="T72" s="1006">
        <f t="shared" si="5"/>
        <v>11802.695762963991</v>
      </c>
      <c r="U72" s="1006">
        <f t="shared" si="6"/>
        <v>557.70855004096575</v>
      </c>
      <c r="V72" s="1019">
        <f t="shared" si="7"/>
        <v>371.80570002731048</v>
      </c>
      <c r="X72" s="1013">
        <f>'Baseline data (from input)'!AS59*'4A SWD Case 3'!$D$12</f>
        <v>5510.4458058558248</v>
      </c>
      <c r="Y72" s="1007">
        <f>Parameters!S174</f>
        <v>0.71500000000000008</v>
      </c>
      <c r="Z72" s="1007">
        <f t="shared" si="8"/>
        <v>0.2</v>
      </c>
      <c r="AA72" s="1006">
        <f t="shared" si="9"/>
        <v>393.99687511869149</v>
      </c>
      <c r="AB72" s="1006">
        <f t="shared" si="10"/>
        <v>393.99687511869149</v>
      </c>
      <c r="AC72" s="1008">
        <f t="shared" si="11"/>
        <v>0</v>
      </c>
      <c r="AD72" s="1006">
        <f t="shared" si="12"/>
        <v>5340.0702875014085</v>
      </c>
      <c r="AE72" s="1006">
        <f t="shared" si="13"/>
        <v>253.59060660916435</v>
      </c>
      <c r="AF72" s="1019">
        <f t="shared" si="14"/>
        <v>169.06040440610957</v>
      </c>
      <c r="AH72" s="1013">
        <f>'Baseline data (from input)'!AS59*'4A SWD Case 3'!$D$12</f>
        <v>5510.4458058558248</v>
      </c>
      <c r="AI72" s="1007">
        <f>Parameters!S174</f>
        <v>0.71500000000000008</v>
      </c>
      <c r="AJ72" s="1007">
        <f t="shared" si="15"/>
        <v>0.2</v>
      </c>
      <c r="AK72" s="1006">
        <f t="shared" si="16"/>
        <v>393.99687511869149</v>
      </c>
      <c r="AL72" s="1006">
        <f t="shared" si="17"/>
        <v>393.99687511869149</v>
      </c>
      <c r="AM72" s="1008">
        <f t="shared" si="18"/>
        <v>0</v>
      </c>
      <c r="AN72" s="1006">
        <f t="shared" si="19"/>
        <v>5340.0702875014085</v>
      </c>
      <c r="AO72" s="1006">
        <f t="shared" si="20"/>
        <v>253.59060660916435</v>
      </c>
      <c r="AP72" s="1019">
        <f t="shared" si="21"/>
        <v>169.06040440610957</v>
      </c>
      <c r="AR72" s="1021">
        <v>501</v>
      </c>
      <c r="AS72" s="1007">
        <v>1</v>
      </c>
      <c r="AT72" s="1007">
        <f t="shared" si="22"/>
        <v>0.05</v>
      </c>
      <c r="AU72" s="1006">
        <f t="shared" si="23"/>
        <v>12.525</v>
      </c>
      <c r="AV72" s="1006">
        <f t="shared" si="24"/>
        <v>12.525</v>
      </c>
      <c r="AW72" s="1008">
        <f t="shared" si="25"/>
        <v>0</v>
      </c>
      <c r="AX72" s="1006">
        <f t="shared" si="42"/>
        <v>45.891038650951295</v>
      </c>
      <c r="AY72" s="1006">
        <f t="shared" si="47"/>
        <v>2.0632406020738179</v>
      </c>
      <c r="AZ72" s="1022">
        <f t="shared" si="45"/>
        <v>1.3754937347158787</v>
      </c>
      <c r="BB72" s="317">
        <f t="shared" si="29"/>
        <v>371.80570002731048</v>
      </c>
      <c r="BC72" s="318">
        <f t="shared" si="30"/>
        <v>169.06040440610957</v>
      </c>
      <c r="BD72" s="1214">
        <f t="shared" si="46"/>
        <v>1.3754937347158787</v>
      </c>
      <c r="BE72" s="318">
        <f t="shared" si="32"/>
        <v>542.24159816813597</v>
      </c>
      <c r="BF72" s="104">
        <v>0</v>
      </c>
      <c r="BG72" s="1205">
        <f t="shared" si="33"/>
        <v>542.24159816813597</v>
      </c>
      <c r="BI72" s="317">
        <f t="shared" si="34"/>
        <v>371.80570002731048</v>
      </c>
      <c r="BJ72" s="318">
        <f t="shared" si="35"/>
        <v>169.06040440610957</v>
      </c>
      <c r="BK72" s="1214">
        <f t="shared" si="36"/>
        <v>1.3754937347158787</v>
      </c>
      <c r="BL72" s="318">
        <f t="shared" si="37"/>
        <v>542.24159816813597</v>
      </c>
      <c r="BM72" s="104">
        <v>0</v>
      </c>
      <c r="BN72" s="1205">
        <f t="shared" si="38"/>
        <v>542.24159816813597</v>
      </c>
    </row>
    <row r="73" spans="1:66">
      <c r="A73" s="941">
        <f>'Input data'!A104</f>
        <v>2004</v>
      </c>
      <c r="B73" s="989">
        <f>'Input data'!B104</f>
        <v>46.664999999999999</v>
      </c>
      <c r="C73" s="989">
        <f>'Baseline data (from input)'!B60</f>
        <v>578.73</v>
      </c>
      <c r="D73" s="990">
        <f>'Baseline data (from input)'!T60</f>
        <v>0.8</v>
      </c>
      <c r="E73" s="990">
        <f t="shared" si="44"/>
        <v>0.19892488097366726</v>
      </c>
      <c r="F73" s="990">
        <f t="shared" si="44"/>
        <v>0.26585903447659598</v>
      </c>
      <c r="G73" s="990">
        <f t="shared" si="44"/>
        <v>8.9228108703258049E-2</v>
      </c>
      <c r="H73" s="990">
        <f t="shared" si="44"/>
        <v>0</v>
      </c>
      <c r="I73" s="990">
        <f t="shared" si="44"/>
        <v>0</v>
      </c>
      <c r="J73" s="990">
        <f t="shared" si="44"/>
        <v>0</v>
      </c>
      <c r="K73" s="990">
        <f t="shared" si="44"/>
        <v>0.4459879758464787</v>
      </c>
      <c r="L73" s="997">
        <f t="shared" si="40"/>
        <v>1</v>
      </c>
      <c r="N73" s="1013">
        <f t="shared" si="1"/>
        <v>21605.148360000003</v>
      </c>
      <c r="O73" s="1007">
        <f>Parameters!R175</f>
        <v>0.73</v>
      </c>
      <c r="P73" s="1007">
        <f>E73*'MSW characteristics'!$B$28+'MSW characteristics'!$B$29*'4A SWD Case 3'!F73+'4A SWD Case 3'!G73*'MSW characteristics'!$B$30+'MSW characteristics'!$B$31*'4A SWD Case 3'!H73+'4A SWD Case 3'!I73*'MSW characteristics'!$B$32+'MSW characteristics'!$B$33*'4A SWD Case 3'!J73+'4A SWD Case 3'!K73*'MSW characteristics'!$B$35</f>
        <v>0.11870178252267252</v>
      </c>
      <c r="Q73" s="1006">
        <f t="shared" si="2"/>
        <v>936.06791202956026</v>
      </c>
      <c r="R73" s="1006">
        <f t="shared" si="3"/>
        <v>936.06791202956026</v>
      </c>
      <c r="S73" s="1008">
        <f t="shared" si="4"/>
        <v>0</v>
      </c>
      <c r="T73" s="1006">
        <f t="shared" si="5"/>
        <v>12163.139410190814</v>
      </c>
      <c r="U73" s="1006">
        <f t="shared" si="6"/>
        <v>575.62426480273814</v>
      </c>
      <c r="V73" s="1019">
        <f t="shared" si="7"/>
        <v>383.74950986849211</v>
      </c>
      <c r="X73" s="1013">
        <f>'Baseline data (from input)'!AS60*'4A SWD Case 3'!$D$12</f>
        <v>5761.4219665681694</v>
      </c>
      <c r="Y73" s="1007">
        <f>Parameters!S175</f>
        <v>0.71500000000000008</v>
      </c>
      <c r="Z73" s="1007">
        <f t="shared" si="8"/>
        <v>0.2</v>
      </c>
      <c r="AA73" s="1006">
        <f t="shared" si="9"/>
        <v>411.94167060962417</v>
      </c>
      <c r="AB73" s="1006">
        <f t="shared" si="10"/>
        <v>411.94167060962417</v>
      </c>
      <c r="AC73" s="1008">
        <f t="shared" si="11"/>
        <v>0</v>
      </c>
      <c r="AD73" s="1006">
        <f t="shared" si="12"/>
        <v>5491.5736569829514</v>
      </c>
      <c r="AE73" s="1006">
        <f t="shared" si="13"/>
        <v>260.43830112808126</v>
      </c>
      <c r="AF73" s="1019">
        <f t="shared" si="14"/>
        <v>173.6255340853875</v>
      </c>
      <c r="AH73" s="1013">
        <f>'Baseline data (from input)'!AS60*'4A SWD Case 3'!$D$12</f>
        <v>5761.4219665681694</v>
      </c>
      <c r="AI73" s="1007">
        <f>Parameters!S175</f>
        <v>0.71500000000000008</v>
      </c>
      <c r="AJ73" s="1007">
        <f t="shared" si="15"/>
        <v>0.2</v>
      </c>
      <c r="AK73" s="1006">
        <f t="shared" si="16"/>
        <v>411.94167060962417</v>
      </c>
      <c r="AL73" s="1006">
        <f t="shared" si="17"/>
        <v>411.94167060962417</v>
      </c>
      <c r="AM73" s="1008">
        <f t="shared" si="18"/>
        <v>0</v>
      </c>
      <c r="AN73" s="1006">
        <f t="shared" si="19"/>
        <v>5491.5736569829514</v>
      </c>
      <c r="AO73" s="1006">
        <f t="shared" si="20"/>
        <v>260.43830112808126</v>
      </c>
      <c r="AP73" s="1019">
        <f t="shared" si="21"/>
        <v>173.6255340853875</v>
      </c>
      <c r="AR73" s="1021">
        <v>501</v>
      </c>
      <c r="AS73" s="1007">
        <v>1</v>
      </c>
      <c r="AT73" s="1007">
        <f t="shared" si="22"/>
        <v>0.05</v>
      </c>
      <c r="AU73" s="1006">
        <f t="shared" si="23"/>
        <v>12.525</v>
      </c>
      <c r="AV73" s="1006">
        <f t="shared" si="24"/>
        <v>12.525</v>
      </c>
      <c r="AW73" s="1008">
        <f t="shared" si="25"/>
        <v>0</v>
      </c>
      <c r="AX73" s="1006">
        <f t="shared" si="42"/>
        <v>55.743552610809878</v>
      </c>
      <c r="AY73" s="1006">
        <f t="shared" si="47"/>
        <v>2.6724860401414179</v>
      </c>
      <c r="AZ73" s="1022">
        <f t="shared" si="45"/>
        <v>1.7816573600942787</v>
      </c>
      <c r="BB73" s="317">
        <f t="shared" si="29"/>
        <v>383.74950986849211</v>
      </c>
      <c r="BC73" s="318">
        <f t="shared" si="30"/>
        <v>173.6255340853875</v>
      </c>
      <c r="BD73" s="1214">
        <f t="shared" si="46"/>
        <v>1.7816573600942787</v>
      </c>
      <c r="BE73" s="318">
        <f t="shared" si="32"/>
        <v>559.15670131397394</v>
      </c>
      <c r="BF73" s="104">
        <v>0</v>
      </c>
      <c r="BG73" s="1205">
        <f t="shared" si="33"/>
        <v>559.15670131397394</v>
      </c>
      <c r="BI73" s="317">
        <f t="shared" si="34"/>
        <v>383.74950986849211</v>
      </c>
      <c r="BJ73" s="318">
        <f t="shared" si="35"/>
        <v>173.6255340853875</v>
      </c>
      <c r="BK73" s="1214">
        <f t="shared" si="36"/>
        <v>1.7816573600942787</v>
      </c>
      <c r="BL73" s="318">
        <f t="shared" si="37"/>
        <v>559.15670131397394</v>
      </c>
      <c r="BM73" s="104">
        <v>0</v>
      </c>
      <c r="BN73" s="1205">
        <f t="shared" si="38"/>
        <v>559.15670131397394</v>
      </c>
    </row>
    <row r="74" spans="1:66">
      <c r="A74" s="941">
        <f>'Input data'!A105</f>
        <v>2005</v>
      </c>
      <c r="B74" s="989">
        <f>'Input data'!B105</f>
        <v>47.198</v>
      </c>
      <c r="C74" s="989">
        <f>'Baseline data (from input)'!B61</f>
        <v>578.73</v>
      </c>
      <c r="D74" s="990">
        <f>'Baseline data (from input)'!T61</f>
        <v>0.8</v>
      </c>
      <c r="E74" s="990">
        <f t="shared" si="44"/>
        <v>0.19892488097366726</v>
      </c>
      <c r="F74" s="990">
        <f t="shared" si="44"/>
        <v>0.26585903447659598</v>
      </c>
      <c r="G74" s="990">
        <f t="shared" si="44"/>
        <v>8.9228108703258049E-2</v>
      </c>
      <c r="H74" s="990">
        <f t="shared" si="44"/>
        <v>0</v>
      </c>
      <c r="I74" s="990">
        <f t="shared" si="44"/>
        <v>0</v>
      </c>
      <c r="J74" s="990">
        <f t="shared" si="44"/>
        <v>0</v>
      </c>
      <c r="K74" s="990">
        <f t="shared" si="44"/>
        <v>0.4459879758464787</v>
      </c>
      <c r="L74" s="997">
        <f t="shared" si="40"/>
        <v>1</v>
      </c>
      <c r="N74" s="1013">
        <f t="shared" si="1"/>
        <v>21851.918832000003</v>
      </c>
      <c r="O74" s="1007">
        <f>Parameters!R176</f>
        <v>0.73</v>
      </c>
      <c r="P74" s="1007">
        <f>E74*'MSW characteristics'!$B$28+'MSW characteristics'!$B$29*'4A SWD Case 3'!F74+'4A SWD Case 3'!G74*'MSW characteristics'!$B$30+'MSW characteristics'!$B$31*'4A SWD Case 3'!H74+'4A SWD Case 3'!I74*'MSW characteristics'!$B$32+'MSW characteristics'!$B$33*'4A SWD Case 3'!J74+'4A SWD Case 3'!K74*'MSW characteristics'!$B$35</f>
        <v>0.11870178252267252</v>
      </c>
      <c r="Q74" s="1006">
        <f t="shared" si="2"/>
        <v>946.75952666819205</v>
      </c>
      <c r="R74" s="1006">
        <f t="shared" si="3"/>
        <v>946.75952666819205</v>
      </c>
      <c r="S74" s="1008">
        <f t="shared" si="4"/>
        <v>0</v>
      </c>
      <c r="T74" s="1006">
        <f t="shared" si="5"/>
        <v>12516.695627945954</v>
      </c>
      <c r="U74" s="1006">
        <f t="shared" si="6"/>
        <v>593.20330891305184</v>
      </c>
      <c r="V74" s="1019">
        <f t="shared" si="7"/>
        <v>395.46887260870125</v>
      </c>
      <c r="X74" s="1013">
        <f>'Baseline data (from input)'!AS61*'4A SWD Case 3'!$D$12</f>
        <v>6065.4554481159084</v>
      </c>
      <c r="Y74" s="1007">
        <f>Parameters!S176</f>
        <v>0.71500000000000008</v>
      </c>
      <c r="Z74" s="1007">
        <f t="shared" si="8"/>
        <v>0.2</v>
      </c>
      <c r="AA74" s="1006">
        <f t="shared" si="9"/>
        <v>433.6800645402875</v>
      </c>
      <c r="AB74" s="1006">
        <f t="shared" si="10"/>
        <v>433.6800645402875</v>
      </c>
      <c r="AC74" s="1008">
        <f t="shared" si="11"/>
        <v>0</v>
      </c>
      <c r="AD74" s="1006">
        <f t="shared" si="12"/>
        <v>5657.4265138754618</v>
      </c>
      <c r="AE74" s="1006">
        <f t="shared" si="13"/>
        <v>267.82720764777707</v>
      </c>
      <c r="AF74" s="1019">
        <f t="shared" si="14"/>
        <v>178.55147176518471</v>
      </c>
      <c r="AH74" s="1013">
        <f>'Baseline data (from input)'!AS61*'4A SWD Case 3'!$D$12</f>
        <v>6065.4554481159084</v>
      </c>
      <c r="AI74" s="1007">
        <f>Parameters!S176</f>
        <v>0.71500000000000008</v>
      </c>
      <c r="AJ74" s="1007">
        <f t="shared" si="15"/>
        <v>0.2</v>
      </c>
      <c r="AK74" s="1006">
        <f t="shared" si="16"/>
        <v>433.6800645402875</v>
      </c>
      <c r="AL74" s="1006">
        <f t="shared" si="17"/>
        <v>433.6800645402875</v>
      </c>
      <c r="AM74" s="1008">
        <f t="shared" si="18"/>
        <v>0</v>
      </c>
      <c r="AN74" s="1006">
        <f t="shared" si="19"/>
        <v>5657.4265138754618</v>
      </c>
      <c r="AO74" s="1006">
        <f t="shared" si="20"/>
        <v>267.82720764777707</v>
      </c>
      <c r="AP74" s="1019">
        <f t="shared" si="21"/>
        <v>178.55147176518471</v>
      </c>
      <c r="AR74" s="1021">
        <v>501</v>
      </c>
      <c r="AS74" s="1007">
        <v>1</v>
      </c>
      <c r="AT74" s="1007">
        <f t="shared" si="22"/>
        <v>0.05</v>
      </c>
      <c r="AU74" s="1006">
        <f t="shared" si="23"/>
        <v>12.525</v>
      </c>
      <c r="AV74" s="1006">
        <f t="shared" si="24"/>
        <v>12.525</v>
      </c>
      <c r="AW74" s="1008">
        <f t="shared" si="25"/>
        <v>0</v>
      </c>
      <c r="AX74" s="1006">
        <f t="shared" si="42"/>
        <v>65.022300824848401</v>
      </c>
      <c r="AY74" s="1006">
        <f t="shared" si="47"/>
        <v>3.2462517859614834</v>
      </c>
      <c r="AZ74" s="1022">
        <f t="shared" si="45"/>
        <v>2.1641678573076555</v>
      </c>
      <c r="BB74" s="317">
        <f t="shared" si="29"/>
        <v>395.46887260870125</v>
      </c>
      <c r="BC74" s="318">
        <f t="shared" si="30"/>
        <v>178.55147176518471</v>
      </c>
      <c r="BD74" s="1214">
        <f t="shared" si="46"/>
        <v>2.1641678573076555</v>
      </c>
      <c r="BE74" s="318">
        <f t="shared" si="32"/>
        <v>576.18451223119371</v>
      </c>
      <c r="BF74" s="104">
        <v>0</v>
      </c>
      <c r="BG74" s="1205">
        <f t="shared" si="33"/>
        <v>576.18451223119371</v>
      </c>
      <c r="BI74" s="317">
        <f t="shared" si="34"/>
        <v>395.46887260870125</v>
      </c>
      <c r="BJ74" s="318">
        <f t="shared" si="35"/>
        <v>178.55147176518471</v>
      </c>
      <c r="BK74" s="1214">
        <f t="shared" si="36"/>
        <v>2.1641678573076555</v>
      </c>
      <c r="BL74" s="318">
        <f t="shared" si="37"/>
        <v>576.18451223119371</v>
      </c>
      <c r="BM74" s="104">
        <v>0</v>
      </c>
      <c r="BN74" s="1205">
        <f t="shared" si="38"/>
        <v>576.18451223119371</v>
      </c>
    </row>
    <row r="75" spans="1:66">
      <c r="A75" s="941">
        <f>'Input data'!A106</f>
        <v>2006</v>
      </c>
      <c r="B75" s="989">
        <f>'Input data'!B106</f>
        <v>47.731000000000002</v>
      </c>
      <c r="C75" s="989">
        <f>'Baseline data (from input)'!B62</f>
        <v>578.73</v>
      </c>
      <c r="D75" s="990">
        <f>'Baseline data (from input)'!T62</f>
        <v>0.8</v>
      </c>
      <c r="E75" s="990">
        <f t="shared" si="44"/>
        <v>0.19892488097366726</v>
      </c>
      <c r="F75" s="990">
        <f t="shared" si="44"/>
        <v>0.26585903447659598</v>
      </c>
      <c r="G75" s="990">
        <f t="shared" si="44"/>
        <v>8.9228108703258049E-2</v>
      </c>
      <c r="H75" s="990">
        <f t="shared" si="44"/>
        <v>0</v>
      </c>
      <c r="I75" s="990">
        <f t="shared" si="44"/>
        <v>0</v>
      </c>
      <c r="J75" s="990">
        <f t="shared" si="44"/>
        <v>0</v>
      </c>
      <c r="K75" s="990">
        <f t="shared" si="44"/>
        <v>0.4459879758464787</v>
      </c>
      <c r="L75" s="997">
        <f t="shared" si="40"/>
        <v>1</v>
      </c>
      <c r="N75" s="1013">
        <f t="shared" si="1"/>
        <v>22098.689304000003</v>
      </c>
      <c r="O75" s="1007">
        <f>Parameters!R177</f>
        <v>0.73</v>
      </c>
      <c r="P75" s="1007">
        <f>E75*'MSW characteristics'!$B$28+'MSW characteristics'!$B$29*'4A SWD Case 3'!F75+'4A SWD Case 3'!G75*'MSW characteristics'!$B$30+'MSW characteristics'!$B$31*'4A SWD Case 3'!H75+'4A SWD Case 3'!I75*'MSW characteristics'!$B$32+'MSW characteristics'!$B$33*'4A SWD Case 3'!J75+'4A SWD Case 3'!K75*'MSW characteristics'!$B$35</f>
        <v>0.11870178252267252</v>
      </c>
      <c r="Q75" s="1006">
        <f t="shared" si="2"/>
        <v>957.45114130682396</v>
      </c>
      <c r="R75" s="1006">
        <f t="shared" si="3"/>
        <v>957.45114130682396</v>
      </c>
      <c r="S75" s="1008">
        <f t="shared" si="4"/>
        <v>0</v>
      </c>
      <c r="T75" s="1006">
        <f t="shared" si="5"/>
        <v>12863.700320128457</v>
      </c>
      <c r="U75" s="1006">
        <f t="shared" si="6"/>
        <v>610.44644912432091</v>
      </c>
      <c r="V75" s="1019">
        <f t="shared" si="7"/>
        <v>406.96429941621392</v>
      </c>
      <c r="X75" s="1013">
        <f>'Baseline data (from input)'!AS62*'4A SWD Case 3'!$D$12</f>
        <v>6405.351298403808</v>
      </c>
      <c r="Y75" s="1007">
        <f>Parameters!S177</f>
        <v>0.71500000000000008</v>
      </c>
      <c r="Z75" s="1007">
        <f t="shared" si="8"/>
        <v>0.2</v>
      </c>
      <c r="AA75" s="1006">
        <f t="shared" si="9"/>
        <v>457.98261783587236</v>
      </c>
      <c r="AB75" s="1006">
        <f t="shared" si="10"/>
        <v>457.98261783587236</v>
      </c>
      <c r="AC75" s="1008">
        <f t="shared" si="11"/>
        <v>0</v>
      </c>
      <c r="AD75" s="1006">
        <f t="shared" si="12"/>
        <v>5839.4931847847092</v>
      </c>
      <c r="AE75" s="1006">
        <f t="shared" si="13"/>
        <v>275.91594692662551</v>
      </c>
      <c r="AF75" s="1019">
        <f t="shared" si="14"/>
        <v>183.94396461775034</v>
      </c>
      <c r="AH75" s="1013">
        <f>'Baseline data (from input)'!AS62*'4A SWD Case 3'!$D$12</f>
        <v>6405.351298403808</v>
      </c>
      <c r="AI75" s="1007">
        <f>Parameters!S177</f>
        <v>0.71500000000000008</v>
      </c>
      <c r="AJ75" s="1007">
        <f t="shared" si="15"/>
        <v>0.2</v>
      </c>
      <c r="AK75" s="1006">
        <f t="shared" si="16"/>
        <v>457.98261783587236</v>
      </c>
      <c r="AL75" s="1006">
        <f t="shared" si="17"/>
        <v>457.98261783587236</v>
      </c>
      <c r="AM75" s="1008">
        <f t="shared" si="18"/>
        <v>0</v>
      </c>
      <c r="AN75" s="1006">
        <f t="shared" si="19"/>
        <v>5839.4931847847092</v>
      </c>
      <c r="AO75" s="1006">
        <f t="shared" si="20"/>
        <v>275.91594692662551</v>
      </c>
      <c r="AP75" s="1019">
        <f t="shared" si="21"/>
        <v>183.94396461775034</v>
      </c>
      <c r="AR75" s="1021">
        <v>501</v>
      </c>
      <c r="AS75" s="1007">
        <v>1</v>
      </c>
      <c r="AT75" s="1007">
        <f t="shared" si="22"/>
        <v>0.05</v>
      </c>
      <c r="AU75" s="1006">
        <f t="shared" si="23"/>
        <v>12.525</v>
      </c>
      <c r="AV75" s="1006">
        <f t="shared" si="24"/>
        <v>12.525</v>
      </c>
      <c r="AW75" s="1008">
        <f t="shared" si="25"/>
        <v>0</v>
      </c>
      <c r="AX75" s="1006">
        <f t="shared" si="42"/>
        <v>73.760696808888071</v>
      </c>
      <c r="AY75" s="1006">
        <f t="shared" si="47"/>
        <v>3.7866040159603358</v>
      </c>
      <c r="AZ75" s="1022">
        <f t="shared" si="45"/>
        <v>2.5244026773068904</v>
      </c>
      <c r="BB75" s="317">
        <f t="shared" si="29"/>
        <v>406.96429941621392</v>
      </c>
      <c r="BC75" s="318">
        <f t="shared" si="30"/>
        <v>183.94396461775034</v>
      </c>
      <c r="BD75" s="1214">
        <f t="shared" si="46"/>
        <v>2.5244026773068904</v>
      </c>
      <c r="BE75" s="318">
        <f t="shared" si="32"/>
        <v>593.43266671127117</v>
      </c>
      <c r="BF75" s="104">
        <v>0</v>
      </c>
      <c r="BG75" s="1205">
        <f t="shared" si="33"/>
        <v>593.43266671127117</v>
      </c>
      <c r="BI75" s="317">
        <f t="shared" si="34"/>
        <v>406.96429941621392</v>
      </c>
      <c r="BJ75" s="318">
        <f t="shared" si="35"/>
        <v>183.94396461775034</v>
      </c>
      <c r="BK75" s="1214">
        <f t="shared" si="36"/>
        <v>2.5244026773068904</v>
      </c>
      <c r="BL75" s="318">
        <f t="shared" si="37"/>
        <v>593.43266671127117</v>
      </c>
      <c r="BM75" s="104">
        <v>0</v>
      </c>
      <c r="BN75" s="1205">
        <f t="shared" si="38"/>
        <v>593.43266671127117</v>
      </c>
    </row>
    <row r="76" spans="1:66">
      <c r="A76" s="941">
        <f>'Input data'!A107</f>
        <v>2007</v>
      </c>
      <c r="B76" s="989">
        <f>'Input data'!B107</f>
        <v>48.256999999999998</v>
      </c>
      <c r="C76" s="989">
        <f>'Baseline data (from input)'!B63</f>
        <v>578.73</v>
      </c>
      <c r="D76" s="990">
        <f>'Baseline data (from input)'!T63</f>
        <v>0.8</v>
      </c>
      <c r="E76" s="990">
        <f t="shared" si="44"/>
        <v>0.19892488097366726</v>
      </c>
      <c r="F76" s="990">
        <f t="shared" si="44"/>
        <v>0.26585903447659598</v>
      </c>
      <c r="G76" s="990">
        <f t="shared" si="44"/>
        <v>8.9228108703258049E-2</v>
      </c>
      <c r="H76" s="990">
        <f t="shared" si="44"/>
        <v>0</v>
      </c>
      <c r="I76" s="990">
        <f t="shared" si="44"/>
        <v>0</v>
      </c>
      <c r="J76" s="990">
        <f t="shared" si="44"/>
        <v>0</v>
      </c>
      <c r="K76" s="990">
        <f t="shared" si="44"/>
        <v>0.4459879758464787</v>
      </c>
      <c r="L76" s="997">
        <f t="shared" si="40"/>
        <v>1</v>
      </c>
      <c r="N76" s="1013">
        <f t="shared" si="1"/>
        <v>22342.218888000003</v>
      </c>
      <c r="O76" s="1007">
        <f>Parameters!R178</f>
        <v>0.73</v>
      </c>
      <c r="P76" s="1007">
        <f>E76*'MSW characteristics'!$B$28+'MSW characteristics'!$B$29*'4A SWD Case 3'!F76+'4A SWD Case 3'!G76*'MSW characteristics'!$B$30+'MSW characteristics'!$B$31*'4A SWD Case 3'!H76+'4A SWD Case 3'!I76*'MSW characteristics'!$B$32+'MSW characteristics'!$B$33*'4A SWD Case 3'!J76+'4A SWD Case 3'!K76*'MSW characteristics'!$B$35</f>
        <v>0.11870178252267252</v>
      </c>
      <c r="Q76" s="1006">
        <f t="shared" si="2"/>
        <v>968.00234074382274</v>
      </c>
      <c r="R76" s="1006">
        <f t="shared" si="3"/>
        <v>968.00234074382274</v>
      </c>
      <c r="S76" s="1008">
        <f t="shared" si="4"/>
        <v>0</v>
      </c>
      <c r="T76" s="1006">
        <f t="shared" si="5"/>
        <v>13204.332593209265</v>
      </c>
      <c r="U76" s="1006">
        <f t="shared" si="6"/>
        <v>627.3700676630142</v>
      </c>
      <c r="V76" s="1019">
        <f t="shared" si="7"/>
        <v>418.24671177534282</v>
      </c>
      <c r="X76" s="1013">
        <f>'Baseline data (from input)'!AS63*'4A SWD Case 3'!$D$12</f>
        <v>6748.7086104885984</v>
      </c>
      <c r="Y76" s="1007">
        <f>Parameters!S178</f>
        <v>0.71500000000000008</v>
      </c>
      <c r="Z76" s="1007">
        <f t="shared" si="8"/>
        <v>0.2</v>
      </c>
      <c r="AA76" s="1006">
        <f t="shared" si="9"/>
        <v>482.53266564993487</v>
      </c>
      <c r="AB76" s="1006">
        <f t="shared" si="10"/>
        <v>482.53266564993487</v>
      </c>
      <c r="AC76" s="1008">
        <f t="shared" si="11"/>
        <v>0</v>
      </c>
      <c r="AD76" s="1006">
        <f t="shared" si="12"/>
        <v>6037.2304071885355</v>
      </c>
      <c r="AE76" s="1006">
        <f t="shared" si="13"/>
        <v>284.79544324610862</v>
      </c>
      <c r="AF76" s="1019">
        <f t="shared" si="14"/>
        <v>189.86362883073909</v>
      </c>
      <c r="AH76" s="1013">
        <f>'Baseline data (from input)'!AS63*'4A SWD Case 3'!$D$12</f>
        <v>6748.7086104885984</v>
      </c>
      <c r="AI76" s="1007">
        <f>Parameters!S178</f>
        <v>0.71500000000000008</v>
      </c>
      <c r="AJ76" s="1007">
        <f t="shared" si="15"/>
        <v>0.2</v>
      </c>
      <c r="AK76" s="1006">
        <f t="shared" si="16"/>
        <v>482.53266564993487</v>
      </c>
      <c r="AL76" s="1006">
        <f t="shared" si="17"/>
        <v>482.53266564993487</v>
      </c>
      <c r="AM76" s="1008">
        <f t="shared" si="18"/>
        <v>0</v>
      </c>
      <c r="AN76" s="1006">
        <f t="shared" si="19"/>
        <v>6037.2304071885355</v>
      </c>
      <c r="AO76" s="1006">
        <f t="shared" si="20"/>
        <v>284.79544324610862</v>
      </c>
      <c r="AP76" s="1019">
        <f t="shared" si="21"/>
        <v>189.86362883073909</v>
      </c>
      <c r="AR76" s="1021">
        <v>501</v>
      </c>
      <c r="AS76" s="1007">
        <v>1</v>
      </c>
      <c r="AT76" s="1007">
        <f t="shared" si="22"/>
        <v>0.05</v>
      </c>
      <c r="AU76" s="1006">
        <f t="shared" si="23"/>
        <v>12.525</v>
      </c>
      <c r="AV76" s="1006">
        <f t="shared" si="24"/>
        <v>12.525</v>
      </c>
      <c r="AW76" s="1008">
        <f t="shared" si="25"/>
        <v>0</v>
      </c>
      <c r="AX76" s="1006">
        <f t="shared" si="42"/>
        <v>81.990208227071662</v>
      </c>
      <c r="AY76" s="1006">
        <f t="shared" si="47"/>
        <v>4.2954885818164135</v>
      </c>
      <c r="AZ76" s="1022">
        <f t="shared" si="45"/>
        <v>2.8636590545442755</v>
      </c>
      <c r="BB76" s="317">
        <f t="shared" si="29"/>
        <v>418.24671177534282</v>
      </c>
      <c r="BC76" s="318">
        <f t="shared" si="30"/>
        <v>189.86362883073909</v>
      </c>
      <c r="BD76" s="1214">
        <f t="shared" si="46"/>
        <v>2.8636590545442755</v>
      </c>
      <c r="BE76" s="318">
        <f t="shared" si="32"/>
        <v>610.97399966062619</v>
      </c>
      <c r="BF76" s="104">
        <v>0</v>
      </c>
      <c r="BG76" s="1205">
        <f t="shared" si="33"/>
        <v>610.97399966062619</v>
      </c>
      <c r="BI76" s="317">
        <f t="shared" si="34"/>
        <v>418.24671177534282</v>
      </c>
      <c r="BJ76" s="318">
        <f t="shared" si="35"/>
        <v>189.86362883073909</v>
      </c>
      <c r="BK76" s="1214">
        <f t="shared" si="36"/>
        <v>2.8636590545442755</v>
      </c>
      <c r="BL76" s="318">
        <f t="shared" si="37"/>
        <v>610.97399966062619</v>
      </c>
      <c r="BM76" s="104">
        <v>0</v>
      </c>
      <c r="BN76" s="1205">
        <f t="shared" si="38"/>
        <v>610.97399966062619</v>
      </c>
    </row>
    <row r="77" spans="1:66">
      <c r="A77" s="941">
        <f>'Input data'!A108</f>
        <v>2008</v>
      </c>
      <c r="B77" s="989">
        <f>'Input data'!B108</f>
        <v>48.792999999999999</v>
      </c>
      <c r="C77" s="989">
        <f>'Baseline data (from input)'!B64</f>
        <v>578.73</v>
      </c>
      <c r="D77" s="990">
        <f>'Baseline data (from input)'!T64</f>
        <v>0.8</v>
      </c>
      <c r="E77" s="990">
        <f t="shared" si="44"/>
        <v>0.19892488097366726</v>
      </c>
      <c r="F77" s="990">
        <f t="shared" si="44"/>
        <v>0.26585903447659598</v>
      </c>
      <c r="G77" s="990">
        <f t="shared" si="44"/>
        <v>8.9228108703258049E-2</v>
      </c>
      <c r="H77" s="990">
        <f t="shared" si="44"/>
        <v>0</v>
      </c>
      <c r="I77" s="990">
        <f t="shared" si="44"/>
        <v>0</v>
      </c>
      <c r="J77" s="990">
        <f t="shared" si="44"/>
        <v>0</v>
      </c>
      <c r="K77" s="990">
        <f t="shared" si="44"/>
        <v>0.4459879758464787</v>
      </c>
      <c r="L77" s="997">
        <f t="shared" si="40"/>
        <v>1</v>
      </c>
      <c r="N77" s="1013">
        <f t="shared" si="1"/>
        <v>22590.378312000001</v>
      </c>
      <c r="O77" s="1007">
        <f>Parameters!R179</f>
        <v>0.73</v>
      </c>
      <c r="P77" s="1007">
        <f>E77*'MSW characteristics'!$B$28+'MSW characteristics'!$B$29*'4A SWD Case 3'!F77+'4A SWD Case 3'!G77*'MSW characteristics'!$B$30+'MSW characteristics'!$B$31*'4A SWD Case 3'!H77+'4A SWD Case 3'!I77*'MSW characteristics'!$B$32+'MSW characteristics'!$B$33*'4A SWD Case 3'!J77+'4A SWD Case 3'!K77*'MSW characteristics'!$B$35</f>
        <v>0.11870178252267252</v>
      </c>
      <c r="Q77" s="1006">
        <f t="shared" si="2"/>
        <v>978.75413332601147</v>
      </c>
      <c r="R77" s="1006">
        <f t="shared" si="3"/>
        <v>978.75413332601147</v>
      </c>
      <c r="S77" s="1008">
        <f t="shared" si="4"/>
        <v>0</v>
      </c>
      <c r="T77" s="1006">
        <f t="shared" si="5"/>
        <v>13539.10382688048</v>
      </c>
      <c r="U77" s="1006">
        <f t="shared" si="6"/>
        <v>643.98289965479512</v>
      </c>
      <c r="V77" s="1019">
        <f t="shared" si="7"/>
        <v>429.32193310319673</v>
      </c>
      <c r="X77" s="1013">
        <f>'Baseline data (from input)'!AS64*'4A SWD Case 3'!$D$12</f>
        <v>6964.0630566631799</v>
      </c>
      <c r="Y77" s="1007">
        <f>Parameters!S179</f>
        <v>0.71500000000000008</v>
      </c>
      <c r="Z77" s="1007">
        <f t="shared" si="8"/>
        <v>0.2</v>
      </c>
      <c r="AA77" s="1006">
        <f t="shared" si="9"/>
        <v>497.93050855141746</v>
      </c>
      <c r="AB77" s="1006">
        <f t="shared" si="10"/>
        <v>497.93050855141746</v>
      </c>
      <c r="AC77" s="1008">
        <f t="shared" si="11"/>
        <v>0</v>
      </c>
      <c r="AD77" s="1006">
        <f t="shared" si="12"/>
        <v>6240.721714359579</v>
      </c>
      <c r="AE77" s="1006">
        <f t="shared" si="13"/>
        <v>294.43920138037356</v>
      </c>
      <c r="AF77" s="1019">
        <f t="shared" si="14"/>
        <v>196.29280092024905</v>
      </c>
      <c r="AH77" s="1013">
        <f>'Baseline data (from input)'!AS64*'4A SWD Case 3'!$D$12</f>
        <v>6964.0630566631799</v>
      </c>
      <c r="AI77" s="1007">
        <f>Parameters!S179</f>
        <v>0.71500000000000008</v>
      </c>
      <c r="AJ77" s="1007">
        <f t="shared" si="15"/>
        <v>0.2</v>
      </c>
      <c r="AK77" s="1006">
        <f t="shared" si="16"/>
        <v>497.93050855141746</v>
      </c>
      <c r="AL77" s="1006">
        <f t="shared" si="17"/>
        <v>497.93050855141746</v>
      </c>
      <c r="AM77" s="1008">
        <f t="shared" si="18"/>
        <v>0</v>
      </c>
      <c r="AN77" s="1006">
        <f t="shared" si="19"/>
        <v>6240.721714359579</v>
      </c>
      <c r="AO77" s="1006">
        <f t="shared" si="20"/>
        <v>294.43920138037356</v>
      </c>
      <c r="AP77" s="1019">
        <f t="shared" si="21"/>
        <v>196.29280092024905</v>
      </c>
      <c r="AR77" s="1021">
        <v>501</v>
      </c>
      <c r="AS77" s="1007">
        <v>1</v>
      </c>
      <c r="AT77" s="1007">
        <f t="shared" si="22"/>
        <v>0.05</v>
      </c>
      <c r="AU77" s="1006">
        <f t="shared" si="23"/>
        <v>12.525</v>
      </c>
      <c r="AV77" s="1006">
        <f t="shared" si="24"/>
        <v>12.525</v>
      </c>
      <c r="AW77" s="1008">
        <f t="shared" si="25"/>
        <v>0</v>
      </c>
      <c r="AX77" s="1006">
        <f t="shared" si="42"/>
        <v>89.740470209443586</v>
      </c>
      <c r="AY77" s="1006">
        <f t="shared" si="47"/>
        <v>4.7747380176280858</v>
      </c>
      <c r="AZ77" s="1022">
        <f t="shared" si="45"/>
        <v>3.183158678418724</v>
      </c>
      <c r="BB77" s="317">
        <f t="shared" si="29"/>
        <v>429.32193310319673</v>
      </c>
      <c r="BC77" s="318">
        <f t="shared" si="30"/>
        <v>196.29280092024905</v>
      </c>
      <c r="BD77" s="1214">
        <f t="shared" si="46"/>
        <v>3.183158678418724</v>
      </c>
      <c r="BE77" s="318">
        <f t="shared" si="32"/>
        <v>628.7978927018645</v>
      </c>
      <c r="BF77" s="104">
        <v>0</v>
      </c>
      <c r="BG77" s="1205">
        <f t="shared" si="33"/>
        <v>628.7978927018645</v>
      </c>
      <c r="BI77" s="317">
        <f t="shared" si="34"/>
        <v>429.32193310319673</v>
      </c>
      <c r="BJ77" s="318">
        <f t="shared" si="35"/>
        <v>196.29280092024905</v>
      </c>
      <c r="BK77" s="1214">
        <f t="shared" si="36"/>
        <v>3.183158678418724</v>
      </c>
      <c r="BL77" s="318">
        <f t="shared" si="37"/>
        <v>628.7978927018645</v>
      </c>
      <c r="BM77" s="104">
        <v>0</v>
      </c>
      <c r="BN77" s="1205">
        <f t="shared" si="38"/>
        <v>628.7978927018645</v>
      </c>
    </row>
    <row r="78" spans="1:66">
      <c r="A78" s="941">
        <f>'Input data'!A109</f>
        <v>2009</v>
      </c>
      <c r="B78" s="989">
        <f>'Input data'!B109</f>
        <v>49.32</v>
      </c>
      <c r="C78" s="989">
        <f>'Baseline data (from input)'!B65</f>
        <v>578.73</v>
      </c>
      <c r="D78" s="990">
        <f>'Baseline data (from input)'!T65</f>
        <v>0.8</v>
      </c>
      <c r="E78" s="990">
        <f t="shared" si="44"/>
        <v>0.19892488097366726</v>
      </c>
      <c r="F78" s="990">
        <f t="shared" si="44"/>
        <v>0.26585903447659598</v>
      </c>
      <c r="G78" s="990">
        <f t="shared" si="44"/>
        <v>8.9228108703258049E-2</v>
      </c>
      <c r="H78" s="990">
        <f t="shared" si="44"/>
        <v>0</v>
      </c>
      <c r="I78" s="990">
        <f t="shared" si="44"/>
        <v>0</v>
      </c>
      <c r="J78" s="990">
        <f t="shared" si="44"/>
        <v>0</v>
      </c>
      <c r="K78" s="990">
        <f t="shared" si="44"/>
        <v>0.4459879758464787</v>
      </c>
      <c r="L78" s="997">
        <f t="shared" si="40"/>
        <v>1</v>
      </c>
      <c r="N78" s="1013">
        <f t="shared" si="1"/>
        <v>22834.370880000002</v>
      </c>
      <c r="O78" s="1007">
        <f>Parameters!R180</f>
        <v>0.73</v>
      </c>
      <c r="P78" s="1007">
        <f>E78*'MSW characteristics'!$B$28+'MSW characteristics'!$B$29*'4A SWD Case 3'!F78+'4A SWD Case 3'!G78*'MSW characteristics'!$B$30+'MSW characteristics'!$B$31*'4A SWD Case 3'!H78+'4A SWD Case 3'!I78*'MSW characteristics'!$B$32+'MSW characteristics'!$B$33*'4A SWD Case 3'!J78+'4A SWD Case 3'!K78*'MSW characteristics'!$B$35</f>
        <v>0.11870178252267252</v>
      </c>
      <c r="Q78" s="1006">
        <f t="shared" si="2"/>
        <v>989.32539207752939</v>
      </c>
      <c r="R78" s="1006">
        <f t="shared" si="3"/>
        <v>989.32539207752939</v>
      </c>
      <c r="S78" s="1008">
        <f t="shared" si="4"/>
        <v>0</v>
      </c>
      <c r="T78" s="1006">
        <f t="shared" si="5"/>
        <v>13868.119333576464</v>
      </c>
      <c r="U78" s="1006">
        <f t="shared" si="6"/>
        <v>660.30988538154622</v>
      </c>
      <c r="V78" s="1019">
        <f t="shared" si="7"/>
        <v>440.20659025436413</v>
      </c>
      <c r="X78" s="1013">
        <f>'Baseline data (from input)'!AS65*'4A SWD Case 3'!$D$12</f>
        <v>6856.9495455756096</v>
      </c>
      <c r="Y78" s="1007">
        <f>Parameters!S180</f>
        <v>0.71500000000000008</v>
      </c>
      <c r="Z78" s="1007">
        <f t="shared" si="8"/>
        <v>0.2</v>
      </c>
      <c r="AA78" s="1006">
        <f t="shared" si="9"/>
        <v>490.27189250865615</v>
      </c>
      <c r="AB78" s="1006">
        <f t="shared" si="10"/>
        <v>490.27189250865615</v>
      </c>
      <c r="AC78" s="1008">
        <f t="shared" si="11"/>
        <v>0</v>
      </c>
      <c r="AD78" s="1006">
        <f t="shared" si="12"/>
        <v>6426.6300173280279</v>
      </c>
      <c r="AE78" s="1006">
        <f t="shared" si="13"/>
        <v>304.36358954020733</v>
      </c>
      <c r="AF78" s="1019">
        <f t="shared" si="14"/>
        <v>202.90905969347156</v>
      </c>
      <c r="AH78" s="1013">
        <f>'Baseline data (from input)'!AS65*'4A SWD Case 3'!$D$12</f>
        <v>6856.9495455756096</v>
      </c>
      <c r="AI78" s="1007">
        <f>Parameters!S180</f>
        <v>0.71500000000000008</v>
      </c>
      <c r="AJ78" s="1007">
        <f t="shared" si="15"/>
        <v>0.2</v>
      </c>
      <c r="AK78" s="1006">
        <f t="shared" si="16"/>
        <v>490.27189250865615</v>
      </c>
      <c r="AL78" s="1006">
        <f t="shared" si="17"/>
        <v>490.27189250865615</v>
      </c>
      <c r="AM78" s="1008">
        <f t="shared" si="18"/>
        <v>0</v>
      </c>
      <c r="AN78" s="1006">
        <f t="shared" si="19"/>
        <v>6426.6300173280279</v>
      </c>
      <c r="AO78" s="1006">
        <f t="shared" si="20"/>
        <v>304.36358954020733</v>
      </c>
      <c r="AP78" s="1019">
        <f t="shared" si="21"/>
        <v>202.90905969347156</v>
      </c>
      <c r="AR78" s="1021">
        <v>501</v>
      </c>
      <c r="AS78" s="1007">
        <v>1</v>
      </c>
      <c r="AT78" s="1007">
        <f t="shared" si="22"/>
        <v>0.05</v>
      </c>
      <c r="AU78" s="1006">
        <f t="shared" si="23"/>
        <v>12.525</v>
      </c>
      <c r="AV78" s="1006">
        <f t="shared" si="24"/>
        <v>12.525</v>
      </c>
      <c r="AW78" s="1008">
        <f t="shared" si="25"/>
        <v>0</v>
      </c>
      <c r="AX78" s="1006">
        <f t="shared" si="42"/>
        <v>97.039392070427809</v>
      </c>
      <c r="AY78" s="1006">
        <f t="shared" si="47"/>
        <v>5.2260781390157804</v>
      </c>
      <c r="AZ78" s="1022">
        <f t="shared" si="45"/>
        <v>3.484052092677187</v>
      </c>
      <c r="BB78" s="317">
        <f t="shared" si="29"/>
        <v>440.20659025436413</v>
      </c>
      <c r="BC78" s="318">
        <f t="shared" si="30"/>
        <v>202.90905969347156</v>
      </c>
      <c r="BD78" s="1214">
        <f t="shared" si="46"/>
        <v>3.484052092677187</v>
      </c>
      <c r="BE78" s="318">
        <f t="shared" si="32"/>
        <v>646.59970204051285</v>
      </c>
      <c r="BF78" s="104">
        <v>0</v>
      </c>
      <c r="BG78" s="1205">
        <f t="shared" si="33"/>
        <v>646.59970204051285</v>
      </c>
      <c r="BI78" s="317">
        <f t="shared" si="34"/>
        <v>440.20659025436413</v>
      </c>
      <c r="BJ78" s="318">
        <f t="shared" si="35"/>
        <v>202.90905969347156</v>
      </c>
      <c r="BK78" s="1214">
        <f t="shared" si="36"/>
        <v>3.484052092677187</v>
      </c>
      <c r="BL78" s="318">
        <f t="shared" si="37"/>
        <v>646.59970204051285</v>
      </c>
      <c r="BM78" s="104">
        <v>0</v>
      </c>
      <c r="BN78" s="1205">
        <f t="shared" si="38"/>
        <v>646.59970204051285</v>
      </c>
    </row>
    <row r="79" spans="1:66">
      <c r="A79" s="941">
        <f>'Input data'!A110</f>
        <v>2010</v>
      </c>
      <c r="B79" s="989">
        <f>'Input data'!B110</f>
        <v>49.87</v>
      </c>
      <c r="C79" s="989">
        <f>'Baseline data (from input)'!B66</f>
        <v>559.42164173673609</v>
      </c>
      <c r="D79" s="990">
        <f>'Baseline data (from input)'!T66</f>
        <v>0.75808980601378384</v>
      </c>
      <c r="E79" s="990">
        <f t="shared" si="44"/>
        <v>0.19892488097366726</v>
      </c>
      <c r="F79" s="990">
        <f t="shared" si="44"/>
        <v>0.26585903447659598</v>
      </c>
      <c r="G79" s="990">
        <f t="shared" si="44"/>
        <v>8.9228108703258049E-2</v>
      </c>
      <c r="H79" s="990">
        <f t="shared" si="44"/>
        <v>0</v>
      </c>
      <c r="I79" s="990">
        <f t="shared" si="44"/>
        <v>0</v>
      </c>
      <c r="J79" s="990">
        <f t="shared" si="44"/>
        <v>0</v>
      </c>
      <c r="K79" s="990">
        <f t="shared" si="44"/>
        <v>0.4459879758464787</v>
      </c>
      <c r="L79" s="997">
        <f t="shared" si="40"/>
        <v>1</v>
      </c>
      <c r="N79" s="1013">
        <f t="shared" si="1"/>
        <v>21149.460253503403</v>
      </c>
      <c r="O79" s="1007">
        <f>Parameters!R181</f>
        <v>0.73</v>
      </c>
      <c r="P79" s="1007">
        <f>E79*'MSW characteristics'!$B$28+'MSW characteristics'!$B$29*'4A SWD Case 3'!F79+'4A SWD Case 3'!G79*'MSW characteristics'!$B$30+'MSW characteristics'!$B$31*'4A SWD Case 3'!H79+'4A SWD Case 3'!I79*'MSW characteristics'!$B$32+'MSW characteristics'!$B$33*'4A SWD Case 3'!J79+'4A SWD Case 3'!K79*'MSW characteristics'!$B$35</f>
        <v>0.11870178252267252</v>
      </c>
      <c r="Q79" s="1006">
        <f t="shared" si="2"/>
        <v>916.32470049139249</v>
      </c>
      <c r="R79" s="1006">
        <f t="shared" si="3"/>
        <v>916.32470049139249</v>
      </c>
      <c r="S79" s="1008">
        <f t="shared" si="4"/>
        <v>0</v>
      </c>
      <c r="T79" s="1006">
        <f t="shared" si="5"/>
        <v>14108.087873076558</v>
      </c>
      <c r="U79" s="1006">
        <f t="shared" si="6"/>
        <v>676.35616099129857</v>
      </c>
      <c r="V79" s="1019">
        <f t="shared" si="7"/>
        <v>450.90410732753236</v>
      </c>
      <c r="X79" s="1013">
        <f>'Baseline data (from input)'!AS66*'4A SWD Case 3'!$D$12</f>
        <v>7065.3823538129036</v>
      </c>
      <c r="Y79" s="1007">
        <f>Parameters!S181</f>
        <v>0.71500000000000008</v>
      </c>
      <c r="Z79" s="1007">
        <f t="shared" si="8"/>
        <v>0.2</v>
      </c>
      <c r="AA79" s="1006">
        <f t="shared" si="9"/>
        <v>505.17483829762267</v>
      </c>
      <c r="AB79" s="1006">
        <f t="shared" si="10"/>
        <v>505.17483829762267</v>
      </c>
      <c r="AC79" s="1008">
        <f t="shared" si="11"/>
        <v>0</v>
      </c>
      <c r="AD79" s="1006">
        <f t="shared" si="12"/>
        <v>6618.374411159577</v>
      </c>
      <c r="AE79" s="1006">
        <f t="shared" si="13"/>
        <v>313.43044446607416</v>
      </c>
      <c r="AF79" s="1019">
        <f t="shared" si="14"/>
        <v>208.95362964404944</v>
      </c>
      <c r="AH79" s="1013">
        <f>'Baseline data (from input)'!AS66*'4A SWD Case 3'!$D$12</f>
        <v>7065.3823538129036</v>
      </c>
      <c r="AI79" s="1007">
        <f>Parameters!S181</f>
        <v>0.71500000000000008</v>
      </c>
      <c r="AJ79" s="1007">
        <f t="shared" si="15"/>
        <v>0.2</v>
      </c>
      <c r="AK79" s="1006">
        <f t="shared" si="16"/>
        <v>505.17483829762267</v>
      </c>
      <c r="AL79" s="1006">
        <f t="shared" si="17"/>
        <v>505.17483829762267</v>
      </c>
      <c r="AM79" s="1008">
        <f t="shared" si="18"/>
        <v>0</v>
      </c>
      <c r="AN79" s="1006">
        <f t="shared" si="19"/>
        <v>6618.374411159577</v>
      </c>
      <c r="AO79" s="1006">
        <f t="shared" si="20"/>
        <v>313.43044446607416</v>
      </c>
      <c r="AP79" s="1019">
        <f t="shared" si="21"/>
        <v>208.95362964404944</v>
      </c>
      <c r="AR79" s="1021">
        <v>501</v>
      </c>
      <c r="AS79" s="1007">
        <v>1</v>
      </c>
      <c r="AT79" s="1007">
        <f t="shared" si="22"/>
        <v>0.05</v>
      </c>
      <c r="AU79" s="1006">
        <f t="shared" si="23"/>
        <v>12.525</v>
      </c>
      <c r="AV79" s="1006">
        <f t="shared" si="24"/>
        <v>12.525</v>
      </c>
      <c r="AW79" s="1008">
        <f t="shared" si="25"/>
        <v>0</v>
      </c>
      <c r="AX79" s="1006">
        <f t="shared" si="42"/>
        <v>103.91325781250549</v>
      </c>
      <c r="AY79" s="1006">
        <f t="shared" si="47"/>
        <v>5.6511342579223198</v>
      </c>
      <c r="AZ79" s="1022">
        <f t="shared" si="45"/>
        <v>3.76742283861488</v>
      </c>
      <c r="BB79" s="317">
        <f t="shared" si="29"/>
        <v>450.90410732753236</v>
      </c>
      <c r="BC79" s="318">
        <f t="shared" si="30"/>
        <v>208.95362964404944</v>
      </c>
      <c r="BD79" s="1214">
        <f t="shared" si="46"/>
        <v>3.76742283861488</v>
      </c>
      <c r="BE79" s="318">
        <f t="shared" si="32"/>
        <v>663.62515981019658</v>
      </c>
      <c r="BF79" s="104">
        <v>0</v>
      </c>
      <c r="BG79" s="1205">
        <f t="shared" si="33"/>
        <v>663.62515981019658</v>
      </c>
      <c r="BI79" s="317">
        <f t="shared" si="34"/>
        <v>450.90410732753236</v>
      </c>
      <c r="BJ79" s="318">
        <f t="shared" si="35"/>
        <v>208.95362964404944</v>
      </c>
      <c r="BK79" s="1214">
        <f t="shared" si="36"/>
        <v>3.76742283861488</v>
      </c>
      <c r="BL79" s="318">
        <f t="shared" si="37"/>
        <v>663.62515981019658</v>
      </c>
      <c r="BM79" s="104">
        <v>0</v>
      </c>
      <c r="BN79" s="1205">
        <f t="shared" si="38"/>
        <v>663.62515981019658</v>
      </c>
    </row>
    <row r="80" spans="1:66">
      <c r="A80" s="941">
        <f>'Input data'!A111</f>
        <v>2011</v>
      </c>
      <c r="B80" s="989">
        <f>'Input data'!B111</f>
        <v>51.771000000000001</v>
      </c>
      <c r="C80" s="989">
        <f>'Baseline data (from input)'!B67</f>
        <v>540.11328347347217</v>
      </c>
      <c r="D80" s="990">
        <f>'Baseline data (from input)'!T67</f>
        <v>0.71617961202756764</v>
      </c>
      <c r="E80" s="990">
        <f t="shared" si="44"/>
        <v>0.19892488097366726</v>
      </c>
      <c r="F80" s="990">
        <f t="shared" si="44"/>
        <v>0.26585903447659598</v>
      </c>
      <c r="G80" s="990">
        <f t="shared" si="44"/>
        <v>8.9228108703258049E-2</v>
      </c>
      <c r="H80" s="990">
        <f t="shared" si="44"/>
        <v>0</v>
      </c>
      <c r="I80" s="990">
        <f t="shared" si="44"/>
        <v>0</v>
      </c>
      <c r="J80" s="990">
        <f t="shared" si="44"/>
        <v>0</v>
      </c>
      <c r="K80" s="990">
        <f t="shared" si="44"/>
        <v>0.4459879758464787</v>
      </c>
      <c r="L80" s="997">
        <f t="shared" si="40"/>
        <v>1</v>
      </c>
      <c r="N80" s="1013">
        <f t="shared" si="1"/>
        <v>20025.960984172027</v>
      </c>
      <c r="O80" s="1007">
        <f>Parameters!R182</f>
        <v>0.73</v>
      </c>
      <c r="P80" s="1007">
        <f>E80*'MSW characteristics'!$B$28+'MSW characteristics'!$B$29*'4A SWD Case 3'!F80+'4A SWD Case 3'!G80*'MSW characteristics'!$B$30+'MSW characteristics'!$B$31*'4A SWD Case 3'!H80+'4A SWD Case 3'!I80*'MSW characteristics'!$B$32+'MSW characteristics'!$B$33*'4A SWD Case 3'!J80+'4A SWD Case 3'!K80*'MSW characteristics'!$B$35</f>
        <v>0.11870178252267252</v>
      </c>
      <c r="Q80" s="1006">
        <f t="shared" si="2"/>
        <v>867.64780192601017</v>
      </c>
      <c r="R80" s="1006">
        <f t="shared" si="3"/>
        <v>867.64780192601017</v>
      </c>
      <c r="S80" s="1008">
        <f t="shared" si="4"/>
        <v>0</v>
      </c>
      <c r="T80" s="1006">
        <f t="shared" si="5"/>
        <v>14287.676110238128</v>
      </c>
      <c r="U80" s="1006">
        <f t="shared" si="6"/>
        <v>688.05956476444135</v>
      </c>
      <c r="V80" s="1019">
        <f t="shared" si="7"/>
        <v>458.70637650962755</v>
      </c>
      <c r="X80" s="1013">
        <f>'Baseline data (from input)'!AS67*'4A SWD Case 3'!$D$12</f>
        <v>7297.4213901873172</v>
      </c>
      <c r="Y80" s="1007">
        <f>Parameters!S182</f>
        <v>0.71500000000000008</v>
      </c>
      <c r="Z80" s="1007">
        <f t="shared" si="8"/>
        <v>0.2</v>
      </c>
      <c r="AA80" s="1006">
        <f t="shared" si="9"/>
        <v>521.76562939839334</v>
      </c>
      <c r="AB80" s="1006">
        <f t="shared" si="10"/>
        <v>521.76562939839334</v>
      </c>
      <c r="AC80" s="1008">
        <f t="shared" si="11"/>
        <v>0</v>
      </c>
      <c r="AD80" s="1006">
        <f t="shared" si="12"/>
        <v>6817.3581116559699</v>
      </c>
      <c r="AE80" s="1006">
        <f t="shared" si="13"/>
        <v>322.78192890200057</v>
      </c>
      <c r="AF80" s="1019">
        <f t="shared" si="14"/>
        <v>215.18795260133371</v>
      </c>
      <c r="AH80" s="1013">
        <f>'Baseline data (from input)'!AS67*'4A SWD Case 3'!$D$12</f>
        <v>7297.4213901873172</v>
      </c>
      <c r="AI80" s="1007">
        <f>Parameters!S182</f>
        <v>0.71500000000000008</v>
      </c>
      <c r="AJ80" s="1007">
        <f t="shared" si="15"/>
        <v>0.2</v>
      </c>
      <c r="AK80" s="1006">
        <f t="shared" si="16"/>
        <v>521.76562939839334</v>
      </c>
      <c r="AL80" s="1006">
        <f t="shared" si="17"/>
        <v>521.76562939839334</v>
      </c>
      <c r="AM80" s="1008">
        <f t="shared" si="18"/>
        <v>0</v>
      </c>
      <c r="AN80" s="1006">
        <f t="shared" si="19"/>
        <v>6817.3581116559699</v>
      </c>
      <c r="AO80" s="1006">
        <f t="shared" si="20"/>
        <v>322.78192890200057</v>
      </c>
      <c r="AP80" s="1019">
        <f t="shared" si="21"/>
        <v>215.18795260133371</v>
      </c>
      <c r="AR80" s="1021">
        <v>501</v>
      </c>
      <c r="AS80" s="1007">
        <v>1</v>
      </c>
      <c r="AT80" s="1007">
        <f t="shared" si="22"/>
        <v>0.05</v>
      </c>
      <c r="AU80" s="1006">
        <f t="shared" si="23"/>
        <v>12.525</v>
      </c>
      <c r="AV80" s="1006">
        <f t="shared" si="24"/>
        <v>12.525</v>
      </c>
      <c r="AW80" s="1008">
        <f t="shared" si="25"/>
        <v>0</v>
      </c>
      <c r="AX80" s="1006">
        <f t="shared" si="42"/>
        <v>110.38682077701402</v>
      </c>
      <c r="AY80" s="1006">
        <f t="shared" si="47"/>
        <v>6.0514370354914675</v>
      </c>
      <c r="AZ80" s="1022">
        <f t="shared" si="45"/>
        <v>4.034291356994312</v>
      </c>
      <c r="BB80" s="317">
        <f t="shared" si="29"/>
        <v>458.70637650962755</v>
      </c>
      <c r="BC80" s="318">
        <f t="shared" si="30"/>
        <v>215.18795260133371</v>
      </c>
      <c r="BD80" s="1214">
        <f t="shared" si="46"/>
        <v>4.034291356994312</v>
      </c>
      <c r="BE80" s="318">
        <f t="shared" si="32"/>
        <v>677.92862046795562</v>
      </c>
      <c r="BF80" s="104">
        <v>0</v>
      </c>
      <c r="BG80" s="1205">
        <f t="shared" si="33"/>
        <v>677.92862046795562</v>
      </c>
      <c r="BI80" s="317">
        <f t="shared" si="34"/>
        <v>458.70637650962755</v>
      </c>
      <c r="BJ80" s="318">
        <f t="shared" si="35"/>
        <v>215.18795260133371</v>
      </c>
      <c r="BK80" s="1214">
        <f t="shared" si="36"/>
        <v>4.034291356994312</v>
      </c>
      <c r="BL80" s="318">
        <f t="shared" si="37"/>
        <v>677.92862046795562</v>
      </c>
      <c r="BM80" s="104">
        <v>0</v>
      </c>
      <c r="BN80" s="1205">
        <f t="shared" si="38"/>
        <v>677.92862046795562</v>
      </c>
    </row>
    <row r="81" spans="1:66">
      <c r="A81" s="941">
        <f>'Input data'!A112</f>
        <v>2012</v>
      </c>
      <c r="B81" s="989">
        <f>'Input data'!B112</f>
        <v>52.325000000000003</v>
      </c>
      <c r="C81" s="989">
        <f>'Baseline data (from input)'!B68</f>
        <v>520.80492521020824</v>
      </c>
      <c r="D81" s="990">
        <f>'Baseline data (from input)'!T68</f>
        <v>0.67426941804135143</v>
      </c>
      <c r="E81" s="990">
        <f t="shared" si="44"/>
        <v>0.19892488097366726</v>
      </c>
      <c r="F81" s="990">
        <f t="shared" si="44"/>
        <v>0.26585903447659598</v>
      </c>
      <c r="G81" s="990">
        <f t="shared" si="44"/>
        <v>8.9228108703258049E-2</v>
      </c>
      <c r="H81" s="990">
        <f t="shared" si="44"/>
        <v>0</v>
      </c>
      <c r="I81" s="990">
        <f t="shared" si="44"/>
        <v>0</v>
      </c>
      <c r="J81" s="990">
        <f t="shared" si="44"/>
        <v>0</v>
      </c>
      <c r="K81" s="990">
        <f t="shared" si="44"/>
        <v>0.4459879758464787</v>
      </c>
      <c r="L81" s="997">
        <f t="shared" si="40"/>
        <v>1</v>
      </c>
      <c r="N81" s="1013">
        <f t="shared" si="1"/>
        <v>18374.59528039318</v>
      </c>
      <c r="O81" s="1007">
        <f>Parameters!R183</f>
        <v>0.73</v>
      </c>
      <c r="P81" s="1007">
        <f>E81*'MSW characteristics'!$B$28+'MSW characteristics'!$B$29*'4A SWD Case 3'!F81+'4A SWD Case 3'!G81*'MSW characteristics'!$B$30+'MSW characteristics'!$B$31*'4A SWD Case 3'!H81+'4A SWD Case 3'!I81*'MSW characteristics'!$B$32+'MSW characteristics'!$B$33*'4A SWD Case 3'!J81+'4A SWD Case 3'!K81*'MSW characteristics'!$B$35</f>
        <v>0.11870178252267252</v>
      </c>
      <c r="Q81" s="1006">
        <f t="shared" si="2"/>
        <v>796.10048271410494</v>
      </c>
      <c r="R81" s="1006">
        <f t="shared" si="3"/>
        <v>796.10048271410494</v>
      </c>
      <c r="S81" s="1008">
        <f t="shared" si="4"/>
        <v>0</v>
      </c>
      <c r="T81" s="1006">
        <f t="shared" si="5"/>
        <v>14386.958406508518</v>
      </c>
      <c r="U81" s="1006">
        <f t="shared" si="6"/>
        <v>696.81818644371333</v>
      </c>
      <c r="V81" s="1019">
        <f t="shared" si="7"/>
        <v>464.54545762914222</v>
      </c>
      <c r="X81" s="1013">
        <f>'Baseline data (from input)'!AS68*'4A SWD Case 3'!$D$12</f>
        <v>7458.9778839068131</v>
      </c>
      <c r="Y81" s="1007">
        <f>Parameters!S183</f>
        <v>0.71500000000000008</v>
      </c>
      <c r="Z81" s="1007">
        <f t="shared" si="8"/>
        <v>0.2</v>
      </c>
      <c r="AA81" s="1006">
        <f t="shared" si="9"/>
        <v>533.31691869933729</v>
      </c>
      <c r="AB81" s="1006">
        <f t="shared" si="10"/>
        <v>533.31691869933729</v>
      </c>
      <c r="AC81" s="1008">
        <f t="shared" si="11"/>
        <v>0</v>
      </c>
      <c r="AD81" s="1006">
        <f t="shared" si="12"/>
        <v>7018.1885518651197</v>
      </c>
      <c r="AE81" s="1006">
        <f t="shared" si="13"/>
        <v>332.48647849018721</v>
      </c>
      <c r="AF81" s="1019">
        <f t="shared" si="14"/>
        <v>221.65765232679146</v>
      </c>
      <c r="AH81" s="1013">
        <f>'Baseline data (from input)'!AS68*'4A SWD Case 3'!$D$12</f>
        <v>7458.9778839068131</v>
      </c>
      <c r="AI81" s="1007">
        <f>Parameters!S183</f>
        <v>0.71500000000000008</v>
      </c>
      <c r="AJ81" s="1007">
        <f t="shared" si="15"/>
        <v>0.2</v>
      </c>
      <c r="AK81" s="1006">
        <f t="shared" si="16"/>
        <v>533.31691869933729</v>
      </c>
      <c r="AL81" s="1006">
        <f t="shared" si="17"/>
        <v>533.31691869933729</v>
      </c>
      <c r="AM81" s="1008">
        <f t="shared" si="18"/>
        <v>0</v>
      </c>
      <c r="AN81" s="1006">
        <f t="shared" si="19"/>
        <v>7018.1885518651197</v>
      </c>
      <c r="AO81" s="1006">
        <f t="shared" si="20"/>
        <v>332.48647849018721</v>
      </c>
      <c r="AP81" s="1019">
        <f t="shared" si="21"/>
        <v>221.65765232679146</v>
      </c>
      <c r="AR81" s="1021">
        <v>501</v>
      </c>
      <c r="AS81" s="1007">
        <v>1</v>
      </c>
      <c r="AT81" s="1007">
        <f t="shared" si="22"/>
        <v>0.05</v>
      </c>
      <c r="AU81" s="1006">
        <f t="shared" si="23"/>
        <v>12.525</v>
      </c>
      <c r="AV81" s="1006">
        <f t="shared" si="24"/>
        <v>12.525</v>
      </c>
      <c r="AW81" s="1008">
        <f t="shared" si="25"/>
        <v>0</v>
      </c>
      <c r="AX81" s="1006">
        <f t="shared" si="42"/>
        <v>116.48339278291267</v>
      </c>
      <c r="AY81" s="1006">
        <f t="shared" si="47"/>
        <v>6.428427994101356</v>
      </c>
      <c r="AZ81" s="1022">
        <f t="shared" si="45"/>
        <v>4.2856186627342376</v>
      </c>
      <c r="BB81" s="317">
        <f t="shared" si="29"/>
        <v>464.54545762914222</v>
      </c>
      <c r="BC81" s="318">
        <f t="shared" si="30"/>
        <v>221.65765232679146</v>
      </c>
      <c r="BD81" s="1214">
        <f t="shared" si="46"/>
        <v>4.2856186627342376</v>
      </c>
      <c r="BE81" s="318">
        <f t="shared" si="32"/>
        <v>690.48872861866789</v>
      </c>
      <c r="BF81" s="104">
        <v>0</v>
      </c>
      <c r="BG81" s="1205">
        <f t="shared" si="33"/>
        <v>690.48872861866789</v>
      </c>
      <c r="BI81" s="317">
        <f t="shared" si="34"/>
        <v>464.54545762914222</v>
      </c>
      <c r="BJ81" s="318">
        <f t="shared" si="35"/>
        <v>221.65765232679146</v>
      </c>
      <c r="BK81" s="1214">
        <f t="shared" si="36"/>
        <v>4.2856186627342376</v>
      </c>
      <c r="BL81" s="318">
        <f t="shared" si="37"/>
        <v>690.48872861866789</v>
      </c>
      <c r="BM81" s="104">
        <v>0</v>
      </c>
      <c r="BN81" s="1205">
        <f t="shared" si="38"/>
        <v>690.48872861866789</v>
      </c>
    </row>
    <row r="82" spans="1:66">
      <c r="A82" s="941">
        <f>'Input data'!A113</f>
        <v>2013</v>
      </c>
      <c r="B82" s="989">
        <f>'Input data'!B113</f>
        <v>53.103999999999999</v>
      </c>
      <c r="C82" s="989">
        <f>'Baseline data (from input)'!B69</f>
        <v>501.49656694694431</v>
      </c>
      <c r="D82" s="990">
        <f>'Baseline data (from input)'!T69</f>
        <v>0.63235922405513523</v>
      </c>
      <c r="E82" s="990">
        <f t="shared" si="44"/>
        <v>0.19892488097366726</v>
      </c>
      <c r="F82" s="990">
        <f t="shared" si="44"/>
        <v>0.26585903447659598</v>
      </c>
      <c r="G82" s="990">
        <f t="shared" si="44"/>
        <v>8.9228108703258049E-2</v>
      </c>
      <c r="H82" s="990">
        <f t="shared" si="44"/>
        <v>0</v>
      </c>
      <c r="I82" s="990">
        <f t="shared" si="44"/>
        <v>0</v>
      </c>
      <c r="J82" s="990">
        <f t="shared" si="44"/>
        <v>0</v>
      </c>
      <c r="K82" s="990">
        <f t="shared" si="44"/>
        <v>0.4459879758464787</v>
      </c>
      <c r="L82" s="997">
        <f t="shared" si="40"/>
        <v>1</v>
      </c>
      <c r="N82" s="1013">
        <f t="shared" si="1"/>
        <v>16840.658038780697</v>
      </c>
      <c r="O82" s="1007">
        <f>Parameters!R184</f>
        <v>0.73</v>
      </c>
      <c r="P82" s="1007">
        <f>E82*'MSW characteristics'!$B$28+'MSW characteristics'!$B$29*'4A SWD Case 3'!F82+'4A SWD Case 3'!G82*'MSW characteristics'!$B$30+'MSW characteristics'!$B$31*'4A SWD Case 3'!H82+'4A SWD Case 3'!I82*'MSW characteristics'!$B$32+'MSW characteristics'!$B$33*'4A SWD Case 3'!J82+'4A SWD Case 3'!K82*'MSW characteristics'!$B$35</f>
        <v>0.11870178252267252</v>
      </c>
      <c r="Q82" s="1006">
        <f t="shared" si="2"/>
        <v>729.64088674118568</v>
      </c>
      <c r="R82" s="1006">
        <f t="shared" si="3"/>
        <v>729.64088674118568</v>
      </c>
      <c r="S82" s="1008">
        <f t="shared" si="4"/>
        <v>0</v>
      </c>
      <c r="T82" s="1006">
        <f t="shared" si="5"/>
        <v>14414.939052079993</v>
      </c>
      <c r="U82" s="1006">
        <f t="shared" si="6"/>
        <v>701.66024116971084</v>
      </c>
      <c r="V82" s="1019">
        <f t="shared" si="7"/>
        <v>467.77349411314054</v>
      </c>
      <c r="X82" s="1013">
        <f>'Baseline data (from input)'!AS69*'4A SWD Case 3'!$D$12</f>
        <v>7643.7780706987032</v>
      </c>
      <c r="Y82" s="1007">
        <f>Parameters!S184</f>
        <v>0.71500000000000008</v>
      </c>
      <c r="Z82" s="1007">
        <f t="shared" si="8"/>
        <v>0.2</v>
      </c>
      <c r="AA82" s="1006">
        <f t="shared" si="9"/>
        <v>546.53013205495745</v>
      </c>
      <c r="AB82" s="1006">
        <f t="shared" si="10"/>
        <v>546.53013205495745</v>
      </c>
      <c r="AC82" s="1008">
        <f t="shared" si="11"/>
        <v>0</v>
      </c>
      <c r="AD82" s="1006">
        <f t="shared" si="12"/>
        <v>7222.437589283114</v>
      </c>
      <c r="AE82" s="1006">
        <f t="shared" si="13"/>
        <v>342.28109463696239</v>
      </c>
      <c r="AF82" s="1019">
        <f t="shared" si="14"/>
        <v>228.18739642464161</v>
      </c>
      <c r="AH82" s="1013">
        <f>'Baseline data (from input)'!AS69*'4A SWD Case 3'!$D$12</f>
        <v>7643.7780706987032</v>
      </c>
      <c r="AI82" s="1007">
        <f>Parameters!S184</f>
        <v>0.71500000000000008</v>
      </c>
      <c r="AJ82" s="1007">
        <f t="shared" si="15"/>
        <v>0.2</v>
      </c>
      <c r="AK82" s="1006">
        <f t="shared" si="16"/>
        <v>546.53013205495745</v>
      </c>
      <c r="AL82" s="1006">
        <f t="shared" si="17"/>
        <v>546.53013205495745</v>
      </c>
      <c r="AM82" s="1008">
        <f t="shared" si="18"/>
        <v>0</v>
      </c>
      <c r="AN82" s="1006">
        <f t="shared" si="19"/>
        <v>7222.437589283114</v>
      </c>
      <c r="AO82" s="1006">
        <f t="shared" si="20"/>
        <v>342.28109463696239</v>
      </c>
      <c r="AP82" s="1019">
        <f t="shared" si="21"/>
        <v>228.18739642464161</v>
      </c>
      <c r="AR82" s="1021">
        <v>501</v>
      </c>
      <c r="AS82" s="1007">
        <v>1</v>
      </c>
      <c r="AT82" s="1007">
        <f t="shared" si="22"/>
        <v>0.05</v>
      </c>
      <c r="AU82" s="1006">
        <f t="shared" si="23"/>
        <v>12.525</v>
      </c>
      <c r="AV82" s="1006">
        <f t="shared" si="24"/>
        <v>12.525</v>
      </c>
      <c r="AW82" s="1008">
        <f t="shared" si="25"/>
        <v>0</v>
      </c>
      <c r="AX82" s="1006">
        <f t="shared" si="42"/>
        <v>122.2249280745106</v>
      </c>
      <c r="AY82" s="1006">
        <f t="shared" si="47"/>
        <v>6.783464708402076</v>
      </c>
      <c r="AZ82" s="1022">
        <f t="shared" si="45"/>
        <v>4.5223098056013837</v>
      </c>
      <c r="BB82" s="317">
        <f t="shared" si="29"/>
        <v>467.77349411314054</v>
      </c>
      <c r="BC82" s="318">
        <f t="shared" si="30"/>
        <v>228.18739642464161</v>
      </c>
      <c r="BD82" s="1214">
        <f t="shared" si="46"/>
        <v>4.5223098056013837</v>
      </c>
      <c r="BE82" s="318">
        <f t="shared" si="32"/>
        <v>700.48320034338349</v>
      </c>
      <c r="BF82" s="104">
        <v>0</v>
      </c>
      <c r="BG82" s="1205">
        <f t="shared" si="33"/>
        <v>700.48320034338349</v>
      </c>
      <c r="BI82" s="317">
        <f t="shared" si="34"/>
        <v>467.77349411314054</v>
      </c>
      <c r="BJ82" s="318">
        <f t="shared" si="35"/>
        <v>228.18739642464161</v>
      </c>
      <c r="BK82" s="1214">
        <f t="shared" si="36"/>
        <v>4.5223098056013837</v>
      </c>
      <c r="BL82" s="318">
        <f t="shared" si="37"/>
        <v>700.48320034338349</v>
      </c>
      <c r="BM82" s="104">
        <v>0</v>
      </c>
      <c r="BN82" s="1205">
        <f t="shared" si="38"/>
        <v>700.48320034338349</v>
      </c>
    </row>
    <row r="83" spans="1:66">
      <c r="A83" s="941">
        <f>'Input data'!A114</f>
        <v>2014</v>
      </c>
      <c r="B83" s="989">
        <f>'Input data'!B114</f>
        <v>53.911999999999999</v>
      </c>
      <c r="C83" s="989">
        <f>'Baseline data (from input)'!B70</f>
        <v>482.18820868368039</v>
      </c>
      <c r="D83" s="990">
        <f>'Baseline data (from input)'!T70</f>
        <v>0.59044903006891902</v>
      </c>
      <c r="E83" s="990">
        <f t="shared" si="44"/>
        <v>0.19892488097366726</v>
      </c>
      <c r="F83" s="990">
        <f t="shared" si="44"/>
        <v>0.26585903447659598</v>
      </c>
      <c r="G83" s="990">
        <f t="shared" si="44"/>
        <v>8.9228108703258049E-2</v>
      </c>
      <c r="H83" s="990">
        <f t="shared" si="44"/>
        <v>0</v>
      </c>
      <c r="I83" s="990">
        <f t="shared" si="44"/>
        <v>0</v>
      </c>
      <c r="J83" s="990">
        <f t="shared" si="44"/>
        <v>0</v>
      </c>
      <c r="K83" s="990">
        <f t="shared" si="44"/>
        <v>0.4459879758464787</v>
      </c>
      <c r="L83" s="997">
        <f t="shared" si="40"/>
        <v>1</v>
      </c>
      <c r="N83" s="1013">
        <f t="shared" si="1"/>
        <v>15349.153981617965</v>
      </c>
      <c r="O83" s="1007">
        <f>Parameters!R185</f>
        <v>0.73</v>
      </c>
      <c r="P83" s="1007">
        <f>E83*'MSW characteristics'!$B$28+'MSW characteristics'!$B$29*'4A SWD Case 3'!F83+'4A SWD Case 3'!G83*'MSW characteristics'!$B$30+'MSW characteristics'!$B$31*'4A SWD Case 3'!H83+'4A SWD Case 3'!I83*'MSW characteristics'!$B$32+'MSW characteristics'!$B$33*'4A SWD Case 3'!J83+'4A SWD Case 3'!K83*'MSW characteristics'!$B$35</f>
        <v>0.11870178252267252</v>
      </c>
      <c r="Q83" s="1006">
        <f t="shared" si="2"/>
        <v>665.01975730905542</v>
      </c>
      <c r="R83" s="1006">
        <f t="shared" si="3"/>
        <v>665.01975730905542</v>
      </c>
      <c r="S83" s="1008">
        <f t="shared" si="4"/>
        <v>0</v>
      </c>
      <c r="T83" s="1006">
        <f t="shared" si="5"/>
        <v>14376.933936031975</v>
      </c>
      <c r="U83" s="1006">
        <f t="shared" si="6"/>
        <v>703.02487335707326</v>
      </c>
      <c r="V83" s="1019">
        <f t="shared" si="7"/>
        <v>468.68324890471553</v>
      </c>
      <c r="X83" s="1013">
        <f>'Baseline data (from input)'!AS70*'4A SWD Case 3'!$D$12</f>
        <v>7787.333969742368</v>
      </c>
      <c r="Y83" s="1007">
        <f>Parameters!S185</f>
        <v>0.71500000000000008</v>
      </c>
      <c r="Z83" s="1007">
        <f t="shared" si="8"/>
        <v>0.2</v>
      </c>
      <c r="AA83" s="1006">
        <f t="shared" si="9"/>
        <v>556.79437883657943</v>
      </c>
      <c r="AB83" s="1006">
        <f t="shared" si="10"/>
        <v>556.79437883657943</v>
      </c>
      <c r="AC83" s="1008">
        <f t="shared" si="11"/>
        <v>0</v>
      </c>
      <c r="AD83" s="1006">
        <f t="shared" si="12"/>
        <v>7426.9895303826797</v>
      </c>
      <c r="AE83" s="1006">
        <f t="shared" si="13"/>
        <v>352.24243773701318</v>
      </c>
      <c r="AF83" s="1019">
        <f t="shared" si="14"/>
        <v>234.82829182467546</v>
      </c>
      <c r="AH83" s="1013">
        <f>'Baseline data (from input)'!AS70*'4A SWD Case 3'!$D$12</f>
        <v>7787.333969742368</v>
      </c>
      <c r="AI83" s="1007">
        <f>Parameters!S185</f>
        <v>0.71500000000000008</v>
      </c>
      <c r="AJ83" s="1007">
        <f t="shared" si="15"/>
        <v>0.2</v>
      </c>
      <c r="AK83" s="1006">
        <f t="shared" si="16"/>
        <v>556.79437883657943</v>
      </c>
      <c r="AL83" s="1006">
        <f t="shared" si="17"/>
        <v>556.79437883657943</v>
      </c>
      <c r="AM83" s="1008">
        <f t="shared" si="18"/>
        <v>0</v>
      </c>
      <c r="AN83" s="1006">
        <f t="shared" si="19"/>
        <v>7426.9895303826797</v>
      </c>
      <c r="AO83" s="1006">
        <f t="shared" si="20"/>
        <v>352.24243773701318</v>
      </c>
      <c r="AP83" s="1019">
        <f t="shared" si="21"/>
        <v>234.82829182467546</v>
      </c>
      <c r="AR83" s="1021">
        <v>501</v>
      </c>
      <c r="AS83" s="1007">
        <v>1</v>
      </c>
      <c r="AT83" s="1007">
        <f t="shared" si="22"/>
        <v>0.05</v>
      </c>
      <c r="AU83" s="1006">
        <f t="shared" si="23"/>
        <v>12.525</v>
      </c>
      <c r="AV83" s="1006">
        <f t="shared" si="24"/>
        <v>12.525</v>
      </c>
      <c r="AW83" s="1008">
        <f t="shared" si="25"/>
        <v>0</v>
      </c>
      <c r="AX83" s="1006">
        <f t="shared" si="42"/>
        <v>127.63210238045983</v>
      </c>
      <c r="AY83" s="1006">
        <f t="shared" si="47"/>
        <v>7.1178256940507776</v>
      </c>
      <c r="AZ83" s="1022">
        <f t="shared" si="45"/>
        <v>4.7452171293671848</v>
      </c>
      <c r="BB83" s="317">
        <f t="shared" si="29"/>
        <v>468.68324890471553</v>
      </c>
      <c r="BC83" s="318">
        <f t="shared" si="30"/>
        <v>234.82829182467546</v>
      </c>
      <c r="BD83" s="1214">
        <f t="shared" si="46"/>
        <v>4.7452171293671848</v>
      </c>
      <c r="BE83" s="318">
        <f t="shared" ref="BE83:BE119" si="48">SUM(BB83:BD83)</f>
        <v>708.25675785875819</v>
      </c>
      <c r="BF83" s="104">
        <v>0</v>
      </c>
      <c r="BG83" s="1205">
        <f t="shared" si="33"/>
        <v>708.25675785875819</v>
      </c>
      <c r="BI83" s="317">
        <f t="shared" si="34"/>
        <v>468.68324890471553</v>
      </c>
      <c r="BJ83" s="318">
        <f t="shared" si="35"/>
        <v>234.82829182467546</v>
      </c>
      <c r="BK83" s="1214">
        <f t="shared" si="36"/>
        <v>4.7452171293671848</v>
      </c>
      <c r="BL83" s="318">
        <f t="shared" ref="BL83:BL119" si="49">SUM(BI83:BK83)</f>
        <v>708.25675785875819</v>
      </c>
      <c r="BM83" s="104">
        <v>0</v>
      </c>
      <c r="BN83" s="1205">
        <f t="shared" si="38"/>
        <v>708.25675785875819</v>
      </c>
    </row>
    <row r="84" spans="1:66">
      <c r="A84" s="941">
        <f>'Input data'!A115</f>
        <v>2015</v>
      </c>
      <c r="B84" s="989">
        <f>'Input data'!B115</f>
        <v>54.75</v>
      </c>
      <c r="C84" s="989">
        <f>'Baseline data (from input)'!B71</f>
        <v>462.87985042041646</v>
      </c>
      <c r="D84" s="990">
        <f>'Baseline data (from input)'!T71</f>
        <v>0.54853883608270282</v>
      </c>
      <c r="E84" s="990">
        <f t="shared" si="44"/>
        <v>0.19892488097366726</v>
      </c>
      <c r="F84" s="990">
        <f t="shared" si="44"/>
        <v>0.26585903447659598</v>
      </c>
      <c r="G84" s="990">
        <f t="shared" si="44"/>
        <v>8.9228108703258049E-2</v>
      </c>
      <c r="H84" s="990">
        <f t="shared" si="44"/>
        <v>0</v>
      </c>
      <c r="I84" s="990">
        <f t="shared" si="44"/>
        <v>0</v>
      </c>
      <c r="J84" s="990">
        <f t="shared" si="44"/>
        <v>0</v>
      </c>
      <c r="K84" s="990">
        <f t="shared" si="44"/>
        <v>0.4459879758464787</v>
      </c>
      <c r="L84" s="997">
        <f t="shared" si="40"/>
        <v>1</v>
      </c>
      <c r="N84" s="1013">
        <f t="shared" ref="N84:N119" si="50">B84*C84*D84</f>
        <v>13901.439698167358</v>
      </c>
      <c r="O84" s="1007">
        <f>Parameters!R186</f>
        <v>0.73</v>
      </c>
      <c r="P84" s="1007">
        <f>E84*'MSW characteristics'!$B$28+'MSW characteristics'!$B$29*'4A SWD Case 3'!F84+'4A SWD Case 3'!G84*'MSW characteristics'!$B$30+'MSW characteristics'!$B$31*'4A SWD Case 3'!H84+'4A SWD Case 3'!I84*'MSW characteristics'!$B$32+'MSW characteristics'!$B$33*'4A SWD Case 3'!J84+'4A SWD Case 3'!K84*'MSW characteristics'!$B$35</f>
        <v>0.11870178252267252</v>
      </c>
      <c r="Q84" s="1006">
        <f t="shared" ref="Q84:Q119" si="51">N84*P84*O84*$C$4</f>
        <v>602.29587020842644</v>
      </c>
      <c r="R84" s="1006">
        <f t="shared" ref="R84:R119" si="52">Q84*$C$10</f>
        <v>602.29587020842644</v>
      </c>
      <c r="S84" s="1008">
        <f t="shared" ref="S84:S119" si="53">Q84*(1-$C$10)</f>
        <v>0</v>
      </c>
      <c r="T84" s="1006">
        <f t="shared" ref="T84:T114" si="54">R84+(T83*$C$8)</f>
        <v>14278.058464264908</v>
      </c>
      <c r="U84" s="1006">
        <f t="shared" ref="U84:U119" si="55">S84+T83*(1-$C$8)</f>
        <v>701.17134197549422</v>
      </c>
      <c r="V84" s="1019">
        <f t="shared" ref="V84:V119" si="56">U84*16/12*$C$11</f>
        <v>467.44756131699614</v>
      </c>
      <c r="X84" s="1013">
        <f>'Baseline data (from input)'!AS71*'4A SWD Case 3'!$D$12</f>
        <v>7886.5522594566928</v>
      </c>
      <c r="Y84" s="1007">
        <f>Parameters!S186</f>
        <v>0.71500000000000008</v>
      </c>
      <c r="Z84" s="1007">
        <f t="shared" ref="Z84:Z119" si="57">$D$3</f>
        <v>0.2</v>
      </c>
      <c r="AA84" s="1006">
        <f t="shared" ref="AA84:AA118" si="58">X84*Z84*Y84*$D$4</f>
        <v>563.88848655115362</v>
      </c>
      <c r="AB84" s="1006">
        <f t="shared" ref="AB84:AB119" si="59">AA84*$D$10</f>
        <v>563.88848655115362</v>
      </c>
      <c r="AC84" s="1008">
        <f t="shared" ref="AC84:AC119" si="60">AA84*(1-$D$10)</f>
        <v>0</v>
      </c>
      <c r="AD84" s="1006">
        <f t="shared" ref="AD84:AD119" si="61">AB84+(AD83*$D$8)</f>
        <v>7628.6594633098985</v>
      </c>
      <c r="AE84" s="1006">
        <f t="shared" ref="AE84:AE119" si="62">AC84+AD83*(1-$D$8)</f>
        <v>362.21855362393507</v>
      </c>
      <c r="AF84" s="1019">
        <f t="shared" ref="AF84:AF119" si="63">AE84*16/12*$D$11</f>
        <v>241.47903574929003</v>
      </c>
      <c r="AH84" s="1013">
        <f>'Baseline data (from input)'!AS71*'4A SWD Case 3'!$D$12</f>
        <v>7886.5522594566928</v>
      </c>
      <c r="AI84" s="1007">
        <f>Parameters!S186</f>
        <v>0.71500000000000008</v>
      </c>
      <c r="AJ84" s="1007">
        <f t="shared" ref="AJ84:AJ119" si="64">$D$3</f>
        <v>0.2</v>
      </c>
      <c r="AK84" s="1006">
        <f t="shared" ref="AK84:AK119" si="65">AH84*AJ84*AI84*$D$4</f>
        <v>563.88848655115362</v>
      </c>
      <c r="AL84" s="1006">
        <f t="shared" ref="AL84:AL119" si="66">AK84*$D$10</f>
        <v>563.88848655115362</v>
      </c>
      <c r="AM84" s="1008">
        <f t="shared" ref="AM84:AM119" si="67">AK84*(1-$D$10)</f>
        <v>0</v>
      </c>
      <c r="AN84" s="1006">
        <f t="shared" ref="AN84:AN119" si="68">AL84+(AN83*$D$8)</f>
        <v>7628.6594633098985</v>
      </c>
      <c r="AO84" s="1006">
        <f t="shared" ref="AO84:AO119" si="69">AM84+AN83*(1-$D$8)</f>
        <v>362.21855362393507</v>
      </c>
      <c r="AP84" s="1019">
        <f t="shared" ref="AP84:AP119" si="70">AO84*16/12*$D$11</f>
        <v>241.47903574929003</v>
      </c>
      <c r="AR84" s="1021">
        <v>501</v>
      </c>
      <c r="AS84" s="1007">
        <v>1</v>
      </c>
      <c r="AT84" s="1007">
        <f t="shared" ref="AT84:AT119" si="71">$E$3</f>
        <v>0.05</v>
      </c>
      <c r="AU84" s="1006">
        <f t="shared" ref="AU84:AU119" si="72">AR84*AT84*AS84*$E$4</f>
        <v>12.525</v>
      </c>
      <c r="AV84" s="1006">
        <f t="shared" ref="AV84:AV119" si="73">AU84*$E$10</f>
        <v>12.525</v>
      </c>
      <c r="AW84" s="1008">
        <f t="shared" ref="AW84:AW119" si="74">AU84*(1-$C$10)</f>
        <v>0</v>
      </c>
      <c r="AX84" s="1006">
        <f t="shared" si="42"/>
        <v>132.72438736871084</v>
      </c>
      <c r="AY84" s="1006">
        <f t="shared" si="47"/>
        <v>7.4327150117489973</v>
      </c>
      <c r="AZ84" s="1022">
        <f t="shared" si="45"/>
        <v>4.9551433411659982</v>
      </c>
      <c r="BB84" s="317">
        <f t="shared" ref="BB84:BB119" si="75">V84</f>
        <v>467.44756131699614</v>
      </c>
      <c r="BC84" s="318">
        <f t="shared" ref="BC84:BC119" si="76">AF84</f>
        <v>241.47903574929003</v>
      </c>
      <c r="BD84" s="1214">
        <f t="shared" si="46"/>
        <v>4.9551433411659982</v>
      </c>
      <c r="BE84" s="318">
        <f t="shared" si="48"/>
        <v>713.88174040745218</v>
      </c>
      <c r="BF84" s="104">
        <v>0</v>
      </c>
      <c r="BG84" s="1205">
        <f t="shared" ref="BG84:BG119" si="77">BE84-BF84</f>
        <v>713.88174040745218</v>
      </c>
      <c r="BI84" s="317">
        <f t="shared" ref="BI84:BI119" si="78">V84</f>
        <v>467.44756131699614</v>
      </c>
      <c r="BJ84" s="318">
        <f t="shared" ref="BJ84:BJ119" si="79">AP84</f>
        <v>241.47903574929003</v>
      </c>
      <c r="BK84" s="1214">
        <f t="shared" ref="BK84:BK119" si="80">AZ84</f>
        <v>4.9551433411659982</v>
      </c>
      <c r="BL84" s="318">
        <f t="shared" si="49"/>
        <v>713.88174040745218</v>
      </c>
      <c r="BM84" s="104">
        <v>0</v>
      </c>
      <c r="BN84" s="1205">
        <f t="shared" ref="BN84:BN119" si="81">BL84-BM84</f>
        <v>713.88174040745218</v>
      </c>
    </row>
    <row r="85" spans="1:66">
      <c r="A85" s="941">
        <f>'Input data'!A116</f>
        <v>2016</v>
      </c>
      <c r="B85" s="989">
        <f>'Input data'!B116</f>
        <v>55.62</v>
      </c>
      <c r="C85" s="989">
        <f>'Baseline data (from input)'!B72</f>
        <v>443.57149215715253</v>
      </c>
      <c r="D85" s="990">
        <f>'Baseline data (from input)'!T72</f>
        <v>0.50662864209648661</v>
      </c>
      <c r="E85" s="990">
        <f t="shared" ref="E85:K86" si="82">E84</f>
        <v>0.19892488097366726</v>
      </c>
      <c r="F85" s="990">
        <f t="shared" si="82"/>
        <v>0.26585903447659598</v>
      </c>
      <c r="G85" s="990">
        <f t="shared" si="82"/>
        <v>8.9228108703258049E-2</v>
      </c>
      <c r="H85" s="990">
        <f t="shared" si="82"/>
        <v>0</v>
      </c>
      <c r="I85" s="990">
        <f t="shared" si="82"/>
        <v>0</v>
      </c>
      <c r="J85" s="990">
        <f t="shared" si="82"/>
        <v>0</v>
      </c>
      <c r="K85" s="990">
        <f t="shared" si="82"/>
        <v>0.4459879758464787</v>
      </c>
      <c r="L85" s="997">
        <f t="shared" ref="L85:L119" si="83">SUM(E85:K85)</f>
        <v>1</v>
      </c>
      <c r="N85" s="1013">
        <f t="shared" si="50"/>
        <v>12499.261385037438</v>
      </c>
      <c r="O85" s="1007">
        <f>Parameters!R187</f>
        <v>0.73</v>
      </c>
      <c r="P85" s="1007">
        <f>E85*'MSW characteristics'!$B$28+'MSW characteristics'!$B$29*'4A SWD Case 3'!F85+'4A SWD Case 3'!G85*'MSW characteristics'!$B$30+'MSW characteristics'!$B$31*'4A SWD Case 3'!H85+'4A SWD Case 3'!I85*'MSW characteristics'!$B$32+'MSW characteristics'!$B$33*'4A SWD Case 3'!J85+'4A SWD Case 3'!K85*'MSW characteristics'!$B$35</f>
        <v>0.11870178252267252</v>
      </c>
      <c r="Q85" s="1006">
        <f t="shared" si="51"/>
        <v>541.54488141657464</v>
      </c>
      <c r="R85" s="1006">
        <f t="shared" si="52"/>
        <v>541.54488141657464</v>
      </c>
      <c r="S85" s="1008">
        <f t="shared" si="53"/>
        <v>0</v>
      </c>
      <c r="T85" s="1006">
        <f t="shared" si="54"/>
        <v>14123.254217366832</v>
      </c>
      <c r="U85" s="1006">
        <f t="shared" si="55"/>
        <v>696.34912831465101</v>
      </c>
      <c r="V85" s="1019">
        <f t="shared" si="56"/>
        <v>464.23275220976734</v>
      </c>
      <c r="X85" s="1013">
        <f>'Baseline data (from input)'!AS72*'4A SWD Case 3'!$D$12</f>
        <v>7949.6302420316342</v>
      </c>
      <c r="Y85" s="1007">
        <f>Parameters!S187</f>
        <v>0.71500000000000008</v>
      </c>
      <c r="Z85" s="1007">
        <f t="shared" si="57"/>
        <v>0.2</v>
      </c>
      <c r="AA85" s="1006">
        <f t="shared" si="58"/>
        <v>568.39856230526198</v>
      </c>
      <c r="AB85" s="1006">
        <f t="shared" si="59"/>
        <v>568.39856230526198</v>
      </c>
      <c r="AC85" s="1008">
        <f t="shared" si="60"/>
        <v>0</v>
      </c>
      <c r="AD85" s="1006">
        <f t="shared" si="61"/>
        <v>7825.0039133014625</v>
      </c>
      <c r="AE85" s="1006">
        <f t="shared" si="62"/>
        <v>372.05411231369789</v>
      </c>
      <c r="AF85" s="1019">
        <f t="shared" si="63"/>
        <v>248.03607487579859</v>
      </c>
      <c r="AH85" s="1013">
        <f>'Baseline data (from input)'!AS72*'4A SWD Case 3'!$D$12</f>
        <v>7949.6302420316342</v>
      </c>
      <c r="AI85" s="1007">
        <f>Parameters!S187</f>
        <v>0.71500000000000008</v>
      </c>
      <c r="AJ85" s="1007">
        <f t="shared" si="64"/>
        <v>0.2</v>
      </c>
      <c r="AK85" s="1006">
        <f t="shared" si="65"/>
        <v>568.39856230526198</v>
      </c>
      <c r="AL85" s="1006">
        <f t="shared" si="66"/>
        <v>568.39856230526198</v>
      </c>
      <c r="AM85" s="1008">
        <f t="shared" si="67"/>
        <v>0</v>
      </c>
      <c r="AN85" s="1006">
        <f t="shared" si="68"/>
        <v>7825.0039133014625</v>
      </c>
      <c r="AO85" s="1006">
        <f t="shared" si="69"/>
        <v>372.05411231369789</v>
      </c>
      <c r="AP85" s="1019">
        <f t="shared" si="70"/>
        <v>248.03607487579859</v>
      </c>
      <c r="AR85" s="1021">
        <v>501</v>
      </c>
      <c r="AS85" s="1007">
        <v>1</v>
      </c>
      <c r="AT85" s="1007">
        <f t="shared" si="71"/>
        <v>0.05</v>
      </c>
      <c r="AU85" s="1006">
        <f t="shared" si="72"/>
        <v>12.525</v>
      </c>
      <c r="AV85" s="1006">
        <f t="shared" si="73"/>
        <v>12.525</v>
      </c>
      <c r="AW85" s="1008">
        <f t="shared" si="74"/>
        <v>0</v>
      </c>
      <c r="AX85" s="1006">
        <f t="shared" si="42"/>
        <v>137.52012076554911</v>
      </c>
      <c r="AY85" s="1006">
        <f t="shared" si="47"/>
        <v>7.7292666031617232</v>
      </c>
      <c r="AZ85" s="1022">
        <f t="shared" si="45"/>
        <v>5.1528444021078155</v>
      </c>
      <c r="BB85" s="317">
        <f t="shared" si="75"/>
        <v>464.23275220976734</v>
      </c>
      <c r="BC85" s="318">
        <f t="shared" si="76"/>
        <v>248.03607487579859</v>
      </c>
      <c r="BD85" s="1214">
        <f t="shared" si="46"/>
        <v>5.1528444021078155</v>
      </c>
      <c r="BE85" s="318">
        <f t="shared" si="48"/>
        <v>717.42167148767373</v>
      </c>
      <c r="BF85" s="104">
        <v>0</v>
      </c>
      <c r="BG85" s="1205">
        <f t="shared" si="77"/>
        <v>717.42167148767373</v>
      </c>
      <c r="BI85" s="317">
        <f t="shared" si="78"/>
        <v>464.23275220976734</v>
      </c>
      <c r="BJ85" s="318">
        <f t="shared" si="79"/>
        <v>248.03607487579859</v>
      </c>
      <c r="BK85" s="1214">
        <f t="shared" si="80"/>
        <v>5.1528444021078155</v>
      </c>
      <c r="BL85" s="318">
        <f t="shared" si="49"/>
        <v>717.42167148767373</v>
      </c>
      <c r="BM85" s="104">
        <v>0</v>
      </c>
      <c r="BN85" s="1205">
        <f t="shared" si="81"/>
        <v>717.42167148767373</v>
      </c>
    </row>
    <row r="86" spans="1:66" ht="13.2" customHeight="1" thickBot="1">
      <c r="A86" s="941">
        <f>'Input data'!A117</f>
        <v>2017</v>
      </c>
      <c r="B86" s="989">
        <f>'Input data'!B117</f>
        <v>56.521999999999998</v>
      </c>
      <c r="C86" s="989">
        <f>'Baseline data (from input)'!B73</f>
        <v>424.26313389388866</v>
      </c>
      <c r="D86" s="1000">
        <f>'Baseline data (from input)'!T73</f>
        <v>0.46471844811027063</v>
      </c>
      <c r="E86" s="990">
        <f t="shared" si="82"/>
        <v>0.19892488097366726</v>
      </c>
      <c r="F86" s="990">
        <f t="shared" si="82"/>
        <v>0.26585903447659598</v>
      </c>
      <c r="G86" s="990">
        <f t="shared" si="82"/>
        <v>8.9228108703258049E-2</v>
      </c>
      <c r="H86" s="990">
        <f t="shared" si="82"/>
        <v>0</v>
      </c>
      <c r="I86" s="990">
        <f t="shared" si="82"/>
        <v>0</v>
      </c>
      <c r="J86" s="990">
        <f t="shared" si="82"/>
        <v>0</v>
      </c>
      <c r="K86" s="990">
        <f t="shared" si="82"/>
        <v>0.4459879758464787</v>
      </c>
      <c r="L86" s="997">
        <f t="shared" si="83"/>
        <v>1</v>
      </c>
      <c r="N86" s="1014">
        <f t="shared" si="50"/>
        <v>11144.041726220405</v>
      </c>
      <c r="O86" s="1015">
        <f>Parameters!R188</f>
        <v>0.73</v>
      </c>
      <c r="P86" s="1015">
        <f>E86*'MSW characteristics'!$B$28+'MSW characteristics'!$B$29*'4A SWD Case 3'!F86+'4A SWD Case 3'!G86*'MSW characteristics'!$B$30+'MSW characteristics'!$B$31*'4A SWD Case 3'!H86+'4A SWD Case 3'!I86*'MSW characteristics'!$B$32+'MSW characteristics'!$B$33*'4A SWD Case 3'!J86+'4A SWD Case 3'!K86*'MSW characteristics'!$B$35</f>
        <v>0.11870178252267252</v>
      </c>
      <c r="Q86" s="1016">
        <f t="shared" si="51"/>
        <v>482.82843035443193</v>
      </c>
      <c r="R86" s="1016">
        <f t="shared" si="52"/>
        <v>482.82843035443193</v>
      </c>
      <c r="S86" s="1017">
        <f t="shared" si="53"/>
        <v>0</v>
      </c>
      <c r="T86" s="1016">
        <f t="shared" si="54"/>
        <v>13917.283411617565</v>
      </c>
      <c r="U86" s="1016">
        <f t="shared" si="55"/>
        <v>688.79923610369826</v>
      </c>
      <c r="V86" s="1020">
        <f t="shared" si="56"/>
        <v>459.19949073579886</v>
      </c>
      <c r="X86" s="1013">
        <f>'Baseline data (from input)'!AS73*'4A SWD Case 3'!$D$12</f>
        <v>8044.0281056153854</v>
      </c>
      <c r="Y86" s="1007">
        <f>Parameters!S188</f>
        <v>0.71500000000000008</v>
      </c>
      <c r="Z86" s="1007">
        <f t="shared" si="57"/>
        <v>0.2</v>
      </c>
      <c r="AA86" s="1006">
        <f t="shared" si="58"/>
        <v>575.14800955150008</v>
      </c>
      <c r="AB86" s="1006">
        <f t="shared" si="59"/>
        <v>575.14800955150008</v>
      </c>
      <c r="AC86" s="1008">
        <f t="shared" si="60"/>
        <v>0</v>
      </c>
      <c r="AD86" s="1006">
        <f t="shared" si="61"/>
        <v>8018.5219787170854</v>
      </c>
      <c r="AE86" s="1006">
        <f t="shared" si="62"/>
        <v>381.62994413587728</v>
      </c>
      <c r="AF86" s="1019">
        <f t="shared" si="63"/>
        <v>254.41996275725151</v>
      </c>
      <c r="AH86" s="1013">
        <f>'Baseline data (from input)'!AS73*'4A SWD Case 3'!$D$12</f>
        <v>8044.0281056153854</v>
      </c>
      <c r="AI86" s="1007">
        <f>Parameters!S188</f>
        <v>0.71500000000000008</v>
      </c>
      <c r="AJ86" s="1007">
        <f t="shared" si="64"/>
        <v>0.2</v>
      </c>
      <c r="AK86" s="1006">
        <f t="shared" si="65"/>
        <v>575.14800955150008</v>
      </c>
      <c r="AL86" s="1006">
        <f t="shared" si="66"/>
        <v>575.14800955150008</v>
      </c>
      <c r="AM86" s="1008">
        <f t="shared" si="67"/>
        <v>0</v>
      </c>
      <c r="AN86" s="1006">
        <f t="shared" si="68"/>
        <v>8018.5219787170854</v>
      </c>
      <c r="AO86" s="1006">
        <f t="shared" si="69"/>
        <v>381.62994413587728</v>
      </c>
      <c r="AP86" s="1019">
        <f t="shared" si="70"/>
        <v>254.41996275725151</v>
      </c>
      <c r="AR86" s="1021">
        <v>501</v>
      </c>
      <c r="AS86" s="1007">
        <v>1</v>
      </c>
      <c r="AT86" s="1007">
        <f t="shared" si="71"/>
        <v>0.05</v>
      </c>
      <c r="AU86" s="1006">
        <f t="shared" si="72"/>
        <v>12.525</v>
      </c>
      <c r="AV86" s="1006">
        <f t="shared" si="73"/>
        <v>12.525</v>
      </c>
      <c r="AW86" s="1008">
        <f t="shared" si="74"/>
        <v>0</v>
      </c>
      <c r="AX86" s="1006">
        <f t="shared" si="42"/>
        <v>142.03657239121691</v>
      </c>
      <c r="AY86" s="1006">
        <f t="shared" si="47"/>
        <v>8.0085483743321948</v>
      </c>
      <c r="AZ86" s="1022">
        <f t="shared" si="45"/>
        <v>5.3390322495547968</v>
      </c>
      <c r="BB86" s="1039">
        <f t="shared" si="75"/>
        <v>459.19949073579886</v>
      </c>
      <c r="BC86" s="320">
        <f t="shared" si="76"/>
        <v>254.41996275725151</v>
      </c>
      <c r="BD86" s="1216">
        <f t="shared" si="46"/>
        <v>5.3390322495547968</v>
      </c>
      <c r="BE86" s="320">
        <f t="shared" si="48"/>
        <v>718.95848574260515</v>
      </c>
      <c r="BF86" s="163">
        <v>0</v>
      </c>
      <c r="BG86" s="1206">
        <f t="shared" si="77"/>
        <v>718.95848574260515</v>
      </c>
      <c r="BI86" s="1039">
        <f t="shared" si="78"/>
        <v>459.19949073579886</v>
      </c>
      <c r="BJ86" s="320">
        <f t="shared" si="79"/>
        <v>254.41996275725151</v>
      </c>
      <c r="BK86" s="1216">
        <f t="shared" si="80"/>
        <v>5.3390322495547968</v>
      </c>
      <c r="BL86" s="320">
        <f t="shared" si="49"/>
        <v>718.95848574260515</v>
      </c>
      <c r="BM86" s="163">
        <v>0</v>
      </c>
      <c r="BN86" s="1206">
        <f t="shared" si="81"/>
        <v>718.95848574260515</v>
      </c>
    </row>
    <row r="87" spans="1:66">
      <c r="A87" s="1049">
        <f>'Input data'!A118</f>
        <v>2018</v>
      </c>
      <c r="B87" s="942">
        <f>'Input data'!B118</f>
        <v>57.436</v>
      </c>
      <c r="C87" s="942">
        <f>'Recycling - Case 3'!AF97</f>
        <v>413.82526160426386</v>
      </c>
      <c r="D87" s="943">
        <f>'Recycling - Case 3'!AM97</f>
        <v>0.44785359440039618</v>
      </c>
      <c r="E87" s="944">
        <f>'Recycling - Case 3'!BE97</f>
        <v>0.23492828183802922</v>
      </c>
      <c r="F87" s="944">
        <f>'Recycling - Case 3'!BF97</f>
        <v>0.30174137217960728</v>
      </c>
      <c r="G87" s="944">
        <f>'Recycling - Case 3'!BG97</f>
        <v>5.9380849168749056E-2</v>
      </c>
      <c r="H87" s="944">
        <f>'Recycling - Case 3'!BH97</f>
        <v>0</v>
      </c>
      <c r="I87" s="944">
        <f>'Recycling - Case 3'!BI97</f>
        <v>0</v>
      </c>
      <c r="J87" s="944">
        <f>'Recycling - Case 3'!BJ97</f>
        <v>0</v>
      </c>
      <c r="K87" s="944">
        <f>'Recycling - Case 3'!BK97</f>
        <v>0.40394949681361447</v>
      </c>
      <c r="L87" s="945">
        <f t="shared" si="83"/>
        <v>1</v>
      </c>
      <c r="M87" s="4"/>
      <c r="N87" s="1141">
        <f>B87*C87*D87</f>
        <v>10644.793704256103</v>
      </c>
      <c r="O87" s="1142">
        <f>Parameters!R259</f>
        <v>0.75076923076923086</v>
      </c>
      <c r="P87" s="1143">
        <f>E87*'MSW characteristics'!$B$28+'MSW characteristics'!$B$29*'4A SWD Case 3'!F87+'4A SWD Case 3'!G87*'MSW characteristics'!$B$30+'MSW characteristics'!$B$31*'4A SWD Case 3'!H87+'4A SWD Case 3'!I87*'MSW characteristics'!$B$32+'MSW characteristics'!$B$33*'4A SWD Case 3'!J87+'4A SWD Case 3'!K87*'MSW characteristics'!$B$35</f>
        <v>0.11933985637912546</v>
      </c>
      <c r="Q87" s="958">
        <f t="shared" si="51"/>
        <v>476.86915238727312</v>
      </c>
      <c r="R87" s="958">
        <f t="shared" si="52"/>
        <v>476.86915238727312</v>
      </c>
      <c r="S87" s="959">
        <f t="shared" si="53"/>
        <v>0</v>
      </c>
      <c r="T87" s="958">
        <f t="shared" si="54"/>
        <v>13715.398642633583</v>
      </c>
      <c r="U87" s="958">
        <f t="shared" si="55"/>
        <v>678.75392137125493</v>
      </c>
      <c r="V87" s="1144">
        <f t="shared" si="56"/>
        <v>452.50261424750329</v>
      </c>
      <c r="X87" s="1136">
        <f>'Recycling - Case 3'!AM137*'Recycling - Case 3'!C137</f>
        <v>7010.2130194456267</v>
      </c>
      <c r="Y87" s="1137">
        <f>Parameters!S258</f>
        <v>0.71500000000000008</v>
      </c>
      <c r="Z87" s="1137">
        <f t="shared" si="57"/>
        <v>0.2</v>
      </c>
      <c r="AA87" s="1138">
        <f t="shared" si="58"/>
        <v>501.23023089036241</v>
      </c>
      <c r="AB87" s="1138">
        <f t="shared" si="59"/>
        <v>501.23023089036241</v>
      </c>
      <c r="AC87" s="1139">
        <f t="shared" si="60"/>
        <v>0</v>
      </c>
      <c r="AD87" s="1138">
        <f t="shared" si="61"/>
        <v>8128.6842780517427</v>
      </c>
      <c r="AE87" s="1138">
        <f t="shared" si="62"/>
        <v>391.06793155570563</v>
      </c>
      <c r="AF87" s="1140">
        <f t="shared" si="63"/>
        <v>260.71195437047044</v>
      </c>
      <c r="AH87" s="1136">
        <f>'Recycling - Case 3'!AM177*'Recycling - Case 3'!C177</f>
        <v>7010.2130194456267</v>
      </c>
      <c r="AI87" s="1137">
        <f>Parameters!S258</f>
        <v>0.71500000000000008</v>
      </c>
      <c r="AJ87" s="1137">
        <f t="shared" si="64"/>
        <v>0.2</v>
      </c>
      <c r="AK87" s="1138">
        <f t="shared" si="65"/>
        <v>501.23023089036241</v>
      </c>
      <c r="AL87" s="1138">
        <f t="shared" si="66"/>
        <v>501.23023089036241</v>
      </c>
      <c r="AM87" s="1139">
        <f t="shared" si="67"/>
        <v>0</v>
      </c>
      <c r="AN87" s="1138">
        <f t="shared" si="68"/>
        <v>8128.6842780517427</v>
      </c>
      <c r="AO87" s="1138">
        <f t="shared" si="69"/>
        <v>391.06793155570563</v>
      </c>
      <c r="AP87" s="1140">
        <f t="shared" si="70"/>
        <v>260.71195437047044</v>
      </c>
      <c r="AR87" s="971">
        <f>'Recycling - Case 3'!G97</f>
        <v>519.97374548094456</v>
      </c>
      <c r="AS87" s="969">
        <v>1</v>
      </c>
      <c r="AT87" s="969">
        <f t="shared" si="71"/>
        <v>0.05</v>
      </c>
      <c r="AU87" s="958">
        <f t="shared" si="72"/>
        <v>12.999343637023614</v>
      </c>
      <c r="AV87" s="958">
        <f t="shared" si="73"/>
        <v>12.999343637023614</v>
      </c>
      <c r="AW87" s="959">
        <f t="shared" si="74"/>
        <v>0</v>
      </c>
      <c r="AX87" s="958">
        <f t="shared" si="42"/>
        <v>146.76434998694339</v>
      </c>
      <c r="AY87" s="958">
        <f t="shared" si="47"/>
        <v>8.2715660412971381</v>
      </c>
      <c r="AZ87" s="1052">
        <f t="shared" si="45"/>
        <v>5.514377360864759</v>
      </c>
      <c r="BA87" s="4"/>
      <c r="BB87" s="1182">
        <f t="shared" si="75"/>
        <v>452.50261424750329</v>
      </c>
      <c r="BC87" s="1183">
        <f t="shared" si="76"/>
        <v>260.71195437047044</v>
      </c>
      <c r="BD87" s="1217">
        <f>AZ87</f>
        <v>5.514377360864759</v>
      </c>
      <c r="BE87" s="1183">
        <f t="shared" si="48"/>
        <v>718.72894597883851</v>
      </c>
      <c r="BF87" s="1184">
        <v>0</v>
      </c>
      <c r="BG87" s="1207">
        <f t="shared" si="77"/>
        <v>718.72894597883851</v>
      </c>
      <c r="BI87" s="1182">
        <f t="shared" si="78"/>
        <v>452.50261424750329</v>
      </c>
      <c r="BJ87" s="1183">
        <f t="shared" si="79"/>
        <v>260.71195437047044</v>
      </c>
      <c r="BK87" s="1217">
        <f t="shared" si="80"/>
        <v>5.514377360864759</v>
      </c>
      <c r="BL87" s="1183">
        <f t="shared" si="49"/>
        <v>718.72894597883851</v>
      </c>
      <c r="BM87" s="1184">
        <v>0</v>
      </c>
      <c r="BN87" s="1207">
        <f t="shared" si="81"/>
        <v>718.72894597883851</v>
      </c>
    </row>
    <row r="88" spans="1:66">
      <c r="A88" s="1050">
        <f>'Input data'!A119</f>
        <v>2019</v>
      </c>
      <c r="B88" s="946">
        <f>'Input data'!B119</f>
        <v>58.365000000000002</v>
      </c>
      <c r="C88" s="946">
        <f>'Recycling - Case 3'!AF98</f>
        <v>407.14517349880845</v>
      </c>
      <c r="D88" s="947">
        <f>'Recycling - Case 3'!AM98</f>
        <v>0.43098874069052173</v>
      </c>
      <c r="E88" s="948">
        <f>'Recycling - Case 3'!BE98</f>
        <v>0.22944564675962828</v>
      </c>
      <c r="F88" s="948">
        <f>'Recycling - Case 3'!BF98</f>
        <v>0.29887317429673499</v>
      </c>
      <c r="G88" s="948">
        <f>'Recycling - Case 3'!BG98</f>
        <v>5.9793401138845577E-2</v>
      </c>
      <c r="H88" s="948">
        <f>'Recycling - Case 3'!BH98</f>
        <v>0</v>
      </c>
      <c r="I88" s="948">
        <f>'Recycling - Case 3'!BI98</f>
        <v>0</v>
      </c>
      <c r="J88" s="948">
        <f>'Recycling - Case 3'!BJ98</f>
        <v>0</v>
      </c>
      <c r="K88" s="948">
        <f>'Recycling - Case 3'!BK98</f>
        <v>0.41188777780479113</v>
      </c>
      <c r="L88" s="949">
        <f t="shared" si="83"/>
        <v>1</v>
      </c>
      <c r="M88" s="4"/>
      <c r="N88" s="960">
        <f t="shared" si="50"/>
        <v>10241.597534805209</v>
      </c>
      <c r="O88" s="955">
        <f>Parameters!R260</f>
        <v>0.77153846153846162</v>
      </c>
      <c r="P88" s="956">
        <f>E88*'MSW characteristics'!$B$28+'MSW characteristics'!$B$29*'4A SWD Case 3'!F88+'4A SWD Case 3'!G88*'MSW characteristics'!$B$30+'MSW characteristics'!$B$31*'4A SWD Case 3'!H88+'4A SWD Case 3'!I88*'MSW characteristics'!$B$32+'MSW characteristics'!$B$33*'4A SWD Case 3'!J88+'4A SWD Case 3'!K88*'MSW characteristics'!$B$35</f>
        <v>0.11810884232882947</v>
      </c>
      <c r="Q88" s="954">
        <f t="shared" si="51"/>
        <v>466.63542235343772</v>
      </c>
      <c r="R88" s="954">
        <f t="shared" si="52"/>
        <v>466.63542235343772</v>
      </c>
      <c r="S88" s="957">
        <f t="shared" si="53"/>
        <v>0</v>
      </c>
      <c r="T88" s="954">
        <f t="shared" si="54"/>
        <v>13513.126179983656</v>
      </c>
      <c r="U88" s="954">
        <f t="shared" si="55"/>
        <v>668.90788500336566</v>
      </c>
      <c r="V88" s="961">
        <f t="shared" si="56"/>
        <v>445.93859000224376</v>
      </c>
      <c r="X88" s="974">
        <f>'Recycling - Case 3'!AM138*'Recycling - Case 3'!C138</f>
        <v>6309.2338569801323</v>
      </c>
      <c r="Y88" s="975">
        <f>Parameters!S259</f>
        <v>0.71500000000000008</v>
      </c>
      <c r="Z88" s="975">
        <f t="shared" si="57"/>
        <v>0.2</v>
      </c>
      <c r="AA88" s="976">
        <f t="shared" si="58"/>
        <v>451.11022077407955</v>
      </c>
      <c r="AB88" s="976">
        <f t="shared" si="59"/>
        <v>451.11022077407955</v>
      </c>
      <c r="AC88" s="977">
        <f t="shared" si="60"/>
        <v>0</v>
      </c>
      <c r="AD88" s="976">
        <f t="shared" si="61"/>
        <v>8183.3538885332409</v>
      </c>
      <c r="AE88" s="976">
        <f t="shared" si="62"/>
        <v>396.44061029258148</v>
      </c>
      <c r="AF88" s="978">
        <f t="shared" si="63"/>
        <v>264.29374019505434</v>
      </c>
      <c r="AH88" s="974">
        <f>'Recycling - Case 3'!AM178*'Recycling - Case 3'!C178</f>
        <v>6228.6261818808825</v>
      </c>
      <c r="AI88" s="975">
        <f>Parameters!S259</f>
        <v>0.71500000000000008</v>
      </c>
      <c r="AJ88" s="975">
        <f t="shared" si="64"/>
        <v>0.2</v>
      </c>
      <c r="AK88" s="976">
        <f t="shared" si="65"/>
        <v>445.34677200448317</v>
      </c>
      <c r="AL88" s="976">
        <f t="shared" si="66"/>
        <v>445.34677200448317</v>
      </c>
      <c r="AM88" s="977">
        <f t="shared" si="67"/>
        <v>0</v>
      </c>
      <c r="AN88" s="976">
        <f t="shared" si="68"/>
        <v>8177.5904397636441</v>
      </c>
      <c r="AO88" s="976">
        <f t="shared" si="69"/>
        <v>396.44061029258148</v>
      </c>
      <c r="AP88" s="978">
        <f t="shared" si="70"/>
        <v>264.29374019505434</v>
      </c>
      <c r="AR88" s="972">
        <f>'Recycling - Case 3'!G98</f>
        <v>539.43215426439122</v>
      </c>
      <c r="AS88" s="968">
        <v>1</v>
      </c>
      <c r="AT88" s="968">
        <f t="shared" si="71"/>
        <v>0.05</v>
      </c>
      <c r="AU88" s="954">
        <f t="shared" si="72"/>
        <v>13.485803856609781</v>
      </c>
      <c r="AV88" s="954">
        <f t="shared" si="73"/>
        <v>13.485803856609781</v>
      </c>
      <c r="AW88" s="957">
        <f t="shared" si="74"/>
        <v>0</v>
      </c>
      <c r="AX88" s="954">
        <f t="shared" si="42"/>
        <v>151.70326346885895</v>
      </c>
      <c r="AY88" s="954">
        <f t="shared" si="47"/>
        <v>8.5468903746942093</v>
      </c>
      <c r="AZ88" s="1053">
        <f t="shared" si="45"/>
        <v>5.6979269164628059</v>
      </c>
      <c r="BA88" s="4"/>
      <c r="BB88" s="1185">
        <f t="shared" si="75"/>
        <v>445.93859000224376</v>
      </c>
      <c r="BC88" s="1186">
        <f t="shared" si="76"/>
        <v>264.29374019505434</v>
      </c>
      <c r="BD88" s="1218">
        <f t="shared" ref="BD88:BD119" si="84">AZ88</f>
        <v>5.6979269164628059</v>
      </c>
      <c r="BE88" s="1186">
        <f t="shared" si="48"/>
        <v>715.93025711376094</v>
      </c>
      <c r="BF88" s="167">
        <v>0</v>
      </c>
      <c r="BG88" s="1208">
        <f t="shared" si="77"/>
        <v>715.93025711376094</v>
      </c>
      <c r="BI88" s="1185">
        <f t="shared" si="78"/>
        <v>445.93859000224376</v>
      </c>
      <c r="BJ88" s="1186">
        <f t="shared" si="79"/>
        <v>264.29374019505434</v>
      </c>
      <c r="BK88" s="1218">
        <f t="shared" si="80"/>
        <v>5.6979269164628059</v>
      </c>
      <c r="BL88" s="1186">
        <f t="shared" si="49"/>
        <v>715.93025711376094</v>
      </c>
      <c r="BM88" s="167">
        <v>0</v>
      </c>
      <c r="BN88" s="1208">
        <f t="shared" si="81"/>
        <v>715.93025711376094</v>
      </c>
    </row>
    <row r="89" spans="1:66">
      <c r="A89" s="1050">
        <f>'Input data'!A120</f>
        <v>2020</v>
      </c>
      <c r="B89" s="946">
        <f>'Input data'!B120</f>
        <v>59.308999999999997</v>
      </c>
      <c r="C89" s="946">
        <f>'Recycling - Case 3'!AF99</f>
        <v>397.78911284233521</v>
      </c>
      <c r="D89" s="947">
        <f>'Recycling - Case 3'!AM99</f>
        <v>0.40147391679341488</v>
      </c>
      <c r="E89" s="948">
        <f>'Recycling - Case 3'!BE99</f>
        <v>0.21480478945036316</v>
      </c>
      <c r="F89" s="948">
        <f>'Recycling - Case 3'!BF99</f>
        <v>0.28933636276268687</v>
      </c>
      <c r="G89" s="948">
        <f>'Recycling - Case 3'!BG99</f>
        <v>6.2137632196248523E-2</v>
      </c>
      <c r="H89" s="948">
        <f>'Recycling - Case 3'!BH99</f>
        <v>0</v>
      </c>
      <c r="I89" s="948">
        <f>'Recycling - Case 3'!BI99</f>
        <v>0</v>
      </c>
      <c r="J89" s="948">
        <f>'Recycling - Case 3'!BJ99</f>
        <v>0</v>
      </c>
      <c r="K89" s="948">
        <f>'Recycling - Case 3'!BK99</f>
        <v>0.43372121559070159</v>
      </c>
      <c r="L89" s="949">
        <f t="shared" si="83"/>
        <v>1.0000000000000002</v>
      </c>
      <c r="M89" s="4"/>
      <c r="N89" s="960">
        <f t="shared" si="50"/>
        <v>9471.7631417807024</v>
      </c>
      <c r="O89" s="955">
        <f>Parameters!R261</f>
        <v>0.79230769230769238</v>
      </c>
      <c r="P89" s="956">
        <f>E89*'MSW characteristics'!$B$28+'MSW characteristics'!$B$29*'4A SWD Case 3'!F89+'4A SWD Case 3'!G89*'MSW characteristics'!$B$30+'MSW characteristics'!$B$31*'4A SWD Case 3'!H89+'4A SWD Case 3'!I89*'MSW characteristics'!$B$32+'MSW characteristics'!$B$33*'4A SWD Case 3'!J89+'4A SWD Case 3'!K89*'MSW characteristics'!$B$35</f>
        <v>0.11494304384859126</v>
      </c>
      <c r="Q89" s="954">
        <f t="shared" si="51"/>
        <v>431.29795565886343</v>
      </c>
      <c r="R89" s="954">
        <f t="shared" si="52"/>
        <v>431.29795565886343</v>
      </c>
      <c r="S89" s="957">
        <f t="shared" si="53"/>
        <v>0</v>
      </c>
      <c r="T89" s="954">
        <f t="shared" si="54"/>
        <v>13285.381195050248</v>
      </c>
      <c r="U89" s="954">
        <f t="shared" si="55"/>
        <v>659.04294059227084</v>
      </c>
      <c r="V89" s="961">
        <f t="shared" si="56"/>
        <v>439.36196039484724</v>
      </c>
      <c r="X89" s="974">
        <f>'Recycling - Case 3'!AM139*'Recycling - Case 3'!C139</f>
        <v>3950.0522636344363</v>
      </c>
      <c r="Y89" s="975">
        <f>Parameters!S260</f>
        <v>0.71500000000000008</v>
      </c>
      <c r="Z89" s="975">
        <f t="shared" si="57"/>
        <v>0.2</v>
      </c>
      <c r="AA89" s="976">
        <f t="shared" si="58"/>
        <v>282.42873684986222</v>
      </c>
      <c r="AB89" s="976">
        <f t="shared" si="59"/>
        <v>282.42873684986222</v>
      </c>
      <c r="AC89" s="977">
        <f t="shared" si="60"/>
        <v>0</v>
      </c>
      <c r="AD89" s="976">
        <f t="shared" si="61"/>
        <v>8066.6757467250172</v>
      </c>
      <c r="AE89" s="976">
        <f t="shared" si="62"/>
        <v>399.10687865808598</v>
      </c>
      <c r="AF89" s="978">
        <f t="shared" si="63"/>
        <v>266.071252438724</v>
      </c>
      <c r="AH89" s="974">
        <f>'Recycling - Case 3'!AM179*'Recycling - Case 3'!C179</f>
        <v>3378.3784205260522</v>
      </c>
      <c r="AI89" s="975">
        <f>Parameters!S260</f>
        <v>0.71500000000000008</v>
      </c>
      <c r="AJ89" s="975">
        <f t="shared" si="64"/>
        <v>0.2</v>
      </c>
      <c r="AK89" s="976">
        <f t="shared" si="65"/>
        <v>241.55405706761277</v>
      </c>
      <c r="AL89" s="976">
        <f t="shared" si="66"/>
        <v>241.55405706761277</v>
      </c>
      <c r="AM89" s="977">
        <f t="shared" si="67"/>
        <v>0</v>
      </c>
      <c r="AN89" s="976">
        <f t="shared" si="68"/>
        <v>8020.3187048865248</v>
      </c>
      <c r="AO89" s="976">
        <f t="shared" si="69"/>
        <v>398.82579194473209</v>
      </c>
      <c r="AP89" s="978">
        <f t="shared" si="70"/>
        <v>265.88386129648808</v>
      </c>
      <c r="AR89" s="972">
        <f>'Recycling - Case 3'!G99</f>
        <v>559.38374453121867</v>
      </c>
      <c r="AS89" s="968">
        <v>1</v>
      </c>
      <c r="AT89" s="968">
        <f t="shared" si="71"/>
        <v>0.05</v>
      </c>
      <c r="AU89" s="954">
        <f t="shared" si="72"/>
        <v>13.984593613280467</v>
      </c>
      <c r="AV89" s="954">
        <f t="shared" si="73"/>
        <v>13.984593613280467</v>
      </c>
      <c r="AW89" s="957">
        <f t="shared" si="74"/>
        <v>0</v>
      </c>
      <c r="AX89" s="954">
        <f t="shared" si="42"/>
        <v>156.85334677723881</v>
      </c>
      <c r="AY89" s="954">
        <f t="shared" si="47"/>
        <v>8.8345103049006042</v>
      </c>
      <c r="AZ89" s="1053">
        <f t="shared" si="45"/>
        <v>5.8896735366004025</v>
      </c>
      <c r="BA89" s="4"/>
      <c r="BB89" s="1185">
        <f t="shared" si="75"/>
        <v>439.36196039484724</v>
      </c>
      <c r="BC89" s="1186">
        <f t="shared" si="76"/>
        <v>266.071252438724</v>
      </c>
      <c r="BD89" s="1218">
        <f t="shared" si="84"/>
        <v>5.8896735366004025</v>
      </c>
      <c r="BE89" s="1186">
        <f t="shared" si="48"/>
        <v>711.32288637017166</v>
      </c>
      <c r="BF89" s="167">
        <v>0</v>
      </c>
      <c r="BG89" s="1208">
        <f t="shared" si="77"/>
        <v>711.32288637017166</v>
      </c>
      <c r="BI89" s="1185">
        <f t="shared" si="78"/>
        <v>439.36196039484724</v>
      </c>
      <c r="BJ89" s="1186">
        <f t="shared" si="79"/>
        <v>265.88386129648808</v>
      </c>
      <c r="BK89" s="1218">
        <f t="shared" si="80"/>
        <v>5.8896735366004025</v>
      </c>
      <c r="BL89" s="1186">
        <f t="shared" si="49"/>
        <v>711.13549522793573</v>
      </c>
      <c r="BM89" s="167">
        <v>0</v>
      </c>
      <c r="BN89" s="1208">
        <f t="shared" si="81"/>
        <v>711.13549522793573</v>
      </c>
    </row>
    <row r="90" spans="1:66">
      <c r="A90" s="1050">
        <f>'Input data'!A121</f>
        <v>2021</v>
      </c>
      <c r="B90" s="946">
        <f>'Input data'!B121</f>
        <v>59.991999999999997</v>
      </c>
      <c r="C90" s="946">
        <f>'Recycling - Case 3'!AF100</f>
        <v>369.68846035225897</v>
      </c>
      <c r="D90" s="947">
        <f>'Recycling - Case 3'!AM100</f>
        <v>0.34665915252184321</v>
      </c>
      <c r="E90" s="948">
        <f>'Recycling - Case 3'!BE100</f>
        <v>0.17578817506720093</v>
      </c>
      <c r="F90" s="948">
        <f>'Recycling - Case 3'!BF100</f>
        <v>0.26210489985233038</v>
      </c>
      <c r="G90" s="948">
        <f>'Recycling - Case 3'!BG100</f>
        <v>6.9587069380026595E-2</v>
      </c>
      <c r="H90" s="948">
        <f>'Recycling - Case 3'!BH100</f>
        <v>0</v>
      </c>
      <c r="I90" s="948">
        <f>'Recycling - Case 3'!BI100</f>
        <v>0</v>
      </c>
      <c r="J90" s="948">
        <f>'Recycling - Case 3'!BJ100</f>
        <v>0</v>
      </c>
      <c r="K90" s="948">
        <f>'Recycling - Case 3'!BK100</f>
        <v>0.49251985570044204</v>
      </c>
      <c r="L90" s="949">
        <f t="shared" si="83"/>
        <v>1</v>
      </c>
      <c r="M90" s="4"/>
      <c r="N90" s="960">
        <f t="shared" si="50"/>
        <v>7688.3280546622445</v>
      </c>
      <c r="O90" s="955">
        <f>Parameters!R262</f>
        <v>0.81307692307692303</v>
      </c>
      <c r="P90" s="956">
        <f>E90*'MSW characteristics'!$B$28+'MSW characteristics'!$B$29*'4A SWD Case 3'!F90+'4A SWD Case 3'!G90*'MSW characteristics'!$B$30+'MSW characteristics'!$B$31*'4A SWD Case 3'!H90+'4A SWD Case 3'!I90*'MSW characteristics'!$B$32+'MSW characteristics'!$B$33*'4A SWD Case 3'!J90+'4A SWD Case 3'!K90*'MSW characteristics'!$B$35</f>
        <v>0.10662403398255686</v>
      </c>
      <c r="Q90" s="954">
        <f t="shared" si="51"/>
        <v>333.26419354623289</v>
      </c>
      <c r="R90" s="954">
        <f t="shared" si="52"/>
        <v>333.26419354623289</v>
      </c>
      <c r="S90" s="957">
        <f t="shared" si="53"/>
        <v>0</v>
      </c>
      <c r="T90" s="954">
        <f t="shared" si="54"/>
        <v>12970.709701986489</v>
      </c>
      <c r="U90" s="954">
        <f t="shared" si="55"/>
        <v>647.93568660999233</v>
      </c>
      <c r="V90" s="961">
        <f t="shared" si="56"/>
        <v>431.95712440666153</v>
      </c>
      <c r="W90" s="4"/>
      <c r="X90" s="974">
        <f>'Recycling - Case 3'!AM140*'Recycling - Case 3'!C140</f>
        <v>1380.8139396372069</v>
      </c>
      <c r="Y90" s="975">
        <f>Parameters!S261</f>
        <v>0.71500000000000008</v>
      </c>
      <c r="Z90" s="975">
        <f t="shared" si="57"/>
        <v>0.2</v>
      </c>
      <c r="AA90" s="976">
        <f t="shared" si="58"/>
        <v>98.728196684060308</v>
      </c>
      <c r="AB90" s="976">
        <f t="shared" si="59"/>
        <v>98.728196684060308</v>
      </c>
      <c r="AC90" s="977">
        <f t="shared" si="60"/>
        <v>0</v>
      </c>
      <c r="AD90" s="976">
        <f t="shared" si="61"/>
        <v>7771.9875248751659</v>
      </c>
      <c r="AE90" s="976">
        <f t="shared" si="62"/>
        <v>393.41641853391161</v>
      </c>
      <c r="AF90" s="978">
        <f t="shared" si="63"/>
        <v>262.27761235594107</v>
      </c>
      <c r="AG90" s="4"/>
      <c r="AH90" s="974">
        <f>'Recycling - Case 3'!AM180*'Recycling - Case 3'!C180</f>
        <v>892.06876307095706</v>
      </c>
      <c r="AI90" s="975">
        <f>Parameters!S261</f>
        <v>0.71500000000000008</v>
      </c>
      <c r="AJ90" s="975">
        <f t="shared" si="64"/>
        <v>0.2</v>
      </c>
      <c r="AK90" s="976">
        <f t="shared" si="65"/>
        <v>63.782916559573444</v>
      </c>
      <c r="AL90" s="976">
        <f t="shared" si="66"/>
        <v>63.782916559573444</v>
      </c>
      <c r="AM90" s="977">
        <f t="shared" si="67"/>
        <v>0</v>
      </c>
      <c r="AN90" s="976">
        <f t="shared" si="68"/>
        <v>7692.9460625210941</v>
      </c>
      <c r="AO90" s="976">
        <f t="shared" si="69"/>
        <v>391.15555892500385</v>
      </c>
      <c r="AP90" s="978">
        <f t="shared" si="70"/>
        <v>260.77037261666925</v>
      </c>
      <c r="AR90" s="972">
        <f>'Recycling - Case 3'!G100</f>
        <v>577.18164484407419</v>
      </c>
      <c r="AS90" s="968">
        <v>1</v>
      </c>
      <c r="AT90" s="968">
        <f t="shared" si="71"/>
        <v>0.05</v>
      </c>
      <c r="AU90" s="954">
        <f t="shared" si="72"/>
        <v>14.429541121101856</v>
      </c>
      <c r="AV90" s="954">
        <f t="shared" si="73"/>
        <v>14.429541121101856</v>
      </c>
      <c r="AW90" s="957">
        <f t="shared" si="74"/>
        <v>0</v>
      </c>
      <c r="AX90" s="954">
        <f t="shared" si="42"/>
        <v>162.14846008989659</v>
      </c>
      <c r="AY90" s="954">
        <f t="shared" si="47"/>
        <v>9.1344278084440802</v>
      </c>
      <c r="AZ90" s="1053">
        <f t="shared" si="45"/>
        <v>6.0896185389627204</v>
      </c>
      <c r="BA90" s="4"/>
      <c r="BB90" s="1185">
        <f t="shared" si="75"/>
        <v>431.95712440666153</v>
      </c>
      <c r="BC90" s="1186">
        <f t="shared" si="76"/>
        <v>262.27761235594107</v>
      </c>
      <c r="BD90" s="1218">
        <f t="shared" si="84"/>
        <v>6.0896185389627204</v>
      </c>
      <c r="BE90" s="1186">
        <f t="shared" si="48"/>
        <v>700.32435530156522</v>
      </c>
      <c r="BF90" s="167">
        <v>0</v>
      </c>
      <c r="BG90" s="1208">
        <f t="shared" si="77"/>
        <v>700.32435530156522</v>
      </c>
      <c r="BI90" s="1185">
        <f t="shared" si="78"/>
        <v>431.95712440666153</v>
      </c>
      <c r="BJ90" s="1186">
        <f t="shared" si="79"/>
        <v>260.77037261666925</v>
      </c>
      <c r="BK90" s="1218">
        <f t="shared" si="80"/>
        <v>6.0896185389627204</v>
      </c>
      <c r="BL90" s="1186">
        <f t="shared" si="49"/>
        <v>698.81711556229345</v>
      </c>
      <c r="BM90" s="167">
        <v>0</v>
      </c>
      <c r="BN90" s="1208">
        <f t="shared" si="81"/>
        <v>698.81711556229345</v>
      </c>
    </row>
    <row r="91" spans="1:66">
      <c r="A91" s="1050">
        <f>'Input data'!A122</f>
        <v>2022</v>
      </c>
      <c r="B91" s="946">
        <f>'Input data'!B122</f>
        <v>60.682000000000002</v>
      </c>
      <c r="C91" s="946">
        <f>'Recycling - Case 3'!AF101</f>
        <v>310.84097582407423</v>
      </c>
      <c r="D91" s="947">
        <f>'Recycling - Case 3'!AM101</f>
        <v>0.3171443286247364</v>
      </c>
      <c r="E91" s="948">
        <f>'Recycling - Case 3'!BE101</f>
        <v>0.15226067517689335</v>
      </c>
      <c r="F91" s="948">
        <f>'Recycling - Case 3'!BF101</f>
        <v>0.24661040796962494</v>
      </c>
      <c r="G91" s="948">
        <f>'Recycling - Case 3'!BG101</f>
        <v>7.3466079366628398E-2</v>
      </c>
      <c r="H91" s="948">
        <f>'Recycling - Case 3'!BH101</f>
        <v>0</v>
      </c>
      <c r="I91" s="948">
        <f>'Recycling - Case 3'!BI101</f>
        <v>0</v>
      </c>
      <c r="J91" s="948">
        <f>'Recycling - Case 3'!BJ101</f>
        <v>0</v>
      </c>
      <c r="K91" s="948">
        <f>'Recycling - Case 3'!BK101</f>
        <v>0.52766283748685339</v>
      </c>
      <c r="L91" s="949">
        <f t="shared" si="83"/>
        <v>1</v>
      </c>
      <c r="M91" s="4"/>
      <c r="N91" s="960">
        <f t="shared" si="50"/>
        <v>5982.1197058712232</v>
      </c>
      <c r="O91" s="955">
        <f>Parameters!R263</f>
        <v>0.83384615384615368</v>
      </c>
      <c r="P91" s="956">
        <f>E91*'MSW characteristics'!$B$28+'MSW characteristics'!$B$29*'4A SWD Case 3'!F91+'4A SWD Case 3'!G91*'MSW characteristics'!$B$30+'MSW characteristics'!$B$31*'4A SWD Case 3'!H91+'4A SWD Case 3'!I91*'MSW characteristics'!$B$32+'MSW characteristics'!$B$33*'4A SWD Case 3'!J91+'4A SWD Case 3'!K91*'MSW characteristics'!$B$35</f>
        <v>0.10154761461711034</v>
      </c>
      <c r="Q91" s="954">
        <f t="shared" si="51"/>
        <v>253.268255903843</v>
      </c>
      <c r="R91" s="954">
        <f t="shared" si="52"/>
        <v>253.268255903843</v>
      </c>
      <c r="S91" s="957">
        <f t="shared" si="53"/>
        <v>0</v>
      </c>
      <c r="T91" s="954">
        <f t="shared" si="54"/>
        <v>12591.388981090278</v>
      </c>
      <c r="U91" s="954">
        <f t="shared" si="55"/>
        <v>632.58897680005327</v>
      </c>
      <c r="V91" s="961">
        <f t="shared" si="56"/>
        <v>421.72598453336883</v>
      </c>
      <c r="W91" s="4"/>
      <c r="X91" s="974">
        <f>'Recycling - Case 3'!AM141*'Recycling - Case 3'!C141</f>
        <v>594.92307308830368</v>
      </c>
      <c r="Y91" s="975">
        <f>Parameters!S262</f>
        <v>0.71500000000000008</v>
      </c>
      <c r="Z91" s="975">
        <f t="shared" si="57"/>
        <v>0.2</v>
      </c>
      <c r="AA91" s="976">
        <f t="shared" si="58"/>
        <v>42.536999725813722</v>
      </c>
      <c r="AB91" s="976">
        <f t="shared" si="59"/>
        <v>42.536999725813722</v>
      </c>
      <c r="AC91" s="977">
        <f t="shared" si="60"/>
        <v>0</v>
      </c>
      <c r="AD91" s="976">
        <f t="shared" si="61"/>
        <v>7435.4802202395467</v>
      </c>
      <c r="AE91" s="976">
        <f t="shared" si="62"/>
        <v>379.04430436143309</v>
      </c>
      <c r="AF91" s="978">
        <f t="shared" si="63"/>
        <v>252.69620290762205</v>
      </c>
      <c r="AG91" s="4"/>
      <c r="AH91" s="974">
        <f>'Recycling - Case 3'!AM181*'Recycling - Case 3'!C181</f>
        <v>594.92307308830368</v>
      </c>
      <c r="AI91" s="975">
        <f>Parameters!S262</f>
        <v>0.71500000000000008</v>
      </c>
      <c r="AJ91" s="975">
        <f t="shared" si="64"/>
        <v>0.2</v>
      </c>
      <c r="AK91" s="976">
        <f t="shared" si="65"/>
        <v>42.536999725813722</v>
      </c>
      <c r="AL91" s="976">
        <f t="shared" si="66"/>
        <v>42.536999725813722</v>
      </c>
      <c r="AM91" s="977">
        <f t="shared" si="67"/>
        <v>0</v>
      </c>
      <c r="AN91" s="976">
        <f t="shared" si="68"/>
        <v>7360.2936554927883</v>
      </c>
      <c r="AO91" s="976">
        <f t="shared" si="69"/>
        <v>375.18940675411983</v>
      </c>
      <c r="AP91" s="978">
        <f t="shared" si="70"/>
        <v>250.12627116941323</v>
      </c>
      <c r="AR91" s="972">
        <f>'Recycling - Case 3'!G101</f>
        <v>595.30679115833243</v>
      </c>
      <c r="AS91" s="968">
        <v>1</v>
      </c>
      <c r="AT91" s="968">
        <f t="shared" si="71"/>
        <v>0.05</v>
      </c>
      <c r="AU91" s="954">
        <f t="shared" si="72"/>
        <v>14.882669778958311</v>
      </c>
      <c r="AV91" s="954">
        <f t="shared" si="73"/>
        <v>14.882669778958311</v>
      </c>
      <c r="AW91" s="957">
        <f t="shared" si="74"/>
        <v>0</v>
      </c>
      <c r="AX91" s="954">
        <f t="shared" si="42"/>
        <v>167.58833866692393</v>
      </c>
      <c r="AY91" s="954">
        <f t="shared" si="47"/>
        <v>9.4427912019309588</v>
      </c>
      <c r="AZ91" s="1053">
        <f t="shared" si="45"/>
        <v>6.2951941346206395</v>
      </c>
      <c r="BA91" s="4"/>
      <c r="BB91" s="1185">
        <f t="shared" si="75"/>
        <v>421.72598453336883</v>
      </c>
      <c r="BC91" s="1186">
        <f t="shared" si="76"/>
        <v>252.69620290762205</v>
      </c>
      <c r="BD91" s="1218">
        <f t="shared" si="84"/>
        <v>6.2951941346206395</v>
      </c>
      <c r="BE91" s="1186">
        <f t="shared" si="48"/>
        <v>680.71738157561151</v>
      </c>
      <c r="BF91" s="167">
        <v>0</v>
      </c>
      <c r="BG91" s="1208">
        <f t="shared" si="77"/>
        <v>680.71738157561151</v>
      </c>
      <c r="BI91" s="1185">
        <f t="shared" si="78"/>
        <v>421.72598453336883</v>
      </c>
      <c r="BJ91" s="1186">
        <f t="shared" si="79"/>
        <v>250.12627116941323</v>
      </c>
      <c r="BK91" s="1218">
        <f t="shared" si="80"/>
        <v>6.2951941346206395</v>
      </c>
      <c r="BL91" s="1186">
        <f t="shared" si="49"/>
        <v>678.14744983740263</v>
      </c>
      <c r="BM91" s="167">
        <v>0</v>
      </c>
      <c r="BN91" s="1208">
        <f t="shared" si="81"/>
        <v>678.14744983740263</v>
      </c>
    </row>
    <row r="92" spans="1:66">
      <c r="A92" s="1050">
        <f>'Input data'!A123</f>
        <v>2023</v>
      </c>
      <c r="B92" s="946">
        <f>'Input data'!B123</f>
        <v>61.381</v>
      </c>
      <c r="C92" s="946">
        <f>'Recycling - Case 3'!AF102</f>
        <v>296.12606573773871</v>
      </c>
      <c r="D92" s="947">
        <f>'Recycling - Case 3'!AM102</f>
        <v>0.31292944510209436</v>
      </c>
      <c r="E92" s="948">
        <f>'Recycling - Case 3'!BE102</f>
        <v>0.15431149212938583</v>
      </c>
      <c r="F92" s="948">
        <f>'Recycling - Case 3'!BF102</f>
        <v>0.2499320325764883</v>
      </c>
      <c r="G92" s="948">
        <f>'Recycling - Case 3'!BG102</f>
        <v>7.1823558597211609E-2</v>
      </c>
      <c r="H92" s="948">
        <f>'Recycling - Case 3'!BH102</f>
        <v>0</v>
      </c>
      <c r="I92" s="948">
        <f>'Recycling - Case 3'!BI102</f>
        <v>0</v>
      </c>
      <c r="J92" s="948">
        <f>'Recycling - Case 3'!BJ102</f>
        <v>0</v>
      </c>
      <c r="K92" s="948">
        <f>'Recycling - Case 3'!BK102</f>
        <v>0.52393291669691444</v>
      </c>
      <c r="L92" s="949">
        <f t="shared" si="83"/>
        <v>1.0000000000000002</v>
      </c>
      <c r="M92" s="4"/>
      <c r="N92" s="960">
        <f t="shared" si="50"/>
        <v>5687.9664527556215</v>
      </c>
      <c r="O92" s="955">
        <f>Parameters!R264</f>
        <v>0.85461538461538455</v>
      </c>
      <c r="P92" s="956">
        <f>E92*'MSW characteristics'!$B$28+'MSW characteristics'!$B$29*'4A SWD Case 3'!F92+'4A SWD Case 3'!G92*'MSW characteristics'!$B$30+'MSW characteristics'!$B$31*'4A SWD Case 3'!H92+'4A SWD Case 3'!I92*'MSW characteristics'!$B$32+'MSW characteristics'!$B$33*'4A SWD Case 3'!J92+'4A SWD Case 3'!K92*'MSW characteristics'!$B$35</f>
        <v>0.10186255377359017</v>
      </c>
      <c r="Q92" s="954">
        <f t="shared" si="51"/>
        <v>247.57814084501317</v>
      </c>
      <c r="R92" s="954">
        <f t="shared" si="52"/>
        <v>247.57814084501317</v>
      </c>
      <c r="S92" s="957">
        <f t="shared" si="53"/>
        <v>0</v>
      </c>
      <c r="T92" s="954">
        <f t="shared" si="54"/>
        <v>12224.87783499215</v>
      </c>
      <c r="U92" s="954">
        <f t="shared" si="55"/>
        <v>614.08928694314102</v>
      </c>
      <c r="V92" s="961">
        <f t="shared" si="56"/>
        <v>409.39285796209401</v>
      </c>
      <c r="W92" s="4"/>
      <c r="X92" s="974">
        <f>'Recycling - Case 3'!AM142*'Recycling - Case 3'!C142</f>
        <v>607.18229317946748</v>
      </c>
      <c r="Y92" s="975">
        <f>Parameters!S263</f>
        <v>0.71500000000000008</v>
      </c>
      <c r="Z92" s="975">
        <f t="shared" si="57"/>
        <v>0.2</v>
      </c>
      <c r="AA92" s="976">
        <f t="shared" si="58"/>
        <v>43.413533962331933</v>
      </c>
      <c r="AB92" s="976">
        <f t="shared" si="59"/>
        <v>43.413533962331933</v>
      </c>
      <c r="AC92" s="977">
        <f t="shared" si="60"/>
        <v>0</v>
      </c>
      <c r="AD92" s="976">
        <f t="shared" si="61"/>
        <v>7116.2611047472383</v>
      </c>
      <c r="AE92" s="976">
        <f t="shared" si="62"/>
        <v>362.63264945464039</v>
      </c>
      <c r="AF92" s="978">
        <f t="shared" si="63"/>
        <v>241.75509963642693</v>
      </c>
      <c r="AG92" s="4"/>
      <c r="AH92" s="974">
        <f>'Recycling - Case 3'!AM182*'Recycling - Case 3'!C182</f>
        <v>607.18229317946748</v>
      </c>
      <c r="AI92" s="975">
        <f>Parameters!S263</f>
        <v>0.71500000000000008</v>
      </c>
      <c r="AJ92" s="975">
        <f t="shared" si="64"/>
        <v>0.2</v>
      </c>
      <c r="AK92" s="976">
        <f t="shared" si="65"/>
        <v>43.413533962331933</v>
      </c>
      <c r="AL92" s="976">
        <f t="shared" si="66"/>
        <v>43.413533962331933</v>
      </c>
      <c r="AM92" s="977">
        <f t="shared" si="67"/>
        <v>0</v>
      </c>
      <c r="AN92" s="976">
        <f t="shared" si="68"/>
        <v>7044.7414320329935</v>
      </c>
      <c r="AO92" s="976">
        <f t="shared" si="69"/>
        <v>358.96575742212667</v>
      </c>
      <c r="AP92" s="978">
        <f t="shared" si="70"/>
        <v>239.31050494808446</v>
      </c>
      <c r="AQ92" s="4"/>
      <c r="AR92" s="972">
        <f>'Recycling - Case 3'!G102</f>
        <v>613.78315775045917</v>
      </c>
      <c r="AS92" s="968">
        <v>1</v>
      </c>
      <c r="AT92" s="968">
        <f t="shared" si="71"/>
        <v>0.05</v>
      </c>
      <c r="AU92" s="954">
        <f t="shared" si="72"/>
        <v>15.34457894376148</v>
      </c>
      <c r="AV92" s="954">
        <f t="shared" si="73"/>
        <v>15.34457894376148</v>
      </c>
      <c r="AW92" s="957">
        <f t="shared" si="74"/>
        <v>0</v>
      </c>
      <c r="AX92" s="954">
        <f t="shared" si="42"/>
        <v>173.17333254257622</v>
      </c>
      <c r="AY92" s="954">
        <f t="shared" si="47"/>
        <v>9.7595850681091996</v>
      </c>
      <c r="AZ92" s="1053">
        <f t="shared" si="45"/>
        <v>6.5063900454061327</v>
      </c>
      <c r="BA92" s="4"/>
      <c r="BB92" s="1185">
        <f t="shared" si="75"/>
        <v>409.39285796209401</v>
      </c>
      <c r="BC92" s="1186">
        <f t="shared" si="76"/>
        <v>241.75509963642693</v>
      </c>
      <c r="BD92" s="1218">
        <f t="shared" si="84"/>
        <v>6.5063900454061327</v>
      </c>
      <c r="BE92" s="1186">
        <f t="shared" si="48"/>
        <v>657.65434764392705</v>
      </c>
      <c r="BF92" s="167">
        <v>0</v>
      </c>
      <c r="BG92" s="1208">
        <f t="shared" si="77"/>
        <v>657.65434764392705</v>
      </c>
      <c r="BI92" s="1185">
        <f t="shared" si="78"/>
        <v>409.39285796209401</v>
      </c>
      <c r="BJ92" s="1186">
        <f t="shared" si="79"/>
        <v>239.31050494808446</v>
      </c>
      <c r="BK92" s="1218">
        <f t="shared" si="80"/>
        <v>6.5063900454061327</v>
      </c>
      <c r="BL92" s="1186">
        <f t="shared" si="49"/>
        <v>655.20975295558458</v>
      </c>
      <c r="BM92" s="167">
        <v>0</v>
      </c>
      <c r="BN92" s="1208">
        <f t="shared" si="81"/>
        <v>655.20975295558458</v>
      </c>
    </row>
    <row r="93" spans="1:66">
      <c r="A93" s="1050">
        <f>'Input data'!A124</f>
        <v>2024</v>
      </c>
      <c r="B93" s="946">
        <f>'Input data'!B124</f>
        <v>62.088000000000001</v>
      </c>
      <c r="C93" s="946">
        <f>'Recycling - Case 3'!AF103</f>
        <v>281.00934997211982</v>
      </c>
      <c r="D93" s="947">
        <f>'Recycling - Case 3'!AM103</f>
        <v>0.30871456157945232</v>
      </c>
      <c r="E93" s="948">
        <f>'Recycling - Case 3'!BE103</f>
        <v>0.15641830873759127</v>
      </c>
      <c r="F93" s="948">
        <f>'Recycling - Case 3'!BF103</f>
        <v>0.25334435754262352</v>
      </c>
      <c r="G93" s="948">
        <f>'Recycling - Case 3'!BG103</f>
        <v>7.0136187117214879E-2</v>
      </c>
      <c r="H93" s="948">
        <f>'Recycling - Case 3'!BH103</f>
        <v>0</v>
      </c>
      <c r="I93" s="948">
        <f>'Recycling - Case 3'!BI103</f>
        <v>0</v>
      </c>
      <c r="J93" s="948">
        <f>'Recycling - Case 3'!BJ103</f>
        <v>0</v>
      </c>
      <c r="K93" s="948">
        <f>'Recycling - Case 3'!BK103</f>
        <v>0.52010114660257045</v>
      </c>
      <c r="L93" s="949">
        <f t="shared" si="83"/>
        <v>1</v>
      </c>
      <c r="M93" s="4"/>
      <c r="N93" s="960">
        <f t="shared" si="50"/>
        <v>5386.2382008232516</v>
      </c>
      <c r="O93" s="955">
        <f>Parameters!R265</f>
        <v>0.87538461538461509</v>
      </c>
      <c r="P93" s="956">
        <f>E93*'MSW characteristics'!$B$28+'MSW characteristics'!$B$29*'4A SWD Case 3'!F93+'4A SWD Case 3'!G93*'MSW characteristics'!$B$30+'MSW characteristics'!$B$31*'4A SWD Case 3'!H93+'4A SWD Case 3'!I93*'MSW characteristics'!$B$32+'MSW characteristics'!$B$33*'4A SWD Case 3'!J93+'4A SWD Case 3'!K93*'MSW characteristics'!$B$35</f>
        <v>0.10218609266604936</v>
      </c>
      <c r="Q93" s="954">
        <f t="shared" si="51"/>
        <v>240.9052491024699</v>
      </c>
      <c r="R93" s="954">
        <f t="shared" si="52"/>
        <v>240.9052491024699</v>
      </c>
      <c r="S93" s="957">
        <f t="shared" si="53"/>
        <v>0</v>
      </c>
      <c r="T93" s="954">
        <f t="shared" si="54"/>
        <v>11869.568756673589</v>
      </c>
      <c r="U93" s="954">
        <f t="shared" si="55"/>
        <v>596.21432742103241</v>
      </c>
      <c r="V93" s="961">
        <f t="shared" si="56"/>
        <v>397.47621828068827</v>
      </c>
      <c r="W93" s="4"/>
      <c r="X93" s="974">
        <f>'Recycling - Case 3'!AM143*'Recycling - Case 3'!C143</f>
        <v>619.00651492328677</v>
      </c>
      <c r="Y93" s="975">
        <f>Parameters!S264</f>
        <v>0.71500000000000008</v>
      </c>
      <c r="Z93" s="975">
        <f t="shared" si="57"/>
        <v>0.2</v>
      </c>
      <c r="AA93" s="976">
        <f t="shared" si="58"/>
        <v>44.25896581701501</v>
      </c>
      <c r="AB93" s="976">
        <f t="shared" si="59"/>
        <v>44.25896581701501</v>
      </c>
      <c r="AC93" s="977">
        <f t="shared" si="60"/>
        <v>0</v>
      </c>
      <c r="AD93" s="976">
        <f t="shared" si="61"/>
        <v>6813.4559210825464</v>
      </c>
      <c r="AE93" s="976">
        <f t="shared" si="62"/>
        <v>347.06414948170749</v>
      </c>
      <c r="AF93" s="978">
        <f t="shared" si="63"/>
        <v>231.37609965447166</v>
      </c>
      <c r="AG93" s="4"/>
      <c r="AH93" s="974">
        <f>'Recycling - Case 3'!AM183*'Recycling - Case 3'!C183</f>
        <v>619.00651492328677</v>
      </c>
      <c r="AI93" s="975">
        <f>Parameters!S264</f>
        <v>0.71500000000000008</v>
      </c>
      <c r="AJ93" s="975">
        <f t="shared" si="64"/>
        <v>0.2</v>
      </c>
      <c r="AK93" s="976">
        <f t="shared" si="65"/>
        <v>44.25896581701501</v>
      </c>
      <c r="AL93" s="976">
        <f t="shared" si="66"/>
        <v>44.25896581701501</v>
      </c>
      <c r="AM93" s="977">
        <f t="shared" si="67"/>
        <v>0</v>
      </c>
      <c r="AN93" s="976">
        <f t="shared" si="68"/>
        <v>6745.424303966096</v>
      </c>
      <c r="AO93" s="976">
        <f t="shared" si="69"/>
        <v>343.57609388391319</v>
      </c>
      <c r="AP93" s="978">
        <f t="shared" si="70"/>
        <v>229.05072925594212</v>
      </c>
      <c r="AQ93" s="4"/>
      <c r="AR93" s="972">
        <f>'Recycling - Case 3'!G103</f>
        <v>632.60566667337889</v>
      </c>
      <c r="AS93" s="968">
        <v>1</v>
      </c>
      <c r="AT93" s="968">
        <f t="shared" si="71"/>
        <v>0.05</v>
      </c>
      <c r="AU93" s="954">
        <f t="shared" si="72"/>
        <v>15.815141666834473</v>
      </c>
      <c r="AV93" s="954">
        <f t="shared" si="73"/>
        <v>15.815141666834473</v>
      </c>
      <c r="AW93" s="957">
        <f t="shared" si="74"/>
        <v>0</v>
      </c>
      <c r="AX93" s="954">
        <f t="shared" si="42"/>
        <v>178.90364441802376</v>
      </c>
      <c r="AY93" s="954">
        <f t="shared" si="47"/>
        <v>10.084829791386925</v>
      </c>
      <c r="AZ93" s="1053">
        <f t="shared" si="45"/>
        <v>6.7232198609246163</v>
      </c>
      <c r="BA93" s="4"/>
      <c r="BB93" s="1185">
        <f t="shared" si="75"/>
        <v>397.47621828068827</v>
      </c>
      <c r="BC93" s="1186">
        <f t="shared" si="76"/>
        <v>231.37609965447166</v>
      </c>
      <c r="BD93" s="1218">
        <f t="shared" si="84"/>
        <v>6.7232198609246163</v>
      </c>
      <c r="BE93" s="1186">
        <f t="shared" si="48"/>
        <v>635.57553779608452</v>
      </c>
      <c r="BF93" s="167">
        <v>0</v>
      </c>
      <c r="BG93" s="1208">
        <f t="shared" si="77"/>
        <v>635.57553779608452</v>
      </c>
      <c r="BI93" s="1185">
        <f t="shared" si="78"/>
        <v>397.47621828068827</v>
      </c>
      <c r="BJ93" s="1186">
        <f t="shared" si="79"/>
        <v>229.05072925594212</v>
      </c>
      <c r="BK93" s="1218">
        <f t="shared" si="80"/>
        <v>6.7232198609246163</v>
      </c>
      <c r="BL93" s="1186">
        <f t="shared" si="49"/>
        <v>633.25016739755495</v>
      </c>
      <c r="BM93" s="167">
        <v>0</v>
      </c>
      <c r="BN93" s="1208">
        <f t="shared" si="81"/>
        <v>633.25016739755495</v>
      </c>
    </row>
    <row r="94" spans="1:66">
      <c r="A94" s="1050">
        <f>'Input data'!A125</f>
        <v>2025</v>
      </c>
      <c r="B94" s="946">
        <f>'Input data'!B125</f>
        <v>62.802999999999997</v>
      </c>
      <c r="C94" s="946">
        <f>'Recycling - Case 3'!AF104</f>
        <v>265.47414314862152</v>
      </c>
      <c r="D94" s="947">
        <f>'Recycling - Case 3'!AM104</f>
        <v>0.30449967805681033</v>
      </c>
      <c r="E94" s="948">
        <f>'Recycling - Case 3'!BE104</f>
        <v>0.15858345044264952</v>
      </c>
      <c r="F94" s="948">
        <f>'Recycling - Case 3'!BF104</f>
        <v>0.25685114929023756</v>
      </c>
      <c r="G94" s="948">
        <f>'Recycling - Case 3'!BG104</f>
        <v>6.8402102456481775E-2</v>
      </c>
      <c r="H94" s="948">
        <f>'Recycling - Case 3'!BH104</f>
        <v>0</v>
      </c>
      <c r="I94" s="948">
        <f>'Recycling - Case 3'!BI104</f>
        <v>0</v>
      </c>
      <c r="J94" s="948">
        <f>'Recycling - Case 3'!BJ104</f>
        <v>0</v>
      </c>
      <c r="K94" s="948">
        <f>'Recycling - Case 3'!BK104</f>
        <v>0.51616329781063119</v>
      </c>
      <c r="L94" s="949">
        <f t="shared" si="83"/>
        <v>1</v>
      </c>
      <c r="M94" s="4"/>
      <c r="N94" s="960">
        <f t="shared" si="50"/>
        <v>5076.7929927823889</v>
      </c>
      <c r="O94" s="955">
        <f>Parameters!R266</f>
        <v>0.89615384615384586</v>
      </c>
      <c r="P94" s="956">
        <f>E94*'MSW characteristics'!$B$28+'MSW characteristics'!$B$29*'4A SWD Case 3'!F94+'4A SWD Case 3'!G94*'MSW characteristics'!$B$30+'MSW characteristics'!$B$31*'4A SWD Case 3'!H94+'4A SWD Case 3'!I94*'MSW characteristics'!$B$32+'MSW characteristics'!$B$33*'4A SWD Case 3'!J94+'4A SWD Case 3'!K94*'MSW characteristics'!$B$35</f>
        <v>0.10251858840703765</v>
      </c>
      <c r="Q94" s="954">
        <f t="shared" si="51"/>
        <v>233.2086475814734</v>
      </c>
      <c r="R94" s="954">
        <f t="shared" si="52"/>
        <v>233.2086475814734</v>
      </c>
      <c r="S94" s="957">
        <f t="shared" si="53"/>
        <v>0</v>
      </c>
      <c r="T94" s="954">
        <f t="shared" si="54"/>
        <v>11523.891705063746</v>
      </c>
      <c r="U94" s="954">
        <f t="shared" si="55"/>
        <v>578.88569919131533</v>
      </c>
      <c r="V94" s="961">
        <f t="shared" si="56"/>
        <v>385.92379946087686</v>
      </c>
      <c r="W94" s="4"/>
      <c r="X94" s="974">
        <f>'Recycling - Case 3'!AM144*'Recycling - Case 3'!C144</f>
        <v>631.33533475002571</v>
      </c>
      <c r="Y94" s="975">
        <f>Parameters!S265</f>
        <v>0.71500000000000008</v>
      </c>
      <c r="Z94" s="975">
        <f t="shared" si="57"/>
        <v>0.2</v>
      </c>
      <c r="AA94" s="976">
        <f t="shared" si="58"/>
        <v>45.140476434626841</v>
      </c>
      <c r="AB94" s="976">
        <f t="shared" si="59"/>
        <v>45.140476434626841</v>
      </c>
      <c r="AC94" s="977">
        <f t="shared" si="60"/>
        <v>0</v>
      </c>
      <c r="AD94" s="976">
        <f t="shared" si="61"/>
        <v>6526.3002311069604</v>
      </c>
      <c r="AE94" s="976">
        <f t="shared" si="62"/>
        <v>332.29616641021346</v>
      </c>
      <c r="AF94" s="978">
        <f t="shared" si="63"/>
        <v>221.53077760680898</v>
      </c>
      <c r="AG94" s="4"/>
      <c r="AH94" s="974">
        <f>'Recycling - Case 3'!AM184*'Recycling - Case 3'!C184</f>
        <v>631.33533475002571</v>
      </c>
      <c r="AI94" s="975">
        <f>Parameters!S265</f>
        <v>0.71500000000000008</v>
      </c>
      <c r="AJ94" s="975">
        <f t="shared" si="64"/>
        <v>0.2</v>
      </c>
      <c r="AK94" s="976">
        <f t="shared" si="65"/>
        <v>45.140476434626841</v>
      </c>
      <c r="AL94" s="976">
        <f t="shared" si="66"/>
        <v>45.140476434626841</v>
      </c>
      <c r="AM94" s="977">
        <f t="shared" si="67"/>
        <v>0</v>
      </c>
      <c r="AN94" s="976">
        <f t="shared" si="68"/>
        <v>6461.5865551094257</v>
      </c>
      <c r="AO94" s="976">
        <f t="shared" si="69"/>
        <v>328.97822529129706</v>
      </c>
      <c r="AP94" s="978">
        <f t="shared" si="70"/>
        <v>219.3188168608647</v>
      </c>
      <c r="AQ94" s="4"/>
      <c r="AR94" s="972">
        <f>'Recycling - Case 3'!G104</f>
        <v>651.7788609568936</v>
      </c>
      <c r="AS94" s="968">
        <v>1</v>
      </c>
      <c r="AT94" s="968">
        <f t="shared" si="71"/>
        <v>0.05</v>
      </c>
      <c r="AU94" s="954">
        <f t="shared" si="72"/>
        <v>16.29447152392234</v>
      </c>
      <c r="AV94" s="954">
        <f t="shared" si="73"/>
        <v>16.29447152392234</v>
      </c>
      <c r="AW94" s="957">
        <f t="shared" si="74"/>
        <v>0</v>
      </c>
      <c r="AX94" s="954">
        <f t="shared" si="42"/>
        <v>184.77957876578478</v>
      </c>
      <c r="AY94" s="954">
        <f t="shared" si="47"/>
        <v>10.418537176161331</v>
      </c>
      <c r="AZ94" s="1053">
        <f t="shared" si="45"/>
        <v>6.9456914507742207</v>
      </c>
      <c r="BA94" s="4"/>
      <c r="BB94" s="1185">
        <f t="shared" si="75"/>
        <v>385.92379946087686</v>
      </c>
      <c r="BC94" s="1186">
        <f t="shared" si="76"/>
        <v>221.53077760680898</v>
      </c>
      <c r="BD94" s="1218">
        <f t="shared" si="84"/>
        <v>6.9456914507742207</v>
      </c>
      <c r="BE94" s="1186">
        <f t="shared" si="48"/>
        <v>614.40026851846005</v>
      </c>
      <c r="BF94" s="167">
        <v>0</v>
      </c>
      <c r="BG94" s="1208">
        <f t="shared" si="77"/>
        <v>614.40026851846005</v>
      </c>
      <c r="BI94" s="1185">
        <f t="shared" si="78"/>
        <v>385.92379946087686</v>
      </c>
      <c r="BJ94" s="1186">
        <f t="shared" si="79"/>
        <v>219.3188168608647</v>
      </c>
      <c r="BK94" s="1218">
        <f t="shared" si="80"/>
        <v>6.9456914507742207</v>
      </c>
      <c r="BL94" s="1186">
        <f t="shared" si="49"/>
        <v>612.18830777251583</v>
      </c>
      <c r="BM94" s="167">
        <v>0</v>
      </c>
      <c r="BN94" s="1208">
        <f t="shared" si="81"/>
        <v>612.18830777251583</v>
      </c>
    </row>
    <row r="95" spans="1:66">
      <c r="A95" s="1050">
        <f>'Input data'!A126</f>
        <v>2026</v>
      </c>
      <c r="B95" s="946">
        <f>'Input data'!B126</f>
        <v>63.420999999999999</v>
      </c>
      <c r="C95" s="946">
        <f>'Recycling - Case 3'!AF105</f>
        <v>249.50282308560486</v>
      </c>
      <c r="D95" s="947">
        <f>'Recycling - Case 3'!AM105</f>
        <v>0.30028479453416823</v>
      </c>
      <c r="E95" s="948">
        <f>'Recycling - Case 3'!BE105</f>
        <v>0.16080937324793626</v>
      </c>
      <c r="F95" s="948">
        <f>'Recycling - Case 3'!BF105</f>
        <v>0.26045638570786744</v>
      </c>
      <c r="G95" s="948">
        <f>'Recycling - Case 3'!BG105</f>
        <v>6.6619337576194218E-2</v>
      </c>
      <c r="H95" s="948">
        <f>'Recycling - Case 3'!BH105</f>
        <v>0</v>
      </c>
      <c r="I95" s="948">
        <f>'Recycling - Case 3'!BI105</f>
        <v>0</v>
      </c>
      <c r="J95" s="948">
        <f>'Recycling - Case 3'!BJ105</f>
        <v>0</v>
      </c>
      <c r="K95" s="948">
        <f>'Recycling - Case 3'!BK105</f>
        <v>0.51211490346800204</v>
      </c>
      <c r="L95" s="949">
        <f t="shared" si="83"/>
        <v>1</v>
      </c>
      <c r="M95" s="4"/>
      <c r="N95" s="960">
        <f t="shared" si="50"/>
        <v>4751.6220714248811</v>
      </c>
      <c r="O95" s="955">
        <f>Parameters!R267</f>
        <v>0.91692307692307662</v>
      </c>
      <c r="P95" s="956">
        <f>E95*'MSW characteristics'!$B$28+'MSW characteristics'!$B$29*'4A SWD Case 3'!F95+'4A SWD Case 3'!G95*'MSW characteristics'!$B$30+'MSW characteristics'!$B$31*'4A SWD Case 3'!H95+'4A SWD Case 3'!I95*'MSW characteristics'!$B$32+'MSW characteristics'!$B$33*'4A SWD Case 3'!J95+'4A SWD Case 3'!K95*'MSW characteristics'!$B$35</f>
        <v>0.10286041815924163</v>
      </c>
      <c r="Q95" s="954">
        <f t="shared" si="51"/>
        <v>224.07483429850862</v>
      </c>
      <c r="R95" s="954">
        <f t="shared" si="52"/>
        <v>224.07483429850862</v>
      </c>
      <c r="S95" s="957">
        <f t="shared" si="53"/>
        <v>0</v>
      </c>
      <c r="T95" s="954">
        <f t="shared" si="54"/>
        <v>11185.939708914848</v>
      </c>
      <c r="U95" s="954">
        <f t="shared" si="55"/>
        <v>562.02683044740695</v>
      </c>
      <c r="V95" s="961">
        <f t="shared" si="56"/>
        <v>374.68455363160462</v>
      </c>
      <c r="W95" s="4"/>
      <c r="X95" s="974">
        <f>'Recycling - Case 3'!AM145*'Recycling - Case 3'!C145</f>
        <v>645.97834578463778</v>
      </c>
      <c r="Y95" s="975">
        <f>Parameters!S266</f>
        <v>0.71500000000000008</v>
      </c>
      <c r="Z95" s="975">
        <f t="shared" si="57"/>
        <v>0.2</v>
      </c>
      <c r="AA95" s="976">
        <f t="shared" si="58"/>
        <v>46.187451723601605</v>
      </c>
      <c r="AB95" s="976">
        <f t="shared" si="59"/>
        <v>46.187451723601605</v>
      </c>
      <c r="AC95" s="977">
        <f t="shared" si="60"/>
        <v>0</v>
      </c>
      <c r="AD95" s="976">
        <f t="shared" si="61"/>
        <v>6254.1962646783531</v>
      </c>
      <c r="AE95" s="976">
        <f t="shared" si="62"/>
        <v>318.29141815220959</v>
      </c>
      <c r="AF95" s="978">
        <f t="shared" si="63"/>
        <v>212.19427876813972</v>
      </c>
      <c r="AG95" s="4"/>
      <c r="AH95" s="974">
        <f>'Recycling - Case 3'!AM185*'Recycling - Case 3'!C185</f>
        <v>645.97834578463778</v>
      </c>
      <c r="AI95" s="975">
        <f>Parameters!S266</f>
        <v>0.71500000000000008</v>
      </c>
      <c r="AJ95" s="975">
        <f t="shared" si="64"/>
        <v>0.2</v>
      </c>
      <c r="AK95" s="976">
        <f t="shared" si="65"/>
        <v>46.187451723601605</v>
      </c>
      <c r="AL95" s="976">
        <f t="shared" si="66"/>
        <v>46.187451723601605</v>
      </c>
      <c r="AM95" s="977">
        <f t="shared" si="67"/>
        <v>0</v>
      </c>
      <c r="AN95" s="976">
        <f t="shared" si="68"/>
        <v>6192.6387119018918</v>
      </c>
      <c r="AO95" s="976">
        <f t="shared" si="69"/>
        <v>315.13529493113549</v>
      </c>
      <c r="AP95" s="978">
        <f t="shared" si="70"/>
        <v>210.09019662075698</v>
      </c>
      <c r="AQ95" s="4"/>
      <c r="AR95" s="972">
        <f>'Recycling - Case 3'!G105</f>
        <v>670.19770228173195</v>
      </c>
      <c r="AS95" s="968">
        <v>1</v>
      </c>
      <c r="AT95" s="968">
        <f t="shared" si="71"/>
        <v>0.05</v>
      </c>
      <c r="AU95" s="954">
        <f t="shared" si="72"/>
        <v>16.7549425570433</v>
      </c>
      <c r="AV95" s="954">
        <f t="shared" si="73"/>
        <v>16.7549425570433</v>
      </c>
      <c r="AW95" s="957">
        <f t="shared" si="74"/>
        <v>0</v>
      </c>
      <c r="AX95" s="954">
        <f t="shared" si="42"/>
        <v>190.77379636929655</v>
      </c>
      <c r="AY95" s="954">
        <f t="shared" si="47"/>
        <v>10.760724953531527</v>
      </c>
      <c r="AZ95" s="1053">
        <f t="shared" si="45"/>
        <v>7.1738166356876851</v>
      </c>
      <c r="BA95" s="4"/>
      <c r="BB95" s="1185">
        <f t="shared" si="75"/>
        <v>374.68455363160462</v>
      </c>
      <c r="BC95" s="1186">
        <f t="shared" si="76"/>
        <v>212.19427876813972</v>
      </c>
      <c r="BD95" s="1218">
        <f t="shared" si="84"/>
        <v>7.1738166356876851</v>
      </c>
      <c r="BE95" s="1186">
        <f t="shared" si="48"/>
        <v>594.05264903543207</v>
      </c>
      <c r="BF95" s="167">
        <v>0</v>
      </c>
      <c r="BG95" s="1208">
        <f t="shared" si="77"/>
        <v>594.05264903543207</v>
      </c>
      <c r="BI95" s="1185">
        <f t="shared" si="78"/>
        <v>374.68455363160462</v>
      </c>
      <c r="BJ95" s="1186">
        <f t="shared" si="79"/>
        <v>210.09019662075698</v>
      </c>
      <c r="BK95" s="1218">
        <f t="shared" si="80"/>
        <v>7.1738166356876851</v>
      </c>
      <c r="BL95" s="1186">
        <f t="shared" si="49"/>
        <v>591.9485668880493</v>
      </c>
      <c r="BM95" s="167">
        <v>0</v>
      </c>
      <c r="BN95" s="1208">
        <f t="shared" si="81"/>
        <v>591.9485668880493</v>
      </c>
    </row>
    <row r="96" spans="1:66">
      <c r="A96" s="1050">
        <f>'Input data'!A127</f>
        <v>2027</v>
      </c>
      <c r="B96" s="946">
        <f>'Input data'!B127</f>
        <v>64.046000000000006</v>
      </c>
      <c r="C96" s="946">
        <f>'Recycling - Case 3'!AF106</f>
        <v>233.07676411623692</v>
      </c>
      <c r="D96" s="947">
        <f>'Recycling - Case 3'!AM106</f>
        <v>0.29606991101152619</v>
      </c>
      <c r="E96" s="948">
        <f>'Recycling - Case 3'!BE106</f>
        <v>0.16309867301255412</v>
      </c>
      <c r="F96" s="948">
        <f>'Recycling - Case 3'!BF106</f>
        <v>0.2641642712026695</v>
      </c>
      <c r="G96" s="948">
        <f>'Recycling - Case 3'!BG106</f>
        <v>6.4785813425618149E-2</v>
      </c>
      <c r="H96" s="948">
        <f>'Recycling - Case 3'!BH106</f>
        <v>0</v>
      </c>
      <c r="I96" s="948">
        <f>'Recycling - Case 3'!BI106</f>
        <v>0</v>
      </c>
      <c r="J96" s="948">
        <f>'Recycling - Case 3'!BJ106</f>
        <v>0</v>
      </c>
      <c r="K96" s="948">
        <f>'Recycling - Case 3'!BK106</f>
        <v>0.50795124235915801</v>
      </c>
      <c r="L96" s="949">
        <f t="shared" si="83"/>
        <v>0.99999999999999978</v>
      </c>
      <c r="M96" s="4"/>
      <c r="N96" s="960">
        <f t="shared" si="50"/>
        <v>4419.6233986612151</v>
      </c>
      <c r="O96" s="955">
        <f>Parameters!R268</f>
        <v>0.93769230769230727</v>
      </c>
      <c r="P96" s="956">
        <f>E96*'MSW characteristics'!$B$28+'MSW characteristics'!$B$29*'4A SWD Case 3'!F96+'4A SWD Case 3'!G96*'MSW characteristics'!$B$30+'MSW characteristics'!$B$31*'4A SWD Case 3'!H96+'4A SWD Case 3'!I96*'MSW characteristics'!$B$32+'MSW characteristics'!$B$33*'4A SWD Case 3'!J96+'4A SWD Case 3'!K96*'MSW characteristics'!$B$35</f>
        <v>0.10321198056266428</v>
      </c>
      <c r="Q96" s="954">
        <f t="shared" si="51"/>
        <v>213.86796337781627</v>
      </c>
      <c r="R96" s="954">
        <f t="shared" si="52"/>
        <v>213.86796337781627</v>
      </c>
      <c r="S96" s="957">
        <f t="shared" si="53"/>
        <v>0</v>
      </c>
      <c r="T96" s="954">
        <f t="shared" si="54"/>
        <v>10854.262955188571</v>
      </c>
      <c r="U96" s="954">
        <f t="shared" si="55"/>
        <v>545.54471710409268</v>
      </c>
      <c r="V96" s="961">
        <f t="shared" si="56"/>
        <v>363.69647806939514</v>
      </c>
      <c r="W96" s="4"/>
      <c r="X96" s="974">
        <f>'Recycling - Case 3'!AM146*'Recycling - Case 3'!C146</f>
        <v>660.47829069612305</v>
      </c>
      <c r="Y96" s="975">
        <f>Parameters!S267</f>
        <v>0.71500000000000008</v>
      </c>
      <c r="Z96" s="975">
        <f t="shared" si="57"/>
        <v>0.2</v>
      </c>
      <c r="AA96" s="976">
        <f t="shared" si="58"/>
        <v>47.224197784772805</v>
      </c>
      <c r="AB96" s="976">
        <f t="shared" si="59"/>
        <v>47.224197784772805</v>
      </c>
      <c r="AC96" s="977">
        <f t="shared" si="60"/>
        <v>0</v>
      </c>
      <c r="AD96" s="976">
        <f t="shared" si="61"/>
        <v>5996.3997113492778</v>
      </c>
      <c r="AE96" s="976">
        <f t="shared" si="62"/>
        <v>305.02075111384801</v>
      </c>
      <c r="AF96" s="978">
        <f t="shared" si="63"/>
        <v>203.34716740923201</v>
      </c>
      <c r="AG96" s="4"/>
      <c r="AH96" s="974">
        <f>'Recycling - Case 3'!AM186*'Recycling - Case 3'!C186</f>
        <v>660.47829069612305</v>
      </c>
      <c r="AI96" s="975">
        <f>Parameters!S267</f>
        <v>0.71500000000000008</v>
      </c>
      <c r="AJ96" s="975">
        <f t="shared" si="64"/>
        <v>0.2</v>
      </c>
      <c r="AK96" s="976">
        <f t="shared" si="65"/>
        <v>47.224197784772805</v>
      </c>
      <c r="AL96" s="976">
        <f t="shared" si="66"/>
        <v>47.224197784772805</v>
      </c>
      <c r="AM96" s="977">
        <f t="shared" si="67"/>
        <v>0</v>
      </c>
      <c r="AN96" s="976">
        <f t="shared" si="68"/>
        <v>5937.8443558480521</v>
      </c>
      <c r="AO96" s="976">
        <f t="shared" si="69"/>
        <v>302.01855383861232</v>
      </c>
      <c r="AP96" s="978">
        <f t="shared" si="70"/>
        <v>201.34570255907488</v>
      </c>
      <c r="AQ96" s="4"/>
      <c r="AR96" s="972">
        <f>'Recycling - Case 3'!G106</f>
        <v>688.92580678167349</v>
      </c>
      <c r="AS96" s="968">
        <v>1</v>
      </c>
      <c r="AT96" s="968">
        <f t="shared" si="71"/>
        <v>0.05</v>
      </c>
      <c r="AU96" s="954">
        <f t="shared" si="72"/>
        <v>17.223145169541837</v>
      </c>
      <c r="AV96" s="954">
        <f t="shared" si="73"/>
        <v>17.223145169541837</v>
      </c>
      <c r="AW96" s="957">
        <f t="shared" si="74"/>
        <v>0</v>
      </c>
      <c r="AX96" s="954">
        <f t="shared" si="42"/>
        <v>196.88714052736884</v>
      </c>
      <c r="AY96" s="954">
        <f t="shared" si="47"/>
        <v>11.109801011469543</v>
      </c>
      <c r="AZ96" s="1053">
        <f t="shared" si="45"/>
        <v>7.4065340076463615</v>
      </c>
      <c r="BA96" s="4"/>
      <c r="BB96" s="1185">
        <f t="shared" si="75"/>
        <v>363.69647806939514</v>
      </c>
      <c r="BC96" s="1186">
        <f t="shared" si="76"/>
        <v>203.34716740923201</v>
      </c>
      <c r="BD96" s="1218">
        <f t="shared" si="84"/>
        <v>7.4065340076463615</v>
      </c>
      <c r="BE96" s="1186">
        <f t="shared" si="48"/>
        <v>574.45017948627344</v>
      </c>
      <c r="BF96" s="167">
        <v>0</v>
      </c>
      <c r="BG96" s="1208">
        <f t="shared" si="77"/>
        <v>574.45017948627344</v>
      </c>
      <c r="BI96" s="1185">
        <f t="shared" si="78"/>
        <v>363.69647806939514</v>
      </c>
      <c r="BJ96" s="1186">
        <f t="shared" si="79"/>
        <v>201.34570255907488</v>
      </c>
      <c r="BK96" s="1218">
        <f t="shared" si="80"/>
        <v>7.4065340076463615</v>
      </c>
      <c r="BL96" s="1186">
        <f t="shared" si="49"/>
        <v>572.44871463611639</v>
      </c>
      <c r="BM96" s="167">
        <v>0</v>
      </c>
      <c r="BN96" s="1208">
        <f t="shared" si="81"/>
        <v>572.44871463611639</v>
      </c>
    </row>
    <row r="97" spans="1:66">
      <c r="A97" s="1050">
        <f>'Input data'!A128</f>
        <v>2028</v>
      </c>
      <c r="B97" s="946">
        <f>'Input data'!B128</f>
        <v>64.676000000000002</v>
      </c>
      <c r="C97" s="946">
        <f>'Recycling - Case 3'!AF107</f>
        <v>216.17626462831689</v>
      </c>
      <c r="D97" s="947">
        <f>'Recycling - Case 3'!AM107</f>
        <v>0.29185502748888414</v>
      </c>
      <c r="E97" s="948">
        <f>'Recycling - Case 3'!BE107</f>
        <v>0.16545409555010687</v>
      </c>
      <c r="F97" s="948">
        <f>'Recycling - Case 3'!BF107</f>
        <v>0.267979253056992</v>
      </c>
      <c r="G97" s="948">
        <f>'Recycling - Case 3'!BG107</f>
        <v>6.2899330853889504E-2</v>
      </c>
      <c r="H97" s="948">
        <f>'Recycling - Case 3'!BH107</f>
        <v>0</v>
      </c>
      <c r="I97" s="948">
        <f>'Recycling - Case 3'!BI107</f>
        <v>0</v>
      </c>
      <c r="J97" s="948">
        <f>'Recycling - Case 3'!BJ107</f>
        <v>0</v>
      </c>
      <c r="K97" s="948">
        <f>'Recycling - Case 3'!BK107</f>
        <v>0.50366732053901153</v>
      </c>
      <c r="L97" s="949">
        <f t="shared" si="83"/>
        <v>0.99999999999999989</v>
      </c>
      <c r="M97" s="4"/>
      <c r="N97" s="960">
        <f t="shared" si="50"/>
        <v>4080.5465776018164</v>
      </c>
      <c r="O97" s="955">
        <f>Parameters!R269</f>
        <v>0.95846153846153803</v>
      </c>
      <c r="P97" s="956">
        <f>E97*'MSW characteristics'!$B$28+'MSW characteristics'!$B$29*'4A SWD Case 3'!F97+'4A SWD Case 3'!G97*'MSW characteristics'!$B$30+'MSW characteristics'!$B$31*'4A SWD Case 3'!H97+'4A SWD Case 3'!I97*'MSW characteristics'!$B$32+'MSW characteristics'!$B$33*'4A SWD Case 3'!J97+'4A SWD Case 3'!K97*'MSW characteristics'!$B$35</f>
        <v>0.10357369728547024</v>
      </c>
      <c r="Q97" s="954">
        <f t="shared" si="51"/>
        <v>202.54079646184184</v>
      </c>
      <c r="R97" s="954">
        <f t="shared" si="52"/>
        <v>202.54079646184184</v>
      </c>
      <c r="S97" s="957">
        <f t="shared" si="53"/>
        <v>0</v>
      </c>
      <c r="T97" s="954">
        <f t="shared" si="54"/>
        <v>10527.435100705286</v>
      </c>
      <c r="U97" s="954">
        <f t="shared" si="55"/>
        <v>529.36865094512723</v>
      </c>
      <c r="V97" s="961">
        <f t="shared" si="56"/>
        <v>352.91243396341815</v>
      </c>
      <c r="W97" s="4"/>
      <c r="X97" s="974">
        <f>'Recycling - Case 3'!AM147*'Recycling - Case 3'!C147</f>
        <v>675.67423296335994</v>
      </c>
      <c r="Y97" s="975">
        <f>Parameters!S268</f>
        <v>0.71500000000000008</v>
      </c>
      <c r="Z97" s="975">
        <f t="shared" si="57"/>
        <v>0.2</v>
      </c>
      <c r="AA97" s="976">
        <f t="shared" si="58"/>
        <v>48.310707656880247</v>
      </c>
      <c r="AB97" s="976">
        <f t="shared" si="59"/>
        <v>48.310707656880247</v>
      </c>
      <c r="AC97" s="977">
        <f t="shared" si="60"/>
        <v>0</v>
      </c>
      <c r="AD97" s="976">
        <f t="shared" si="61"/>
        <v>5752.2625541599018</v>
      </c>
      <c r="AE97" s="976">
        <f t="shared" si="62"/>
        <v>292.44786484625666</v>
      </c>
      <c r="AF97" s="978">
        <f t="shared" si="63"/>
        <v>194.96524323083779</v>
      </c>
      <c r="AG97" s="4"/>
      <c r="AH97" s="974">
        <f>'Recycling - Case 3'!AM187*'Recycling - Case 3'!C187</f>
        <v>675.67423296335994</v>
      </c>
      <c r="AI97" s="975">
        <f>Parameters!S268</f>
        <v>0.71500000000000008</v>
      </c>
      <c r="AJ97" s="975">
        <f t="shared" si="64"/>
        <v>0.2</v>
      </c>
      <c r="AK97" s="976">
        <f t="shared" si="65"/>
        <v>48.310707656880247</v>
      </c>
      <c r="AL97" s="976">
        <f t="shared" si="66"/>
        <v>48.310707656880247</v>
      </c>
      <c r="AM97" s="977">
        <f t="shared" si="67"/>
        <v>0</v>
      </c>
      <c r="AN97" s="976">
        <f t="shared" si="68"/>
        <v>5696.562977045036</v>
      </c>
      <c r="AO97" s="976">
        <f t="shared" si="69"/>
        <v>289.59208645989656</v>
      </c>
      <c r="AP97" s="978">
        <f t="shared" si="70"/>
        <v>193.06139097326437</v>
      </c>
      <c r="AQ97" s="4"/>
      <c r="AR97" s="972">
        <f>'Recycling - Case 3'!G107</f>
        <v>707.94525755332154</v>
      </c>
      <c r="AS97" s="968">
        <v>1</v>
      </c>
      <c r="AT97" s="968">
        <f t="shared" si="71"/>
        <v>0.05</v>
      </c>
      <c r="AU97" s="954">
        <f t="shared" si="72"/>
        <v>17.69863143883304</v>
      </c>
      <c r="AV97" s="954">
        <f t="shared" si="73"/>
        <v>17.69863143883304</v>
      </c>
      <c r="AW97" s="957">
        <f t="shared" si="74"/>
        <v>0</v>
      </c>
      <c r="AX97" s="954">
        <f t="shared" si="42"/>
        <v>203.11995750632701</v>
      </c>
      <c r="AY97" s="954">
        <f t="shared" si="47"/>
        <v>11.465814459874892</v>
      </c>
      <c r="AZ97" s="1053">
        <f t="shared" si="45"/>
        <v>7.6438763065832616</v>
      </c>
      <c r="BA97" s="4"/>
      <c r="BB97" s="1185">
        <f t="shared" si="75"/>
        <v>352.91243396341815</v>
      </c>
      <c r="BC97" s="1186">
        <f t="shared" si="76"/>
        <v>194.96524323083779</v>
      </c>
      <c r="BD97" s="1218">
        <f t="shared" si="84"/>
        <v>7.6438763065832616</v>
      </c>
      <c r="BE97" s="1186">
        <f t="shared" si="48"/>
        <v>555.52155350083922</v>
      </c>
      <c r="BF97" s="167">
        <v>0</v>
      </c>
      <c r="BG97" s="1208">
        <f t="shared" si="77"/>
        <v>555.52155350083922</v>
      </c>
      <c r="BI97" s="1185">
        <f t="shared" si="78"/>
        <v>352.91243396341815</v>
      </c>
      <c r="BJ97" s="1186">
        <f t="shared" si="79"/>
        <v>193.06139097326437</v>
      </c>
      <c r="BK97" s="1218">
        <f t="shared" si="80"/>
        <v>7.6438763065832616</v>
      </c>
      <c r="BL97" s="1186">
        <f t="shared" si="49"/>
        <v>553.61770124326574</v>
      </c>
      <c r="BM97" s="167">
        <v>0</v>
      </c>
      <c r="BN97" s="1208">
        <f t="shared" si="81"/>
        <v>553.61770124326574</v>
      </c>
    </row>
    <row r="98" spans="1:66">
      <c r="A98" s="1050">
        <f>'Input data'!A129</f>
        <v>2029</v>
      </c>
      <c r="B98" s="946">
        <f>'Input data'!B129</f>
        <v>65.313000000000002</v>
      </c>
      <c r="C98" s="946">
        <f>'Recycling - Case 3'!AF108</f>
        <v>198.78046823340867</v>
      </c>
      <c r="D98" s="947">
        <f>'Recycling - Case 3'!AM108</f>
        <v>0.28764014396624216</v>
      </c>
      <c r="E98" s="948">
        <f>'Recycling - Case 3'!BE108</f>
        <v>0.16787854761535698</v>
      </c>
      <c r="F98" s="948">
        <f>'Recycling - Case 3'!BF108</f>
        <v>0.27190603922301615</v>
      </c>
      <c r="G98" s="948">
        <f>'Recycling - Case 3'!BG108</f>
        <v>6.0957561810685137E-2</v>
      </c>
      <c r="H98" s="948">
        <f>'Recycling - Case 3'!BH108</f>
        <v>0</v>
      </c>
      <c r="I98" s="948">
        <f>'Recycling - Case 3'!BI108</f>
        <v>0</v>
      </c>
      <c r="J98" s="948">
        <f>'Recycling - Case 3'!BJ108</f>
        <v>0</v>
      </c>
      <c r="K98" s="948">
        <f>'Recycling - Case 3'!BK108</f>
        <v>0.49925785135094164</v>
      </c>
      <c r="L98" s="949">
        <f t="shared" si="83"/>
        <v>1</v>
      </c>
      <c r="M98" s="4"/>
      <c r="N98" s="960">
        <f t="shared" si="50"/>
        <v>3734.4172394243601</v>
      </c>
      <c r="O98" s="955">
        <f>Parameters!R270</f>
        <v>0.97923076923076879</v>
      </c>
      <c r="P98" s="956">
        <f>E98*'MSW characteristics'!$B$28+'MSW characteristics'!$B$29*'4A SWD Case 3'!F98+'4A SWD Case 3'!G98*'MSW characteristics'!$B$30+'MSW characteristics'!$B$31*'4A SWD Case 3'!H98+'4A SWD Case 3'!I98*'MSW characteristics'!$B$32+'MSW characteristics'!$B$33*'4A SWD Case 3'!J98+'4A SWD Case 3'!K98*'MSW characteristics'!$B$35</f>
        <v>0.10394601471118084</v>
      </c>
      <c r="Q98" s="954">
        <f t="shared" si="51"/>
        <v>190.05781761064353</v>
      </c>
      <c r="R98" s="954">
        <f t="shared" si="52"/>
        <v>190.05781761064353</v>
      </c>
      <c r="S98" s="957">
        <f t="shared" si="53"/>
        <v>0</v>
      </c>
      <c r="T98" s="954">
        <f t="shared" si="54"/>
        <v>10204.063849923148</v>
      </c>
      <c r="U98" s="954">
        <f t="shared" si="55"/>
        <v>513.42906839278055</v>
      </c>
      <c r="V98" s="961">
        <f t="shared" si="56"/>
        <v>342.28604559518703</v>
      </c>
      <c r="W98" s="4"/>
      <c r="X98" s="974">
        <f>'Recycling - Case 3'!AM148*'Recycling - Case 3'!C148</f>
        <v>691.37283998752798</v>
      </c>
      <c r="Y98" s="975">
        <f>Parameters!S269</f>
        <v>0.71500000000000008</v>
      </c>
      <c r="Z98" s="975">
        <f t="shared" si="57"/>
        <v>0.2</v>
      </c>
      <c r="AA98" s="976">
        <f t="shared" si="58"/>
        <v>49.433158059108266</v>
      </c>
      <c r="AB98" s="976">
        <f t="shared" si="59"/>
        <v>49.433158059108266</v>
      </c>
      <c r="AC98" s="977">
        <f t="shared" si="60"/>
        <v>0</v>
      </c>
      <c r="AD98" s="976">
        <f t="shared" si="61"/>
        <v>5521.1545570296385</v>
      </c>
      <c r="AE98" s="976">
        <f t="shared" si="62"/>
        <v>280.54115518937112</v>
      </c>
      <c r="AF98" s="978">
        <f t="shared" si="63"/>
        <v>187.02743679291407</v>
      </c>
      <c r="AG98" s="4"/>
      <c r="AH98" s="974">
        <f>'Recycling - Case 3'!AM188*'Recycling - Case 3'!C188</f>
        <v>691.37283998752798</v>
      </c>
      <c r="AI98" s="975">
        <f>Parameters!S269</f>
        <v>0.71500000000000008</v>
      </c>
      <c r="AJ98" s="975">
        <f t="shared" si="64"/>
        <v>0.2</v>
      </c>
      <c r="AK98" s="976">
        <f t="shared" si="65"/>
        <v>49.433158059108266</v>
      </c>
      <c r="AL98" s="976">
        <f t="shared" si="66"/>
        <v>49.433158059108266</v>
      </c>
      <c r="AM98" s="977">
        <f t="shared" si="67"/>
        <v>0</v>
      </c>
      <c r="AN98" s="976">
        <f t="shared" si="68"/>
        <v>5468.1714803457317</v>
      </c>
      <c r="AO98" s="976">
        <f t="shared" si="69"/>
        <v>277.82465475841224</v>
      </c>
      <c r="AP98" s="978">
        <f t="shared" si="70"/>
        <v>185.21643650560816</v>
      </c>
      <c r="AQ98" s="4"/>
      <c r="AR98" s="972">
        <f>'Recycling - Case 3'!G108</f>
        <v>727.28116463059234</v>
      </c>
      <c r="AS98" s="968">
        <v>1</v>
      </c>
      <c r="AT98" s="968">
        <f t="shared" si="71"/>
        <v>0.05</v>
      </c>
      <c r="AU98" s="954">
        <f t="shared" si="72"/>
        <v>18.182029115764809</v>
      </c>
      <c r="AV98" s="954">
        <f t="shared" si="73"/>
        <v>18.182029115764809</v>
      </c>
      <c r="AW98" s="957">
        <f t="shared" si="74"/>
        <v>0</v>
      </c>
      <c r="AX98" s="954">
        <f t="shared" si="42"/>
        <v>209.47320115836328</v>
      </c>
      <c r="AY98" s="954">
        <f t="shared" si="47"/>
        <v>11.828785463728535</v>
      </c>
      <c r="AZ98" s="1053">
        <f t="shared" si="45"/>
        <v>7.8858569758190233</v>
      </c>
      <c r="BA98" s="4"/>
      <c r="BB98" s="1185">
        <f t="shared" si="75"/>
        <v>342.28604559518703</v>
      </c>
      <c r="BC98" s="1186">
        <f t="shared" si="76"/>
        <v>187.02743679291407</v>
      </c>
      <c r="BD98" s="1218">
        <f t="shared" si="84"/>
        <v>7.8858569758190233</v>
      </c>
      <c r="BE98" s="1186">
        <f t="shared" si="48"/>
        <v>537.1993393639201</v>
      </c>
      <c r="BF98" s="167">
        <v>0</v>
      </c>
      <c r="BG98" s="1208">
        <f t="shared" si="77"/>
        <v>537.1993393639201</v>
      </c>
      <c r="BI98" s="1185">
        <f t="shared" si="78"/>
        <v>342.28604559518703</v>
      </c>
      <c r="BJ98" s="1186">
        <f t="shared" si="79"/>
        <v>185.21643650560816</v>
      </c>
      <c r="BK98" s="1218">
        <f t="shared" si="80"/>
        <v>7.8858569758190233</v>
      </c>
      <c r="BL98" s="1186">
        <f t="shared" si="49"/>
        <v>535.38833907661422</v>
      </c>
      <c r="BM98" s="167">
        <v>0</v>
      </c>
      <c r="BN98" s="1208">
        <f t="shared" si="81"/>
        <v>535.38833907661422</v>
      </c>
    </row>
    <row r="99" spans="1:66">
      <c r="A99" s="1050">
        <f>'Input data'!A130</f>
        <v>2030</v>
      </c>
      <c r="B99" s="946">
        <f>'Input data'!B130</f>
        <v>65.956000000000003</v>
      </c>
      <c r="C99" s="946">
        <f>'Recycling - Case 3'!AF109</f>
        <v>180.86727790209989</v>
      </c>
      <c r="D99" s="947">
        <f>'Recycling - Case 3'!AM109</f>
        <v>0.2834252604436</v>
      </c>
      <c r="E99" s="948">
        <f>'Recycling - Case 3'!BE109</f>
        <v>0.17037510887119423</v>
      </c>
      <c r="F99" s="948">
        <f>'Recycling - Case 3'!BF109</f>
        <v>0.2759496177051679</v>
      </c>
      <c r="G99" s="948">
        <f>'Recycling - Case 3'!BG109</f>
        <v>5.8958039761752561E-2</v>
      </c>
      <c r="H99" s="948">
        <f>'Recycling - Case 3'!BH109</f>
        <v>0</v>
      </c>
      <c r="I99" s="948">
        <f>'Recycling - Case 3'!BI109</f>
        <v>0</v>
      </c>
      <c r="J99" s="948">
        <f>'Recycling - Case 3'!BJ109</f>
        <v>0</v>
      </c>
      <c r="K99" s="948">
        <f>'Recycling - Case 3'!BK109</f>
        <v>0.49471723366188541</v>
      </c>
      <c r="L99" s="949">
        <f t="shared" si="83"/>
        <v>1</v>
      </c>
      <c r="M99" s="4"/>
      <c r="N99" s="960">
        <f t="shared" si="50"/>
        <v>3381.0599091432387</v>
      </c>
      <c r="O99" s="955">
        <f>Parameters!R271</f>
        <v>1</v>
      </c>
      <c r="P99" s="956">
        <f>E99*'MSW characteristics'!$B$28+'MSW characteristics'!$B$29*'4A SWD Case 3'!F99+'4A SWD Case 3'!G99*'MSW characteristics'!$B$30+'MSW characteristics'!$B$31*'4A SWD Case 3'!H99+'4A SWD Case 3'!I99*'MSW characteristics'!$B$32+'MSW characteristics'!$B$33*'4A SWD Case 3'!J99+'4A SWD Case 3'!K99*'MSW characteristics'!$B$35</f>
        <v>0.10432940577641374</v>
      </c>
      <c r="Q99" s="954">
        <f t="shared" si="51"/>
        <v>176.37198560768476</v>
      </c>
      <c r="R99" s="954">
        <f t="shared" si="52"/>
        <v>176.37198560768476</v>
      </c>
      <c r="S99" s="957">
        <f t="shared" si="53"/>
        <v>0</v>
      </c>
      <c r="T99" s="954">
        <f t="shared" si="54"/>
        <v>9882.77776913862</v>
      </c>
      <c r="U99" s="954">
        <f t="shared" si="55"/>
        <v>497.65806639221171</v>
      </c>
      <c r="V99" s="961">
        <f t="shared" si="56"/>
        <v>331.77204426147449</v>
      </c>
      <c r="W99" s="4"/>
      <c r="X99" s="974">
        <f>'Recycling - Case 3'!AM149*'Recycling - Case 3'!C149</f>
        <v>707.62051159234431</v>
      </c>
      <c r="Y99" s="975">
        <f>Parameters!S270</f>
        <v>0.71500000000000008</v>
      </c>
      <c r="Z99" s="975">
        <f t="shared" si="57"/>
        <v>0.2</v>
      </c>
      <c r="AA99" s="976">
        <f t="shared" si="58"/>
        <v>50.594866578852624</v>
      </c>
      <c r="AB99" s="976">
        <f t="shared" si="59"/>
        <v>50.594866578852624</v>
      </c>
      <c r="AC99" s="977">
        <f t="shared" si="60"/>
        <v>0</v>
      </c>
      <c r="AD99" s="976">
        <f t="shared" si="61"/>
        <v>5302.4795384416502</v>
      </c>
      <c r="AE99" s="976">
        <f t="shared" si="62"/>
        <v>269.26988516684082</v>
      </c>
      <c r="AF99" s="978">
        <f t="shared" si="63"/>
        <v>179.51325677789387</v>
      </c>
      <c r="AG99" s="4"/>
      <c r="AH99" s="974">
        <f>'Recycling - Case 3'!AM189*'Recycling - Case 3'!C189</f>
        <v>707.62051159234431</v>
      </c>
      <c r="AI99" s="975">
        <f>Parameters!S270</f>
        <v>0.71500000000000008</v>
      </c>
      <c r="AJ99" s="975">
        <f t="shared" si="64"/>
        <v>0.2</v>
      </c>
      <c r="AK99" s="976">
        <f t="shared" si="65"/>
        <v>50.594866578852624</v>
      </c>
      <c r="AL99" s="976">
        <f t="shared" si="66"/>
        <v>50.594866578852624</v>
      </c>
      <c r="AM99" s="977">
        <f t="shared" si="67"/>
        <v>0</v>
      </c>
      <c r="AN99" s="976">
        <f t="shared" si="68"/>
        <v>5252.0804768993403</v>
      </c>
      <c r="AO99" s="976">
        <f t="shared" si="69"/>
        <v>266.6858700252439</v>
      </c>
      <c r="AP99" s="978">
        <f t="shared" si="70"/>
        <v>177.79058001682927</v>
      </c>
      <c r="AQ99" s="4"/>
      <c r="AR99" s="972">
        <f>'Recycling - Case 3'!G109</f>
        <v>746.92617855150922</v>
      </c>
      <c r="AS99" s="968">
        <v>1</v>
      </c>
      <c r="AT99" s="968">
        <f t="shared" si="71"/>
        <v>0.05</v>
      </c>
      <c r="AU99" s="954">
        <f t="shared" si="72"/>
        <v>18.673154463787732</v>
      </c>
      <c r="AV99" s="954">
        <f t="shared" si="73"/>
        <v>18.673154463787732</v>
      </c>
      <c r="AW99" s="957">
        <f t="shared" si="74"/>
        <v>0</v>
      </c>
      <c r="AX99" s="954">
        <f t="shared" si="42"/>
        <v>215.94758605109325</v>
      </c>
      <c r="AY99" s="954">
        <f t="shared" si="47"/>
        <v>12.198769571057777</v>
      </c>
      <c r="AZ99" s="1053">
        <f t="shared" si="45"/>
        <v>8.1325130473718517</v>
      </c>
      <c r="BA99" s="4"/>
      <c r="BB99" s="1185">
        <f t="shared" si="75"/>
        <v>331.77204426147449</v>
      </c>
      <c r="BC99" s="1186">
        <f t="shared" si="76"/>
        <v>179.51325677789387</v>
      </c>
      <c r="BD99" s="1218">
        <f t="shared" si="84"/>
        <v>8.1325130473718517</v>
      </c>
      <c r="BE99" s="1186">
        <f t="shared" si="48"/>
        <v>519.41781408674024</v>
      </c>
      <c r="BF99" s="167">
        <v>0</v>
      </c>
      <c r="BG99" s="1208">
        <f t="shared" si="77"/>
        <v>519.41781408674024</v>
      </c>
      <c r="BI99" s="1185">
        <f t="shared" si="78"/>
        <v>331.77204426147449</v>
      </c>
      <c r="BJ99" s="1186">
        <f t="shared" si="79"/>
        <v>177.79058001682927</v>
      </c>
      <c r="BK99" s="1218">
        <f t="shared" si="80"/>
        <v>8.1325130473718517</v>
      </c>
      <c r="BL99" s="1186">
        <f t="shared" si="49"/>
        <v>517.69513732567566</v>
      </c>
      <c r="BM99" s="167">
        <v>0</v>
      </c>
      <c r="BN99" s="1208">
        <f t="shared" si="81"/>
        <v>517.69513732567566</v>
      </c>
    </row>
    <row r="100" spans="1:66">
      <c r="A100" s="1050">
        <f>'Input data'!A131</f>
        <v>2031</v>
      </c>
      <c r="B100" s="946">
        <f>'Input data'!B131</f>
        <v>66.519000000000005</v>
      </c>
      <c r="C100" s="946">
        <f>'Recycling - Case 3'!AF110</f>
        <v>159.99797660570371</v>
      </c>
      <c r="D100" s="947">
        <f>'Recycling - Case 3'!AM110</f>
        <v>0.28342526044359995</v>
      </c>
      <c r="E100" s="948">
        <f>'Recycling - Case 3'!BE110</f>
        <v>0.1703751088711942</v>
      </c>
      <c r="F100" s="948">
        <f>'Recycling - Case 3'!BF110</f>
        <v>0.2759496177051679</v>
      </c>
      <c r="G100" s="948">
        <f>'Recycling - Case 3'!BG110</f>
        <v>5.8958039761752561E-2</v>
      </c>
      <c r="H100" s="948">
        <f>'Recycling - Case 3'!BH110</f>
        <v>0</v>
      </c>
      <c r="I100" s="948">
        <f>'Recycling - Case 3'!BI110</f>
        <v>0</v>
      </c>
      <c r="J100" s="948">
        <f>'Recycling - Case 3'!BJ110</f>
        <v>0</v>
      </c>
      <c r="K100" s="948">
        <f>'Recycling - Case 3'!BK110</f>
        <v>0.49471723366188547</v>
      </c>
      <c r="L100" s="949">
        <f t="shared" si="83"/>
        <v>1</v>
      </c>
      <c r="M100" s="4"/>
      <c r="N100" s="960">
        <f t="shared" si="50"/>
        <v>3016.4682365253279</v>
      </c>
      <c r="O100" s="955">
        <f>Parameters!R272</f>
        <v>1</v>
      </c>
      <c r="P100" s="956">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954">
        <f t="shared" si="51"/>
        <v>157.35316933005706</v>
      </c>
      <c r="R100" s="954">
        <f t="shared" si="52"/>
        <v>157.35316933005706</v>
      </c>
      <c r="S100" s="957">
        <f t="shared" si="53"/>
        <v>0</v>
      </c>
      <c r="T100" s="954">
        <f t="shared" si="54"/>
        <v>9558.1421791362372</v>
      </c>
      <c r="U100" s="954">
        <f t="shared" si="55"/>
        <v>481.98875933244017</v>
      </c>
      <c r="V100" s="961">
        <f t="shared" si="56"/>
        <v>321.32583955496011</v>
      </c>
      <c r="W100" s="4"/>
      <c r="X100" s="974">
        <f>'Recycling - Case 3'!AM150*'Recycling - Case 3'!C150</f>
        <v>727.12970413925086</v>
      </c>
      <c r="Y100" s="975">
        <f>Parameters!S271</f>
        <v>0.71500000000000008</v>
      </c>
      <c r="Z100" s="975">
        <f t="shared" si="57"/>
        <v>0.2</v>
      </c>
      <c r="AA100" s="976">
        <f t="shared" si="58"/>
        <v>51.989773845956449</v>
      </c>
      <c r="AB100" s="976">
        <f t="shared" si="59"/>
        <v>51.989773845956449</v>
      </c>
      <c r="AC100" s="977">
        <f t="shared" si="60"/>
        <v>0</v>
      </c>
      <c r="AD100" s="976">
        <f t="shared" si="61"/>
        <v>5095.8643336246196</v>
      </c>
      <c r="AE100" s="976">
        <f t="shared" si="62"/>
        <v>258.60497866298761</v>
      </c>
      <c r="AF100" s="978">
        <f t="shared" si="63"/>
        <v>172.40331910865839</v>
      </c>
      <c r="AG100" s="4"/>
      <c r="AH100" s="974">
        <f>'Recycling - Case 3'!AM190*'Recycling - Case 3'!C190</f>
        <v>727.12970413925086</v>
      </c>
      <c r="AI100" s="975">
        <f>Parameters!S271</f>
        <v>0.71500000000000008</v>
      </c>
      <c r="AJ100" s="975">
        <f t="shared" si="64"/>
        <v>0.2</v>
      </c>
      <c r="AK100" s="976">
        <f t="shared" si="65"/>
        <v>51.989773845956449</v>
      </c>
      <c r="AL100" s="976">
        <f t="shared" si="66"/>
        <v>51.989773845956449</v>
      </c>
      <c r="AM100" s="977">
        <f t="shared" si="67"/>
        <v>0</v>
      </c>
      <c r="AN100" s="976">
        <f t="shared" si="68"/>
        <v>5047.9232633183519</v>
      </c>
      <c r="AO100" s="976">
        <f t="shared" si="69"/>
        <v>256.1469874269452</v>
      </c>
      <c r="AP100" s="978">
        <f t="shared" si="70"/>
        <v>170.76465828463014</v>
      </c>
      <c r="AQ100" s="4"/>
      <c r="AR100" s="972">
        <f>'Recycling - Case 3'!G110</f>
        <v>753.30193570058589</v>
      </c>
      <c r="AS100" s="968">
        <v>1</v>
      </c>
      <c r="AT100" s="968">
        <f t="shared" si="71"/>
        <v>0.05</v>
      </c>
      <c r="AU100" s="954">
        <f t="shared" si="72"/>
        <v>18.832548392514649</v>
      </c>
      <c r="AV100" s="954">
        <f t="shared" si="73"/>
        <v>18.832548392514649</v>
      </c>
      <c r="AW100" s="957">
        <f t="shared" si="74"/>
        <v>0</v>
      </c>
      <c r="AX100" s="954">
        <f t="shared" si="42"/>
        <v>222.20432604856688</v>
      </c>
      <c r="AY100" s="954">
        <f t="shared" si="47"/>
        <v>12.575808395041001</v>
      </c>
      <c r="AZ100" s="1053">
        <f t="shared" si="45"/>
        <v>8.3838722633606668</v>
      </c>
      <c r="BA100" s="4"/>
      <c r="BB100" s="1185">
        <f t="shared" si="75"/>
        <v>321.32583955496011</v>
      </c>
      <c r="BC100" s="1186">
        <f t="shared" si="76"/>
        <v>172.40331910865839</v>
      </c>
      <c r="BD100" s="1218">
        <f t="shared" si="84"/>
        <v>8.3838722633606668</v>
      </c>
      <c r="BE100" s="1186">
        <f t="shared" si="48"/>
        <v>502.11303092697915</v>
      </c>
      <c r="BF100" s="167">
        <v>0</v>
      </c>
      <c r="BG100" s="1208">
        <f t="shared" si="77"/>
        <v>502.11303092697915</v>
      </c>
      <c r="BI100" s="1185">
        <f t="shared" si="78"/>
        <v>321.32583955496011</v>
      </c>
      <c r="BJ100" s="1186">
        <f t="shared" si="79"/>
        <v>170.76465828463014</v>
      </c>
      <c r="BK100" s="1218">
        <f t="shared" si="80"/>
        <v>8.3838722633606668</v>
      </c>
      <c r="BL100" s="1186">
        <f t="shared" si="49"/>
        <v>500.47437010295096</v>
      </c>
      <c r="BM100" s="167">
        <v>0</v>
      </c>
      <c r="BN100" s="1208">
        <f t="shared" si="81"/>
        <v>500.47437010295096</v>
      </c>
    </row>
    <row r="101" spans="1:66">
      <c r="A101" s="1050">
        <f>'Input data'!A132</f>
        <v>2032</v>
      </c>
      <c r="B101" s="946">
        <f>'Input data'!B132</f>
        <v>67.087000000000003</v>
      </c>
      <c r="C101" s="946">
        <f>'Recycling - Case 3'!AF111</f>
        <v>139.12867530930757</v>
      </c>
      <c r="D101" s="947">
        <f>'Recycling - Case 3'!AM111</f>
        <v>0.2834252604436</v>
      </c>
      <c r="E101" s="948">
        <f>'Recycling - Case 3'!BE111</f>
        <v>0.17037510887119423</v>
      </c>
      <c r="F101" s="948">
        <f>'Recycling - Case 3'!BF111</f>
        <v>0.2759496177051679</v>
      </c>
      <c r="G101" s="948">
        <f>'Recycling - Case 3'!BG111</f>
        <v>5.8958039761752561E-2</v>
      </c>
      <c r="H101" s="948">
        <f>'Recycling - Case 3'!BH111</f>
        <v>0</v>
      </c>
      <c r="I101" s="948">
        <f>'Recycling - Case 3'!BI111</f>
        <v>0</v>
      </c>
      <c r="J101" s="948">
        <f>'Recycling - Case 3'!BJ111</f>
        <v>0</v>
      </c>
      <c r="K101" s="948">
        <f>'Recycling - Case 3'!BK111</f>
        <v>0.49471723366188552</v>
      </c>
      <c r="L101" s="949">
        <f t="shared" si="83"/>
        <v>1.0000000000000002</v>
      </c>
      <c r="M101" s="4"/>
      <c r="N101" s="960">
        <f t="shared" si="50"/>
        <v>2645.4135638758285</v>
      </c>
      <c r="O101" s="955">
        <f>Parameters!R273</f>
        <v>1</v>
      </c>
      <c r="P101" s="956">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954">
        <f t="shared" si="51"/>
        <v>137.99721257601504</v>
      </c>
      <c r="R101" s="954">
        <f t="shared" si="52"/>
        <v>137.99721257601504</v>
      </c>
      <c r="S101" s="957">
        <f t="shared" si="53"/>
        <v>0</v>
      </c>
      <c r="T101" s="954">
        <f t="shared" si="54"/>
        <v>9229.9832969317795</v>
      </c>
      <c r="U101" s="954">
        <f t="shared" si="55"/>
        <v>466.15609478047372</v>
      </c>
      <c r="V101" s="961">
        <f t="shared" si="56"/>
        <v>310.77072985364913</v>
      </c>
      <c r="W101" s="4"/>
      <c r="X101" s="974">
        <f>'Recycling - Case 3'!AM151*'Recycling - Case 3'!C151</f>
        <v>745.72250016775149</v>
      </c>
      <c r="Y101" s="975">
        <f>Parameters!S272</f>
        <v>0.71500000000000008</v>
      </c>
      <c r="Z101" s="975">
        <f t="shared" si="57"/>
        <v>0.2</v>
      </c>
      <c r="AA101" s="976">
        <f t="shared" si="58"/>
        <v>53.319158761994245</v>
      </c>
      <c r="AB101" s="976">
        <f t="shared" si="59"/>
        <v>53.319158761994245</v>
      </c>
      <c r="AC101" s="977">
        <f t="shared" si="60"/>
        <v>0</v>
      </c>
      <c r="AD101" s="976">
        <f t="shared" si="61"/>
        <v>4900.6552561694552</v>
      </c>
      <c r="AE101" s="976">
        <f t="shared" si="62"/>
        <v>248.52823621715817</v>
      </c>
      <c r="AF101" s="978">
        <f t="shared" si="63"/>
        <v>165.68549081143877</v>
      </c>
      <c r="AG101" s="4"/>
      <c r="AH101" s="974">
        <f>'Recycling - Case 3'!AM191*'Recycling - Case 3'!C191</f>
        <v>745.72250016775149</v>
      </c>
      <c r="AI101" s="975">
        <f>Parameters!S272</f>
        <v>0.71500000000000008</v>
      </c>
      <c r="AJ101" s="975">
        <f t="shared" si="64"/>
        <v>0.2</v>
      </c>
      <c r="AK101" s="976">
        <f t="shared" si="65"/>
        <v>53.319158761994245</v>
      </c>
      <c r="AL101" s="976">
        <f t="shared" si="66"/>
        <v>53.319158761994245</v>
      </c>
      <c r="AM101" s="977">
        <f t="shared" si="67"/>
        <v>0</v>
      </c>
      <c r="AN101" s="976">
        <f t="shared" si="68"/>
        <v>4855.0522994520761</v>
      </c>
      <c r="AO101" s="976">
        <f t="shared" si="69"/>
        <v>246.19012262826976</v>
      </c>
      <c r="AP101" s="978">
        <f t="shared" si="70"/>
        <v>164.12674841884652</v>
      </c>
      <c r="AQ101" s="4"/>
      <c r="AR101" s="972">
        <f>'Recycling - Case 3'!G111</f>
        <v>759.73431591492977</v>
      </c>
      <c r="AS101" s="968">
        <v>1</v>
      </c>
      <c r="AT101" s="968">
        <f t="shared" si="71"/>
        <v>0.05</v>
      </c>
      <c r="AU101" s="954">
        <f t="shared" si="72"/>
        <v>18.993357897873246</v>
      </c>
      <c r="AV101" s="954">
        <f t="shared" si="73"/>
        <v>18.993357897873246</v>
      </c>
      <c r="AW101" s="957">
        <f t="shared" si="74"/>
        <v>0</v>
      </c>
      <c r="AX101" s="954">
        <f t="shared" si="42"/>
        <v>228.25751137940415</v>
      </c>
      <c r="AY101" s="954">
        <f t="shared" si="47"/>
        <v>12.940172567035964</v>
      </c>
      <c r="AZ101" s="1053">
        <f t="shared" si="45"/>
        <v>8.6267817113573084</v>
      </c>
      <c r="BA101" s="4"/>
      <c r="BB101" s="1185">
        <f t="shared" si="75"/>
        <v>310.77072985364913</v>
      </c>
      <c r="BC101" s="1186">
        <f t="shared" si="76"/>
        <v>165.68549081143877</v>
      </c>
      <c r="BD101" s="1218">
        <f t="shared" si="84"/>
        <v>8.6267817113573084</v>
      </c>
      <c r="BE101" s="1186">
        <f t="shared" si="48"/>
        <v>485.08300237644522</v>
      </c>
      <c r="BF101" s="167">
        <v>0</v>
      </c>
      <c r="BG101" s="1208">
        <f t="shared" si="77"/>
        <v>485.08300237644522</v>
      </c>
      <c r="BI101" s="1185">
        <f t="shared" si="78"/>
        <v>310.77072985364913</v>
      </c>
      <c r="BJ101" s="1186">
        <f t="shared" si="79"/>
        <v>164.12674841884652</v>
      </c>
      <c r="BK101" s="1218">
        <f t="shared" si="80"/>
        <v>8.6267817113573084</v>
      </c>
      <c r="BL101" s="1186">
        <f t="shared" si="49"/>
        <v>483.52425998385291</v>
      </c>
      <c r="BM101" s="167">
        <v>0</v>
      </c>
      <c r="BN101" s="1208">
        <f t="shared" si="81"/>
        <v>483.52425998385291</v>
      </c>
    </row>
    <row r="102" spans="1:66">
      <c r="A102" s="1050">
        <f>'Input data'!A133</f>
        <v>2033</v>
      </c>
      <c r="B102" s="946">
        <f>'Input data'!B133</f>
        <v>67.659000000000006</v>
      </c>
      <c r="C102" s="946">
        <f>'Recycling - Case 3'!AF112</f>
        <v>139.12867530930757</v>
      </c>
      <c r="D102" s="947">
        <f>'Recycling - Case 3'!AM112</f>
        <v>0.2834252604436</v>
      </c>
      <c r="E102" s="948">
        <f>'Recycling - Case 3'!BE112</f>
        <v>0.17037510887119423</v>
      </c>
      <c r="F102" s="948">
        <f>'Recycling - Case 3'!BF112</f>
        <v>0.2759496177051679</v>
      </c>
      <c r="G102" s="948">
        <f>'Recycling - Case 3'!BG112</f>
        <v>5.8958039761752561E-2</v>
      </c>
      <c r="H102" s="948">
        <f>'Recycling - Case 3'!BH112</f>
        <v>0</v>
      </c>
      <c r="I102" s="948">
        <f>'Recycling - Case 3'!BI112</f>
        <v>0</v>
      </c>
      <c r="J102" s="948">
        <f>'Recycling - Case 3'!BJ112</f>
        <v>0</v>
      </c>
      <c r="K102" s="948">
        <f>'Recycling - Case 3'!BK112</f>
        <v>0.49471723366188552</v>
      </c>
      <c r="L102" s="949">
        <f t="shared" si="83"/>
        <v>1.0000000000000002</v>
      </c>
      <c r="M102" s="4"/>
      <c r="N102" s="960">
        <f t="shared" si="50"/>
        <v>2667.9690002276848</v>
      </c>
      <c r="O102" s="955">
        <f>Parameters!R274</f>
        <v>1</v>
      </c>
      <c r="P102" s="956">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954">
        <f t="shared" si="51"/>
        <v>139.17381021182351</v>
      </c>
      <c r="R102" s="954">
        <f t="shared" si="52"/>
        <v>139.17381021182351</v>
      </c>
      <c r="S102" s="957">
        <f t="shared" si="53"/>
        <v>0</v>
      </c>
      <c r="T102" s="954">
        <f t="shared" si="54"/>
        <v>8919.0055099034435</v>
      </c>
      <c r="U102" s="954">
        <f t="shared" si="55"/>
        <v>450.1515972401599</v>
      </c>
      <c r="V102" s="961">
        <f t="shared" si="56"/>
        <v>300.10106482677327</v>
      </c>
      <c r="W102" s="4"/>
      <c r="X102" s="974">
        <f>'Recycling - Case 3'!AM152*'Recycling - Case 3'!C152</f>
        <v>766.3723550476949</v>
      </c>
      <c r="Y102" s="975">
        <f>Parameters!S273</f>
        <v>0.71500000000000008</v>
      </c>
      <c r="Z102" s="975">
        <f t="shared" si="57"/>
        <v>0.2</v>
      </c>
      <c r="AA102" s="976">
        <f t="shared" si="58"/>
        <v>54.79562338591019</v>
      </c>
      <c r="AB102" s="976">
        <f t="shared" si="59"/>
        <v>54.79562338591019</v>
      </c>
      <c r="AC102" s="977">
        <f t="shared" si="60"/>
        <v>0</v>
      </c>
      <c r="AD102" s="976">
        <f t="shared" si="61"/>
        <v>4716.4431023883808</v>
      </c>
      <c r="AE102" s="976">
        <f t="shared" si="62"/>
        <v>239.00777716698511</v>
      </c>
      <c r="AF102" s="978">
        <f t="shared" si="63"/>
        <v>159.3385181113234</v>
      </c>
      <c r="AG102" s="4"/>
      <c r="AH102" s="974">
        <f>'Recycling - Case 3'!AM192*'Recycling - Case 3'!C192</f>
        <v>766.3723550476949</v>
      </c>
      <c r="AI102" s="975">
        <f>Parameters!S273</f>
        <v>0.71500000000000008</v>
      </c>
      <c r="AJ102" s="975">
        <f t="shared" si="64"/>
        <v>0.2</v>
      </c>
      <c r="AK102" s="976">
        <f t="shared" si="65"/>
        <v>54.79562338591019</v>
      </c>
      <c r="AL102" s="976">
        <f t="shared" si="66"/>
        <v>54.79562338591019</v>
      </c>
      <c r="AM102" s="977">
        <f t="shared" si="67"/>
        <v>0</v>
      </c>
      <c r="AN102" s="976">
        <f t="shared" si="68"/>
        <v>4673.0642281145774</v>
      </c>
      <c r="AO102" s="976">
        <f t="shared" si="69"/>
        <v>236.7836947234095</v>
      </c>
      <c r="AP102" s="978">
        <f t="shared" si="70"/>
        <v>157.85579648227301</v>
      </c>
      <c r="AQ102" s="4"/>
      <c r="AR102" s="972">
        <f>'Recycling - Case 3'!G112</f>
        <v>766.21199458148715</v>
      </c>
      <c r="AS102" s="968">
        <v>1</v>
      </c>
      <c r="AT102" s="968">
        <f t="shared" si="71"/>
        <v>0.05</v>
      </c>
      <c r="AU102" s="954">
        <f t="shared" si="72"/>
        <v>19.155299864537181</v>
      </c>
      <c r="AV102" s="954">
        <f t="shared" si="73"/>
        <v>19.155299864537181</v>
      </c>
      <c r="AW102" s="957">
        <f t="shared" si="74"/>
        <v>0</v>
      </c>
      <c r="AX102" s="954">
        <f t="shared" si="42"/>
        <v>234.12012860586307</v>
      </c>
      <c r="AY102" s="954">
        <f t="shared" si="47"/>
        <v>13.292682638078256</v>
      </c>
      <c r="AZ102" s="1053">
        <f t="shared" si="45"/>
        <v>8.8617884253855035</v>
      </c>
      <c r="BA102" s="4"/>
      <c r="BB102" s="1185">
        <f t="shared" si="75"/>
        <v>300.10106482677327</v>
      </c>
      <c r="BC102" s="1186">
        <f t="shared" si="76"/>
        <v>159.3385181113234</v>
      </c>
      <c r="BD102" s="1218">
        <f t="shared" si="84"/>
        <v>8.8617884253855035</v>
      </c>
      <c r="BE102" s="1186">
        <f t="shared" si="48"/>
        <v>468.30137136348219</v>
      </c>
      <c r="BF102" s="167">
        <v>0</v>
      </c>
      <c r="BG102" s="1208">
        <f t="shared" si="77"/>
        <v>468.30137136348219</v>
      </c>
      <c r="BI102" s="1185">
        <f t="shared" si="78"/>
        <v>300.10106482677327</v>
      </c>
      <c r="BJ102" s="1186">
        <f t="shared" si="79"/>
        <v>157.85579648227301</v>
      </c>
      <c r="BK102" s="1218">
        <f t="shared" si="80"/>
        <v>8.8617884253855035</v>
      </c>
      <c r="BL102" s="1186">
        <f t="shared" si="49"/>
        <v>466.8186497344318</v>
      </c>
      <c r="BM102" s="167">
        <v>0</v>
      </c>
      <c r="BN102" s="1208">
        <f t="shared" si="81"/>
        <v>466.8186497344318</v>
      </c>
    </row>
    <row r="103" spans="1:66">
      <c r="A103" s="1050">
        <f>'Input data'!A134</f>
        <v>2034</v>
      </c>
      <c r="B103" s="946">
        <f>'Input data'!B134</f>
        <v>68.236999999999995</v>
      </c>
      <c r="C103" s="946">
        <f>'Recycling - Case 3'!AF113</f>
        <v>139.12867530930757</v>
      </c>
      <c r="D103" s="947">
        <f>'Recycling - Case 3'!AM113</f>
        <v>0.2834252604436</v>
      </c>
      <c r="E103" s="948">
        <f>'Recycling - Case 3'!BE113</f>
        <v>0.17037510887119423</v>
      </c>
      <c r="F103" s="948">
        <f>'Recycling - Case 3'!BF113</f>
        <v>0.2759496177051679</v>
      </c>
      <c r="G103" s="948">
        <f>'Recycling - Case 3'!BG113</f>
        <v>5.8958039761752561E-2</v>
      </c>
      <c r="H103" s="948">
        <f>'Recycling - Case 3'!BH113</f>
        <v>0</v>
      </c>
      <c r="I103" s="948">
        <f>'Recycling - Case 3'!BI113</f>
        <v>0</v>
      </c>
      <c r="J103" s="948">
        <f>'Recycling - Case 3'!BJ113</f>
        <v>0</v>
      </c>
      <c r="K103" s="948">
        <f>'Recycling - Case 3'!BK113</f>
        <v>0.49471723366188552</v>
      </c>
      <c r="L103" s="949">
        <f t="shared" si="83"/>
        <v>1.0000000000000002</v>
      </c>
      <c r="M103" s="4"/>
      <c r="N103" s="960">
        <f t="shared" si="50"/>
        <v>2690.7610320657486</v>
      </c>
      <c r="O103" s="955">
        <f>Parameters!R275</f>
        <v>1</v>
      </c>
      <c r="P103" s="956">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954">
        <f t="shared" si="51"/>
        <v>140.36274978087465</v>
      </c>
      <c r="R103" s="954">
        <f t="shared" si="52"/>
        <v>140.36274978087465</v>
      </c>
      <c r="S103" s="957">
        <f t="shared" si="53"/>
        <v>0</v>
      </c>
      <c r="T103" s="954">
        <f t="shared" si="54"/>
        <v>8624.3832280850238</v>
      </c>
      <c r="U103" s="954">
        <f t="shared" si="55"/>
        <v>434.98503159929356</v>
      </c>
      <c r="V103" s="961">
        <f t="shared" si="56"/>
        <v>289.99002106619571</v>
      </c>
      <c r="W103" s="4"/>
      <c r="X103" s="974">
        <f>'Recycling - Case 3'!AM153*'Recycling - Case 3'!C153</f>
        <v>788.45287115890471</v>
      </c>
      <c r="Y103" s="975">
        <f>Parameters!S274</f>
        <v>0.71500000000000008</v>
      </c>
      <c r="Z103" s="975">
        <f t="shared" si="57"/>
        <v>0.2</v>
      </c>
      <c r="AA103" s="976">
        <f t="shared" si="58"/>
        <v>56.37438028786169</v>
      </c>
      <c r="AB103" s="976">
        <f t="shared" si="59"/>
        <v>56.37438028786169</v>
      </c>
      <c r="AC103" s="977">
        <f t="shared" si="60"/>
        <v>0</v>
      </c>
      <c r="AD103" s="976">
        <f t="shared" si="61"/>
        <v>4542.7938382631237</v>
      </c>
      <c r="AE103" s="976">
        <f t="shared" si="62"/>
        <v>230.02364441311914</v>
      </c>
      <c r="AF103" s="978">
        <f t="shared" si="63"/>
        <v>153.34909627541276</v>
      </c>
      <c r="AG103" s="4"/>
      <c r="AH103" s="974">
        <f>'Recycling - Case 3'!AM193*'Recycling - Case 3'!C193</f>
        <v>788.45287115890471</v>
      </c>
      <c r="AI103" s="975">
        <f>Parameters!S274</f>
        <v>0.71500000000000008</v>
      </c>
      <c r="AJ103" s="975">
        <f t="shared" si="64"/>
        <v>0.2</v>
      </c>
      <c r="AK103" s="976">
        <f t="shared" si="65"/>
        <v>56.37438028786169</v>
      </c>
      <c r="AL103" s="976">
        <f t="shared" si="66"/>
        <v>56.37438028786169</v>
      </c>
      <c r="AM103" s="977">
        <f t="shared" si="67"/>
        <v>0</v>
      </c>
      <c r="AN103" s="976">
        <f t="shared" si="68"/>
        <v>4501.5305766521642</v>
      </c>
      <c r="AO103" s="976">
        <f t="shared" si="69"/>
        <v>227.90803175027457</v>
      </c>
      <c r="AP103" s="978">
        <f t="shared" si="70"/>
        <v>151.93868783351638</v>
      </c>
      <c r="AQ103" s="4"/>
      <c r="AR103" s="972">
        <f>'Recycling - Case 3'!G113</f>
        <v>772.75762092636501</v>
      </c>
      <c r="AS103" s="968">
        <v>1</v>
      </c>
      <c r="AT103" s="968">
        <f t="shared" si="71"/>
        <v>0.05</v>
      </c>
      <c r="AU103" s="954">
        <f t="shared" si="72"/>
        <v>19.318940523159128</v>
      </c>
      <c r="AV103" s="954">
        <f t="shared" si="73"/>
        <v>19.318940523159128</v>
      </c>
      <c r="AW103" s="957">
        <f t="shared" si="74"/>
        <v>0</v>
      </c>
      <c r="AX103" s="954">
        <f t="shared" si="42"/>
        <v>239.80497424234409</v>
      </c>
      <c r="AY103" s="954">
        <f t="shared" si="47"/>
        <v>13.63409488667811</v>
      </c>
      <c r="AZ103" s="1053">
        <f t="shared" si="45"/>
        <v>9.0893965911187404</v>
      </c>
      <c r="BA103" s="4"/>
      <c r="BB103" s="1185">
        <f t="shared" si="75"/>
        <v>289.99002106619571</v>
      </c>
      <c r="BC103" s="1186">
        <f t="shared" si="76"/>
        <v>153.34909627541276</v>
      </c>
      <c r="BD103" s="1218">
        <f t="shared" si="84"/>
        <v>9.0893965911187404</v>
      </c>
      <c r="BE103" s="1186">
        <f t="shared" si="48"/>
        <v>452.42851393272718</v>
      </c>
      <c r="BF103" s="167">
        <v>0</v>
      </c>
      <c r="BG103" s="1208">
        <f t="shared" si="77"/>
        <v>452.42851393272718</v>
      </c>
      <c r="BI103" s="1185">
        <f t="shared" si="78"/>
        <v>289.99002106619571</v>
      </c>
      <c r="BJ103" s="1186">
        <f t="shared" si="79"/>
        <v>151.93868783351638</v>
      </c>
      <c r="BK103" s="1218">
        <f t="shared" si="80"/>
        <v>9.0893965911187404</v>
      </c>
      <c r="BL103" s="1186">
        <f t="shared" si="49"/>
        <v>451.01810549083081</v>
      </c>
      <c r="BM103" s="167">
        <v>0</v>
      </c>
      <c r="BN103" s="1208">
        <f t="shared" si="81"/>
        <v>451.01810549083081</v>
      </c>
    </row>
    <row r="104" spans="1:66">
      <c r="A104" s="1050">
        <f>'Input data'!A135</f>
        <v>2035</v>
      </c>
      <c r="B104" s="946">
        <f>'Input data'!B135</f>
        <v>68.819000000000003</v>
      </c>
      <c r="C104" s="946">
        <f>'Recycling - Case 3'!AF114</f>
        <v>139.12867530930757</v>
      </c>
      <c r="D104" s="947">
        <f>'Recycling - Case 3'!AM114</f>
        <v>0.2834252604436</v>
      </c>
      <c r="E104" s="948">
        <f>'Recycling - Case 3'!BE114</f>
        <v>0.17037510887119423</v>
      </c>
      <c r="F104" s="948">
        <f>'Recycling - Case 3'!BF114</f>
        <v>0.2759496177051679</v>
      </c>
      <c r="G104" s="948">
        <f>'Recycling - Case 3'!BG114</f>
        <v>5.8958039761752561E-2</v>
      </c>
      <c r="H104" s="948">
        <f>'Recycling - Case 3'!BH114</f>
        <v>0</v>
      </c>
      <c r="I104" s="948">
        <f>'Recycling - Case 3'!BI114</f>
        <v>0</v>
      </c>
      <c r="J104" s="948">
        <f>'Recycling - Case 3'!BJ114</f>
        <v>0</v>
      </c>
      <c r="K104" s="948">
        <f>'Recycling - Case 3'!BK114</f>
        <v>0.49471723366188552</v>
      </c>
      <c r="L104" s="949">
        <f t="shared" si="83"/>
        <v>1.0000000000000002</v>
      </c>
      <c r="M104" s="4"/>
      <c r="N104" s="960">
        <f t="shared" si="50"/>
        <v>2713.7107942279526</v>
      </c>
      <c r="O104" s="955">
        <f>Parameters!R276</f>
        <v>1</v>
      </c>
      <c r="P104" s="956">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954">
        <f t="shared" si="51"/>
        <v>141.55991730542104</v>
      </c>
      <c r="R104" s="954">
        <f t="shared" si="52"/>
        <v>141.55991730542104</v>
      </c>
      <c r="S104" s="957">
        <f t="shared" si="53"/>
        <v>0</v>
      </c>
      <c r="T104" s="954">
        <f t="shared" si="54"/>
        <v>8345.3270120303496</v>
      </c>
      <c r="U104" s="954">
        <f t="shared" si="55"/>
        <v>420.61613336009646</v>
      </c>
      <c r="V104" s="961">
        <f t="shared" si="56"/>
        <v>280.41075557339764</v>
      </c>
      <c r="W104" s="4"/>
      <c r="X104" s="974">
        <f>'Recycling - Case 3'!AM154*'Recycling - Case 3'!C154</f>
        <v>812.05298149683824</v>
      </c>
      <c r="Y104" s="975">
        <f>Parameters!S275</f>
        <v>0.71500000000000008</v>
      </c>
      <c r="Z104" s="975">
        <f t="shared" si="57"/>
        <v>0.2</v>
      </c>
      <c r="AA104" s="976">
        <f t="shared" si="58"/>
        <v>58.061788177023942</v>
      </c>
      <c r="AB104" s="976">
        <f t="shared" si="59"/>
        <v>58.061788177023942</v>
      </c>
      <c r="AC104" s="977">
        <f t="shared" si="60"/>
        <v>0</v>
      </c>
      <c r="AD104" s="976">
        <f t="shared" si="61"/>
        <v>4379.3009565734446</v>
      </c>
      <c r="AE104" s="976">
        <f t="shared" si="62"/>
        <v>221.55466986670282</v>
      </c>
      <c r="AF104" s="978">
        <f t="shared" si="63"/>
        <v>147.70311324446854</v>
      </c>
      <c r="AG104" s="4"/>
      <c r="AH104" s="974">
        <f>'Recycling - Case 3'!AM194*'Recycling - Case 3'!C194</f>
        <v>812.05298149683824</v>
      </c>
      <c r="AI104" s="975">
        <f>Parameters!S275</f>
        <v>0.71500000000000008</v>
      </c>
      <c r="AJ104" s="975">
        <f t="shared" si="64"/>
        <v>0.2</v>
      </c>
      <c r="AK104" s="976">
        <f t="shared" si="65"/>
        <v>58.061788177023942</v>
      </c>
      <c r="AL104" s="976">
        <f t="shared" si="66"/>
        <v>58.061788177023942</v>
      </c>
      <c r="AM104" s="977">
        <f t="shared" si="67"/>
        <v>0</v>
      </c>
      <c r="AN104" s="976">
        <f t="shared" si="68"/>
        <v>4340.0501279782293</v>
      </c>
      <c r="AO104" s="976">
        <f t="shared" si="69"/>
        <v>219.54223685095874</v>
      </c>
      <c r="AP104" s="978">
        <f t="shared" si="70"/>
        <v>146.36149123397249</v>
      </c>
      <c r="AQ104" s="4"/>
      <c r="AR104" s="972">
        <f>'Recycling - Case 3'!G114</f>
        <v>779.34854572345671</v>
      </c>
      <c r="AS104" s="968">
        <v>1</v>
      </c>
      <c r="AT104" s="968">
        <f t="shared" si="71"/>
        <v>0.05</v>
      </c>
      <c r="AU104" s="954">
        <f t="shared" si="72"/>
        <v>19.483713643086418</v>
      </c>
      <c r="AV104" s="954">
        <f t="shared" si="73"/>
        <v>19.483713643086418</v>
      </c>
      <c r="AW104" s="957">
        <f t="shared" si="74"/>
        <v>0</v>
      </c>
      <c r="AX104" s="954">
        <f t="shared" si="42"/>
        <v>245.32353336161037</v>
      </c>
      <c r="AY104" s="954">
        <f t="shared" si="47"/>
        <v>13.96515452382013</v>
      </c>
      <c r="AZ104" s="1053">
        <f t="shared" si="45"/>
        <v>9.3101030158800864</v>
      </c>
      <c r="BA104" s="4"/>
      <c r="BB104" s="1185">
        <f t="shared" si="75"/>
        <v>280.41075557339764</v>
      </c>
      <c r="BC104" s="1186">
        <f t="shared" si="76"/>
        <v>147.70311324446854</v>
      </c>
      <c r="BD104" s="1218">
        <f t="shared" si="84"/>
        <v>9.3101030158800864</v>
      </c>
      <c r="BE104" s="1186">
        <f t="shared" si="48"/>
        <v>437.42397183374629</v>
      </c>
      <c r="BF104" s="167">
        <v>0</v>
      </c>
      <c r="BG104" s="1208">
        <f t="shared" si="77"/>
        <v>437.42397183374629</v>
      </c>
      <c r="BI104" s="1185">
        <f t="shared" si="78"/>
        <v>280.41075557339764</v>
      </c>
      <c r="BJ104" s="1186">
        <f t="shared" si="79"/>
        <v>146.36149123397249</v>
      </c>
      <c r="BK104" s="1218">
        <f t="shared" si="80"/>
        <v>9.3101030158800864</v>
      </c>
      <c r="BL104" s="1186">
        <f t="shared" si="49"/>
        <v>436.08234982325024</v>
      </c>
      <c r="BM104" s="167">
        <v>0</v>
      </c>
      <c r="BN104" s="1208">
        <f t="shared" si="81"/>
        <v>436.08234982325024</v>
      </c>
    </row>
    <row r="105" spans="1:66">
      <c r="A105" s="1050">
        <f>'Input data'!A136</f>
        <v>2036</v>
      </c>
      <c r="B105" s="946">
        <f>'Input data'!B136</f>
        <v>69.322999999999993</v>
      </c>
      <c r="C105" s="946">
        <f>'Recycling - Case 3'!AF115</f>
        <v>139.12867530930757</v>
      </c>
      <c r="D105" s="947">
        <f>'Recycling - Case 3'!AM115</f>
        <v>0.2834252604436</v>
      </c>
      <c r="E105" s="948">
        <f>'Recycling - Case 3'!BE115</f>
        <v>0.17037510887119423</v>
      </c>
      <c r="F105" s="948">
        <f>'Recycling - Case 3'!BF115</f>
        <v>0.2759496177051679</v>
      </c>
      <c r="G105" s="948">
        <f>'Recycling - Case 3'!BG115</f>
        <v>5.8958039761752561E-2</v>
      </c>
      <c r="H105" s="948">
        <f>'Recycling - Case 3'!BH115</f>
        <v>0</v>
      </c>
      <c r="I105" s="948">
        <f>'Recycling - Case 3'!BI115</f>
        <v>0</v>
      </c>
      <c r="J105" s="948">
        <f>'Recycling - Case 3'!BJ115</f>
        <v>0</v>
      </c>
      <c r="K105" s="948">
        <f>'Recycling - Case 3'!BK115</f>
        <v>0.49471723366188552</v>
      </c>
      <c r="L105" s="949">
        <f t="shared" si="83"/>
        <v>1.0000000000000002</v>
      </c>
      <c r="M105" s="4"/>
      <c r="N105" s="960">
        <f t="shared" si="50"/>
        <v>2733.5848150694478</v>
      </c>
      <c r="O105" s="955">
        <f>Parameters!R277</f>
        <v>1</v>
      </c>
      <c r="P105" s="956">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954">
        <f t="shared" si="51"/>
        <v>142.59663969781167</v>
      </c>
      <c r="R105" s="954">
        <f t="shared" si="52"/>
        <v>142.59663969781167</v>
      </c>
      <c r="S105" s="957">
        <f t="shared" si="53"/>
        <v>0</v>
      </c>
      <c r="T105" s="954">
        <f t="shared" si="54"/>
        <v>8080.9172506217046</v>
      </c>
      <c r="U105" s="954">
        <f t="shared" si="55"/>
        <v>407.00640110645685</v>
      </c>
      <c r="V105" s="961">
        <f t="shared" si="56"/>
        <v>271.3376007376379</v>
      </c>
      <c r="W105" s="4"/>
      <c r="X105" s="974">
        <f>'Recycling - Case 3'!AM155*'Recycling - Case 3'!C155</f>
        <v>836.35102251651131</v>
      </c>
      <c r="Y105" s="975">
        <f>Parameters!S276</f>
        <v>0.71500000000000008</v>
      </c>
      <c r="Z105" s="975">
        <f t="shared" si="57"/>
        <v>0.2</v>
      </c>
      <c r="AA105" s="976">
        <f t="shared" si="58"/>
        <v>59.799098109930569</v>
      </c>
      <c r="AB105" s="976">
        <f t="shared" si="59"/>
        <v>59.799098109930569</v>
      </c>
      <c r="AC105" s="977">
        <f t="shared" si="60"/>
        <v>0</v>
      </c>
      <c r="AD105" s="976">
        <f t="shared" si="61"/>
        <v>4225.5190267467142</v>
      </c>
      <c r="AE105" s="976">
        <f t="shared" si="62"/>
        <v>213.58102793666052</v>
      </c>
      <c r="AF105" s="978">
        <f t="shared" si="63"/>
        <v>142.38735195777369</v>
      </c>
      <c r="AG105" s="4"/>
      <c r="AH105" s="974">
        <f>'Recycling - Case 3'!AM195*'Recycling - Case 3'!C195</f>
        <v>836.35102251651131</v>
      </c>
      <c r="AI105" s="975">
        <f>Parameters!S276</f>
        <v>0.71500000000000008</v>
      </c>
      <c r="AJ105" s="975">
        <f t="shared" si="64"/>
        <v>0.2</v>
      </c>
      <c r="AK105" s="976">
        <f t="shared" si="65"/>
        <v>59.799098109930569</v>
      </c>
      <c r="AL105" s="976">
        <f t="shared" si="66"/>
        <v>59.799098109930569</v>
      </c>
      <c r="AM105" s="977">
        <f t="shared" si="67"/>
        <v>0</v>
      </c>
      <c r="AN105" s="976">
        <f t="shared" si="68"/>
        <v>4188.1824836509113</v>
      </c>
      <c r="AO105" s="976">
        <f t="shared" si="69"/>
        <v>211.66674243724802</v>
      </c>
      <c r="AP105" s="978">
        <f t="shared" si="70"/>
        <v>141.11116162483202</v>
      </c>
      <c r="AQ105" s="4"/>
      <c r="AR105" s="972">
        <f>'Recycling - Case 3'!G115</f>
        <v>785.05615070238139</v>
      </c>
      <c r="AS105" s="968">
        <v>1</v>
      </c>
      <c r="AT105" s="968">
        <f t="shared" si="71"/>
        <v>0.05</v>
      </c>
      <c r="AU105" s="954">
        <f t="shared" si="72"/>
        <v>19.626403767559538</v>
      </c>
      <c r="AV105" s="954">
        <f t="shared" si="73"/>
        <v>19.626403767559538</v>
      </c>
      <c r="AW105" s="957">
        <f t="shared" si="74"/>
        <v>0</v>
      </c>
      <c r="AX105" s="954">
        <f t="shared" si="42"/>
        <v>250.66340674109642</v>
      </c>
      <c r="AY105" s="954">
        <f t="shared" si="47"/>
        <v>14.2865303880735</v>
      </c>
      <c r="AZ105" s="1053">
        <f t="shared" si="45"/>
        <v>9.5243535920489997</v>
      </c>
      <c r="BA105" s="4"/>
      <c r="BB105" s="1185">
        <f t="shared" si="75"/>
        <v>271.3376007376379</v>
      </c>
      <c r="BC105" s="1186">
        <f t="shared" si="76"/>
        <v>142.38735195777369</v>
      </c>
      <c r="BD105" s="1218">
        <f t="shared" si="84"/>
        <v>9.5243535920489997</v>
      </c>
      <c r="BE105" s="1186">
        <f t="shared" si="48"/>
        <v>423.24930628746063</v>
      </c>
      <c r="BF105" s="167">
        <v>0</v>
      </c>
      <c r="BG105" s="1208">
        <f t="shared" si="77"/>
        <v>423.24930628746063</v>
      </c>
      <c r="BI105" s="1185">
        <f t="shared" si="78"/>
        <v>271.3376007376379</v>
      </c>
      <c r="BJ105" s="1186">
        <f t="shared" si="79"/>
        <v>141.11116162483202</v>
      </c>
      <c r="BK105" s="1218">
        <f t="shared" si="80"/>
        <v>9.5243535920489997</v>
      </c>
      <c r="BL105" s="1186">
        <f t="shared" si="49"/>
        <v>421.9731159545189</v>
      </c>
      <c r="BM105" s="167">
        <v>0</v>
      </c>
      <c r="BN105" s="1208">
        <f t="shared" si="81"/>
        <v>421.9731159545189</v>
      </c>
    </row>
    <row r="106" spans="1:66">
      <c r="A106" s="1050">
        <f>'Input data'!A137</f>
        <v>2037</v>
      </c>
      <c r="B106" s="946">
        <f>'Input data'!B137</f>
        <v>69.83</v>
      </c>
      <c r="C106" s="946">
        <f>'Recycling - Case 3'!AF116</f>
        <v>139.12867530930757</v>
      </c>
      <c r="D106" s="947">
        <f>'Recycling - Case 3'!AM116</f>
        <v>0.2834252604436</v>
      </c>
      <c r="E106" s="948">
        <f>'Recycling - Case 3'!BE116</f>
        <v>0.17037510887119423</v>
      </c>
      <c r="F106" s="948">
        <f>'Recycling - Case 3'!BF116</f>
        <v>0.2759496177051679</v>
      </c>
      <c r="G106" s="948">
        <f>'Recycling - Case 3'!BG116</f>
        <v>5.8958039761752561E-2</v>
      </c>
      <c r="H106" s="948">
        <f>'Recycling - Case 3'!BH116</f>
        <v>0</v>
      </c>
      <c r="I106" s="948">
        <f>'Recycling - Case 3'!BI116</f>
        <v>0</v>
      </c>
      <c r="J106" s="948">
        <f>'Recycling - Case 3'!BJ116</f>
        <v>0</v>
      </c>
      <c r="K106" s="948">
        <f>'Recycling - Case 3'!BK116</f>
        <v>0.49471723366188552</v>
      </c>
      <c r="L106" s="949">
        <f t="shared" si="83"/>
        <v>1.0000000000000002</v>
      </c>
      <c r="M106" s="4"/>
      <c r="N106" s="960">
        <f t="shared" si="50"/>
        <v>2753.5771336540474</v>
      </c>
      <c r="O106" s="955">
        <f>Parameters!R278</f>
        <v>1</v>
      </c>
      <c r="P106" s="956">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954">
        <f t="shared" si="51"/>
        <v>143.63953305682369</v>
      </c>
      <c r="R106" s="954">
        <f t="shared" si="52"/>
        <v>143.63953305682369</v>
      </c>
      <c r="S106" s="957">
        <f t="shared" si="53"/>
        <v>0</v>
      </c>
      <c r="T106" s="954">
        <f t="shared" si="54"/>
        <v>7830.4457988036002</v>
      </c>
      <c r="U106" s="954">
        <f t="shared" si="55"/>
        <v>394.11098487492836</v>
      </c>
      <c r="V106" s="961">
        <f t="shared" si="56"/>
        <v>262.74065658328556</v>
      </c>
      <c r="W106" s="4"/>
      <c r="X106" s="974">
        <f>'Recycling - Case 3'!AM156*'Recycling - Case 3'!C156</f>
        <v>861.68339293987083</v>
      </c>
      <c r="Y106" s="975">
        <f>Parameters!S277</f>
        <v>0.71500000000000008</v>
      </c>
      <c r="Z106" s="975">
        <f t="shared" si="57"/>
        <v>0.2</v>
      </c>
      <c r="AA106" s="976">
        <f t="shared" si="58"/>
        <v>61.610362595200776</v>
      </c>
      <c r="AB106" s="976">
        <f t="shared" si="59"/>
        <v>61.610362595200776</v>
      </c>
      <c r="AC106" s="977">
        <f t="shared" si="60"/>
        <v>0</v>
      </c>
      <c r="AD106" s="976">
        <f t="shared" si="61"/>
        <v>4081.0483946242953</v>
      </c>
      <c r="AE106" s="976">
        <f t="shared" si="62"/>
        <v>206.08099471762006</v>
      </c>
      <c r="AF106" s="978">
        <f t="shared" si="63"/>
        <v>137.3873298117467</v>
      </c>
      <c r="AG106" s="4"/>
      <c r="AH106" s="974">
        <f>'Recycling - Case 3'!AM196*'Recycling - Case 3'!C196</f>
        <v>861.68339293987083</v>
      </c>
      <c r="AI106" s="975">
        <f>Parameters!S277</f>
        <v>0.71500000000000008</v>
      </c>
      <c r="AJ106" s="975">
        <f t="shared" si="64"/>
        <v>0.2</v>
      </c>
      <c r="AK106" s="976">
        <f t="shared" si="65"/>
        <v>61.610362595200776</v>
      </c>
      <c r="AL106" s="976">
        <f t="shared" si="66"/>
        <v>61.610362595200776</v>
      </c>
      <c r="AM106" s="977">
        <f t="shared" si="67"/>
        <v>0</v>
      </c>
      <c r="AN106" s="976">
        <f t="shared" si="68"/>
        <v>4045.5327762224283</v>
      </c>
      <c r="AO106" s="976">
        <f t="shared" si="69"/>
        <v>204.26007002368385</v>
      </c>
      <c r="AP106" s="978">
        <f t="shared" si="70"/>
        <v>136.17338001578923</v>
      </c>
      <c r="AQ106" s="4"/>
      <c r="AR106" s="972">
        <f>'Recycling - Case 3'!G116</f>
        <v>790.79772952046653</v>
      </c>
      <c r="AS106" s="968">
        <v>1</v>
      </c>
      <c r="AT106" s="968">
        <f t="shared" si="71"/>
        <v>0.05</v>
      </c>
      <c r="AU106" s="954">
        <f t="shared" si="72"/>
        <v>19.769943238011663</v>
      </c>
      <c r="AV106" s="954">
        <f t="shared" si="73"/>
        <v>19.769943238011663</v>
      </c>
      <c r="AW106" s="957">
        <f t="shared" si="74"/>
        <v>0</v>
      </c>
      <c r="AX106" s="954">
        <f t="shared" si="42"/>
        <v>255.83584957417918</v>
      </c>
      <c r="AY106" s="954">
        <f t="shared" si="47"/>
        <v>14.597500404928924</v>
      </c>
      <c r="AZ106" s="1053">
        <f t="shared" si="45"/>
        <v>9.7316669366192823</v>
      </c>
      <c r="BA106" s="4"/>
      <c r="BB106" s="1185">
        <f t="shared" si="75"/>
        <v>262.74065658328556</v>
      </c>
      <c r="BC106" s="1186">
        <f t="shared" si="76"/>
        <v>137.3873298117467</v>
      </c>
      <c r="BD106" s="1218">
        <f t="shared" si="84"/>
        <v>9.7316669366192823</v>
      </c>
      <c r="BE106" s="1186">
        <f t="shared" si="48"/>
        <v>409.85965333165154</v>
      </c>
      <c r="BF106" s="167">
        <v>0</v>
      </c>
      <c r="BG106" s="1208">
        <f t="shared" si="77"/>
        <v>409.85965333165154</v>
      </c>
      <c r="BI106" s="1185">
        <f t="shared" si="78"/>
        <v>262.74065658328556</v>
      </c>
      <c r="BJ106" s="1186">
        <f t="shared" si="79"/>
        <v>136.17338001578923</v>
      </c>
      <c r="BK106" s="1218">
        <f t="shared" si="80"/>
        <v>9.7316669366192823</v>
      </c>
      <c r="BL106" s="1186">
        <f t="shared" si="49"/>
        <v>408.64570353569405</v>
      </c>
      <c r="BM106" s="167">
        <v>0</v>
      </c>
      <c r="BN106" s="1208">
        <f t="shared" si="81"/>
        <v>408.64570353569405</v>
      </c>
    </row>
    <row r="107" spans="1:66">
      <c r="A107" s="1050">
        <f>'Input data'!A138</f>
        <v>2038</v>
      </c>
      <c r="B107" s="946">
        <f>'Input data'!B138</f>
        <v>70.341999999999999</v>
      </c>
      <c r="C107" s="946">
        <f>'Recycling - Case 3'!AF117</f>
        <v>139.12867530930757</v>
      </c>
      <c r="D107" s="947">
        <f>'Recycling - Case 3'!AM117</f>
        <v>0.2834252604436</v>
      </c>
      <c r="E107" s="948">
        <f>'Recycling - Case 3'!BE117</f>
        <v>0.17037510887119423</v>
      </c>
      <c r="F107" s="948">
        <f>'Recycling - Case 3'!BF117</f>
        <v>0.2759496177051679</v>
      </c>
      <c r="G107" s="948">
        <f>'Recycling - Case 3'!BG117</f>
        <v>5.8958039761752561E-2</v>
      </c>
      <c r="H107" s="948">
        <f>'Recycling - Case 3'!BH117</f>
        <v>0</v>
      </c>
      <c r="I107" s="948">
        <f>'Recycling - Case 3'!BI117</f>
        <v>0</v>
      </c>
      <c r="J107" s="948">
        <f>'Recycling - Case 3'!BJ117</f>
        <v>0</v>
      </c>
      <c r="K107" s="948">
        <f>'Recycling - Case 3'!BK117</f>
        <v>0.49471723366188552</v>
      </c>
      <c r="L107" s="949">
        <f t="shared" si="83"/>
        <v>1.0000000000000002</v>
      </c>
      <c r="M107" s="4"/>
      <c r="N107" s="960">
        <f t="shared" si="50"/>
        <v>2773.7666151438211</v>
      </c>
      <c r="O107" s="955">
        <f>Parameters!R279</f>
        <v>1</v>
      </c>
      <c r="P107" s="956">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954">
        <f t="shared" si="51"/>
        <v>144.69271136020467</v>
      </c>
      <c r="R107" s="954">
        <f t="shared" si="52"/>
        <v>144.69271136020467</v>
      </c>
      <c r="S107" s="957">
        <f t="shared" si="53"/>
        <v>0</v>
      </c>
      <c r="T107" s="954">
        <f t="shared" si="54"/>
        <v>7593.2431621401875</v>
      </c>
      <c r="U107" s="954">
        <f t="shared" si="55"/>
        <v>381.89534802361771</v>
      </c>
      <c r="V107" s="961">
        <f t="shared" si="56"/>
        <v>254.59689868241182</v>
      </c>
      <c r="W107" s="4"/>
      <c r="X107" s="974">
        <f>'Recycling - Case 3'!AM157*'Recycling - Case 3'!C157</f>
        <v>1008.3164117973894</v>
      </c>
      <c r="Y107" s="975">
        <f>Parameters!S278</f>
        <v>0.71500000000000008</v>
      </c>
      <c r="Z107" s="975">
        <f t="shared" si="57"/>
        <v>0.2</v>
      </c>
      <c r="AA107" s="976">
        <f t="shared" si="58"/>
        <v>72.094623443513342</v>
      </c>
      <c r="AB107" s="976">
        <f t="shared" si="59"/>
        <v>72.094623443513342</v>
      </c>
      <c r="AC107" s="977">
        <f t="shared" si="60"/>
        <v>0</v>
      </c>
      <c r="AD107" s="976">
        <f t="shared" si="61"/>
        <v>3954.1079392215443</v>
      </c>
      <c r="AE107" s="976">
        <f t="shared" si="62"/>
        <v>199.03507884626404</v>
      </c>
      <c r="AF107" s="978">
        <f t="shared" si="63"/>
        <v>132.69005256417603</v>
      </c>
      <c r="AG107" s="4"/>
      <c r="AH107" s="974">
        <f>'Recycling - Case 3'!AM197*'Recycling - Case 3'!C197</f>
        <v>887.40242856086911</v>
      </c>
      <c r="AI107" s="975">
        <f>Parameters!S278</f>
        <v>0.71500000000000008</v>
      </c>
      <c r="AJ107" s="975">
        <f t="shared" si="64"/>
        <v>0.2</v>
      </c>
      <c r="AK107" s="976">
        <f t="shared" si="65"/>
        <v>63.449273642102156</v>
      </c>
      <c r="AL107" s="976">
        <f t="shared" si="66"/>
        <v>63.449273642102156</v>
      </c>
      <c r="AM107" s="977">
        <f t="shared" si="67"/>
        <v>0</v>
      </c>
      <c r="AN107" s="976">
        <f t="shared" si="68"/>
        <v>3911.6790881669385</v>
      </c>
      <c r="AO107" s="976">
        <f t="shared" si="69"/>
        <v>197.30296169759197</v>
      </c>
      <c r="AP107" s="978">
        <f t="shared" si="70"/>
        <v>131.53530779839465</v>
      </c>
      <c r="AQ107" s="4"/>
      <c r="AR107" s="972">
        <f>'Recycling - Case 3'!G117</f>
        <v>796.59593140381867</v>
      </c>
      <c r="AS107" s="968">
        <v>1</v>
      </c>
      <c r="AT107" s="968">
        <f t="shared" si="71"/>
        <v>0.05</v>
      </c>
      <c r="AU107" s="954">
        <f t="shared" si="72"/>
        <v>19.914898285095468</v>
      </c>
      <c r="AV107" s="954">
        <f t="shared" si="73"/>
        <v>19.914898285095468</v>
      </c>
      <c r="AW107" s="957">
        <f t="shared" si="74"/>
        <v>0</v>
      </c>
      <c r="AX107" s="954">
        <f t="shared" si="42"/>
        <v>260.85202783345233</v>
      </c>
      <c r="AY107" s="954">
        <f t="shared" si="47"/>
        <v>14.898720025822309</v>
      </c>
      <c r="AZ107" s="1053">
        <f t="shared" si="45"/>
        <v>9.9324800172148731</v>
      </c>
      <c r="BA107" s="4"/>
      <c r="BB107" s="1185">
        <f t="shared" si="75"/>
        <v>254.59689868241182</v>
      </c>
      <c r="BC107" s="1186">
        <f t="shared" si="76"/>
        <v>132.69005256417603</v>
      </c>
      <c r="BD107" s="1218">
        <f t="shared" si="84"/>
        <v>9.9324800172148731</v>
      </c>
      <c r="BE107" s="1186">
        <f t="shared" si="48"/>
        <v>397.21943126380268</v>
      </c>
      <c r="BF107" s="167">
        <v>0</v>
      </c>
      <c r="BG107" s="1208">
        <f t="shared" si="77"/>
        <v>397.21943126380268</v>
      </c>
      <c r="BI107" s="1185">
        <f t="shared" si="78"/>
        <v>254.59689868241182</v>
      </c>
      <c r="BJ107" s="1186">
        <f t="shared" si="79"/>
        <v>131.53530779839465</v>
      </c>
      <c r="BK107" s="1218">
        <f t="shared" si="80"/>
        <v>9.9324800172148731</v>
      </c>
      <c r="BL107" s="1186">
        <f t="shared" si="49"/>
        <v>396.06468649802133</v>
      </c>
      <c r="BM107" s="167">
        <v>0</v>
      </c>
      <c r="BN107" s="1208">
        <f t="shared" si="81"/>
        <v>396.06468649802133</v>
      </c>
    </row>
    <row r="108" spans="1:66">
      <c r="A108" s="1050">
        <f>'Input data'!A139</f>
        <v>2039</v>
      </c>
      <c r="B108" s="946">
        <f>'Input data'!B139</f>
        <v>70.856999999999999</v>
      </c>
      <c r="C108" s="946">
        <f>'Recycling - Case 3'!AF118</f>
        <v>139.12867530930757</v>
      </c>
      <c r="D108" s="947">
        <f>'Recycling - Case 3'!AM118</f>
        <v>0.2834252604436</v>
      </c>
      <c r="E108" s="948">
        <f>'Recycling - Case 3'!BE118</f>
        <v>0.17037510887119423</v>
      </c>
      <c r="F108" s="948">
        <f>'Recycling - Case 3'!BF118</f>
        <v>0.2759496177051679</v>
      </c>
      <c r="G108" s="948">
        <f>'Recycling - Case 3'!BG118</f>
        <v>5.8958039761752561E-2</v>
      </c>
      <c r="H108" s="948">
        <f>'Recycling - Case 3'!BH118</f>
        <v>0</v>
      </c>
      <c r="I108" s="948">
        <f>'Recycling - Case 3'!BI118</f>
        <v>0</v>
      </c>
      <c r="J108" s="948">
        <f>'Recycling - Case 3'!BJ118</f>
        <v>0</v>
      </c>
      <c r="K108" s="948">
        <f>'Recycling - Case 3'!BK118</f>
        <v>0.49471723366188552</v>
      </c>
      <c r="L108" s="949">
        <f t="shared" si="83"/>
        <v>1.0000000000000002</v>
      </c>
      <c r="M108" s="4"/>
      <c r="N108" s="960">
        <f t="shared" si="50"/>
        <v>2794.0743943766984</v>
      </c>
      <c r="O108" s="955">
        <f>Parameters!R280</f>
        <v>1</v>
      </c>
      <c r="P108" s="956">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954">
        <f t="shared" si="51"/>
        <v>145.75206063020701</v>
      </c>
      <c r="R108" s="954">
        <f t="shared" si="52"/>
        <v>145.75206063020701</v>
      </c>
      <c r="S108" s="957">
        <f t="shared" si="53"/>
        <v>0</v>
      </c>
      <c r="T108" s="954">
        <f t="shared" si="54"/>
        <v>7368.6683838467989</v>
      </c>
      <c r="U108" s="954">
        <f t="shared" si="55"/>
        <v>370.32683892359506</v>
      </c>
      <c r="V108" s="961">
        <f t="shared" si="56"/>
        <v>246.88455928239671</v>
      </c>
      <c r="W108" s="4"/>
      <c r="X108" s="974">
        <f>'Recycling - Case 3'!AM158*'Recycling - Case 3'!C158</f>
        <v>1426.8097117714919</v>
      </c>
      <c r="Y108" s="975">
        <f>Parameters!S279</f>
        <v>0.71500000000000008</v>
      </c>
      <c r="Z108" s="975">
        <f t="shared" si="57"/>
        <v>0.2</v>
      </c>
      <c r="AA108" s="976">
        <f t="shared" si="58"/>
        <v>102.01689439166168</v>
      </c>
      <c r="AB108" s="976">
        <f t="shared" si="59"/>
        <v>102.01689439166168</v>
      </c>
      <c r="AC108" s="977">
        <f t="shared" si="60"/>
        <v>0</v>
      </c>
      <c r="AD108" s="976">
        <f t="shared" si="61"/>
        <v>3863.2807138310754</v>
      </c>
      <c r="AE108" s="976">
        <f t="shared" si="62"/>
        <v>192.84411978213043</v>
      </c>
      <c r="AF108" s="978">
        <f t="shared" si="63"/>
        <v>128.56274652142028</v>
      </c>
      <c r="AG108" s="4"/>
      <c r="AH108" s="974">
        <f>'Recycling - Case 3'!AM198*'Recycling - Case 3'!C198</f>
        <v>914.17899349741231</v>
      </c>
      <c r="AI108" s="975">
        <f>Parameters!S279</f>
        <v>0.71500000000000008</v>
      </c>
      <c r="AJ108" s="975">
        <f t="shared" si="64"/>
        <v>0.2</v>
      </c>
      <c r="AK108" s="976">
        <f t="shared" si="65"/>
        <v>65.363798035064988</v>
      </c>
      <c r="AL108" s="976">
        <f t="shared" si="66"/>
        <v>65.363798035064988</v>
      </c>
      <c r="AM108" s="977">
        <f t="shared" si="67"/>
        <v>0</v>
      </c>
      <c r="AN108" s="976">
        <f t="shared" si="68"/>
        <v>3786.2680459035796</v>
      </c>
      <c r="AO108" s="976">
        <f t="shared" si="69"/>
        <v>190.77484029842384</v>
      </c>
      <c r="AP108" s="978">
        <f t="shared" si="70"/>
        <v>127.18322686561589</v>
      </c>
      <c r="AQ108" s="4"/>
      <c r="AR108" s="972">
        <f>'Recycling - Case 3'!G118</f>
        <v>802.42810712633093</v>
      </c>
      <c r="AS108" s="968">
        <v>1</v>
      </c>
      <c r="AT108" s="968">
        <f t="shared" si="71"/>
        <v>0.05</v>
      </c>
      <c r="AU108" s="954">
        <f t="shared" si="72"/>
        <v>20.060702678158275</v>
      </c>
      <c r="AV108" s="954">
        <f t="shared" si="73"/>
        <v>20.060702678158275</v>
      </c>
      <c r="AW108" s="957">
        <f t="shared" si="74"/>
        <v>0</v>
      </c>
      <c r="AX108" s="954">
        <f t="shared" si="42"/>
        <v>265.72189100523497</v>
      </c>
      <c r="AY108" s="954">
        <f t="shared" si="47"/>
        <v>15.190839506375632</v>
      </c>
      <c r="AZ108" s="1053">
        <f t="shared" si="45"/>
        <v>10.127226337583755</v>
      </c>
      <c r="BA108" s="4"/>
      <c r="BB108" s="1185">
        <f t="shared" si="75"/>
        <v>246.88455928239671</v>
      </c>
      <c r="BC108" s="1186">
        <f t="shared" si="76"/>
        <v>128.56274652142028</v>
      </c>
      <c r="BD108" s="1218">
        <f t="shared" si="84"/>
        <v>10.127226337583755</v>
      </c>
      <c r="BE108" s="1186">
        <f t="shared" si="48"/>
        <v>385.57453214140077</v>
      </c>
      <c r="BF108" s="167">
        <v>0</v>
      </c>
      <c r="BG108" s="1208">
        <f t="shared" si="77"/>
        <v>385.57453214140077</v>
      </c>
      <c r="BI108" s="1185">
        <f t="shared" si="78"/>
        <v>246.88455928239671</v>
      </c>
      <c r="BJ108" s="1186">
        <f t="shared" si="79"/>
        <v>127.18322686561589</v>
      </c>
      <c r="BK108" s="1218">
        <f t="shared" si="80"/>
        <v>10.127226337583755</v>
      </c>
      <c r="BL108" s="1186">
        <f t="shared" si="49"/>
        <v>384.19501248559635</v>
      </c>
      <c r="BM108" s="167">
        <v>0</v>
      </c>
      <c r="BN108" s="1208">
        <f t="shared" si="81"/>
        <v>384.19501248559635</v>
      </c>
    </row>
    <row r="109" spans="1:66">
      <c r="A109" s="1050">
        <f>'Input data'!A140</f>
        <v>2040</v>
      </c>
      <c r="B109" s="946">
        <f>'Input data'!B140</f>
        <v>71.375</v>
      </c>
      <c r="C109" s="946">
        <f>'Recycling - Case 3'!AF119</f>
        <v>139.12867530930757</v>
      </c>
      <c r="D109" s="947">
        <f>'Recycling - Case 3'!AM119</f>
        <v>0.2834252604436</v>
      </c>
      <c r="E109" s="948">
        <f>'Recycling - Case 3'!BE119</f>
        <v>0.17037510887119423</v>
      </c>
      <c r="F109" s="948">
        <f>'Recycling - Case 3'!BF119</f>
        <v>0.2759496177051679</v>
      </c>
      <c r="G109" s="948">
        <f>'Recycling - Case 3'!BG119</f>
        <v>5.8958039761752561E-2</v>
      </c>
      <c r="H109" s="948">
        <f>'Recycling - Case 3'!BH119</f>
        <v>0</v>
      </c>
      <c r="I109" s="948">
        <f>'Recycling - Case 3'!BI119</f>
        <v>0</v>
      </c>
      <c r="J109" s="948">
        <f>'Recycling - Case 3'!BJ119</f>
        <v>0</v>
      </c>
      <c r="K109" s="948">
        <f>'Recycling - Case 3'!BK119</f>
        <v>0.49471723366188552</v>
      </c>
      <c r="L109" s="949">
        <f t="shared" si="83"/>
        <v>1.0000000000000002</v>
      </c>
      <c r="M109" s="4"/>
      <c r="N109" s="960">
        <f t="shared" si="50"/>
        <v>2814.5004713526801</v>
      </c>
      <c r="O109" s="955">
        <f>Parameters!R281</f>
        <v>1</v>
      </c>
      <c r="P109" s="956">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954">
        <f t="shared" si="51"/>
        <v>146.81758086683075</v>
      </c>
      <c r="R109" s="954">
        <f t="shared" si="52"/>
        <v>146.81758086683075</v>
      </c>
      <c r="S109" s="957">
        <f t="shared" si="53"/>
        <v>0</v>
      </c>
      <c r="T109" s="954">
        <f t="shared" si="54"/>
        <v>7156.1117669700279</v>
      </c>
      <c r="U109" s="954">
        <f t="shared" si="55"/>
        <v>359.37419774360194</v>
      </c>
      <c r="V109" s="961">
        <f t="shared" si="56"/>
        <v>239.58279849573464</v>
      </c>
      <c r="W109" s="4"/>
      <c r="X109" s="974">
        <f>'Recycling - Case 3'!AM159*'Recycling - Case 3'!C159</f>
        <v>1852.4110048651532</v>
      </c>
      <c r="Y109" s="975">
        <f>Parameters!S280</f>
        <v>0.71500000000000008</v>
      </c>
      <c r="Z109" s="975">
        <f t="shared" si="57"/>
        <v>0.2</v>
      </c>
      <c r="AA109" s="976">
        <f t="shared" si="58"/>
        <v>132.44738684785847</v>
      </c>
      <c r="AB109" s="976">
        <f t="shared" si="59"/>
        <v>132.44738684785847</v>
      </c>
      <c r="AC109" s="977">
        <f t="shared" si="60"/>
        <v>0</v>
      </c>
      <c r="AD109" s="976">
        <f t="shared" si="61"/>
        <v>3807.3136769501002</v>
      </c>
      <c r="AE109" s="976">
        <f t="shared" si="62"/>
        <v>188.41442372883392</v>
      </c>
      <c r="AF109" s="978">
        <f t="shared" si="63"/>
        <v>125.60961581922261</v>
      </c>
      <c r="AG109" s="4"/>
      <c r="AH109" s="974">
        <f>'Recycling - Case 3'!AM199*'Recycling - Case 3'!C199</f>
        <v>942.5950188719471</v>
      </c>
      <c r="AI109" s="975">
        <f>Parameters!S280</f>
        <v>0.71500000000000008</v>
      </c>
      <c r="AJ109" s="975">
        <f t="shared" si="64"/>
        <v>0.2</v>
      </c>
      <c r="AK109" s="976">
        <f t="shared" si="65"/>
        <v>67.395543849344236</v>
      </c>
      <c r="AL109" s="976">
        <f t="shared" si="66"/>
        <v>67.395543849344236</v>
      </c>
      <c r="AM109" s="977">
        <f t="shared" si="67"/>
        <v>0</v>
      </c>
      <c r="AN109" s="976">
        <f t="shared" si="68"/>
        <v>3669.0051181596496</v>
      </c>
      <c r="AO109" s="976">
        <f t="shared" si="69"/>
        <v>184.65847159327453</v>
      </c>
      <c r="AP109" s="978">
        <f t="shared" si="70"/>
        <v>123.10564772884969</v>
      </c>
      <c r="AQ109" s="4"/>
      <c r="AR109" s="972">
        <f>'Recycling - Case 3'!G119</f>
        <v>808.29425668800366</v>
      </c>
      <c r="AS109" s="968">
        <v>1</v>
      </c>
      <c r="AT109" s="968">
        <f t="shared" si="71"/>
        <v>0.05</v>
      </c>
      <c r="AU109" s="954">
        <f t="shared" si="72"/>
        <v>20.207356417200092</v>
      </c>
      <c r="AV109" s="954">
        <f t="shared" si="73"/>
        <v>20.207356417200092</v>
      </c>
      <c r="AW109" s="957">
        <f t="shared" si="74"/>
        <v>0</v>
      </c>
      <c r="AX109" s="954">
        <f t="shared" si="42"/>
        <v>270.45480916286976</v>
      </c>
      <c r="AY109" s="954">
        <f t="shared" si="47"/>
        <v>15.474438259565282</v>
      </c>
      <c r="AZ109" s="1053">
        <f t="shared" si="45"/>
        <v>10.316292173043522</v>
      </c>
      <c r="BA109" s="4"/>
      <c r="BB109" s="1185">
        <f t="shared" si="75"/>
        <v>239.58279849573464</v>
      </c>
      <c r="BC109" s="1186">
        <f t="shared" si="76"/>
        <v>125.60961581922261</v>
      </c>
      <c r="BD109" s="1218">
        <f t="shared" si="84"/>
        <v>10.316292173043522</v>
      </c>
      <c r="BE109" s="1186">
        <f t="shared" si="48"/>
        <v>375.50870648800077</v>
      </c>
      <c r="BF109" s="167">
        <v>0</v>
      </c>
      <c r="BG109" s="1208">
        <f t="shared" si="77"/>
        <v>375.50870648800077</v>
      </c>
      <c r="BI109" s="1185">
        <f t="shared" si="78"/>
        <v>239.58279849573464</v>
      </c>
      <c r="BJ109" s="1186">
        <f t="shared" si="79"/>
        <v>123.10564772884969</v>
      </c>
      <c r="BK109" s="1218">
        <f t="shared" si="80"/>
        <v>10.316292173043522</v>
      </c>
      <c r="BL109" s="1186">
        <f t="shared" si="49"/>
        <v>373.00473839762782</v>
      </c>
      <c r="BM109" s="167">
        <v>0</v>
      </c>
      <c r="BN109" s="1208">
        <f t="shared" si="81"/>
        <v>373.00473839762782</v>
      </c>
    </row>
    <row r="110" spans="1:66">
      <c r="A110" s="1050">
        <f>'Input data'!A141</f>
        <v>2041</v>
      </c>
      <c r="B110" s="946">
        <f>'Input data'!B141</f>
        <v>71.819000000000003</v>
      </c>
      <c r="C110" s="946">
        <f>'Recycling - Case 3'!AF120</f>
        <v>139.12867530930757</v>
      </c>
      <c r="D110" s="947">
        <f>'Recycling - Case 3'!AM120</f>
        <v>0.2834252604436</v>
      </c>
      <c r="E110" s="948">
        <f>'Recycling - Case 3'!BE120</f>
        <v>0.17037510887119423</v>
      </c>
      <c r="F110" s="948">
        <f>'Recycling - Case 3'!BF120</f>
        <v>0.2759496177051679</v>
      </c>
      <c r="G110" s="948">
        <f>'Recycling - Case 3'!BG120</f>
        <v>5.8958039761752561E-2</v>
      </c>
      <c r="H110" s="948">
        <f>'Recycling - Case 3'!BH120</f>
        <v>0</v>
      </c>
      <c r="I110" s="948">
        <f>'Recycling - Case 3'!BI120</f>
        <v>0</v>
      </c>
      <c r="J110" s="948">
        <f>'Recycling - Case 3'!BJ120</f>
        <v>0</v>
      </c>
      <c r="K110" s="948">
        <f>'Recycling - Case 3'!BK120</f>
        <v>0.49471723366188552</v>
      </c>
      <c r="L110" s="949">
        <f t="shared" si="83"/>
        <v>1.0000000000000002</v>
      </c>
      <c r="M110" s="4"/>
      <c r="N110" s="960">
        <f t="shared" si="50"/>
        <v>2832.0085373320931</v>
      </c>
      <c r="O110" s="955">
        <f>Parameters!R282</f>
        <v>1</v>
      </c>
      <c r="P110" s="956">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954">
        <f t="shared" si="51"/>
        <v>147.73088392679395</v>
      </c>
      <c r="R110" s="954">
        <f t="shared" si="52"/>
        <v>147.73088392679395</v>
      </c>
      <c r="S110" s="957">
        <f t="shared" si="53"/>
        <v>0</v>
      </c>
      <c r="T110" s="954">
        <f t="shared" si="54"/>
        <v>6954.8349616844816</v>
      </c>
      <c r="U110" s="954">
        <f t="shared" si="55"/>
        <v>349.00768921234055</v>
      </c>
      <c r="V110" s="961">
        <f t="shared" si="56"/>
        <v>232.67179280822702</v>
      </c>
      <c r="W110" s="4"/>
      <c r="X110" s="974">
        <f>'Recycling - Case 3'!AM160*'Recycling - Case 3'!C160</f>
        <v>2117.3239315825708</v>
      </c>
      <c r="Y110" s="975">
        <f>Parameters!S281</f>
        <v>0.71500000000000008</v>
      </c>
      <c r="Z110" s="975">
        <f t="shared" si="57"/>
        <v>0.2</v>
      </c>
      <c r="AA110" s="976">
        <f t="shared" si="58"/>
        <v>151.38866110815383</v>
      </c>
      <c r="AB110" s="976">
        <f t="shared" si="59"/>
        <v>151.38866110815383</v>
      </c>
      <c r="AC110" s="977">
        <f t="shared" si="60"/>
        <v>0</v>
      </c>
      <c r="AD110" s="976">
        <f t="shared" si="61"/>
        <v>3773.017458927095</v>
      </c>
      <c r="AE110" s="976">
        <f t="shared" si="62"/>
        <v>185.68487913115899</v>
      </c>
      <c r="AF110" s="978">
        <f t="shared" si="63"/>
        <v>123.78991942077266</v>
      </c>
      <c r="AG110" s="4"/>
      <c r="AH110" s="974">
        <f>'Recycling - Case 3'!AM200*'Recycling - Case 3'!C200</f>
        <v>972.18070646934177</v>
      </c>
      <c r="AI110" s="975">
        <f>Parameters!S281</f>
        <v>0.71500000000000008</v>
      </c>
      <c r="AJ110" s="975">
        <f t="shared" si="64"/>
        <v>0.2</v>
      </c>
      <c r="AK110" s="976">
        <f t="shared" si="65"/>
        <v>69.510920512557945</v>
      </c>
      <c r="AL110" s="976">
        <f t="shared" si="66"/>
        <v>69.510920512557945</v>
      </c>
      <c r="AM110" s="977">
        <f t="shared" si="67"/>
        <v>0</v>
      </c>
      <c r="AN110" s="976">
        <f t="shared" si="68"/>
        <v>3559.5765475497356</v>
      </c>
      <c r="AO110" s="976">
        <f t="shared" si="69"/>
        <v>178.93949112247188</v>
      </c>
      <c r="AP110" s="978">
        <f t="shared" si="70"/>
        <v>119.29299408164792</v>
      </c>
      <c r="AQ110" s="4"/>
      <c r="AR110" s="972">
        <f>'Recycling - Case 3'!G120</f>
        <v>813.32238488372309</v>
      </c>
      <c r="AS110" s="968">
        <v>1</v>
      </c>
      <c r="AT110" s="968">
        <f t="shared" si="71"/>
        <v>0.05</v>
      </c>
      <c r="AU110" s="954">
        <f t="shared" si="72"/>
        <v>20.333059622093078</v>
      </c>
      <c r="AV110" s="954">
        <f t="shared" si="73"/>
        <v>20.333059622093078</v>
      </c>
      <c r="AW110" s="957">
        <f t="shared" si="74"/>
        <v>0</v>
      </c>
      <c r="AX110" s="954">
        <f t="shared" si="42"/>
        <v>275.03780682898014</v>
      </c>
      <c r="AY110" s="954">
        <f t="shared" si="47"/>
        <v>15.750061955982725</v>
      </c>
      <c r="AZ110" s="1053">
        <f t="shared" si="45"/>
        <v>10.500041303988484</v>
      </c>
      <c r="BA110" s="4"/>
      <c r="BB110" s="1185">
        <f t="shared" si="75"/>
        <v>232.67179280822702</v>
      </c>
      <c r="BC110" s="1186">
        <f t="shared" si="76"/>
        <v>123.78991942077266</v>
      </c>
      <c r="BD110" s="1218">
        <f t="shared" si="84"/>
        <v>10.500041303988484</v>
      </c>
      <c r="BE110" s="1186">
        <f t="shared" si="48"/>
        <v>366.96175353298815</v>
      </c>
      <c r="BF110" s="167">
        <v>0</v>
      </c>
      <c r="BG110" s="1208">
        <f t="shared" si="77"/>
        <v>366.96175353298815</v>
      </c>
      <c r="BI110" s="1185">
        <f t="shared" si="78"/>
        <v>232.67179280822702</v>
      </c>
      <c r="BJ110" s="1186">
        <f t="shared" si="79"/>
        <v>119.29299408164792</v>
      </c>
      <c r="BK110" s="1218">
        <f t="shared" si="80"/>
        <v>10.500041303988484</v>
      </c>
      <c r="BL110" s="1186">
        <f t="shared" si="49"/>
        <v>362.46482819386347</v>
      </c>
      <c r="BM110" s="167">
        <v>0</v>
      </c>
      <c r="BN110" s="1208">
        <f t="shared" si="81"/>
        <v>362.46482819386347</v>
      </c>
    </row>
    <row r="111" spans="1:66">
      <c r="A111" s="1050">
        <f>'Input data'!A142</f>
        <v>2042</v>
      </c>
      <c r="B111" s="946">
        <f>'Input data'!B142</f>
        <v>72.265000000000001</v>
      </c>
      <c r="C111" s="946">
        <f>'Recycling - Case 3'!AF121</f>
        <v>139.12867530930757</v>
      </c>
      <c r="D111" s="947">
        <f>'Recycling - Case 3'!AM121</f>
        <v>0.2834252604436</v>
      </c>
      <c r="E111" s="948">
        <f>'Recycling - Case 3'!BE121</f>
        <v>0.17037510887119423</v>
      </c>
      <c r="F111" s="948">
        <f>'Recycling - Case 3'!BF121</f>
        <v>0.2759496177051679</v>
      </c>
      <c r="G111" s="948">
        <f>'Recycling - Case 3'!BG121</f>
        <v>5.8958039761752561E-2</v>
      </c>
      <c r="H111" s="948">
        <f>'Recycling - Case 3'!BH121</f>
        <v>0</v>
      </c>
      <c r="I111" s="948">
        <f>'Recycling - Case 3'!BI121</f>
        <v>0</v>
      </c>
      <c r="J111" s="948">
        <f>'Recycling - Case 3'!BJ121</f>
        <v>0</v>
      </c>
      <c r="K111" s="948">
        <f>'Recycling - Case 3'!BK121</f>
        <v>0.49471723366188552</v>
      </c>
      <c r="L111" s="949">
        <f t="shared" si="83"/>
        <v>1.0000000000000002</v>
      </c>
      <c r="M111" s="4"/>
      <c r="N111" s="960">
        <f t="shared" si="50"/>
        <v>2849.5954684735752</v>
      </c>
      <c r="O111" s="955">
        <f>Parameters!R283</f>
        <v>1</v>
      </c>
      <c r="P111" s="956">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954">
        <f t="shared" si="51"/>
        <v>148.64830096450473</v>
      </c>
      <c r="R111" s="954">
        <f t="shared" si="52"/>
        <v>148.64830096450473</v>
      </c>
      <c r="S111" s="957">
        <f t="shared" si="53"/>
        <v>0</v>
      </c>
      <c r="T111" s="954">
        <f t="shared" si="54"/>
        <v>6764.291959065079</v>
      </c>
      <c r="U111" s="954">
        <f t="shared" si="55"/>
        <v>339.19130358390674</v>
      </c>
      <c r="V111" s="961">
        <f t="shared" si="56"/>
        <v>226.12753572260451</v>
      </c>
      <c r="W111" s="4"/>
      <c r="X111" s="974">
        <f>'Recycling - Case 3'!AM161*'Recycling - Case 3'!C161</f>
        <v>2387.7103482847442</v>
      </c>
      <c r="Y111" s="975">
        <f>Parameters!S282</f>
        <v>0.71500000000000008</v>
      </c>
      <c r="Z111" s="975">
        <f t="shared" si="57"/>
        <v>0.2</v>
      </c>
      <c r="AA111" s="976">
        <f t="shared" si="58"/>
        <v>170.72128990235925</v>
      </c>
      <c r="AB111" s="976">
        <f t="shared" si="59"/>
        <v>170.72128990235925</v>
      </c>
      <c r="AC111" s="977">
        <f t="shared" si="60"/>
        <v>0</v>
      </c>
      <c r="AD111" s="976">
        <f t="shared" si="61"/>
        <v>3759.7265159887265</v>
      </c>
      <c r="AE111" s="976">
        <f t="shared" si="62"/>
        <v>184.01223284072805</v>
      </c>
      <c r="AF111" s="978">
        <f t="shared" si="63"/>
        <v>122.6748218938187</v>
      </c>
      <c r="AG111" s="4"/>
      <c r="AH111" s="974">
        <f>'Recycling - Case 3'!AM201*'Recycling - Case 3'!C201</f>
        <v>1003.0288559370299</v>
      </c>
      <c r="AI111" s="975">
        <f>Parameters!S282</f>
        <v>0.71500000000000008</v>
      </c>
      <c r="AJ111" s="975">
        <f t="shared" si="64"/>
        <v>0.2</v>
      </c>
      <c r="AK111" s="976">
        <f t="shared" si="65"/>
        <v>71.716563199497656</v>
      </c>
      <c r="AL111" s="976">
        <f t="shared" si="66"/>
        <v>71.716563199497656</v>
      </c>
      <c r="AM111" s="977">
        <f t="shared" si="67"/>
        <v>0</v>
      </c>
      <c r="AN111" s="976">
        <f t="shared" si="68"/>
        <v>3457.6905139914711</v>
      </c>
      <c r="AO111" s="976">
        <f t="shared" si="69"/>
        <v>173.60259675776211</v>
      </c>
      <c r="AP111" s="978">
        <f t="shared" si="70"/>
        <v>115.73506450517475</v>
      </c>
      <c r="AQ111" s="4"/>
      <c r="AR111" s="972">
        <f>'Recycling - Case 3'!G121</f>
        <v>818.37316230554939</v>
      </c>
      <c r="AS111" s="968">
        <v>1</v>
      </c>
      <c r="AT111" s="968">
        <f t="shared" si="71"/>
        <v>0.05</v>
      </c>
      <c r="AU111" s="954">
        <f t="shared" si="72"/>
        <v>20.459329057638737</v>
      </c>
      <c r="AV111" s="954">
        <f t="shared" si="73"/>
        <v>20.459329057638737</v>
      </c>
      <c r="AW111" s="957">
        <f t="shared" si="74"/>
        <v>0</v>
      </c>
      <c r="AX111" s="954">
        <f t="shared" si="42"/>
        <v>279.48018092396791</v>
      </c>
      <c r="AY111" s="954">
        <f t="shared" si="47"/>
        <v>16.01695496265096</v>
      </c>
      <c r="AZ111" s="1053">
        <f t="shared" si="45"/>
        <v>10.677969975100639</v>
      </c>
      <c r="BA111" s="4"/>
      <c r="BB111" s="1185">
        <f t="shared" si="75"/>
        <v>226.12753572260451</v>
      </c>
      <c r="BC111" s="1186">
        <f t="shared" si="76"/>
        <v>122.6748218938187</v>
      </c>
      <c r="BD111" s="1218">
        <f t="shared" si="84"/>
        <v>10.677969975100639</v>
      </c>
      <c r="BE111" s="1186">
        <f t="shared" si="48"/>
        <v>359.48032759152386</v>
      </c>
      <c r="BF111" s="167">
        <v>0</v>
      </c>
      <c r="BG111" s="1208">
        <f t="shared" si="77"/>
        <v>359.48032759152386</v>
      </c>
      <c r="BI111" s="1185">
        <f t="shared" si="78"/>
        <v>226.12753572260451</v>
      </c>
      <c r="BJ111" s="1186">
        <f t="shared" si="79"/>
        <v>115.73506450517475</v>
      </c>
      <c r="BK111" s="1218">
        <f t="shared" si="80"/>
        <v>10.677969975100639</v>
      </c>
      <c r="BL111" s="1186">
        <f t="shared" si="49"/>
        <v>352.54057020287991</v>
      </c>
      <c r="BM111" s="167">
        <v>0</v>
      </c>
      <c r="BN111" s="1208">
        <f t="shared" si="81"/>
        <v>352.54057020287991</v>
      </c>
    </row>
    <row r="112" spans="1:66">
      <c r="A112" s="1050">
        <f>'Input data'!A143</f>
        <v>2043</v>
      </c>
      <c r="B112" s="946">
        <f>'Input data'!B143</f>
        <v>72.713999999999999</v>
      </c>
      <c r="C112" s="946">
        <f>'Recycling - Case 3'!AF122</f>
        <v>139.12867530930757</v>
      </c>
      <c r="D112" s="947">
        <f>'Recycling - Case 3'!AM122</f>
        <v>0.2834252604436</v>
      </c>
      <c r="E112" s="948">
        <f>'Recycling - Case 3'!BE122</f>
        <v>0.17037510887119423</v>
      </c>
      <c r="F112" s="948">
        <f>'Recycling - Case 3'!BF122</f>
        <v>0.2759496177051679</v>
      </c>
      <c r="G112" s="948">
        <f>'Recycling - Case 3'!BG122</f>
        <v>5.8958039761752561E-2</v>
      </c>
      <c r="H112" s="948">
        <f>'Recycling - Case 3'!BH122</f>
        <v>0</v>
      </c>
      <c r="I112" s="948">
        <f>'Recycling - Case 3'!BI122</f>
        <v>0</v>
      </c>
      <c r="J112" s="948">
        <f>'Recycling - Case 3'!BJ122</f>
        <v>0</v>
      </c>
      <c r="K112" s="948">
        <f>'Recycling - Case 3'!BK122</f>
        <v>0.49471723366188552</v>
      </c>
      <c r="L112" s="949">
        <f t="shared" si="83"/>
        <v>1.0000000000000002</v>
      </c>
      <c r="M112" s="4"/>
      <c r="N112" s="960">
        <f t="shared" si="50"/>
        <v>2867.3006973581614</v>
      </c>
      <c r="O112" s="955">
        <f>Parameters!R284</f>
        <v>1</v>
      </c>
      <c r="P112" s="956">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954">
        <f t="shared" si="51"/>
        <v>149.57188896883684</v>
      </c>
      <c r="R112" s="954">
        <f t="shared" si="52"/>
        <v>149.57188896883684</v>
      </c>
      <c r="S112" s="957">
        <f t="shared" si="53"/>
        <v>0</v>
      </c>
      <c r="T112" s="954">
        <f t="shared" si="54"/>
        <v>6583.9654363451191</v>
      </c>
      <c r="U112" s="954">
        <f t="shared" si="55"/>
        <v>329.89841168879656</v>
      </c>
      <c r="V112" s="961">
        <f t="shared" si="56"/>
        <v>219.93227445919771</v>
      </c>
      <c r="W112" s="4"/>
      <c r="X112" s="974">
        <f>'Recycling - Case 3'!AM162*'Recycling - Case 3'!C162</f>
        <v>2663.2349722773524</v>
      </c>
      <c r="Y112" s="975">
        <f>Parameters!S283</f>
        <v>0.71500000000000008</v>
      </c>
      <c r="Z112" s="975">
        <f t="shared" si="57"/>
        <v>0.2</v>
      </c>
      <c r="AA112" s="976">
        <f t="shared" si="58"/>
        <v>190.4213005178307</v>
      </c>
      <c r="AB112" s="976">
        <f t="shared" si="59"/>
        <v>190.4213005178307</v>
      </c>
      <c r="AC112" s="977">
        <f t="shared" si="60"/>
        <v>0</v>
      </c>
      <c r="AD112" s="976">
        <f t="shared" si="61"/>
        <v>3766.7837906018617</v>
      </c>
      <c r="AE112" s="976">
        <f t="shared" si="62"/>
        <v>183.36402590469564</v>
      </c>
      <c r="AF112" s="978">
        <f t="shared" si="63"/>
        <v>122.24268393646376</v>
      </c>
      <c r="AG112" s="4"/>
      <c r="AH112" s="974">
        <f>'Recycling - Case 3'!AM202*'Recycling - Case 3'!C202</f>
        <v>1035.0621342354832</v>
      </c>
      <c r="AI112" s="975">
        <f>Parameters!S283</f>
        <v>0.71500000000000008</v>
      </c>
      <c r="AJ112" s="975">
        <f t="shared" si="64"/>
        <v>0.2</v>
      </c>
      <c r="AK112" s="976">
        <f t="shared" si="65"/>
        <v>74.006942597837067</v>
      </c>
      <c r="AL112" s="976">
        <f t="shared" si="66"/>
        <v>74.006942597837067</v>
      </c>
      <c r="AM112" s="977">
        <f t="shared" si="67"/>
        <v>0</v>
      </c>
      <c r="AN112" s="976">
        <f t="shared" si="68"/>
        <v>3363.0639003235224</v>
      </c>
      <c r="AO112" s="976">
        <f t="shared" si="69"/>
        <v>168.63355626578601</v>
      </c>
      <c r="AP112" s="978">
        <f t="shared" si="70"/>
        <v>112.42237084385734</v>
      </c>
      <c r="AQ112" s="4"/>
      <c r="AR112" s="972">
        <f>'Recycling - Case 3'!G122</f>
        <v>823.45791356653592</v>
      </c>
      <c r="AS112" s="968">
        <v>1</v>
      </c>
      <c r="AT112" s="968">
        <f t="shared" si="71"/>
        <v>0.05</v>
      </c>
      <c r="AU112" s="954">
        <f t="shared" si="72"/>
        <v>20.586447839163398</v>
      </c>
      <c r="AV112" s="954">
        <f t="shared" si="73"/>
        <v>20.586447839163398</v>
      </c>
      <c r="AW112" s="957">
        <f t="shared" si="74"/>
        <v>0</v>
      </c>
      <c r="AX112" s="954">
        <f t="shared" si="42"/>
        <v>283.79097007306547</v>
      </c>
      <c r="AY112" s="954">
        <f t="shared" si="47"/>
        <v>16.275658690065825</v>
      </c>
      <c r="AZ112" s="1053">
        <f t="shared" si="45"/>
        <v>10.850439126710549</v>
      </c>
      <c r="BA112" s="4"/>
      <c r="BB112" s="1185">
        <f t="shared" si="75"/>
        <v>219.93227445919771</v>
      </c>
      <c r="BC112" s="1186">
        <f t="shared" si="76"/>
        <v>122.24268393646376</v>
      </c>
      <c r="BD112" s="1218">
        <f t="shared" si="84"/>
        <v>10.850439126710549</v>
      </c>
      <c r="BE112" s="1186">
        <f t="shared" si="48"/>
        <v>353.02539752237203</v>
      </c>
      <c r="BF112" s="167">
        <v>0</v>
      </c>
      <c r="BG112" s="1208">
        <f t="shared" si="77"/>
        <v>353.02539752237203</v>
      </c>
      <c r="BI112" s="1185">
        <f t="shared" si="78"/>
        <v>219.93227445919771</v>
      </c>
      <c r="BJ112" s="1186">
        <f t="shared" si="79"/>
        <v>112.42237084385734</v>
      </c>
      <c r="BK112" s="1218">
        <f t="shared" si="80"/>
        <v>10.850439126710549</v>
      </c>
      <c r="BL112" s="1186">
        <f t="shared" si="49"/>
        <v>343.20508442976563</v>
      </c>
      <c r="BM112" s="167">
        <v>0</v>
      </c>
      <c r="BN112" s="1208">
        <f t="shared" si="81"/>
        <v>343.20508442976563</v>
      </c>
    </row>
    <row r="113" spans="1:66">
      <c r="A113" s="1050">
        <f>'Input data'!A144</f>
        <v>2044</v>
      </c>
      <c r="B113" s="946">
        <f>'Input data'!B144</f>
        <v>73.165000000000006</v>
      </c>
      <c r="C113" s="946">
        <f>'Recycling - Case 3'!AF123</f>
        <v>139.12867530930757</v>
      </c>
      <c r="D113" s="947">
        <f>'Recycling - Case 3'!AM123</f>
        <v>0.2834252604436</v>
      </c>
      <c r="E113" s="948">
        <f>'Recycling - Case 3'!BE123</f>
        <v>0.17037510887119423</v>
      </c>
      <c r="F113" s="948">
        <f>'Recycling - Case 3'!BF123</f>
        <v>0.2759496177051679</v>
      </c>
      <c r="G113" s="948">
        <f>'Recycling - Case 3'!BG123</f>
        <v>5.8958039761752561E-2</v>
      </c>
      <c r="H113" s="948">
        <f>'Recycling - Case 3'!BH123</f>
        <v>0</v>
      </c>
      <c r="I113" s="948">
        <f>'Recycling - Case 3'!BI123</f>
        <v>0</v>
      </c>
      <c r="J113" s="948">
        <f>'Recycling - Case 3'!BJ123</f>
        <v>0</v>
      </c>
      <c r="K113" s="948">
        <f>'Recycling - Case 3'!BK123</f>
        <v>0.49471723366188552</v>
      </c>
      <c r="L113" s="949">
        <f t="shared" si="83"/>
        <v>1.0000000000000002</v>
      </c>
      <c r="M113" s="4"/>
      <c r="N113" s="960">
        <f t="shared" si="50"/>
        <v>2885.0847914048177</v>
      </c>
      <c r="O113" s="955">
        <f>Parameters!R285</f>
        <v>1</v>
      </c>
      <c r="P113" s="956">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954">
        <f t="shared" si="51"/>
        <v>150.4995909509166</v>
      </c>
      <c r="R113" s="954">
        <f t="shared" si="52"/>
        <v>150.4995909509166</v>
      </c>
      <c r="S113" s="957">
        <f t="shared" si="53"/>
        <v>0</v>
      </c>
      <c r="T113" s="954">
        <f t="shared" si="54"/>
        <v>6413.3612438980763</v>
      </c>
      <c r="U113" s="954">
        <f t="shared" si="55"/>
        <v>321.10378339795903</v>
      </c>
      <c r="V113" s="961">
        <f t="shared" si="56"/>
        <v>214.06918893197269</v>
      </c>
      <c r="W113" s="4"/>
      <c r="X113" s="974">
        <f>'Recycling - Case 3'!AM163*'Recycling - Case 3'!C163</f>
        <v>2944.643807555261</v>
      </c>
      <c r="Y113" s="975">
        <f>Parameters!S284</f>
        <v>0.71500000000000008</v>
      </c>
      <c r="Z113" s="975">
        <f t="shared" si="57"/>
        <v>0.2</v>
      </c>
      <c r="AA113" s="976">
        <f t="shared" si="58"/>
        <v>210.54203224020119</v>
      </c>
      <c r="AB113" s="976">
        <f t="shared" si="59"/>
        <v>210.54203224020119</v>
      </c>
      <c r="AC113" s="977">
        <f t="shared" si="60"/>
        <v>0</v>
      </c>
      <c r="AD113" s="976">
        <f t="shared" si="61"/>
        <v>3793.6176095930282</v>
      </c>
      <c r="AE113" s="976">
        <f t="shared" si="62"/>
        <v>183.70821324903474</v>
      </c>
      <c r="AF113" s="978">
        <f t="shared" si="63"/>
        <v>122.47214216602316</v>
      </c>
      <c r="AG113" s="4"/>
      <c r="AH113" s="974">
        <f>'Recycling - Case 3'!AM203*'Recycling - Case 3'!C203</f>
        <v>1068.4526073776522</v>
      </c>
      <c r="AI113" s="975">
        <f>Parameters!S284</f>
        <v>0.71500000000000008</v>
      </c>
      <c r="AJ113" s="975">
        <f t="shared" si="64"/>
        <v>0.2</v>
      </c>
      <c r="AK113" s="976">
        <f t="shared" si="65"/>
        <v>76.394361427502133</v>
      </c>
      <c r="AL113" s="976">
        <f t="shared" si="66"/>
        <v>76.394361427502133</v>
      </c>
      <c r="AM113" s="977">
        <f t="shared" si="67"/>
        <v>0</v>
      </c>
      <c r="AN113" s="976">
        <f t="shared" si="68"/>
        <v>3275.439699891373</v>
      </c>
      <c r="AO113" s="976">
        <f t="shared" si="69"/>
        <v>164.01856185965156</v>
      </c>
      <c r="AP113" s="978">
        <f t="shared" si="70"/>
        <v>109.34570790643437</v>
      </c>
      <c r="AQ113" s="4"/>
      <c r="AR113" s="972">
        <f>'Recycling - Case 3'!G123</f>
        <v>828.56531405362932</v>
      </c>
      <c r="AS113" s="968">
        <v>1</v>
      </c>
      <c r="AT113" s="968">
        <f t="shared" si="71"/>
        <v>0.05</v>
      </c>
      <c r="AU113" s="954">
        <f t="shared" si="72"/>
        <v>20.714132851340736</v>
      </c>
      <c r="AV113" s="954">
        <f t="shared" si="73"/>
        <v>20.714132851340736</v>
      </c>
      <c r="AW113" s="957">
        <f t="shared" si="74"/>
        <v>0</v>
      </c>
      <c r="AX113" s="954">
        <f t="shared" ref="AX113:AX119" si="85">AV113+(AX112*$E$8)</f>
        <v>287.97840341762276</v>
      </c>
      <c r="AY113" s="954">
        <f t="shared" si="47"/>
        <v>16.52669950678348</v>
      </c>
      <c r="AZ113" s="1053">
        <f t="shared" si="45"/>
        <v>11.017799671188987</v>
      </c>
      <c r="BA113" s="4"/>
      <c r="BB113" s="1185">
        <f t="shared" si="75"/>
        <v>214.06918893197269</v>
      </c>
      <c r="BC113" s="1186">
        <f t="shared" si="76"/>
        <v>122.47214216602316</v>
      </c>
      <c r="BD113" s="1218">
        <f t="shared" si="84"/>
        <v>11.017799671188987</v>
      </c>
      <c r="BE113" s="1186">
        <f t="shared" si="48"/>
        <v>347.55913076918483</v>
      </c>
      <c r="BF113" s="167">
        <v>0</v>
      </c>
      <c r="BG113" s="1208">
        <f t="shared" si="77"/>
        <v>347.55913076918483</v>
      </c>
      <c r="BI113" s="1185">
        <f t="shared" si="78"/>
        <v>214.06918893197269</v>
      </c>
      <c r="BJ113" s="1186">
        <f t="shared" si="79"/>
        <v>109.34570790643437</v>
      </c>
      <c r="BK113" s="1218">
        <f t="shared" si="80"/>
        <v>11.017799671188987</v>
      </c>
      <c r="BL113" s="1186">
        <f t="shared" si="49"/>
        <v>334.43269650959604</v>
      </c>
      <c r="BM113" s="167">
        <v>0</v>
      </c>
      <c r="BN113" s="1208">
        <f t="shared" si="81"/>
        <v>334.43269650959604</v>
      </c>
    </row>
    <row r="114" spans="1:66">
      <c r="A114" s="1050">
        <f>'Input data'!A145</f>
        <v>2045</v>
      </c>
      <c r="B114" s="946">
        <f>'Input data'!B145</f>
        <v>73.62</v>
      </c>
      <c r="C114" s="946">
        <f>'Recycling - Case 3'!AF124</f>
        <v>139.12867530930757</v>
      </c>
      <c r="D114" s="947">
        <f>'Recycling - Case 3'!AM124</f>
        <v>0.2834252604436</v>
      </c>
      <c r="E114" s="948">
        <f>'Recycling - Case 3'!BE124</f>
        <v>0.17037510887119423</v>
      </c>
      <c r="F114" s="948">
        <f>'Recycling - Case 3'!BF124</f>
        <v>0.2759496177051679</v>
      </c>
      <c r="G114" s="948">
        <f>'Recycling - Case 3'!BG124</f>
        <v>5.8958039761752561E-2</v>
      </c>
      <c r="H114" s="948">
        <f>'Recycling - Case 3'!BH124</f>
        <v>0</v>
      </c>
      <c r="I114" s="948">
        <f>'Recycling - Case 3'!BI124</f>
        <v>0</v>
      </c>
      <c r="J114" s="948">
        <f>'Recycling - Case 3'!BJ124</f>
        <v>0</v>
      </c>
      <c r="K114" s="948">
        <f>'Recycling - Case 3'!BK124</f>
        <v>0.49471723366188552</v>
      </c>
      <c r="L114" s="949">
        <f t="shared" si="83"/>
        <v>1.0000000000000002</v>
      </c>
      <c r="M114" s="4"/>
      <c r="N114" s="960">
        <f t="shared" si="50"/>
        <v>2903.0266157756128</v>
      </c>
      <c r="O114" s="955">
        <f>Parameters!R286</f>
        <v>1</v>
      </c>
      <c r="P114" s="956">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954">
        <f t="shared" si="51"/>
        <v>151.43552088849151</v>
      </c>
      <c r="R114" s="954">
        <f t="shared" si="52"/>
        <v>151.43552088849151</v>
      </c>
      <c r="S114" s="957">
        <f t="shared" si="53"/>
        <v>0</v>
      </c>
      <c r="T114" s="954">
        <f t="shared" si="54"/>
        <v>6252.0134460368427</v>
      </c>
      <c r="U114" s="954">
        <f t="shared" si="55"/>
        <v>312.78331874972582</v>
      </c>
      <c r="V114" s="961">
        <f t="shared" si="56"/>
        <v>208.52221249981721</v>
      </c>
      <c r="W114" s="4"/>
      <c r="X114" s="974">
        <f>'Recycling - Case 3'!AM164*'Recycling - Case 3'!C164</f>
        <v>3235.0382190409127</v>
      </c>
      <c r="Y114" s="975">
        <f>Parameters!S285</f>
        <v>0.71500000000000008</v>
      </c>
      <c r="Z114" s="975">
        <f t="shared" si="57"/>
        <v>0.2</v>
      </c>
      <c r="AA114" s="976">
        <f t="shared" si="58"/>
        <v>231.30523266142529</v>
      </c>
      <c r="AB114" s="976">
        <f t="shared" si="59"/>
        <v>231.30523266142529</v>
      </c>
      <c r="AC114" s="977">
        <f t="shared" si="60"/>
        <v>0</v>
      </c>
      <c r="AD114" s="976">
        <f t="shared" si="61"/>
        <v>3839.9059282103758</v>
      </c>
      <c r="AE114" s="976">
        <f t="shared" si="62"/>
        <v>185.01691404407759</v>
      </c>
      <c r="AF114" s="978">
        <f t="shared" si="63"/>
        <v>123.3446093627184</v>
      </c>
      <c r="AG114" s="4"/>
      <c r="AH114" s="974">
        <f>'Recycling - Case 3'!AM204*'Recycling - Case 3'!C204</f>
        <v>1103.9156059791687</v>
      </c>
      <c r="AI114" s="975">
        <f>Parameters!S285</f>
        <v>0.71500000000000008</v>
      </c>
      <c r="AJ114" s="975">
        <f t="shared" si="64"/>
        <v>0.2</v>
      </c>
      <c r="AK114" s="976">
        <f t="shared" si="65"/>
        <v>78.929965827510571</v>
      </c>
      <c r="AL114" s="976">
        <f t="shared" si="66"/>
        <v>78.929965827510571</v>
      </c>
      <c r="AM114" s="977">
        <f t="shared" si="67"/>
        <v>0</v>
      </c>
      <c r="AN114" s="976">
        <f t="shared" si="68"/>
        <v>3194.6245865419728</v>
      </c>
      <c r="AO114" s="976">
        <f t="shared" si="69"/>
        <v>159.74507917691082</v>
      </c>
      <c r="AP114" s="978">
        <f t="shared" si="70"/>
        <v>106.49671945127388</v>
      </c>
      <c r="AQ114" s="4"/>
      <c r="AR114" s="972">
        <f>'Recycling - Case 3'!G124</f>
        <v>833.71801299293634</v>
      </c>
      <c r="AS114" s="968">
        <v>1</v>
      </c>
      <c r="AT114" s="968">
        <f t="shared" si="71"/>
        <v>0.05</v>
      </c>
      <c r="AU114" s="954">
        <f t="shared" si="72"/>
        <v>20.842950324823409</v>
      </c>
      <c r="AV114" s="954">
        <f t="shared" si="73"/>
        <v>20.842950324823409</v>
      </c>
      <c r="AW114" s="957">
        <f t="shared" si="74"/>
        <v>0</v>
      </c>
      <c r="AX114" s="954">
        <f t="shared" si="85"/>
        <v>292.0507971017575</v>
      </c>
      <c r="AY114" s="954">
        <f t="shared" si="47"/>
        <v>16.770556640688643</v>
      </c>
      <c r="AZ114" s="1053">
        <f t="shared" si="45"/>
        <v>11.180371093792429</v>
      </c>
      <c r="BA114" s="4"/>
      <c r="BB114" s="1185">
        <f t="shared" si="75"/>
        <v>208.52221249981721</v>
      </c>
      <c r="BC114" s="1186">
        <f t="shared" si="76"/>
        <v>123.3446093627184</v>
      </c>
      <c r="BD114" s="1218">
        <f t="shared" si="84"/>
        <v>11.180371093792429</v>
      </c>
      <c r="BE114" s="1186">
        <f t="shared" si="48"/>
        <v>343.04719295632805</v>
      </c>
      <c r="BF114" s="167">
        <v>0</v>
      </c>
      <c r="BG114" s="1208">
        <f t="shared" si="77"/>
        <v>343.04719295632805</v>
      </c>
      <c r="BI114" s="1185">
        <f t="shared" si="78"/>
        <v>208.52221249981721</v>
      </c>
      <c r="BJ114" s="1186">
        <f t="shared" si="79"/>
        <v>106.49671945127388</v>
      </c>
      <c r="BK114" s="1218">
        <f t="shared" si="80"/>
        <v>11.180371093792429</v>
      </c>
      <c r="BL114" s="1186">
        <f t="shared" si="49"/>
        <v>326.19930304488349</v>
      </c>
      <c r="BM114" s="167">
        <v>0</v>
      </c>
      <c r="BN114" s="1208">
        <f t="shared" si="81"/>
        <v>326.19930304488349</v>
      </c>
    </row>
    <row r="115" spans="1:66">
      <c r="A115" s="1050">
        <f>'Input data'!A146</f>
        <v>2046</v>
      </c>
      <c r="B115" s="946">
        <f>'Input data'!B146</f>
        <v>73.995000000000005</v>
      </c>
      <c r="C115" s="946">
        <f>'Recycling - Case 3'!AF125</f>
        <v>139.12867530930757</v>
      </c>
      <c r="D115" s="947">
        <f>'Recycling - Case 3'!AM125</f>
        <v>0.2834252604436</v>
      </c>
      <c r="E115" s="948">
        <f>'Recycling - Case 3'!BE125</f>
        <v>0.17037510887119423</v>
      </c>
      <c r="F115" s="948">
        <f>'Recycling - Case 3'!BF125</f>
        <v>0.2759496177051679</v>
      </c>
      <c r="G115" s="948">
        <f>'Recycling - Case 3'!BG125</f>
        <v>5.8958039761752561E-2</v>
      </c>
      <c r="H115" s="948">
        <f>'Recycling - Case 3'!BH125</f>
        <v>0</v>
      </c>
      <c r="I115" s="948">
        <f>'Recycling - Case 3'!BI125</f>
        <v>0</v>
      </c>
      <c r="J115" s="948">
        <f>'Recycling - Case 3'!BJ125</f>
        <v>0</v>
      </c>
      <c r="K115" s="948">
        <f>'Recycling - Case 3'!BK125</f>
        <v>0.49471723366188552</v>
      </c>
      <c r="L115" s="949">
        <f t="shared" si="83"/>
        <v>1.0000000000000002</v>
      </c>
      <c r="M115" s="4"/>
      <c r="N115" s="960">
        <f t="shared" si="50"/>
        <v>2917.8138336636298</v>
      </c>
      <c r="O115" s="955">
        <f>Parameters!R287</f>
        <v>1</v>
      </c>
      <c r="P115" s="956">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954">
        <f t="shared" si="51"/>
        <v>152.20689171616311</v>
      </c>
      <c r="R115" s="954">
        <f t="shared" si="52"/>
        <v>152.20689171616311</v>
      </c>
      <c r="S115" s="957">
        <f t="shared" si="53"/>
        <v>0</v>
      </c>
      <c r="T115" s="954">
        <f>R115+(T114*$C$8)</f>
        <v>6099.3060439605151</v>
      </c>
      <c r="U115" s="954">
        <f t="shared" si="55"/>
        <v>304.91429379249098</v>
      </c>
      <c r="V115" s="961">
        <f t="shared" si="56"/>
        <v>203.27619586166065</v>
      </c>
      <c r="W115" s="4"/>
      <c r="X115" s="974">
        <f>'Recycling - Case 3'!AM165*'Recycling - Case 3'!C165</f>
        <v>3533.0351656202447</v>
      </c>
      <c r="Y115" s="975">
        <f>Parameters!S286</f>
        <v>0.71500000000000008</v>
      </c>
      <c r="Z115" s="975">
        <f t="shared" si="57"/>
        <v>0.2</v>
      </c>
      <c r="AA115" s="976">
        <f t="shared" si="58"/>
        <v>252.61201434184753</v>
      </c>
      <c r="AB115" s="976">
        <f t="shared" si="59"/>
        <v>252.61201434184753</v>
      </c>
      <c r="AC115" s="977">
        <f t="shared" si="60"/>
        <v>0</v>
      </c>
      <c r="AD115" s="976">
        <f t="shared" si="61"/>
        <v>3905.2435205702832</v>
      </c>
      <c r="AE115" s="976">
        <f t="shared" si="62"/>
        <v>187.27442198193995</v>
      </c>
      <c r="AF115" s="978">
        <f t="shared" si="63"/>
        <v>124.84961465462663</v>
      </c>
      <c r="AG115" s="4"/>
      <c r="AH115" s="974">
        <f>'Recycling - Case 3'!AM205*'Recycling - Case 3'!C205</f>
        <v>1141.1321312519813</v>
      </c>
      <c r="AI115" s="975">
        <f>Parameters!S286</f>
        <v>0.71500000000000008</v>
      </c>
      <c r="AJ115" s="975">
        <f t="shared" si="64"/>
        <v>0.2</v>
      </c>
      <c r="AK115" s="976">
        <f t="shared" si="65"/>
        <v>81.590947384516667</v>
      </c>
      <c r="AL115" s="976">
        <f t="shared" si="66"/>
        <v>81.590947384516667</v>
      </c>
      <c r="AM115" s="977">
        <f t="shared" si="67"/>
        <v>0</v>
      </c>
      <c r="AN115" s="976">
        <f t="shared" si="68"/>
        <v>3120.411854336669</v>
      </c>
      <c r="AO115" s="976">
        <f t="shared" si="69"/>
        <v>155.80367958982055</v>
      </c>
      <c r="AP115" s="978">
        <f t="shared" si="70"/>
        <v>103.86911972654703</v>
      </c>
      <c r="AQ115" s="4"/>
      <c r="AR115" s="972">
        <f>'Recycling - Case 3'!G125</f>
        <v>837.96474288796969</v>
      </c>
      <c r="AS115" s="968">
        <v>1</v>
      </c>
      <c r="AT115" s="968">
        <f t="shared" si="71"/>
        <v>0.05</v>
      </c>
      <c r="AU115" s="954">
        <f t="shared" si="72"/>
        <v>20.949118572199243</v>
      </c>
      <c r="AV115" s="954">
        <f t="shared" si="73"/>
        <v>20.949118572199243</v>
      </c>
      <c r="AW115" s="957">
        <f t="shared" si="74"/>
        <v>0</v>
      </c>
      <c r="AX115" s="954">
        <f t="shared" si="85"/>
        <v>295.99220128764398</v>
      </c>
      <c r="AY115" s="954">
        <f t="shared" si="47"/>
        <v>17.007714386312792</v>
      </c>
      <c r="AZ115" s="1053">
        <f t="shared" si="45"/>
        <v>11.338476257541862</v>
      </c>
      <c r="BA115" s="4"/>
      <c r="BB115" s="1185">
        <f t="shared" si="75"/>
        <v>203.27619586166065</v>
      </c>
      <c r="BC115" s="1186">
        <f t="shared" si="76"/>
        <v>124.84961465462663</v>
      </c>
      <c r="BD115" s="1218">
        <f t="shared" si="84"/>
        <v>11.338476257541862</v>
      </c>
      <c r="BE115" s="1186">
        <f t="shared" si="48"/>
        <v>339.46428677382914</v>
      </c>
      <c r="BF115" s="167">
        <v>0</v>
      </c>
      <c r="BG115" s="1208">
        <f t="shared" si="77"/>
        <v>339.46428677382914</v>
      </c>
      <c r="BI115" s="1185">
        <f t="shared" si="78"/>
        <v>203.27619586166065</v>
      </c>
      <c r="BJ115" s="1186">
        <f t="shared" si="79"/>
        <v>103.86911972654703</v>
      </c>
      <c r="BK115" s="1218">
        <f t="shared" si="80"/>
        <v>11.338476257541862</v>
      </c>
      <c r="BL115" s="1186">
        <f t="shared" si="49"/>
        <v>318.48379184574952</v>
      </c>
      <c r="BM115" s="167">
        <v>0</v>
      </c>
      <c r="BN115" s="1208">
        <f t="shared" si="81"/>
        <v>318.48379184574952</v>
      </c>
    </row>
    <row r="116" spans="1:66">
      <c r="A116" s="1050">
        <f>'Input data'!A147</f>
        <v>2047</v>
      </c>
      <c r="B116" s="946">
        <f>'Input data'!B147</f>
        <v>74.373000000000005</v>
      </c>
      <c r="C116" s="946">
        <f>'Recycling - Case 3'!AF126</f>
        <v>139.12867530930757</v>
      </c>
      <c r="D116" s="947">
        <f>'Recycling - Case 3'!AM126</f>
        <v>0.2834252604436</v>
      </c>
      <c r="E116" s="948">
        <f>'Recycling - Case 3'!BE126</f>
        <v>0.17037510887119423</v>
      </c>
      <c r="F116" s="948">
        <f>'Recycling - Case 3'!BF126</f>
        <v>0.2759496177051679</v>
      </c>
      <c r="G116" s="948">
        <f>'Recycling - Case 3'!BG126</f>
        <v>5.8958039761752561E-2</v>
      </c>
      <c r="H116" s="948">
        <f>'Recycling - Case 3'!BH126</f>
        <v>0</v>
      </c>
      <c r="I116" s="948">
        <f>'Recycling - Case 3'!BI126</f>
        <v>0</v>
      </c>
      <c r="J116" s="948">
        <f>'Recycling - Case 3'!BJ126</f>
        <v>0</v>
      </c>
      <c r="K116" s="948">
        <f>'Recycling - Case 3'!BK126</f>
        <v>0.49471723366188552</v>
      </c>
      <c r="L116" s="949">
        <f t="shared" si="83"/>
        <v>1.0000000000000002</v>
      </c>
      <c r="M116" s="4"/>
      <c r="N116" s="960">
        <f t="shared" si="50"/>
        <v>2932.7193492947517</v>
      </c>
      <c r="O116" s="955">
        <f>Parameters!R288</f>
        <v>1</v>
      </c>
      <c r="P116" s="956">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954">
        <f t="shared" si="51"/>
        <v>152.98443351045611</v>
      </c>
      <c r="R116" s="954">
        <f t="shared" si="52"/>
        <v>152.98443351045611</v>
      </c>
      <c r="S116" s="957">
        <f t="shared" si="53"/>
        <v>0</v>
      </c>
      <c r="T116" s="954">
        <f t="shared" ref="T116:T119" si="86">R116+(T115*$C$8)</f>
        <v>5954.8238115607437</v>
      </c>
      <c r="U116" s="954">
        <f t="shared" si="55"/>
        <v>297.46666591022762</v>
      </c>
      <c r="V116" s="961">
        <f t="shared" si="56"/>
        <v>198.3111106068184</v>
      </c>
      <c r="W116" s="4"/>
      <c r="X116" s="974">
        <f>'Recycling - Case 3'!AM166*'Recycling - Case 3'!C166</f>
        <v>3838.7352321015528</v>
      </c>
      <c r="Y116" s="975">
        <f>Parameters!S287</f>
        <v>0.71500000000000008</v>
      </c>
      <c r="Z116" s="975">
        <f t="shared" si="57"/>
        <v>0.2</v>
      </c>
      <c r="AA116" s="976">
        <f t="shared" si="58"/>
        <v>274.46956909526108</v>
      </c>
      <c r="AB116" s="976">
        <f t="shared" si="59"/>
        <v>274.46956909526108</v>
      </c>
      <c r="AC116" s="977">
        <f t="shared" si="60"/>
        <v>0</v>
      </c>
      <c r="AD116" s="976">
        <f t="shared" si="61"/>
        <v>3989.2521157024739</v>
      </c>
      <c r="AE116" s="976">
        <f t="shared" si="62"/>
        <v>190.46097396307039</v>
      </c>
      <c r="AF116" s="978">
        <f t="shared" si="63"/>
        <v>126.97398264204692</v>
      </c>
      <c r="AG116" s="4"/>
      <c r="AH116" s="974">
        <f>'Recycling - Case 3'!AM206*'Recycling - Case 3'!C206</f>
        <v>1180.1253831079473</v>
      </c>
      <c r="AI116" s="975">
        <f>Parameters!S287</f>
        <v>0.71500000000000008</v>
      </c>
      <c r="AJ116" s="975">
        <f t="shared" si="64"/>
        <v>0.2</v>
      </c>
      <c r="AK116" s="976">
        <f t="shared" si="65"/>
        <v>84.378964892218249</v>
      </c>
      <c r="AL116" s="976">
        <f t="shared" si="66"/>
        <v>84.378964892218249</v>
      </c>
      <c r="AM116" s="977">
        <f t="shared" si="67"/>
        <v>0</v>
      </c>
      <c r="AN116" s="976">
        <f t="shared" si="68"/>
        <v>3052.6065372980938</v>
      </c>
      <c r="AO116" s="976">
        <f t="shared" si="69"/>
        <v>152.1842819307935</v>
      </c>
      <c r="AP116" s="978">
        <f t="shared" si="70"/>
        <v>101.45618795386234</v>
      </c>
      <c r="AQ116" s="4"/>
      <c r="AR116" s="972">
        <f>'Recycling - Case 3'!G126</f>
        <v>842.24544662216317</v>
      </c>
      <c r="AS116" s="968">
        <v>1</v>
      </c>
      <c r="AT116" s="968">
        <f t="shared" si="71"/>
        <v>0.05</v>
      </c>
      <c r="AU116" s="954">
        <f t="shared" si="72"/>
        <v>21.056136165554079</v>
      </c>
      <c r="AV116" s="954">
        <f t="shared" si="73"/>
        <v>21.056136165554079</v>
      </c>
      <c r="AW116" s="957">
        <f t="shared" si="74"/>
        <v>0</v>
      </c>
      <c r="AX116" s="954">
        <f t="shared" si="85"/>
        <v>299.81109355578712</v>
      </c>
      <c r="AY116" s="954">
        <f t="shared" si="47"/>
        <v>17.237243897410885</v>
      </c>
      <c r="AZ116" s="1053">
        <f t="shared" si="45"/>
        <v>11.491495931607256</v>
      </c>
      <c r="BA116" s="4"/>
      <c r="BB116" s="1185">
        <f t="shared" si="75"/>
        <v>198.3111106068184</v>
      </c>
      <c r="BC116" s="1186">
        <f t="shared" si="76"/>
        <v>126.97398264204692</v>
      </c>
      <c r="BD116" s="1218">
        <f t="shared" si="84"/>
        <v>11.491495931607256</v>
      </c>
      <c r="BE116" s="1186">
        <f t="shared" si="48"/>
        <v>336.77658918047257</v>
      </c>
      <c r="BF116" s="167">
        <v>0</v>
      </c>
      <c r="BG116" s="1208">
        <f t="shared" si="77"/>
        <v>336.77658918047257</v>
      </c>
      <c r="BI116" s="1185">
        <f t="shared" si="78"/>
        <v>198.3111106068184</v>
      </c>
      <c r="BJ116" s="1186">
        <f t="shared" si="79"/>
        <v>101.45618795386234</v>
      </c>
      <c r="BK116" s="1218">
        <f t="shared" si="80"/>
        <v>11.491495931607256</v>
      </c>
      <c r="BL116" s="1186">
        <f t="shared" si="49"/>
        <v>311.25879449228796</v>
      </c>
      <c r="BM116" s="167">
        <v>0</v>
      </c>
      <c r="BN116" s="1208">
        <f t="shared" si="81"/>
        <v>311.25879449228796</v>
      </c>
    </row>
    <row r="117" spans="1:66">
      <c r="A117" s="1050">
        <f>'Input data'!A148</f>
        <v>2048</v>
      </c>
      <c r="B117" s="946">
        <f>'Input data'!B148</f>
        <v>74.753</v>
      </c>
      <c r="C117" s="946">
        <f>'Recycling - Case 3'!AF127</f>
        <v>139.12867530930757</v>
      </c>
      <c r="D117" s="947">
        <f>'Recycling - Case 3'!AM127</f>
        <v>0.2834252604436</v>
      </c>
      <c r="E117" s="948">
        <f>'Recycling - Case 3'!BE127</f>
        <v>0.17037510887119423</v>
      </c>
      <c r="F117" s="948">
        <f>'Recycling - Case 3'!BF127</f>
        <v>0.2759496177051679</v>
      </c>
      <c r="G117" s="948">
        <f>'Recycling - Case 3'!BG127</f>
        <v>5.8958039761752561E-2</v>
      </c>
      <c r="H117" s="948">
        <f>'Recycling - Case 3'!BH127</f>
        <v>0</v>
      </c>
      <c r="I117" s="948">
        <f>'Recycling - Case 3'!BI127</f>
        <v>0</v>
      </c>
      <c r="J117" s="948">
        <f>'Recycling - Case 3'!BJ127</f>
        <v>0</v>
      </c>
      <c r="K117" s="948">
        <f>'Recycling - Case 3'!BK127</f>
        <v>0.49471723366188552</v>
      </c>
      <c r="L117" s="949">
        <f t="shared" si="83"/>
        <v>1.0000000000000002</v>
      </c>
      <c r="M117" s="4"/>
      <c r="N117" s="960">
        <f t="shared" si="50"/>
        <v>2947.7037300879429</v>
      </c>
      <c r="O117" s="955">
        <f>Parameters!R289</f>
        <v>1</v>
      </c>
      <c r="P117" s="956">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954">
        <f t="shared" si="51"/>
        <v>153.76608928249667</v>
      </c>
      <c r="R117" s="954">
        <f t="shared" si="52"/>
        <v>153.76608928249667</v>
      </c>
      <c r="S117" s="957">
        <f t="shared" si="53"/>
        <v>0</v>
      </c>
      <c r="T117" s="954">
        <f t="shared" si="86"/>
        <v>5818.1697165565711</v>
      </c>
      <c r="U117" s="954">
        <f t="shared" si="55"/>
        <v>290.42018428666921</v>
      </c>
      <c r="V117" s="961">
        <f t="shared" si="56"/>
        <v>193.61345619111282</v>
      </c>
      <c r="W117" s="4"/>
      <c r="X117" s="974">
        <f>'Recycling - Case 3'!AM167*'Recycling - Case 3'!C167</f>
        <v>4146.3799382099105</v>
      </c>
      <c r="Y117" s="975">
        <f>Parameters!S288</f>
        <v>0.71500000000000008</v>
      </c>
      <c r="Z117" s="975">
        <f t="shared" si="57"/>
        <v>0.2</v>
      </c>
      <c r="AA117" s="976">
        <f t="shared" si="58"/>
        <v>296.46616558200867</v>
      </c>
      <c r="AB117" s="976">
        <f t="shared" si="59"/>
        <v>296.46616558200867</v>
      </c>
      <c r="AC117" s="977">
        <f t="shared" si="60"/>
        <v>0</v>
      </c>
      <c r="AD117" s="976">
        <f t="shared" si="61"/>
        <v>4091.1601597899289</v>
      </c>
      <c r="AE117" s="976">
        <f t="shared" si="62"/>
        <v>194.55812149455386</v>
      </c>
      <c r="AF117" s="978">
        <f t="shared" si="63"/>
        <v>129.70541432970256</v>
      </c>
      <c r="AG117" s="4"/>
      <c r="AH117" s="974">
        <f>'Recycling - Case 3'!AM207*'Recycling - Case 3'!C207</f>
        <v>1219.5671665931759</v>
      </c>
      <c r="AI117" s="975">
        <f>Parameters!S288</f>
        <v>0.71500000000000008</v>
      </c>
      <c r="AJ117" s="975">
        <f t="shared" si="64"/>
        <v>0.2</v>
      </c>
      <c r="AK117" s="976">
        <f t="shared" si="65"/>
        <v>87.199052411412083</v>
      </c>
      <c r="AL117" s="976">
        <f t="shared" si="66"/>
        <v>87.199052411412083</v>
      </c>
      <c r="AM117" s="977">
        <f t="shared" si="67"/>
        <v>0</v>
      </c>
      <c r="AN117" s="976">
        <f t="shared" si="68"/>
        <v>2990.9282121125952</v>
      </c>
      <c r="AO117" s="976">
        <f t="shared" si="69"/>
        <v>148.87737759691063</v>
      </c>
      <c r="AP117" s="978">
        <f t="shared" si="70"/>
        <v>99.251585064607085</v>
      </c>
      <c r="AQ117" s="4"/>
      <c r="AR117" s="972">
        <f>'Recycling - Case 3'!G127</f>
        <v>846.54879958246352</v>
      </c>
      <c r="AS117" s="968">
        <v>1</v>
      </c>
      <c r="AT117" s="968">
        <f t="shared" si="71"/>
        <v>0.05</v>
      </c>
      <c r="AU117" s="954">
        <f t="shared" si="72"/>
        <v>21.163719989561589</v>
      </c>
      <c r="AV117" s="954">
        <f t="shared" si="73"/>
        <v>21.163719989561589</v>
      </c>
      <c r="AW117" s="957">
        <f t="shared" si="74"/>
        <v>0</v>
      </c>
      <c r="AX117" s="954">
        <f t="shared" si="85"/>
        <v>303.51517467551099</v>
      </c>
      <c r="AY117" s="954">
        <f t="shared" si="47"/>
        <v>17.459638869837708</v>
      </c>
      <c r="AZ117" s="1053">
        <f t="shared" si="45"/>
        <v>11.639759246558471</v>
      </c>
      <c r="BA117" s="4"/>
      <c r="BB117" s="1185">
        <f t="shared" si="75"/>
        <v>193.61345619111282</v>
      </c>
      <c r="BC117" s="1186">
        <f t="shared" si="76"/>
        <v>129.70541432970256</v>
      </c>
      <c r="BD117" s="1218">
        <f t="shared" si="84"/>
        <v>11.639759246558471</v>
      </c>
      <c r="BE117" s="1186">
        <f t="shared" si="48"/>
        <v>334.95862976737385</v>
      </c>
      <c r="BF117" s="167">
        <v>0</v>
      </c>
      <c r="BG117" s="1208">
        <f t="shared" si="77"/>
        <v>334.95862976737385</v>
      </c>
      <c r="BI117" s="1185">
        <f t="shared" si="78"/>
        <v>193.61345619111282</v>
      </c>
      <c r="BJ117" s="1186">
        <f t="shared" si="79"/>
        <v>99.251585064607085</v>
      </c>
      <c r="BK117" s="1218">
        <f t="shared" si="80"/>
        <v>11.639759246558471</v>
      </c>
      <c r="BL117" s="1186">
        <f t="shared" si="49"/>
        <v>304.50480050227839</v>
      </c>
      <c r="BM117" s="167">
        <v>0</v>
      </c>
      <c r="BN117" s="1208">
        <f t="shared" si="81"/>
        <v>304.50480050227839</v>
      </c>
    </row>
    <row r="118" spans="1:66">
      <c r="A118" s="1050">
        <f>'Input data'!A149</f>
        <v>2049</v>
      </c>
      <c r="B118" s="946">
        <f>'Input data'!B149</f>
        <v>75.134</v>
      </c>
      <c r="C118" s="946">
        <f>'Recycling - Case 3'!AF128</f>
        <v>139.12867530930757</v>
      </c>
      <c r="D118" s="947">
        <f>'Recycling - Case 3'!AM128</f>
        <v>0.2834252604436</v>
      </c>
      <c r="E118" s="948">
        <f>'Recycling - Case 3'!BE128</f>
        <v>0.17037510887119423</v>
      </c>
      <c r="F118" s="948">
        <f>'Recycling - Case 3'!BF128</f>
        <v>0.2759496177051679</v>
      </c>
      <c r="G118" s="948">
        <f>'Recycling - Case 3'!BG128</f>
        <v>5.8958039761752561E-2</v>
      </c>
      <c r="H118" s="948">
        <f>'Recycling - Case 3'!BH128</f>
        <v>0</v>
      </c>
      <c r="I118" s="948">
        <f>'Recycling - Case 3'!BI128</f>
        <v>0</v>
      </c>
      <c r="J118" s="948">
        <f>'Recycling - Case 3'!BJ128</f>
        <v>0</v>
      </c>
      <c r="K118" s="948">
        <f>'Recycling - Case 3'!BK128</f>
        <v>0.49471723366188552</v>
      </c>
      <c r="L118" s="949">
        <f t="shared" si="83"/>
        <v>1.0000000000000002</v>
      </c>
      <c r="M118" s="4"/>
      <c r="N118" s="960">
        <f t="shared" si="50"/>
        <v>2962.7275434621683</v>
      </c>
      <c r="O118" s="955">
        <f>Parameters!R290</f>
        <v>1</v>
      </c>
      <c r="P118" s="956">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954">
        <f t="shared" si="51"/>
        <v>154.54980204341101</v>
      </c>
      <c r="R118" s="954">
        <f t="shared" si="52"/>
        <v>154.54980204341101</v>
      </c>
      <c r="S118" s="957">
        <f t="shared" si="53"/>
        <v>0</v>
      </c>
      <c r="T118" s="954">
        <f t="shared" si="86"/>
        <v>5688.9640331709998</v>
      </c>
      <c r="U118" s="954">
        <f t="shared" si="55"/>
        <v>283.75548542898156</v>
      </c>
      <c r="V118" s="961">
        <f t="shared" si="56"/>
        <v>189.17032361932104</v>
      </c>
      <c r="W118" s="4"/>
      <c r="X118" s="974">
        <f>'Recycling - Case 3'!AM168*'Recycling - Case 3'!C168</f>
        <v>4462.4570040803892</v>
      </c>
      <c r="Y118" s="975">
        <f>Parameters!S289</f>
        <v>0.71500000000000008</v>
      </c>
      <c r="Z118" s="975">
        <f t="shared" si="57"/>
        <v>0.2</v>
      </c>
      <c r="AA118" s="976">
        <f t="shared" si="58"/>
        <v>319.06567579174788</v>
      </c>
      <c r="AB118" s="976">
        <f t="shared" si="59"/>
        <v>319.06567579174788</v>
      </c>
      <c r="AC118" s="977">
        <f t="shared" si="60"/>
        <v>0</v>
      </c>
      <c r="AD118" s="976">
        <f t="shared" si="61"/>
        <v>4210.6976001289713</v>
      </c>
      <c r="AE118" s="976">
        <f t="shared" si="62"/>
        <v>199.52823545270564</v>
      </c>
      <c r="AF118" s="978">
        <f t="shared" si="63"/>
        <v>133.0188236351371</v>
      </c>
      <c r="AG118" s="4"/>
      <c r="AH118" s="974">
        <f>'Recycling - Case 3'!AM208*'Recycling - Case 3'!C208</f>
        <v>1260.9538760225316</v>
      </c>
      <c r="AI118" s="975">
        <f>Parameters!S289</f>
        <v>0.71500000000000008</v>
      </c>
      <c r="AJ118" s="975">
        <f t="shared" si="64"/>
        <v>0.2</v>
      </c>
      <c r="AK118" s="976">
        <f t="shared" si="65"/>
        <v>90.15820213561102</v>
      </c>
      <c r="AL118" s="976">
        <f t="shared" si="66"/>
        <v>90.15820213561102</v>
      </c>
      <c r="AM118" s="977">
        <f t="shared" si="67"/>
        <v>0</v>
      </c>
      <c r="AN118" s="976">
        <f t="shared" si="68"/>
        <v>2935.2171240664247</v>
      </c>
      <c r="AO118" s="976">
        <f t="shared" si="69"/>
        <v>145.86929018178176</v>
      </c>
      <c r="AP118" s="978">
        <f t="shared" si="70"/>
        <v>97.246193454521176</v>
      </c>
      <c r="AQ118" s="4"/>
      <c r="AR118" s="972">
        <f>'Recycling - Case 3'!G128</f>
        <v>850.86347715581735</v>
      </c>
      <c r="AS118" s="968">
        <v>1</v>
      </c>
      <c r="AT118" s="968">
        <f t="shared" si="71"/>
        <v>0.05</v>
      </c>
      <c r="AU118" s="954">
        <f t="shared" si="72"/>
        <v>21.271586928895434</v>
      </c>
      <c r="AV118" s="954">
        <f t="shared" si="73"/>
        <v>21.271586928895434</v>
      </c>
      <c r="AW118" s="957">
        <f t="shared" si="74"/>
        <v>0</v>
      </c>
      <c r="AX118" s="954">
        <f t="shared" si="85"/>
        <v>307.11141384291983</v>
      </c>
      <c r="AY118" s="954">
        <f t="shared" si="47"/>
        <v>17.675347761486602</v>
      </c>
      <c r="AZ118" s="1053">
        <f t="shared" si="45"/>
        <v>11.783565174324401</v>
      </c>
      <c r="BA118" s="4"/>
      <c r="BB118" s="1185">
        <f t="shared" si="75"/>
        <v>189.17032361932104</v>
      </c>
      <c r="BC118" s="1186">
        <f t="shared" si="76"/>
        <v>133.0188236351371</v>
      </c>
      <c r="BD118" s="1218">
        <f t="shared" si="84"/>
        <v>11.783565174324401</v>
      </c>
      <c r="BE118" s="1186">
        <f t="shared" si="48"/>
        <v>333.97271242878253</v>
      </c>
      <c r="BF118" s="167">
        <v>0</v>
      </c>
      <c r="BG118" s="1208">
        <f t="shared" si="77"/>
        <v>333.97271242878253</v>
      </c>
      <c r="BI118" s="1185">
        <f t="shared" si="78"/>
        <v>189.17032361932104</v>
      </c>
      <c r="BJ118" s="1186">
        <f t="shared" si="79"/>
        <v>97.246193454521176</v>
      </c>
      <c r="BK118" s="1218">
        <f t="shared" si="80"/>
        <v>11.783565174324401</v>
      </c>
      <c r="BL118" s="1186">
        <f t="shared" si="49"/>
        <v>298.20008224816661</v>
      </c>
      <c r="BM118" s="167">
        <v>0</v>
      </c>
      <c r="BN118" s="1208">
        <f t="shared" si="81"/>
        <v>298.20008224816661</v>
      </c>
    </row>
    <row r="119" spans="1:66" ht="15" thickBot="1">
      <c r="A119" s="1051">
        <f>'Input data'!A150</f>
        <v>2050</v>
      </c>
      <c r="B119" s="950">
        <f>'Input data'!B150</f>
        <v>75.518000000000001</v>
      </c>
      <c r="C119" s="950">
        <f>'Recycling - Case 3'!AF129</f>
        <v>139.12867530930757</v>
      </c>
      <c r="D119" s="951">
        <f>'Recycling - Case 3'!AM129</f>
        <v>0.2834252604436</v>
      </c>
      <c r="E119" s="952">
        <f>'Recycling - Case 3'!BE129</f>
        <v>0.17037510887119423</v>
      </c>
      <c r="F119" s="952">
        <f>'Recycling - Case 3'!BF129</f>
        <v>0.2759496177051679</v>
      </c>
      <c r="G119" s="952">
        <f>'Recycling - Case 3'!BG129</f>
        <v>5.8958039761752561E-2</v>
      </c>
      <c r="H119" s="952">
        <f>'Recycling - Case 3'!BH129</f>
        <v>0</v>
      </c>
      <c r="I119" s="952">
        <f>'Recycling - Case 3'!BI129</f>
        <v>0</v>
      </c>
      <c r="J119" s="952">
        <f>'Recycling - Case 3'!BJ129</f>
        <v>0</v>
      </c>
      <c r="K119" s="952">
        <f>'Recycling - Case 3'!BK129</f>
        <v>0.49471723366188552</v>
      </c>
      <c r="L119" s="953">
        <f t="shared" si="83"/>
        <v>1.0000000000000002</v>
      </c>
      <c r="M119" s="4"/>
      <c r="N119" s="962">
        <f t="shared" si="50"/>
        <v>2977.8696545794983</v>
      </c>
      <c r="O119" s="963">
        <f>Parameters!R291</f>
        <v>1</v>
      </c>
      <c r="P119" s="964">
        <f>E119*'MSW characteristics'!$B$28+'MSW characteristics'!$B$29*'4A SWD Case 3'!F119+'4A SWD Case 3'!G119*'MSW characteristics'!$B$30+'MSW characteristics'!$B$31*'4A SWD Case 3'!H119+'4A SWD Case 3'!I119*'MSW characteristics'!$B$32+'MSW characteristics'!$B$33*'4A SWD Case 3'!J119+'4A SWD Case 3'!K119*'MSW characteristics'!$B$35</f>
        <v>0.10432940577641374</v>
      </c>
      <c r="Q119" s="965">
        <f t="shared" si="51"/>
        <v>155.33968577094674</v>
      </c>
      <c r="R119" s="965">
        <f t="shared" si="52"/>
        <v>155.33968577094674</v>
      </c>
      <c r="S119" s="966">
        <f t="shared" si="53"/>
        <v>0</v>
      </c>
      <c r="T119" s="965">
        <f t="shared" si="86"/>
        <v>5566.8496690494576</v>
      </c>
      <c r="U119" s="965">
        <f t="shared" si="55"/>
        <v>277.45404989248874</v>
      </c>
      <c r="V119" s="967">
        <f t="shared" si="56"/>
        <v>184.96936659499249</v>
      </c>
      <c r="W119" s="4"/>
      <c r="X119" s="979">
        <f>'Recycling - Case 3'!AM169*'Recycling - Case 3'!C169</f>
        <v>4787.6369951016259</v>
      </c>
      <c r="Y119" s="980">
        <f>Parameters!S290</f>
        <v>0.71500000000000008</v>
      </c>
      <c r="Z119" s="980">
        <f t="shared" si="57"/>
        <v>0.2</v>
      </c>
      <c r="AA119" s="981">
        <f>X119*Z119*Y119*$D$4</f>
        <v>342.3160451497663</v>
      </c>
      <c r="AB119" s="981">
        <f t="shared" si="59"/>
        <v>342.3160451497663</v>
      </c>
      <c r="AC119" s="982">
        <f t="shared" si="60"/>
        <v>0</v>
      </c>
      <c r="AD119" s="981">
        <f t="shared" si="61"/>
        <v>4347.655500066985</v>
      </c>
      <c r="AE119" s="981">
        <f t="shared" si="62"/>
        <v>205.35814521175229</v>
      </c>
      <c r="AF119" s="983">
        <f t="shared" si="63"/>
        <v>136.90543014116818</v>
      </c>
      <c r="AG119" s="4"/>
      <c r="AH119" s="979">
        <f>'Recycling - Case 3'!AM209*'Recycling - Case 3'!C209</f>
        <v>1304.4401774750706</v>
      </c>
      <c r="AI119" s="980">
        <f>Parameters!S290</f>
        <v>0.71500000000000008</v>
      </c>
      <c r="AJ119" s="980">
        <f t="shared" si="64"/>
        <v>0.2</v>
      </c>
      <c r="AK119" s="981">
        <f t="shared" si="65"/>
        <v>93.267472689467567</v>
      </c>
      <c r="AL119" s="981">
        <f t="shared" si="66"/>
        <v>93.267472689467567</v>
      </c>
      <c r="AM119" s="982">
        <f t="shared" si="67"/>
        <v>0</v>
      </c>
      <c r="AN119" s="981">
        <f t="shared" si="68"/>
        <v>2885.3323683998137</v>
      </c>
      <c r="AO119" s="981">
        <f t="shared" si="69"/>
        <v>143.15222835607864</v>
      </c>
      <c r="AP119" s="983">
        <f t="shared" si="70"/>
        <v>95.43481890405242</v>
      </c>
      <c r="AQ119" s="4"/>
      <c r="AR119" s="973">
        <f>'Recycling - Case 3'!G129</f>
        <v>855.21212856833142</v>
      </c>
      <c r="AS119" s="970">
        <f>Parameters!R221</f>
        <v>1</v>
      </c>
      <c r="AT119" s="970">
        <f t="shared" si="71"/>
        <v>0.05</v>
      </c>
      <c r="AU119" s="965">
        <f t="shared" si="72"/>
        <v>21.380303214208286</v>
      </c>
      <c r="AV119" s="965">
        <f t="shared" si="73"/>
        <v>21.380303214208286</v>
      </c>
      <c r="AW119" s="966">
        <f t="shared" si="74"/>
        <v>0</v>
      </c>
      <c r="AX119" s="965">
        <f t="shared" si="85"/>
        <v>310.60694063038488</v>
      </c>
      <c r="AY119" s="965">
        <f t="shared" si="47"/>
        <v>17.884776426743251</v>
      </c>
      <c r="AZ119" s="1054">
        <f t="shared" si="45"/>
        <v>11.9231842844955</v>
      </c>
      <c r="BA119" s="4"/>
      <c r="BB119" s="1187">
        <f t="shared" si="75"/>
        <v>184.96936659499249</v>
      </c>
      <c r="BC119" s="1188">
        <f t="shared" si="76"/>
        <v>136.90543014116818</v>
      </c>
      <c r="BD119" s="1219">
        <f t="shared" si="84"/>
        <v>11.9231842844955</v>
      </c>
      <c r="BE119" s="1188">
        <f t="shared" si="48"/>
        <v>333.79798102065615</v>
      </c>
      <c r="BF119" s="1189">
        <v>0</v>
      </c>
      <c r="BG119" s="1209">
        <f t="shared" si="77"/>
        <v>333.79798102065615</v>
      </c>
      <c r="BI119" s="1187">
        <f t="shared" si="78"/>
        <v>184.96936659499249</v>
      </c>
      <c r="BJ119" s="1188">
        <f t="shared" si="79"/>
        <v>95.43481890405242</v>
      </c>
      <c r="BK119" s="1219">
        <f t="shared" si="80"/>
        <v>11.9231842844955</v>
      </c>
      <c r="BL119" s="1188">
        <f t="shared" si="49"/>
        <v>292.32736978354041</v>
      </c>
      <c r="BM119" s="1189">
        <v>0</v>
      </c>
      <c r="BN119" s="1209">
        <f t="shared" si="81"/>
        <v>292.32736978354041</v>
      </c>
    </row>
    <row r="120" spans="1:66">
      <c r="A120" s="100"/>
      <c r="B120" s="4"/>
      <c r="C120" s="4"/>
      <c r="D120" s="4"/>
      <c r="E120" s="4"/>
      <c r="F120" s="4"/>
      <c r="G120" s="4"/>
      <c r="H120" s="4"/>
      <c r="I120" s="4"/>
      <c r="J120" s="4"/>
      <c r="K120" s="4"/>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sheetData>
  <mergeCells count="26">
    <mergeCell ref="F15:F16"/>
    <mergeCell ref="G15:G16"/>
    <mergeCell ref="H15:H16"/>
    <mergeCell ref="I15:I16"/>
    <mergeCell ref="BE15:BE16"/>
    <mergeCell ref="J15:J16"/>
    <mergeCell ref="K15:K16"/>
    <mergeCell ref="L15:L16"/>
    <mergeCell ref="BB15:BB16"/>
    <mergeCell ref="BC15:BC16"/>
    <mergeCell ref="BD15:BD16"/>
    <mergeCell ref="A15:A17"/>
    <mergeCell ref="B15:B16"/>
    <mergeCell ref="C15:C16"/>
    <mergeCell ref="D15:D16"/>
    <mergeCell ref="E15:E16"/>
    <mergeCell ref="BB14:BG14"/>
    <mergeCell ref="BF15:BF16"/>
    <mergeCell ref="BG15:BG16"/>
    <mergeCell ref="BI14:BN14"/>
    <mergeCell ref="BI15:BI16"/>
    <mergeCell ref="BJ15:BJ16"/>
    <mergeCell ref="BK15:BK16"/>
    <mergeCell ref="BL15:BL16"/>
    <mergeCell ref="BM15:BM16"/>
    <mergeCell ref="BN15:BN16"/>
  </mergeCells>
  <pageMargins left="0.7" right="0.7" top="0.75" bottom="0.75" header="0.3" footer="0.3"/>
  <ignoredErrors>
    <ignoredError sqref="B88:B119 B19:C68 E19:K68 B87 D87:K87 D88:K119"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W284"/>
  <sheetViews>
    <sheetView topLeftCell="A3" zoomScale="55" zoomScaleNormal="55" workbookViewId="0">
      <selection activeCell="N68" sqref="N68"/>
    </sheetView>
  </sheetViews>
  <sheetFormatPr defaultRowHeight="14.4"/>
  <cols>
    <col min="1" max="1" width="35.21875" bestFit="1" customWidth="1"/>
    <col min="2" max="2" width="35.21875" customWidth="1"/>
    <col min="3" max="3" width="17.6640625" customWidth="1"/>
    <col min="4" max="4" width="12.77734375" customWidth="1"/>
    <col min="5" max="5" width="18.44140625" bestFit="1" customWidth="1"/>
    <col min="6" max="6" width="25.21875" customWidth="1"/>
    <col min="7"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77734375" customWidth="1"/>
    <col min="14" max="14" width="17.88671875" customWidth="1"/>
    <col min="15" max="15" width="13.44140625" customWidth="1"/>
    <col min="16" max="16" width="11.77734375" customWidth="1"/>
    <col min="17" max="17" width="13.6640625" customWidth="1"/>
    <col min="18" max="18" width="15.88671875" customWidth="1"/>
    <col min="19" max="19" width="17" customWidth="1"/>
    <col min="20" max="20" width="17.5546875" customWidth="1"/>
    <col min="21" max="21" width="16.6640625" customWidth="1"/>
    <col min="22" max="22" width="17.77734375" customWidth="1"/>
    <col min="23" max="23" width="14.109375" customWidth="1"/>
  </cols>
  <sheetData>
    <row r="1" spans="1:23" ht="21">
      <c r="A1" s="1419" t="s">
        <v>857</v>
      </c>
      <c r="B1" s="1420"/>
      <c r="C1" s="115"/>
      <c r="D1" s="115"/>
      <c r="E1" s="115"/>
      <c r="F1" s="116"/>
    </row>
    <row r="2" spans="1:23">
      <c r="A2" s="127"/>
      <c r="F2" s="130"/>
    </row>
    <row r="3" spans="1:23" ht="28.8">
      <c r="A3" s="157" t="s">
        <v>175</v>
      </c>
      <c r="C3" s="1421" t="s">
        <v>177</v>
      </c>
      <c r="D3" s="1421" t="s">
        <v>178</v>
      </c>
      <c r="E3" s="1422"/>
      <c r="F3" s="1271" t="s">
        <v>185</v>
      </c>
    </row>
    <row r="4" spans="1:23">
      <c r="A4" s="127" t="s">
        <v>176</v>
      </c>
      <c r="B4" t="s">
        <v>179</v>
      </c>
      <c r="C4">
        <v>10</v>
      </c>
      <c r="D4">
        <v>4</v>
      </c>
      <c r="F4" s="1937" t="s">
        <v>184</v>
      </c>
    </row>
    <row r="5" spans="1:23">
      <c r="A5" s="127" t="s">
        <v>180</v>
      </c>
      <c r="B5" t="s">
        <v>179</v>
      </c>
      <c r="C5">
        <v>2</v>
      </c>
      <c r="D5">
        <v>0.8</v>
      </c>
      <c r="F5" s="1937"/>
    </row>
    <row r="6" spans="1:23">
      <c r="A6" s="157" t="s">
        <v>181</v>
      </c>
      <c r="F6" s="1937"/>
    </row>
    <row r="7" spans="1:23">
      <c r="A7" s="127" t="s">
        <v>176</v>
      </c>
      <c r="B7" t="s">
        <v>183</v>
      </c>
      <c r="C7">
        <v>0.6</v>
      </c>
      <c r="D7">
        <v>0.24</v>
      </c>
      <c r="F7" s="1937"/>
    </row>
    <row r="8" spans="1:23" ht="15" thickBot="1">
      <c r="A8" s="172" t="s">
        <v>180</v>
      </c>
      <c r="B8" s="163" t="s">
        <v>183</v>
      </c>
      <c r="C8" s="1270" t="s">
        <v>182</v>
      </c>
      <c r="D8" s="1270" t="s">
        <v>182</v>
      </c>
      <c r="E8" s="163"/>
      <c r="F8" s="1938"/>
    </row>
    <row r="9" spans="1:23" ht="15" thickBot="1">
      <c r="C9" s="456"/>
      <c r="D9" s="456"/>
      <c r="F9" s="1422"/>
    </row>
    <row r="10" spans="1:23" ht="15" thickBot="1">
      <c r="B10" s="1922" t="s">
        <v>587</v>
      </c>
      <c r="C10" s="1923"/>
      <c r="D10" s="1923"/>
      <c r="E10" s="1923"/>
      <c r="F10" s="1923"/>
      <c r="G10" s="1923"/>
      <c r="H10" s="1923"/>
      <c r="I10" s="1923"/>
      <c r="J10" s="1924"/>
      <c r="K10" s="1919" t="s">
        <v>586</v>
      </c>
      <c r="L10" s="1920"/>
      <c r="M10" s="1920"/>
      <c r="N10" s="1920"/>
      <c r="O10" s="1920"/>
      <c r="P10" s="1920"/>
      <c r="Q10" s="1920"/>
      <c r="R10" s="1920"/>
      <c r="S10" s="1921"/>
      <c r="T10" s="1925" t="s">
        <v>588</v>
      </c>
      <c r="U10" s="1926"/>
      <c r="V10" s="1926"/>
      <c r="W10" s="1927"/>
    </row>
    <row r="11" spans="1:23" ht="28.8" customHeight="1">
      <c r="A11" s="1935" t="s">
        <v>217</v>
      </c>
      <c r="B11" s="896" t="s">
        <v>710</v>
      </c>
      <c r="C11" s="1933" t="s">
        <v>571</v>
      </c>
      <c r="D11" s="1934"/>
      <c r="E11" s="1933" t="s">
        <v>289</v>
      </c>
      <c r="F11" s="1934"/>
      <c r="G11" s="1933" t="s">
        <v>290</v>
      </c>
      <c r="H11" s="1941"/>
      <c r="I11" s="1939" t="s">
        <v>287</v>
      </c>
      <c r="J11" s="1940"/>
      <c r="K11" s="548" t="s">
        <v>583</v>
      </c>
      <c r="L11" s="1928" t="s">
        <v>571</v>
      </c>
      <c r="M11" s="1929"/>
      <c r="N11" s="1928" t="s">
        <v>289</v>
      </c>
      <c r="O11" s="1929"/>
      <c r="P11" s="1928" t="s">
        <v>290</v>
      </c>
      <c r="Q11" s="1930"/>
      <c r="R11" s="1931" t="s">
        <v>287</v>
      </c>
      <c r="S11" s="1932"/>
      <c r="T11" s="1917" t="s">
        <v>585</v>
      </c>
      <c r="U11" s="1918"/>
      <c r="V11" s="1917" t="s">
        <v>584</v>
      </c>
      <c r="W11" s="1918"/>
    </row>
    <row r="12" spans="1:23" ht="29.4" customHeight="1" thickBot="1">
      <c r="A12" s="1936"/>
      <c r="B12" s="542" t="s">
        <v>228</v>
      </c>
      <c r="C12" s="543" t="s">
        <v>234</v>
      </c>
      <c r="D12" s="544" t="s">
        <v>176</v>
      </c>
      <c r="E12" s="543" t="s">
        <v>234</v>
      </c>
      <c r="F12" s="544" t="s">
        <v>176</v>
      </c>
      <c r="G12" s="543" t="s">
        <v>234</v>
      </c>
      <c r="H12" s="545" t="s">
        <v>176</v>
      </c>
      <c r="I12" s="546" t="s">
        <v>234</v>
      </c>
      <c r="J12" s="547" t="s">
        <v>176</v>
      </c>
      <c r="K12" s="549" t="s">
        <v>228</v>
      </c>
      <c r="L12" s="550" t="s">
        <v>234</v>
      </c>
      <c r="M12" s="551" t="s">
        <v>176</v>
      </c>
      <c r="N12" s="550" t="s">
        <v>234</v>
      </c>
      <c r="O12" s="551" t="s">
        <v>176</v>
      </c>
      <c r="P12" s="550" t="s">
        <v>234</v>
      </c>
      <c r="Q12" s="552" t="s">
        <v>176</v>
      </c>
      <c r="R12" s="553" t="s">
        <v>234</v>
      </c>
      <c r="S12" s="554" t="s">
        <v>176</v>
      </c>
      <c r="T12" s="540" t="s">
        <v>234</v>
      </c>
      <c r="U12" s="541" t="s">
        <v>176</v>
      </c>
      <c r="V12" s="540" t="s">
        <v>234</v>
      </c>
      <c r="W12" s="541" t="s">
        <v>176</v>
      </c>
    </row>
    <row r="13" spans="1:23" ht="14.4" hidden="1" customHeight="1">
      <c r="A13" s="123">
        <f>'Input data'!A50</f>
        <v>1950</v>
      </c>
      <c r="B13" s="1423"/>
      <c r="C13">
        <v>0</v>
      </c>
      <c r="D13">
        <v>0</v>
      </c>
      <c r="E13">
        <v>0</v>
      </c>
      <c r="F13">
        <v>0</v>
      </c>
      <c r="G13" s="178">
        <f>C13*$D$5*'Input data'!K50/1000-E13</f>
        <v>0</v>
      </c>
      <c r="H13" s="178">
        <f>D13*$D$4*'Input data'!K50/1000-F13</f>
        <v>0</v>
      </c>
      <c r="I13" s="178">
        <v>0</v>
      </c>
      <c r="J13" s="178">
        <f>D13*$D$7*'Input data'!K50/1000</f>
        <v>0</v>
      </c>
      <c r="K13" s="1423"/>
      <c r="L13">
        <v>0</v>
      </c>
      <c r="M13">
        <v>0</v>
      </c>
      <c r="N13">
        <v>0</v>
      </c>
      <c r="O13">
        <v>0</v>
      </c>
      <c r="P13" s="178">
        <f>L13*$D$5*'Input data'!U50/1000-N13</f>
        <v>0</v>
      </c>
      <c r="Q13" s="178">
        <f>M13*$D$4*'Input data'!U50/1000-O13</f>
        <v>0</v>
      </c>
      <c r="R13" s="178">
        <v>0</v>
      </c>
      <c r="S13" s="178">
        <f>M13*$D$7*'Input data'!U50/1000</f>
        <v>0</v>
      </c>
    </row>
    <row r="14" spans="1:23" ht="14.4" hidden="1" customHeight="1">
      <c r="A14" s="123">
        <f>'Input data'!A51</f>
        <v>1951</v>
      </c>
      <c r="B14" s="1423"/>
      <c r="C14" t="e">
        <f>'Input data'!#REF!</f>
        <v>#REF!</v>
      </c>
      <c r="D14" t="e">
        <f>'Input data'!#REF!</f>
        <v>#REF!</v>
      </c>
      <c r="E14">
        <v>0</v>
      </c>
      <c r="F14">
        <v>0</v>
      </c>
      <c r="G14" s="178" t="e">
        <f>C14*$D$5*'Input data'!K51/1000-E14</f>
        <v>#REF!</v>
      </c>
      <c r="H14" s="178" t="e">
        <f>D14*$D$4*'Input data'!K51/1000-F14</f>
        <v>#REF!</v>
      </c>
      <c r="J14" s="178" t="e">
        <f>D14*$D$7*'Input data'!K51/1000</f>
        <v>#REF!</v>
      </c>
      <c r="K14" s="1423"/>
      <c r="L14" t="e">
        <f>'Input data'!#REF!</f>
        <v>#REF!</v>
      </c>
      <c r="M14" t="e">
        <f>'Input data'!#REF!</f>
        <v>#REF!</v>
      </c>
      <c r="N14">
        <v>0</v>
      </c>
      <c r="O14">
        <v>0</v>
      </c>
      <c r="P14" s="178" t="e">
        <f>L14*$D$5*'Input data'!U51/1000-N14</f>
        <v>#REF!</v>
      </c>
      <c r="Q14" s="178" t="e">
        <f>M14*$D$4*'Input data'!U51/1000-O14</f>
        <v>#REF!</v>
      </c>
      <c r="S14" s="178" t="e">
        <f>M14*$D$7*'Input data'!U51/1000</f>
        <v>#REF!</v>
      </c>
    </row>
    <row r="15" spans="1:23" ht="14.4" hidden="1" customHeight="1">
      <c r="A15" s="123">
        <f>'Input data'!A52</f>
        <v>1952</v>
      </c>
      <c r="B15" s="1423"/>
      <c r="C15" t="e">
        <f>'Input data'!#REF!</f>
        <v>#REF!</v>
      </c>
      <c r="D15" t="e">
        <f>'Input data'!#REF!</f>
        <v>#REF!</v>
      </c>
      <c r="E15">
        <v>0</v>
      </c>
      <c r="F15">
        <v>0</v>
      </c>
      <c r="G15" s="178" t="e">
        <f>C15*$D$5*'Input data'!K52/1000-E15</f>
        <v>#REF!</v>
      </c>
      <c r="H15" s="178" t="e">
        <f>D15*$D$4*'Input data'!K52/1000-F15</f>
        <v>#REF!</v>
      </c>
      <c r="J15" s="178" t="e">
        <f>D15*$D$7*'Input data'!K52/1000</f>
        <v>#REF!</v>
      </c>
      <c r="K15" s="1423"/>
      <c r="L15" t="e">
        <f>'Input data'!#REF!</f>
        <v>#REF!</v>
      </c>
      <c r="M15" t="e">
        <f>'Input data'!#REF!</f>
        <v>#REF!</v>
      </c>
      <c r="N15">
        <v>0</v>
      </c>
      <c r="O15">
        <v>0</v>
      </c>
      <c r="P15" s="178" t="e">
        <f>L15*$D$5*'Input data'!U52/1000-N15</f>
        <v>#REF!</v>
      </c>
      <c r="Q15" s="178" t="e">
        <f>M15*$D$4*'Input data'!U52/1000-O15</f>
        <v>#REF!</v>
      </c>
      <c r="S15" s="178" t="e">
        <f>M15*$D$7*'Input data'!U52/1000</f>
        <v>#REF!</v>
      </c>
    </row>
    <row r="16" spans="1:23" ht="14.4" hidden="1" customHeight="1">
      <c r="A16" s="123">
        <f>'Input data'!A53</f>
        <v>1953</v>
      </c>
      <c r="B16" s="1423"/>
      <c r="C16" t="e">
        <f>'Input data'!#REF!</f>
        <v>#REF!</v>
      </c>
      <c r="D16" t="e">
        <f>'Input data'!#REF!</f>
        <v>#REF!</v>
      </c>
      <c r="E16">
        <v>0</v>
      </c>
      <c r="F16">
        <v>0</v>
      </c>
      <c r="G16" s="178" t="e">
        <f>C16*$D$5*'Input data'!K53/1000-E16</f>
        <v>#REF!</v>
      </c>
      <c r="H16" s="178" t="e">
        <f>D16*$D$4*'Input data'!K53/1000-F16</f>
        <v>#REF!</v>
      </c>
      <c r="J16" s="178" t="e">
        <f>D16*$D$7*'Input data'!K53/1000</f>
        <v>#REF!</v>
      </c>
      <c r="K16" s="1423"/>
      <c r="L16" t="e">
        <f>'Input data'!#REF!</f>
        <v>#REF!</v>
      </c>
      <c r="M16" t="e">
        <f>'Input data'!#REF!</f>
        <v>#REF!</v>
      </c>
      <c r="N16">
        <v>0</v>
      </c>
      <c r="O16">
        <v>0</v>
      </c>
      <c r="P16" s="178" t="e">
        <f>L16*$D$5*'Input data'!U53/1000-N16</f>
        <v>#REF!</v>
      </c>
      <c r="Q16" s="178" t="e">
        <f>M16*$D$4*'Input data'!U53/1000-O16</f>
        <v>#REF!</v>
      </c>
      <c r="S16" s="178" t="e">
        <f>M16*$D$7*'Input data'!U53/1000</f>
        <v>#REF!</v>
      </c>
    </row>
    <row r="17" spans="1:19" ht="14.4" hidden="1" customHeight="1">
      <c r="A17" s="123">
        <f>'Input data'!A54</f>
        <v>1954</v>
      </c>
      <c r="B17" s="1423"/>
      <c r="C17" t="e">
        <f>'Input data'!#REF!</f>
        <v>#REF!</v>
      </c>
      <c r="D17" t="e">
        <f>'Input data'!#REF!</f>
        <v>#REF!</v>
      </c>
      <c r="E17">
        <v>0</v>
      </c>
      <c r="F17">
        <v>0</v>
      </c>
      <c r="G17" s="178" t="e">
        <f>C17*$D$5*'Input data'!K54/1000-E17</f>
        <v>#REF!</v>
      </c>
      <c r="H17" s="178" t="e">
        <f>D17*$D$4*'Input data'!K54/1000-F17</f>
        <v>#REF!</v>
      </c>
      <c r="J17" s="178" t="e">
        <f>D17*$D$7*'Input data'!K54/1000</f>
        <v>#REF!</v>
      </c>
      <c r="K17" s="1423"/>
      <c r="L17" t="e">
        <f>'Input data'!#REF!</f>
        <v>#REF!</v>
      </c>
      <c r="M17" t="e">
        <f>'Input data'!#REF!</f>
        <v>#REF!</v>
      </c>
      <c r="N17">
        <v>0</v>
      </c>
      <c r="O17">
        <v>0</v>
      </c>
      <c r="P17" s="178" t="e">
        <f>L17*$D$5*'Input data'!U54/1000-N17</f>
        <v>#REF!</v>
      </c>
      <c r="Q17" s="178" t="e">
        <f>M17*$D$4*'Input data'!U54/1000-O17</f>
        <v>#REF!</v>
      </c>
      <c r="S17" s="178" t="e">
        <f>M17*$D$7*'Input data'!U54/1000</f>
        <v>#REF!</v>
      </c>
    </row>
    <row r="18" spans="1:19" ht="14.4" hidden="1" customHeight="1">
      <c r="A18" s="123">
        <f>'Input data'!A55</f>
        <v>1955</v>
      </c>
      <c r="B18" s="1423"/>
      <c r="C18" t="e">
        <f>'Input data'!#REF!</f>
        <v>#REF!</v>
      </c>
      <c r="D18" t="e">
        <f>'Input data'!#REF!</f>
        <v>#REF!</v>
      </c>
      <c r="E18">
        <v>0</v>
      </c>
      <c r="F18">
        <v>0</v>
      </c>
      <c r="G18" s="178" t="e">
        <f>C18*$D$5*'Input data'!K55/1000-E18</f>
        <v>#REF!</v>
      </c>
      <c r="H18" s="178" t="e">
        <f>D18*$D$4*'Input data'!K55/1000-F18</f>
        <v>#REF!</v>
      </c>
      <c r="J18" s="178" t="e">
        <f>D18*$D$7*'Input data'!K55/1000</f>
        <v>#REF!</v>
      </c>
      <c r="K18" s="1423"/>
      <c r="L18" t="e">
        <f>'Input data'!#REF!</f>
        <v>#REF!</v>
      </c>
      <c r="M18" t="e">
        <f>'Input data'!#REF!</f>
        <v>#REF!</v>
      </c>
      <c r="N18">
        <v>0</v>
      </c>
      <c r="O18">
        <v>0</v>
      </c>
      <c r="P18" s="178" t="e">
        <f>L18*$D$5*'Input data'!U55/1000-N18</f>
        <v>#REF!</v>
      </c>
      <c r="Q18" s="178" t="e">
        <f>M18*$D$4*'Input data'!U55/1000-O18</f>
        <v>#REF!</v>
      </c>
      <c r="S18" s="178" t="e">
        <f>M18*$D$7*'Input data'!U55/1000</f>
        <v>#REF!</v>
      </c>
    </row>
    <row r="19" spans="1:19" ht="14.4" hidden="1" customHeight="1">
      <c r="A19" s="123">
        <f>'Input data'!A56</f>
        <v>1956</v>
      </c>
      <c r="B19" s="1423"/>
      <c r="C19" t="e">
        <f>'Input data'!#REF!</f>
        <v>#REF!</v>
      </c>
      <c r="D19" t="e">
        <f>'Input data'!#REF!</f>
        <v>#REF!</v>
      </c>
      <c r="E19">
        <v>0</v>
      </c>
      <c r="F19">
        <v>0</v>
      </c>
      <c r="G19" s="178" t="e">
        <f>C19*$D$5*'Input data'!K56/1000-E19</f>
        <v>#REF!</v>
      </c>
      <c r="H19" s="178" t="e">
        <f>D19*$D$4*'Input data'!K56/1000-F19</f>
        <v>#REF!</v>
      </c>
      <c r="J19" s="178" t="e">
        <f>D19*$D$7*'Input data'!K56/1000</f>
        <v>#REF!</v>
      </c>
      <c r="K19" s="1423"/>
      <c r="L19" t="e">
        <f>'Input data'!#REF!</f>
        <v>#REF!</v>
      </c>
      <c r="M19" t="e">
        <f>'Input data'!#REF!</f>
        <v>#REF!</v>
      </c>
      <c r="N19">
        <v>0</v>
      </c>
      <c r="O19">
        <v>0</v>
      </c>
      <c r="P19" s="178" t="e">
        <f>L19*$D$5*'Input data'!U56/1000-N19</f>
        <v>#REF!</v>
      </c>
      <c r="Q19" s="178" t="e">
        <f>M19*$D$4*'Input data'!U56/1000-O19</f>
        <v>#REF!</v>
      </c>
      <c r="S19" s="178" t="e">
        <f>M19*$D$7*'Input data'!U56/1000</f>
        <v>#REF!</v>
      </c>
    </row>
    <row r="20" spans="1:19" ht="14.4" hidden="1" customHeight="1">
      <c r="A20" s="123">
        <f>'Input data'!A57</f>
        <v>1957</v>
      </c>
      <c r="B20" s="1423"/>
      <c r="C20" t="e">
        <f>'Input data'!#REF!</f>
        <v>#REF!</v>
      </c>
      <c r="D20" t="e">
        <f>'Input data'!#REF!</f>
        <v>#REF!</v>
      </c>
      <c r="E20">
        <v>0</v>
      </c>
      <c r="F20">
        <v>0</v>
      </c>
      <c r="G20" s="178" t="e">
        <f>C20*$D$5*'Input data'!K57/1000-E20</f>
        <v>#REF!</v>
      </c>
      <c r="H20" s="178" t="e">
        <f>D20*$D$4*'Input data'!K57/1000-F20</f>
        <v>#REF!</v>
      </c>
      <c r="J20" s="178" t="e">
        <f>D20*$D$7*'Input data'!K57/1000</f>
        <v>#REF!</v>
      </c>
      <c r="K20" s="1423"/>
      <c r="L20" t="e">
        <f>'Input data'!#REF!</f>
        <v>#REF!</v>
      </c>
      <c r="M20" t="e">
        <f>'Input data'!#REF!</f>
        <v>#REF!</v>
      </c>
      <c r="N20">
        <v>0</v>
      </c>
      <c r="O20">
        <v>0</v>
      </c>
      <c r="P20" s="178" t="e">
        <f>L20*$D$5*'Input data'!U57/1000-N20</f>
        <v>#REF!</v>
      </c>
      <c r="Q20" s="178" t="e">
        <f>M20*$D$4*'Input data'!U57/1000-O20</f>
        <v>#REF!</v>
      </c>
      <c r="S20" s="178" t="e">
        <f>M20*$D$7*'Input data'!U57/1000</f>
        <v>#REF!</v>
      </c>
    </row>
    <row r="21" spans="1:19" ht="14.4" hidden="1" customHeight="1">
      <c r="A21" s="123">
        <f>'Input data'!A58</f>
        <v>1958</v>
      </c>
      <c r="B21" s="1423"/>
      <c r="C21" t="e">
        <f>'Input data'!#REF!</f>
        <v>#REF!</v>
      </c>
      <c r="D21" t="e">
        <f>'Input data'!#REF!</f>
        <v>#REF!</v>
      </c>
      <c r="E21">
        <v>0</v>
      </c>
      <c r="F21">
        <v>0</v>
      </c>
      <c r="G21" s="178" t="e">
        <f>C21*$D$5*'Input data'!K58/1000-E21</f>
        <v>#REF!</v>
      </c>
      <c r="H21" s="178" t="e">
        <f>D21*$D$4*'Input data'!K58/1000-F21</f>
        <v>#REF!</v>
      </c>
      <c r="J21" s="178" t="e">
        <f>D21*$D$7*'Input data'!K58/1000</f>
        <v>#REF!</v>
      </c>
      <c r="K21" s="1423"/>
      <c r="L21" t="e">
        <f>'Input data'!#REF!</f>
        <v>#REF!</v>
      </c>
      <c r="M21" t="e">
        <f>'Input data'!#REF!</f>
        <v>#REF!</v>
      </c>
      <c r="N21">
        <v>0</v>
      </c>
      <c r="O21">
        <v>0</v>
      </c>
      <c r="P21" s="178" t="e">
        <f>L21*$D$5*'Input data'!U58/1000-N21</f>
        <v>#REF!</v>
      </c>
      <c r="Q21" s="178" t="e">
        <f>M21*$D$4*'Input data'!U58/1000-O21</f>
        <v>#REF!</v>
      </c>
      <c r="S21" s="178" t="e">
        <f>M21*$D$7*'Input data'!U58/1000</f>
        <v>#REF!</v>
      </c>
    </row>
    <row r="22" spans="1:19" ht="14.4" hidden="1" customHeight="1">
      <c r="A22" s="123">
        <f>'Input data'!A59</f>
        <v>1959</v>
      </c>
      <c r="B22" s="1423"/>
      <c r="C22" t="e">
        <f>'Input data'!#REF!</f>
        <v>#REF!</v>
      </c>
      <c r="D22" t="e">
        <f>'Input data'!#REF!</f>
        <v>#REF!</v>
      </c>
      <c r="E22">
        <v>0</v>
      </c>
      <c r="F22">
        <v>0</v>
      </c>
      <c r="G22" s="178" t="e">
        <f>C22*$D$5*'Input data'!K59/1000-E22</f>
        <v>#REF!</v>
      </c>
      <c r="H22" s="178" t="e">
        <f>D22*$D$4*'Input data'!K59/1000-F22</f>
        <v>#REF!</v>
      </c>
      <c r="J22" s="178" t="e">
        <f>D22*$D$7*'Input data'!K59/1000</f>
        <v>#REF!</v>
      </c>
      <c r="K22" s="1423"/>
      <c r="L22" t="e">
        <f>'Input data'!#REF!</f>
        <v>#REF!</v>
      </c>
      <c r="M22" t="e">
        <f>'Input data'!#REF!</f>
        <v>#REF!</v>
      </c>
      <c r="N22">
        <v>0</v>
      </c>
      <c r="O22">
        <v>0</v>
      </c>
      <c r="P22" s="178" t="e">
        <f>L22*$D$5*'Input data'!U59/1000-N22</f>
        <v>#REF!</v>
      </c>
      <c r="Q22" s="178" t="e">
        <f>M22*$D$4*'Input data'!U59/1000-O22</f>
        <v>#REF!</v>
      </c>
      <c r="S22" s="178" t="e">
        <f>M22*$D$7*'Input data'!U59/1000</f>
        <v>#REF!</v>
      </c>
    </row>
    <row r="23" spans="1:19" ht="14.4" hidden="1" customHeight="1">
      <c r="A23" s="123">
        <f>'Input data'!A60</f>
        <v>1960</v>
      </c>
      <c r="B23" s="1423"/>
      <c r="C23" t="e">
        <f>'Input data'!#REF!</f>
        <v>#REF!</v>
      </c>
      <c r="D23" t="e">
        <f>'Input data'!#REF!</f>
        <v>#REF!</v>
      </c>
      <c r="E23">
        <v>0</v>
      </c>
      <c r="F23">
        <v>0</v>
      </c>
      <c r="G23" s="178" t="e">
        <f>C23*$D$5*'Input data'!K60/1000-E23</f>
        <v>#REF!</v>
      </c>
      <c r="H23" s="178" t="e">
        <f>D23*$D$4*'Input data'!K60/1000-F23</f>
        <v>#REF!</v>
      </c>
      <c r="J23" s="178" t="e">
        <f>D23*$D$7*'Input data'!K60/1000</f>
        <v>#REF!</v>
      </c>
      <c r="K23" s="1423"/>
      <c r="L23" t="e">
        <f>'Input data'!#REF!</f>
        <v>#REF!</v>
      </c>
      <c r="M23" t="e">
        <f>'Input data'!#REF!</f>
        <v>#REF!</v>
      </c>
      <c r="N23">
        <v>0</v>
      </c>
      <c r="O23">
        <v>0</v>
      </c>
      <c r="P23" s="178" t="e">
        <f>L23*$D$5*'Input data'!U60/1000-N23</f>
        <v>#REF!</v>
      </c>
      <c r="Q23" s="178" t="e">
        <f>M23*$D$4*'Input data'!U60/1000-O23</f>
        <v>#REF!</v>
      </c>
      <c r="S23" s="178" t="e">
        <f>M23*$D$7*'Input data'!U60/1000</f>
        <v>#REF!</v>
      </c>
    </row>
    <row r="24" spans="1:19" ht="14.4" hidden="1" customHeight="1">
      <c r="A24" s="123">
        <f>'Input data'!A61</f>
        <v>1961</v>
      </c>
      <c r="B24" s="1423"/>
      <c r="C24" t="e">
        <f>'Input data'!#REF!</f>
        <v>#REF!</v>
      </c>
      <c r="D24" t="e">
        <f>'Input data'!#REF!</f>
        <v>#REF!</v>
      </c>
      <c r="E24">
        <v>0</v>
      </c>
      <c r="F24">
        <v>0</v>
      </c>
      <c r="G24" s="178" t="e">
        <f>C24*$D$5*'Input data'!K61/1000-E24</f>
        <v>#REF!</v>
      </c>
      <c r="H24" s="178" t="e">
        <f>D24*$D$4*'Input data'!K61/1000-F24</f>
        <v>#REF!</v>
      </c>
      <c r="J24" s="178" t="e">
        <f>D24*$D$7*'Input data'!K61/1000</f>
        <v>#REF!</v>
      </c>
      <c r="K24" s="1423"/>
      <c r="L24" t="e">
        <f>'Input data'!#REF!</f>
        <v>#REF!</v>
      </c>
      <c r="M24" t="e">
        <f>'Input data'!#REF!</f>
        <v>#REF!</v>
      </c>
      <c r="N24">
        <v>0</v>
      </c>
      <c r="O24">
        <v>0</v>
      </c>
      <c r="P24" s="178" t="e">
        <f>L24*$D$5*'Input data'!U61/1000-N24</f>
        <v>#REF!</v>
      </c>
      <c r="Q24" s="178" t="e">
        <f>M24*$D$4*'Input data'!U61/1000-O24</f>
        <v>#REF!</v>
      </c>
      <c r="S24" s="178" t="e">
        <f>M24*$D$7*'Input data'!U61/1000</f>
        <v>#REF!</v>
      </c>
    </row>
    <row r="25" spans="1:19" ht="14.4" hidden="1" customHeight="1">
      <c r="A25" s="123">
        <f>'Input data'!A62</f>
        <v>1962</v>
      </c>
      <c r="B25" s="1423"/>
      <c r="C25" t="e">
        <f>'Input data'!#REF!</f>
        <v>#REF!</v>
      </c>
      <c r="D25" t="e">
        <f>'Input data'!#REF!</f>
        <v>#REF!</v>
      </c>
      <c r="E25">
        <v>0</v>
      </c>
      <c r="F25">
        <v>0</v>
      </c>
      <c r="G25" s="178" t="e">
        <f>C25*$D$5*'Input data'!K62/1000-E25</f>
        <v>#REF!</v>
      </c>
      <c r="H25" s="178" t="e">
        <f>D25*$D$4*'Input data'!K62/1000-F25</f>
        <v>#REF!</v>
      </c>
      <c r="J25" s="178" t="e">
        <f>D25*$D$7*'Input data'!K62/1000</f>
        <v>#REF!</v>
      </c>
      <c r="K25" s="1423"/>
      <c r="L25" t="e">
        <f>'Input data'!#REF!</f>
        <v>#REF!</v>
      </c>
      <c r="M25" t="e">
        <f>'Input data'!#REF!</f>
        <v>#REF!</v>
      </c>
      <c r="N25">
        <v>0</v>
      </c>
      <c r="O25">
        <v>0</v>
      </c>
      <c r="P25" s="178" t="e">
        <f>L25*$D$5*'Input data'!U62/1000-N25</f>
        <v>#REF!</v>
      </c>
      <c r="Q25" s="178" t="e">
        <f>M25*$D$4*'Input data'!U62/1000-O25</f>
        <v>#REF!</v>
      </c>
      <c r="S25" s="178" t="e">
        <f>M25*$D$7*'Input data'!U62/1000</f>
        <v>#REF!</v>
      </c>
    </row>
    <row r="26" spans="1:19" ht="14.4" hidden="1" customHeight="1">
      <c r="A26" s="123">
        <f>'Input data'!A63</f>
        <v>1963</v>
      </c>
      <c r="B26" s="1423"/>
      <c r="C26" t="e">
        <f>'Input data'!#REF!</f>
        <v>#REF!</v>
      </c>
      <c r="D26" t="e">
        <f>'Input data'!#REF!</f>
        <v>#REF!</v>
      </c>
      <c r="E26">
        <v>0</v>
      </c>
      <c r="F26">
        <v>0</v>
      </c>
      <c r="G26" s="178" t="e">
        <f>C26*$D$5*'Input data'!K63/1000-E26</f>
        <v>#REF!</v>
      </c>
      <c r="H26" s="178" t="e">
        <f>D26*$D$4*'Input data'!K63/1000-F26</f>
        <v>#REF!</v>
      </c>
      <c r="J26" s="178" t="e">
        <f>D26*$D$7*'Input data'!K63/1000</f>
        <v>#REF!</v>
      </c>
      <c r="K26" s="1423"/>
      <c r="L26" t="e">
        <f>'Input data'!#REF!</f>
        <v>#REF!</v>
      </c>
      <c r="M26" t="e">
        <f>'Input data'!#REF!</f>
        <v>#REF!</v>
      </c>
      <c r="N26">
        <v>0</v>
      </c>
      <c r="O26">
        <v>0</v>
      </c>
      <c r="P26" s="178" t="e">
        <f>L26*$D$5*'Input data'!U63/1000-N26</f>
        <v>#REF!</v>
      </c>
      <c r="Q26" s="178" t="e">
        <f>M26*$D$4*'Input data'!U63/1000-O26</f>
        <v>#REF!</v>
      </c>
      <c r="S26" s="178" t="e">
        <f>M26*$D$7*'Input data'!U63/1000</f>
        <v>#REF!</v>
      </c>
    </row>
    <row r="27" spans="1:19" ht="14.4" hidden="1" customHeight="1">
      <c r="A27" s="123">
        <f>'Input data'!A64</f>
        <v>1964</v>
      </c>
      <c r="B27" s="1423"/>
      <c r="C27" t="e">
        <f>'Input data'!#REF!</f>
        <v>#REF!</v>
      </c>
      <c r="D27" t="e">
        <f>'Input data'!#REF!</f>
        <v>#REF!</v>
      </c>
      <c r="E27">
        <v>0</v>
      </c>
      <c r="F27">
        <v>0</v>
      </c>
      <c r="G27" s="178" t="e">
        <f>C27*$D$5*'Input data'!K64/1000-E27</f>
        <v>#REF!</v>
      </c>
      <c r="H27" s="178" t="e">
        <f>D27*$D$4*'Input data'!K64/1000-F27</f>
        <v>#REF!</v>
      </c>
      <c r="J27" s="178" t="e">
        <f>D27*$D$7*'Input data'!K64/1000</f>
        <v>#REF!</v>
      </c>
      <c r="K27" s="1423"/>
      <c r="L27" t="e">
        <f>'Input data'!#REF!</f>
        <v>#REF!</v>
      </c>
      <c r="M27" t="e">
        <f>'Input data'!#REF!</f>
        <v>#REF!</v>
      </c>
      <c r="N27">
        <v>0</v>
      </c>
      <c r="O27">
        <v>0</v>
      </c>
      <c r="P27" s="178" t="e">
        <f>L27*$D$5*'Input data'!U64/1000-N27</f>
        <v>#REF!</v>
      </c>
      <c r="Q27" s="178" t="e">
        <f>M27*$D$4*'Input data'!U64/1000-O27</f>
        <v>#REF!</v>
      </c>
      <c r="S27" s="178" t="e">
        <f>M27*$D$7*'Input data'!U64/1000</f>
        <v>#REF!</v>
      </c>
    </row>
    <row r="28" spans="1:19" ht="14.4" hidden="1" customHeight="1">
      <c r="A28" s="123">
        <f>'Input data'!A65</f>
        <v>1965</v>
      </c>
      <c r="B28" s="1423"/>
      <c r="C28" t="e">
        <f>'Input data'!#REF!</f>
        <v>#REF!</v>
      </c>
      <c r="D28" t="e">
        <f>'Input data'!#REF!</f>
        <v>#REF!</v>
      </c>
      <c r="E28">
        <v>0</v>
      </c>
      <c r="F28">
        <v>0</v>
      </c>
      <c r="G28" s="178" t="e">
        <f>C28*$D$5*'Input data'!K65/1000-E28</f>
        <v>#REF!</v>
      </c>
      <c r="H28" s="178" t="e">
        <f>D28*$D$4*'Input data'!K65/1000-F28</f>
        <v>#REF!</v>
      </c>
      <c r="J28" s="178" t="e">
        <f>D28*$D$7*'Input data'!K65/1000</f>
        <v>#REF!</v>
      </c>
      <c r="K28" s="1423"/>
      <c r="L28" t="e">
        <f>'Input data'!#REF!</f>
        <v>#REF!</v>
      </c>
      <c r="M28" t="e">
        <f>'Input data'!#REF!</f>
        <v>#REF!</v>
      </c>
      <c r="N28">
        <v>0</v>
      </c>
      <c r="O28">
        <v>0</v>
      </c>
      <c r="P28" s="178" t="e">
        <f>L28*$D$5*'Input data'!U65/1000-N28</f>
        <v>#REF!</v>
      </c>
      <c r="Q28" s="178" t="e">
        <f>M28*$D$4*'Input data'!U65/1000-O28</f>
        <v>#REF!</v>
      </c>
      <c r="S28" s="178" t="e">
        <f>M28*$D$7*'Input data'!U65/1000</f>
        <v>#REF!</v>
      </c>
    </row>
    <row r="29" spans="1:19" ht="14.4" hidden="1" customHeight="1">
      <c r="A29" s="123">
        <f>'Input data'!A66</f>
        <v>1966</v>
      </c>
      <c r="B29" s="1423"/>
      <c r="C29" t="e">
        <f>'Input data'!#REF!</f>
        <v>#REF!</v>
      </c>
      <c r="D29" t="e">
        <f>'Input data'!#REF!</f>
        <v>#REF!</v>
      </c>
      <c r="E29">
        <v>0</v>
      </c>
      <c r="F29">
        <v>0</v>
      </c>
      <c r="G29" s="178" t="e">
        <f>C29*$D$5*'Input data'!K66/1000-E29</f>
        <v>#REF!</v>
      </c>
      <c r="H29" s="178" t="e">
        <f>D29*$D$4*'Input data'!K66/1000-F29</f>
        <v>#REF!</v>
      </c>
      <c r="J29" s="178" t="e">
        <f>D29*$D$7*'Input data'!K66/1000</f>
        <v>#REF!</v>
      </c>
      <c r="K29" s="1423"/>
      <c r="L29" t="e">
        <f>'Input data'!#REF!</f>
        <v>#REF!</v>
      </c>
      <c r="M29" t="e">
        <f>'Input data'!#REF!</f>
        <v>#REF!</v>
      </c>
      <c r="N29">
        <v>0</v>
      </c>
      <c r="O29">
        <v>0</v>
      </c>
      <c r="P29" s="178" t="e">
        <f>L29*$D$5*'Input data'!U66/1000-N29</f>
        <v>#REF!</v>
      </c>
      <c r="Q29" s="178" t="e">
        <f>M29*$D$4*'Input data'!U66/1000-O29</f>
        <v>#REF!</v>
      </c>
      <c r="S29" s="178" t="e">
        <f>M29*$D$7*'Input data'!U66/1000</f>
        <v>#REF!</v>
      </c>
    </row>
    <row r="30" spans="1:19" ht="14.4" hidden="1" customHeight="1">
      <c r="A30" s="123">
        <f>'Input data'!A67</f>
        <v>1967</v>
      </c>
      <c r="B30" s="1423"/>
      <c r="C30" t="e">
        <f>'Input data'!#REF!</f>
        <v>#REF!</v>
      </c>
      <c r="D30" t="e">
        <f>'Input data'!#REF!</f>
        <v>#REF!</v>
      </c>
      <c r="E30">
        <v>0</v>
      </c>
      <c r="F30">
        <v>0</v>
      </c>
      <c r="G30" s="178" t="e">
        <f>C30*$D$5*'Input data'!K67/1000-E30</f>
        <v>#REF!</v>
      </c>
      <c r="H30" s="178" t="e">
        <f>D30*$D$4*'Input data'!K67/1000-F30</f>
        <v>#REF!</v>
      </c>
      <c r="J30" s="178" t="e">
        <f>D30*$D$7*'Input data'!K67/1000</f>
        <v>#REF!</v>
      </c>
      <c r="K30" s="1423"/>
      <c r="L30" t="e">
        <f>'Input data'!#REF!</f>
        <v>#REF!</v>
      </c>
      <c r="M30" t="e">
        <f>'Input data'!#REF!</f>
        <v>#REF!</v>
      </c>
      <c r="N30">
        <v>0</v>
      </c>
      <c r="O30">
        <v>0</v>
      </c>
      <c r="P30" s="178" t="e">
        <f>L30*$D$5*'Input data'!U67/1000-N30</f>
        <v>#REF!</v>
      </c>
      <c r="Q30" s="178" t="e">
        <f>M30*$D$4*'Input data'!U67/1000-O30</f>
        <v>#REF!</v>
      </c>
      <c r="S30" s="178" t="e">
        <f>M30*$D$7*'Input data'!U67/1000</f>
        <v>#REF!</v>
      </c>
    </row>
    <row r="31" spans="1:19" ht="14.4" hidden="1" customHeight="1">
      <c r="A31" s="123">
        <f>'Input data'!A68</f>
        <v>1968</v>
      </c>
      <c r="B31" s="1423"/>
      <c r="C31" t="e">
        <f>'Input data'!#REF!</f>
        <v>#REF!</v>
      </c>
      <c r="D31" t="e">
        <f>'Input data'!#REF!</f>
        <v>#REF!</v>
      </c>
      <c r="E31">
        <v>0</v>
      </c>
      <c r="F31">
        <v>0</v>
      </c>
      <c r="G31" s="178" t="e">
        <f>C31*$D$5*'Input data'!K68/1000-E31</f>
        <v>#REF!</v>
      </c>
      <c r="H31" s="178" t="e">
        <f>D31*$D$4*'Input data'!K68/1000-F31</f>
        <v>#REF!</v>
      </c>
      <c r="J31" s="178" t="e">
        <f>D31*$D$7*'Input data'!K68/1000</f>
        <v>#REF!</v>
      </c>
      <c r="K31" s="1423"/>
      <c r="L31" t="e">
        <f>'Input data'!#REF!</f>
        <v>#REF!</v>
      </c>
      <c r="M31" t="e">
        <f>'Input data'!#REF!</f>
        <v>#REF!</v>
      </c>
      <c r="N31">
        <v>0</v>
      </c>
      <c r="O31">
        <v>0</v>
      </c>
      <c r="P31" s="178" t="e">
        <f>L31*$D$5*'Input data'!U68/1000-N31</f>
        <v>#REF!</v>
      </c>
      <c r="Q31" s="178" t="e">
        <f>M31*$D$4*'Input data'!U68/1000-O31</f>
        <v>#REF!</v>
      </c>
      <c r="S31" s="178" t="e">
        <f>M31*$D$7*'Input data'!U68/1000</f>
        <v>#REF!</v>
      </c>
    </row>
    <row r="32" spans="1:19" ht="14.4" hidden="1" customHeight="1">
      <c r="A32" s="123">
        <f>'Input data'!A69</f>
        <v>1969</v>
      </c>
      <c r="B32" s="1423"/>
      <c r="C32" t="e">
        <f>'Input data'!#REF!</f>
        <v>#REF!</v>
      </c>
      <c r="D32" t="e">
        <f>'Input data'!#REF!</f>
        <v>#REF!</v>
      </c>
      <c r="E32">
        <v>0</v>
      </c>
      <c r="F32">
        <v>0</v>
      </c>
      <c r="G32" s="178" t="e">
        <f>C32*$D$5*'Input data'!K69/1000-E32</f>
        <v>#REF!</v>
      </c>
      <c r="H32" s="178" t="e">
        <f>D32*$D$4*'Input data'!K69/1000-F32</f>
        <v>#REF!</v>
      </c>
      <c r="J32" s="178" t="e">
        <f>D32*$D$7*'Input data'!K69/1000</f>
        <v>#REF!</v>
      </c>
      <c r="K32" s="1423"/>
      <c r="L32" t="e">
        <f>'Input data'!#REF!</f>
        <v>#REF!</v>
      </c>
      <c r="M32" t="e">
        <f>'Input data'!#REF!</f>
        <v>#REF!</v>
      </c>
      <c r="N32">
        <v>0</v>
      </c>
      <c r="O32">
        <v>0</v>
      </c>
      <c r="P32" s="178" t="e">
        <f>L32*$D$5*'Input data'!U69/1000-N32</f>
        <v>#REF!</v>
      </c>
      <c r="Q32" s="178" t="e">
        <f>M32*$D$4*'Input data'!U69/1000-O32</f>
        <v>#REF!</v>
      </c>
      <c r="S32" s="178" t="e">
        <f>M32*$D$7*'Input data'!U69/1000</f>
        <v>#REF!</v>
      </c>
    </row>
    <row r="33" spans="1:19" ht="14.4" hidden="1" customHeight="1">
      <c r="A33" s="123">
        <f>'Input data'!A70</f>
        <v>1970</v>
      </c>
      <c r="B33" s="1423"/>
      <c r="C33" t="e">
        <f>'Input data'!#REF!</f>
        <v>#REF!</v>
      </c>
      <c r="D33" t="e">
        <f>'Input data'!#REF!</f>
        <v>#REF!</v>
      </c>
      <c r="E33">
        <v>0</v>
      </c>
      <c r="F33">
        <v>0</v>
      </c>
      <c r="G33" s="178" t="e">
        <f>C33*$D$5*'Input data'!K70/1000-E33</f>
        <v>#REF!</v>
      </c>
      <c r="H33" s="178" t="e">
        <f>D33*$D$4*'Input data'!K70/1000-F33</f>
        <v>#REF!</v>
      </c>
      <c r="J33" s="178" t="e">
        <f>D33*$D$7*'Input data'!K70/1000</f>
        <v>#REF!</v>
      </c>
      <c r="K33" s="1423"/>
      <c r="L33" t="e">
        <f>'Input data'!#REF!</f>
        <v>#REF!</v>
      </c>
      <c r="M33" t="e">
        <f>'Input data'!#REF!</f>
        <v>#REF!</v>
      </c>
      <c r="N33">
        <v>0</v>
      </c>
      <c r="O33">
        <v>0</v>
      </c>
      <c r="P33" s="178" t="e">
        <f>L33*$D$5*'Input data'!U70/1000-N33</f>
        <v>#REF!</v>
      </c>
      <c r="Q33" s="178" t="e">
        <f>M33*$D$4*'Input data'!U70/1000-O33</f>
        <v>#REF!</v>
      </c>
      <c r="S33" s="178" t="e">
        <f>M33*$D$7*'Input data'!U70/1000</f>
        <v>#REF!</v>
      </c>
    </row>
    <row r="34" spans="1:19" ht="14.4" hidden="1" customHeight="1">
      <c r="A34" s="123">
        <f>'Input data'!A71</f>
        <v>1971</v>
      </c>
      <c r="B34" s="1423"/>
      <c r="C34" t="e">
        <f>'Input data'!#REF!</f>
        <v>#REF!</v>
      </c>
      <c r="D34" t="e">
        <f>'Input data'!#REF!</f>
        <v>#REF!</v>
      </c>
      <c r="E34">
        <v>0</v>
      </c>
      <c r="F34">
        <v>0</v>
      </c>
      <c r="G34" s="178" t="e">
        <f>C34*$D$5*'Input data'!K71/1000-E34</f>
        <v>#REF!</v>
      </c>
      <c r="H34" s="178" t="e">
        <f>D34*$D$4*'Input data'!K71/1000-F34</f>
        <v>#REF!</v>
      </c>
      <c r="J34" s="178" t="e">
        <f>D34*$D$7*'Input data'!K71/1000</f>
        <v>#REF!</v>
      </c>
      <c r="K34" s="1423"/>
      <c r="L34" t="e">
        <f>'Input data'!#REF!</f>
        <v>#REF!</v>
      </c>
      <c r="M34" t="e">
        <f>'Input data'!#REF!</f>
        <v>#REF!</v>
      </c>
      <c r="N34">
        <v>0</v>
      </c>
      <c r="O34">
        <v>0</v>
      </c>
      <c r="P34" s="178" t="e">
        <f>L34*$D$5*'Input data'!U71/1000-N34</f>
        <v>#REF!</v>
      </c>
      <c r="Q34" s="178" t="e">
        <f>M34*$D$4*'Input data'!U71/1000-O34</f>
        <v>#REF!</v>
      </c>
      <c r="S34" s="178" t="e">
        <f>M34*$D$7*'Input data'!U71/1000</f>
        <v>#REF!</v>
      </c>
    </row>
    <row r="35" spans="1:19" ht="14.4" hidden="1" customHeight="1">
      <c r="A35" s="123">
        <f>'Input data'!A72</f>
        <v>1972</v>
      </c>
      <c r="B35" s="1423"/>
      <c r="C35" t="e">
        <f>'Input data'!#REF!</f>
        <v>#REF!</v>
      </c>
      <c r="D35" t="e">
        <f>'Input data'!#REF!</f>
        <v>#REF!</v>
      </c>
      <c r="E35">
        <v>0</v>
      </c>
      <c r="F35">
        <v>0</v>
      </c>
      <c r="G35" s="178" t="e">
        <f>C35*$D$5*'Input data'!K72/1000-E35</f>
        <v>#REF!</v>
      </c>
      <c r="H35" s="178" t="e">
        <f>D35*$D$4*'Input data'!K72/1000-F35</f>
        <v>#REF!</v>
      </c>
      <c r="J35" s="178" t="e">
        <f>D35*$D$7*'Input data'!K72/1000</f>
        <v>#REF!</v>
      </c>
      <c r="K35" s="1423"/>
      <c r="L35" t="e">
        <f>'Input data'!#REF!</f>
        <v>#REF!</v>
      </c>
      <c r="M35" t="e">
        <f>'Input data'!#REF!</f>
        <v>#REF!</v>
      </c>
      <c r="N35">
        <v>0</v>
      </c>
      <c r="O35">
        <v>0</v>
      </c>
      <c r="P35" s="178" t="e">
        <f>L35*$D$5*'Input data'!U72/1000-N35</f>
        <v>#REF!</v>
      </c>
      <c r="Q35" s="178" t="e">
        <f>M35*$D$4*'Input data'!U72/1000-O35</f>
        <v>#REF!</v>
      </c>
      <c r="S35" s="178" t="e">
        <f>M35*$D$7*'Input data'!U72/1000</f>
        <v>#REF!</v>
      </c>
    </row>
    <row r="36" spans="1:19" ht="14.4" hidden="1" customHeight="1">
      <c r="A36" s="123">
        <f>'Input data'!A73</f>
        <v>1973</v>
      </c>
      <c r="B36" s="1423"/>
      <c r="C36" t="e">
        <f>'Input data'!#REF!</f>
        <v>#REF!</v>
      </c>
      <c r="D36" t="e">
        <f>'Input data'!#REF!</f>
        <v>#REF!</v>
      </c>
      <c r="E36">
        <v>0</v>
      </c>
      <c r="F36">
        <v>0</v>
      </c>
      <c r="G36" s="178" t="e">
        <f>C36*$D$5*'Input data'!K73/1000-E36</f>
        <v>#REF!</v>
      </c>
      <c r="H36" s="178" t="e">
        <f>D36*$D$4*'Input data'!K73/1000-F36</f>
        <v>#REF!</v>
      </c>
      <c r="J36" s="178" t="e">
        <f>D36*$D$7*'Input data'!K73/1000</f>
        <v>#REF!</v>
      </c>
      <c r="K36" s="1423"/>
      <c r="L36" t="e">
        <f>'Input data'!#REF!</f>
        <v>#REF!</v>
      </c>
      <c r="M36" t="e">
        <f>'Input data'!#REF!</f>
        <v>#REF!</v>
      </c>
      <c r="N36">
        <v>0</v>
      </c>
      <c r="O36">
        <v>0</v>
      </c>
      <c r="P36" s="178" t="e">
        <f>L36*$D$5*'Input data'!U73/1000-N36</f>
        <v>#REF!</v>
      </c>
      <c r="Q36" s="178" t="e">
        <f>M36*$D$4*'Input data'!U73/1000-O36</f>
        <v>#REF!</v>
      </c>
      <c r="S36" s="178" t="e">
        <f>M36*$D$7*'Input data'!U73/1000</f>
        <v>#REF!</v>
      </c>
    </row>
    <row r="37" spans="1:19" ht="14.4" hidden="1" customHeight="1">
      <c r="A37" s="123">
        <f>'Input data'!A74</f>
        <v>1974</v>
      </c>
      <c r="B37" s="1423"/>
      <c r="C37" t="e">
        <f>'Input data'!#REF!</f>
        <v>#REF!</v>
      </c>
      <c r="D37" t="e">
        <f>'Input data'!#REF!</f>
        <v>#REF!</v>
      </c>
      <c r="E37">
        <v>0</v>
      </c>
      <c r="F37">
        <v>0</v>
      </c>
      <c r="G37" s="178" t="e">
        <f>C37*$D$5*'Input data'!K74/1000-E37</f>
        <v>#REF!</v>
      </c>
      <c r="H37" s="178" t="e">
        <f>D37*$D$4*'Input data'!K74/1000-F37</f>
        <v>#REF!</v>
      </c>
      <c r="J37" s="178" t="e">
        <f>D37*$D$7*'Input data'!K74/1000</f>
        <v>#REF!</v>
      </c>
      <c r="K37" s="1423"/>
      <c r="L37" t="e">
        <f>'Input data'!#REF!</f>
        <v>#REF!</v>
      </c>
      <c r="M37" t="e">
        <f>'Input data'!#REF!</f>
        <v>#REF!</v>
      </c>
      <c r="N37">
        <v>0</v>
      </c>
      <c r="O37">
        <v>0</v>
      </c>
      <c r="P37" s="178" t="e">
        <f>L37*$D$5*'Input data'!U74/1000-N37</f>
        <v>#REF!</v>
      </c>
      <c r="Q37" s="178" t="e">
        <f>M37*$D$4*'Input data'!U74/1000-O37</f>
        <v>#REF!</v>
      </c>
      <c r="S37" s="178" t="e">
        <f>M37*$D$7*'Input data'!U74/1000</f>
        <v>#REF!</v>
      </c>
    </row>
    <row r="38" spans="1:19" ht="14.4" hidden="1" customHeight="1">
      <c r="A38" s="123">
        <f>'Input data'!A75</f>
        <v>1975</v>
      </c>
      <c r="B38" s="1423"/>
      <c r="C38" t="e">
        <f>'Input data'!#REF!</f>
        <v>#REF!</v>
      </c>
      <c r="D38" t="e">
        <f>'Input data'!#REF!</f>
        <v>#REF!</v>
      </c>
      <c r="E38">
        <v>0</v>
      </c>
      <c r="F38">
        <v>0</v>
      </c>
      <c r="G38" s="178" t="e">
        <f>C38*$D$5*'Input data'!K75/1000-E38</f>
        <v>#REF!</v>
      </c>
      <c r="H38" s="178" t="e">
        <f>D38*$D$4*'Input data'!K75/1000-F38</f>
        <v>#REF!</v>
      </c>
      <c r="J38" s="178" t="e">
        <f>D38*$D$7*'Input data'!K75/1000</f>
        <v>#REF!</v>
      </c>
      <c r="K38" s="1423"/>
      <c r="L38" t="e">
        <f>'Input data'!#REF!</f>
        <v>#REF!</v>
      </c>
      <c r="M38" t="e">
        <f>'Input data'!#REF!</f>
        <v>#REF!</v>
      </c>
      <c r="N38">
        <v>0</v>
      </c>
      <c r="O38">
        <v>0</v>
      </c>
      <c r="P38" s="178" t="e">
        <f>L38*$D$5*'Input data'!U75/1000-N38</f>
        <v>#REF!</v>
      </c>
      <c r="Q38" s="178" t="e">
        <f>M38*$D$4*'Input data'!U75/1000-O38</f>
        <v>#REF!</v>
      </c>
      <c r="S38" s="178" t="e">
        <f>M38*$D$7*'Input data'!U75/1000</f>
        <v>#REF!</v>
      </c>
    </row>
    <row r="39" spans="1:19" ht="14.4" hidden="1" customHeight="1">
      <c r="A39" s="123">
        <f>'Input data'!A76</f>
        <v>1976</v>
      </c>
      <c r="B39" s="1423"/>
      <c r="C39" t="e">
        <f>'Input data'!#REF!</f>
        <v>#REF!</v>
      </c>
      <c r="D39" t="e">
        <f>'Input data'!#REF!</f>
        <v>#REF!</v>
      </c>
      <c r="E39">
        <v>0</v>
      </c>
      <c r="F39">
        <v>0</v>
      </c>
      <c r="G39" s="178" t="e">
        <f>C39*$D$5*'Input data'!K76/1000-E39</f>
        <v>#REF!</v>
      </c>
      <c r="H39" s="178" t="e">
        <f>D39*$D$4*'Input data'!K76/1000-F39</f>
        <v>#REF!</v>
      </c>
      <c r="J39" s="178" t="e">
        <f>D39*$D$7*'Input data'!K76/1000</f>
        <v>#REF!</v>
      </c>
      <c r="K39" s="1423"/>
      <c r="L39" t="e">
        <f>'Input data'!#REF!</f>
        <v>#REF!</v>
      </c>
      <c r="M39" t="e">
        <f>'Input data'!#REF!</f>
        <v>#REF!</v>
      </c>
      <c r="N39">
        <v>0</v>
      </c>
      <c r="O39">
        <v>0</v>
      </c>
      <c r="P39" s="178" t="e">
        <f>L39*$D$5*'Input data'!U76/1000-N39</f>
        <v>#REF!</v>
      </c>
      <c r="Q39" s="178" t="e">
        <f>M39*$D$4*'Input data'!U76/1000-O39</f>
        <v>#REF!</v>
      </c>
      <c r="S39" s="178" t="e">
        <f>M39*$D$7*'Input data'!U76/1000</f>
        <v>#REF!</v>
      </c>
    </row>
    <row r="40" spans="1:19" ht="14.4" hidden="1" customHeight="1">
      <c r="A40" s="123">
        <f>'Input data'!A77</f>
        <v>1977</v>
      </c>
      <c r="B40" s="1423"/>
      <c r="C40" t="e">
        <f>'Input data'!#REF!</f>
        <v>#REF!</v>
      </c>
      <c r="D40" t="e">
        <f>'Input data'!#REF!</f>
        <v>#REF!</v>
      </c>
      <c r="E40">
        <v>0</v>
      </c>
      <c r="F40">
        <v>0</v>
      </c>
      <c r="G40" s="178" t="e">
        <f>C40*$D$5*'Input data'!K77/1000-E40</f>
        <v>#REF!</v>
      </c>
      <c r="H40" s="178" t="e">
        <f>D40*$D$4*'Input data'!K77/1000-F40</f>
        <v>#REF!</v>
      </c>
      <c r="J40" s="178" t="e">
        <f>D40*$D$7*'Input data'!K77/1000</f>
        <v>#REF!</v>
      </c>
      <c r="K40" s="1423"/>
      <c r="L40" t="e">
        <f>'Input data'!#REF!</f>
        <v>#REF!</v>
      </c>
      <c r="M40" t="e">
        <f>'Input data'!#REF!</f>
        <v>#REF!</v>
      </c>
      <c r="N40">
        <v>0</v>
      </c>
      <c r="O40">
        <v>0</v>
      </c>
      <c r="P40" s="178" t="e">
        <f>L40*$D$5*'Input data'!U77/1000-N40</f>
        <v>#REF!</v>
      </c>
      <c r="Q40" s="178" t="e">
        <f>M40*$D$4*'Input data'!U77/1000-O40</f>
        <v>#REF!</v>
      </c>
      <c r="S40" s="178" t="e">
        <f>M40*$D$7*'Input data'!U77/1000</f>
        <v>#REF!</v>
      </c>
    </row>
    <row r="41" spans="1:19" ht="14.4" hidden="1" customHeight="1">
      <c r="A41" s="123">
        <f>'Input data'!A78</f>
        <v>1978</v>
      </c>
      <c r="B41" s="1423"/>
      <c r="C41" t="e">
        <f>'Input data'!#REF!</f>
        <v>#REF!</v>
      </c>
      <c r="D41" t="e">
        <f>'Input data'!#REF!</f>
        <v>#REF!</v>
      </c>
      <c r="E41">
        <v>0</v>
      </c>
      <c r="F41">
        <v>0</v>
      </c>
      <c r="G41" s="178" t="e">
        <f>C41*$D$5*'Input data'!K78/1000-E41</f>
        <v>#REF!</v>
      </c>
      <c r="H41" s="178" t="e">
        <f>D41*$D$4*'Input data'!K78/1000-F41</f>
        <v>#REF!</v>
      </c>
      <c r="J41" s="178" t="e">
        <f>D41*$D$7*'Input data'!K78/1000</f>
        <v>#REF!</v>
      </c>
      <c r="K41" s="1423"/>
      <c r="L41" t="e">
        <f>'Input data'!#REF!</f>
        <v>#REF!</v>
      </c>
      <c r="M41" t="e">
        <f>'Input data'!#REF!</f>
        <v>#REF!</v>
      </c>
      <c r="N41">
        <v>0</v>
      </c>
      <c r="O41">
        <v>0</v>
      </c>
      <c r="P41" s="178" t="e">
        <f>L41*$D$5*'Input data'!U78/1000-N41</f>
        <v>#REF!</v>
      </c>
      <c r="Q41" s="178" t="e">
        <f>M41*$D$4*'Input data'!U78/1000-O41</f>
        <v>#REF!</v>
      </c>
      <c r="S41" s="178" t="e">
        <f>M41*$D$7*'Input data'!U78/1000</f>
        <v>#REF!</v>
      </c>
    </row>
    <row r="42" spans="1:19" ht="14.4" hidden="1" customHeight="1">
      <c r="A42" s="123">
        <f>'Input data'!A79</f>
        <v>1979</v>
      </c>
      <c r="B42" s="1423"/>
      <c r="C42" t="e">
        <f>'Input data'!#REF!</f>
        <v>#REF!</v>
      </c>
      <c r="D42" t="e">
        <f>'Input data'!#REF!</f>
        <v>#REF!</v>
      </c>
      <c r="E42">
        <v>0</v>
      </c>
      <c r="F42">
        <v>0</v>
      </c>
      <c r="G42" s="178" t="e">
        <f>C42*$D$5*'Input data'!K79/1000-E42</f>
        <v>#REF!</v>
      </c>
      <c r="H42" s="178" t="e">
        <f>D42*$D$4*'Input data'!K79/1000-F42</f>
        <v>#REF!</v>
      </c>
      <c r="J42" s="178" t="e">
        <f>D42*$D$7*'Input data'!K79/1000</f>
        <v>#REF!</v>
      </c>
      <c r="K42" s="1423"/>
      <c r="L42" t="e">
        <f>'Input data'!#REF!</f>
        <v>#REF!</v>
      </c>
      <c r="M42" t="e">
        <f>'Input data'!#REF!</f>
        <v>#REF!</v>
      </c>
      <c r="N42">
        <v>0</v>
      </c>
      <c r="O42">
        <v>0</v>
      </c>
      <c r="P42" s="178" t="e">
        <f>L42*$D$5*'Input data'!U79/1000-N42</f>
        <v>#REF!</v>
      </c>
      <c r="Q42" s="178" t="e">
        <f>M42*$D$4*'Input data'!U79/1000-O42</f>
        <v>#REF!</v>
      </c>
      <c r="S42" s="178" t="e">
        <f>M42*$D$7*'Input data'!U79/1000</f>
        <v>#REF!</v>
      </c>
    </row>
    <row r="43" spans="1:19" ht="14.4" hidden="1" customHeight="1">
      <c r="A43" s="123">
        <f>'Input data'!A80</f>
        <v>1980</v>
      </c>
      <c r="B43" s="1423"/>
      <c r="C43" t="e">
        <f>'Input data'!#REF!</f>
        <v>#REF!</v>
      </c>
      <c r="D43" t="e">
        <f>'Input data'!#REF!</f>
        <v>#REF!</v>
      </c>
      <c r="E43">
        <v>0</v>
      </c>
      <c r="F43">
        <v>0</v>
      </c>
      <c r="G43" s="178" t="e">
        <f>C43*$D$5*'Input data'!K80/1000-E43</f>
        <v>#REF!</v>
      </c>
      <c r="H43" s="178" t="e">
        <f>D43*$D$4*'Input data'!K80/1000-F43</f>
        <v>#REF!</v>
      </c>
      <c r="J43" s="178" t="e">
        <f>D43*$D$7*'Input data'!K80/1000</f>
        <v>#REF!</v>
      </c>
      <c r="K43" s="1423"/>
      <c r="L43" t="e">
        <f>'Input data'!#REF!</f>
        <v>#REF!</v>
      </c>
      <c r="M43" t="e">
        <f>'Input data'!#REF!</f>
        <v>#REF!</v>
      </c>
      <c r="N43">
        <v>0</v>
      </c>
      <c r="O43">
        <v>0</v>
      </c>
      <c r="P43" s="178" t="e">
        <f>L43*$D$5*'Input data'!U80/1000-N43</f>
        <v>#REF!</v>
      </c>
      <c r="Q43" s="178" t="e">
        <f>M43*$D$4*'Input data'!U80/1000-O43</f>
        <v>#REF!</v>
      </c>
      <c r="S43" s="178" t="e">
        <f>M43*$D$7*'Input data'!U80/1000</f>
        <v>#REF!</v>
      </c>
    </row>
    <row r="44" spans="1:19" ht="14.4" hidden="1" customHeight="1">
      <c r="A44" s="123">
        <f>'Input data'!A81</f>
        <v>1981</v>
      </c>
      <c r="B44" s="1423"/>
      <c r="C44" t="e">
        <f>'Input data'!#REF!</f>
        <v>#REF!</v>
      </c>
      <c r="D44" t="e">
        <f>'Input data'!#REF!</f>
        <v>#REF!</v>
      </c>
      <c r="E44">
        <v>0</v>
      </c>
      <c r="F44">
        <v>0</v>
      </c>
      <c r="G44" s="178" t="e">
        <f>C44*$D$5*'Input data'!K81/1000-E44</f>
        <v>#REF!</v>
      </c>
      <c r="H44" s="178" t="e">
        <f>D44*$D$4*'Input data'!K81/1000-F44</f>
        <v>#REF!</v>
      </c>
      <c r="J44" s="178" t="e">
        <f>D44*$D$7*'Input data'!K81/1000</f>
        <v>#REF!</v>
      </c>
      <c r="K44" s="1423"/>
      <c r="L44" t="e">
        <f>'Input data'!#REF!</f>
        <v>#REF!</v>
      </c>
      <c r="M44" t="e">
        <f>'Input data'!#REF!</f>
        <v>#REF!</v>
      </c>
      <c r="N44">
        <v>0</v>
      </c>
      <c r="O44">
        <v>0</v>
      </c>
      <c r="P44" s="178" t="e">
        <f>L44*$D$5*'Input data'!U81/1000-N44</f>
        <v>#REF!</v>
      </c>
      <c r="Q44" s="178" t="e">
        <f>M44*$D$4*'Input data'!U81/1000-O44</f>
        <v>#REF!</v>
      </c>
      <c r="S44" s="178" t="e">
        <f>M44*$D$7*'Input data'!U81/1000</f>
        <v>#REF!</v>
      </c>
    </row>
    <row r="45" spans="1:19" ht="14.4" hidden="1" customHeight="1">
      <c r="A45" s="123">
        <f>'Input data'!A82</f>
        <v>1982</v>
      </c>
      <c r="B45" s="1423"/>
      <c r="C45" t="e">
        <f>'Input data'!#REF!</f>
        <v>#REF!</v>
      </c>
      <c r="D45" t="e">
        <f>'Input data'!#REF!</f>
        <v>#REF!</v>
      </c>
      <c r="E45">
        <v>0</v>
      </c>
      <c r="F45">
        <v>0</v>
      </c>
      <c r="G45" s="178" t="e">
        <f>C45*$D$5*'Input data'!K82/1000-E45</f>
        <v>#REF!</v>
      </c>
      <c r="H45" s="178" t="e">
        <f>D45*$D$4*'Input data'!K82/1000-F45</f>
        <v>#REF!</v>
      </c>
      <c r="J45" s="178" t="e">
        <f>D45*$D$7*'Input data'!K82/1000</f>
        <v>#REF!</v>
      </c>
      <c r="K45" s="1423"/>
      <c r="L45" t="e">
        <f>'Input data'!#REF!</f>
        <v>#REF!</v>
      </c>
      <c r="M45" t="e">
        <f>'Input data'!#REF!</f>
        <v>#REF!</v>
      </c>
      <c r="N45">
        <v>0</v>
      </c>
      <c r="O45">
        <v>0</v>
      </c>
      <c r="P45" s="178" t="e">
        <f>L45*$D$5*'Input data'!U82/1000-N45</f>
        <v>#REF!</v>
      </c>
      <c r="Q45" s="178" t="e">
        <f>M45*$D$4*'Input data'!U82/1000-O45</f>
        <v>#REF!</v>
      </c>
      <c r="S45" s="178" t="e">
        <f>M45*$D$7*'Input data'!U82/1000</f>
        <v>#REF!</v>
      </c>
    </row>
    <row r="46" spans="1:19" ht="14.4" hidden="1" customHeight="1">
      <c r="A46" s="123">
        <f>'Input data'!A83</f>
        <v>1983</v>
      </c>
      <c r="B46" s="1423"/>
      <c r="C46" t="e">
        <f>'Input data'!#REF!</f>
        <v>#REF!</v>
      </c>
      <c r="D46" t="e">
        <f>'Input data'!#REF!</f>
        <v>#REF!</v>
      </c>
      <c r="E46">
        <v>0</v>
      </c>
      <c r="F46">
        <v>0</v>
      </c>
      <c r="G46" s="178" t="e">
        <f>C46*$D$5*'Input data'!K83/1000-E46</f>
        <v>#REF!</v>
      </c>
      <c r="H46" s="178" t="e">
        <f>D46*$D$4*'Input data'!K83/1000-F46</f>
        <v>#REF!</v>
      </c>
      <c r="J46" s="178" t="e">
        <f>D46*$D$7*'Input data'!K83/1000</f>
        <v>#REF!</v>
      </c>
      <c r="K46" s="1423"/>
      <c r="L46" t="e">
        <f>'Input data'!#REF!</f>
        <v>#REF!</v>
      </c>
      <c r="M46" t="e">
        <f>'Input data'!#REF!</f>
        <v>#REF!</v>
      </c>
      <c r="N46">
        <v>0</v>
      </c>
      <c r="O46">
        <v>0</v>
      </c>
      <c r="P46" s="178" t="e">
        <f>L46*$D$5*'Input data'!U83/1000-N46</f>
        <v>#REF!</v>
      </c>
      <c r="Q46" s="178" t="e">
        <f>M46*$D$4*'Input data'!U83/1000-O46</f>
        <v>#REF!</v>
      </c>
      <c r="S46" s="178" t="e">
        <f>M46*$D$7*'Input data'!U83/1000</f>
        <v>#REF!</v>
      </c>
    </row>
    <row r="47" spans="1:19" ht="14.4" hidden="1" customHeight="1">
      <c r="A47" s="123">
        <f>'Input data'!A84</f>
        <v>1984</v>
      </c>
      <c r="B47" s="1423"/>
      <c r="C47" t="e">
        <f>'Input data'!#REF!</f>
        <v>#REF!</v>
      </c>
      <c r="D47" t="e">
        <f>'Input data'!#REF!</f>
        <v>#REF!</v>
      </c>
      <c r="E47">
        <v>0</v>
      </c>
      <c r="F47">
        <v>0</v>
      </c>
      <c r="G47" s="178" t="e">
        <f>C47*$D$5*'Input data'!K84/1000-E47</f>
        <v>#REF!</v>
      </c>
      <c r="H47" s="178" t="e">
        <f>D47*$D$4*'Input data'!K84/1000-F47</f>
        <v>#REF!</v>
      </c>
      <c r="J47" s="178" t="e">
        <f>D47*$D$7*'Input data'!K84/1000</f>
        <v>#REF!</v>
      </c>
      <c r="K47" s="1423"/>
      <c r="L47" t="e">
        <f>'Input data'!#REF!</f>
        <v>#REF!</v>
      </c>
      <c r="M47" t="e">
        <f>'Input data'!#REF!</f>
        <v>#REF!</v>
      </c>
      <c r="N47">
        <v>0</v>
      </c>
      <c r="O47">
        <v>0</v>
      </c>
      <c r="P47" s="178" t="e">
        <f>L47*$D$5*'Input data'!U84/1000-N47</f>
        <v>#REF!</v>
      </c>
      <c r="Q47" s="178" t="e">
        <f>M47*$D$4*'Input data'!U84/1000-O47</f>
        <v>#REF!</v>
      </c>
      <c r="S47" s="178" t="e">
        <f>M47*$D$7*'Input data'!U84/1000</f>
        <v>#REF!</v>
      </c>
    </row>
    <row r="48" spans="1:19" ht="14.4" hidden="1" customHeight="1">
      <c r="A48" s="123">
        <f>'Input data'!A85</f>
        <v>1985</v>
      </c>
      <c r="B48" s="1423"/>
      <c r="C48" t="e">
        <f>'Input data'!#REF!</f>
        <v>#REF!</v>
      </c>
      <c r="D48" t="e">
        <f>'Input data'!#REF!</f>
        <v>#REF!</v>
      </c>
      <c r="E48">
        <v>0</v>
      </c>
      <c r="F48">
        <v>0</v>
      </c>
      <c r="G48" s="178" t="e">
        <f>C48*$D$5*'Input data'!K85/1000-E48</f>
        <v>#REF!</v>
      </c>
      <c r="H48" s="178" t="e">
        <f>D48*$D$4*'Input data'!K85/1000-F48</f>
        <v>#REF!</v>
      </c>
      <c r="J48" s="178" t="e">
        <f>D48*$D$7*'Input data'!K85/1000</f>
        <v>#REF!</v>
      </c>
      <c r="K48" s="1423"/>
      <c r="L48" t="e">
        <f>'Input data'!#REF!</f>
        <v>#REF!</v>
      </c>
      <c r="M48" t="e">
        <f>'Input data'!#REF!</f>
        <v>#REF!</v>
      </c>
      <c r="N48">
        <v>0</v>
      </c>
      <c r="O48">
        <v>0</v>
      </c>
      <c r="P48" s="178" t="e">
        <f>L48*$D$5*'Input data'!U85/1000-N48</f>
        <v>#REF!</v>
      </c>
      <c r="Q48" s="178" t="e">
        <f>M48*$D$4*'Input data'!U85/1000-O48</f>
        <v>#REF!</v>
      </c>
      <c r="S48" s="178" t="e">
        <f>M48*$D$7*'Input data'!U85/1000</f>
        <v>#REF!</v>
      </c>
    </row>
    <row r="49" spans="1:23" ht="14.4" hidden="1" customHeight="1">
      <c r="A49" s="123">
        <f>'Input data'!A86</f>
        <v>1986</v>
      </c>
      <c r="B49" s="1423"/>
      <c r="C49" t="e">
        <f>'Input data'!#REF!</f>
        <v>#REF!</v>
      </c>
      <c r="D49" t="e">
        <f>'Input data'!#REF!</f>
        <v>#REF!</v>
      </c>
      <c r="E49">
        <v>0</v>
      </c>
      <c r="F49">
        <v>0</v>
      </c>
      <c r="G49" s="178" t="e">
        <f>C49*$D$5*'Input data'!K86/1000-E49</f>
        <v>#REF!</v>
      </c>
      <c r="H49" s="178" t="e">
        <f>D49*$D$4*'Input data'!K86/1000-F49</f>
        <v>#REF!</v>
      </c>
      <c r="J49" s="178" t="e">
        <f>D49*$D$7*'Input data'!K86/1000</f>
        <v>#REF!</v>
      </c>
      <c r="K49" s="1423"/>
      <c r="L49" t="e">
        <f>'Input data'!#REF!</f>
        <v>#REF!</v>
      </c>
      <c r="M49" t="e">
        <f>'Input data'!#REF!</f>
        <v>#REF!</v>
      </c>
      <c r="N49">
        <v>0</v>
      </c>
      <c r="O49">
        <v>0</v>
      </c>
      <c r="P49" s="178" t="e">
        <f>L49*$D$5*'Input data'!U86/1000-N49</f>
        <v>#REF!</v>
      </c>
      <c r="Q49" s="178" t="e">
        <f>M49*$D$4*'Input data'!U86/1000-O49</f>
        <v>#REF!</v>
      </c>
      <c r="S49" s="178" t="e">
        <f>M49*$D$7*'Input data'!U86/1000</f>
        <v>#REF!</v>
      </c>
    </row>
    <row r="50" spans="1:23" ht="14.4" hidden="1" customHeight="1">
      <c r="A50" s="123">
        <f>'Input data'!A87</f>
        <v>1987</v>
      </c>
      <c r="B50" s="1423"/>
      <c r="C50" t="e">
        <f>'Input data'!#REF!</f>
        <v>#REF!</v>
      </c>
      <c r="D50" t="e">
        <f>'Input data'!#REF!</f>
        <v>#REF!</v>
      </c>
      <c r="E50">
        <v>0</v>
      </c>
      <c r="F50">
        <v>0</v>
      </c>
      <c r="G50" s="178" t="e">
        <f>C50*$D$5*'Input data'!K87/1000-E50</f>
        <v>#REF!</v>
      </c>
      <c r="H50" s="178" t="e">
        <f>D50*$D$4*'Input data'!K87/1000-F50</f>
        <v>#REF!</v>
      </c>
      <c r="J50" s="178" t="e">
        <f>D50*$D$7*'Input data'!K87/1000</f>
        <v>#REF!</v>
      </c>
      <c r="K50" s="1423"/>
      <c r="L50" t="e">
        <f>'Input data'!#REF!</f>
        <v>#REF!</v>
      </c>
      <c r="M50" t="e">
        <f>'Input data'!#REF!</f>
        <v>#REF!</v>
      </c>
      <c r="N50">
        <v>0</v>
      </c>
      <c r="O50">
        <v>0</v>
      </c>
      <c r="P50" s="178" t="e">
        <f>L50*$D$5*'Input data'!U87/1000-N50</f>
        <v>#REF!</v>
      </c>
      <c r="Q50" s="178" t="e">
        <f>M50*$D$4*'Input data'!U87/1000-O50</f>
        <v>#REF!</v>
      </c>
      <c r="S50" s="178" t="e">
        <f>M50*$D$7*'Input data'!U87/1000</f>
        <v>#REF!</v>
      </c>
    </row>
    <row r="51" spans="1:23" ht="14.4" hidden="1" customHeight="1">
      <c r="A51" s="123">
        <f>'Input data'!A88</f>
        <v>1988</v>
      </c>
      <c r="B51" s="1423"/>
      <c r="C51" t="e">
        <f>'Input data'!#REF!</f>
        <v>#REF!</v>
      </c>
      <c r="D51" t="e">
        <f>'Input data'!#REF!</f>
        <v>#REF!</v>
      </c>
      <c r="E51">
        <v>0</v>
      </c>
      <c r="F51">
        <v>0</v>
      </c>
      <c r="G51" s="178" t="e">
        <f>C51*$D$5*'Input data'!K88/1000-E51</f>
        <v>#REF!</v>
      </c>
      <c r="H51" s="178" t="e">
        <f>D51*$D$4*'Input data'!K88/1000-F51</f>
        <v>#REF!</v>
      </c>
      <c r="J51" s="178" t="e">
        <f>D51*$D$7*'Input data'!K88/1000</f>
        <v>#REF!</v>
      </c>
      <c r="K51" s="1423"/>
      <c r="L51" t="e">
        <f>'Input data'!#REF!</f>
        <v>#REF!</v>
      </c>
      <c r="M51" t="e">
        <f>'Input data'!#REF!</f>
        <v>#REF!</v>
      </c>
      <c r="N51">
        <v>0</v>
      </c>
      <c r="O51">
        <v>0</v>
      </c>
      <c r="P51" s="178" t="e">
        <f>L51*$D$5*'Input data'!U88/1000-N51</f>
        <v>#REF!</v>
      </c>
      <c r="Q51" s="178" t="e">
        <f>M51*$D$4*'Input data'!U88/1000-O51</f>
        <v>#REF!</v>
      </c>
      <c r="S51" s="178" t="e">
        <f>M51*$D$7*'Input data'!U88/1000</f>
        <v>#REF!</v>
      </c>
    </row>
    <row r="52" spans="1:23" ht="14.4" hidden="1" customHeight="1">
      <c r="A52" s="123">
        <f>'Input data'!A89</f>
        <v>1989</v>
      </c>
      <c r="B52" s="1423"/>
      <c r="C52" t="e">
        <f>'Input data'!#REF!</f>
        <v>#REF!</v>
      </c>
      <c r="D52" t="e">
        <f>'Input data'!#REF!</f>
        <v>#REF!</v>
      </c>
      <c r="E52">
        <v>0</v>
      </c>
      <c r="F52">
        <v>0</v>
      </c>
      <c r="G52" s="178" t="e">
        <f>C52*$D$5*'Input data'!K89/1000-E52</f>
        <v>#REF!</v>
      </c>
      <c r="H52" s="178" t="e">
        <f>D52*$D$4*'Input data'!K89/1000-F52</f>
        <v>#REF!</v>
      </c>
      <c r="J52" s="178" t="e">
        <f>D52*$D$7*'Input data'!K89/1000</f>
        <v>#REF!</v>
      </c>
      <c r="K52" s="1423"/>
      <c r="L52" t="e">
        <f>'Input data'!#REF!</f>
        <v>#REF!</v>
      </c>
      <c r="M52" t="e">
        <f>'Input data'!#REF!</f>
        <v>#REF!</v>
      </c>
      <c r="N52">
        <v>0</v>
      </c>
      <c r="O52">
        <v>0</v>
      </c>
      <c r="P52" s="178" t="e">
        <f>L52*$D$5*'Input data'!U89/1000-N52</f>
        <v>#REF!</v>
      </c>
      <c r="Q52" s="178" t="e">
        <f>M52*$D$4*'Input data'!U89/1000-O52</f>
        <v>#REF!</v>
      </c>
      <c r="S52" s="178" t="e">
        <f>M52*$D$7*'Input data'!U89/1000</f>
        <v>#REF!</v>
      </c>
    </row>
    <row r="53" spans="1:23" ht="14.4" hidden="1" customHeight="1">
      <c r="A53" s="123">
        <f>'Input data'!A90</f>
        <v>1990</v>
      </c>
      <c r="B53" s="1423"/>
      <c r="C53" t="e">
        <f>'Input data'!#REF!</f>
        <v>#REF!</v>
      </c>
      <c r="D53" t="e">
        <f>'Input data'!#REF!</f>
        <v>#REF!</v>
      </c>
      <c r="E53">
        <v>0</v>
      </c>
      <c r="F53">
        <v>0</v>
      </c>
      <c r="G53" s="178" t="e">
        <f>C53*$D$5*'Input data'!K90/1000-E53</f>
        <v>#REF!</v>
      </c>
      <c r="H53" s="178" t="e">
        <f>D53*$D$4*'Input data'!K90/1000-F53</f>
        <v>#REF!</v>
      </c>
      <c r="J53" s="178" t="e">
        <f>D53*$D$7*'Input data'!K90/1000</f>
        <v>#REF!</v>
      </c>
      <c r="K53" s="1423"/>
      <c r="L53" t="e">
        <f>'Input data'!#REF!</f>
        <v>#REF!</v>
      </c>
      <c r="M53" t="e">
        <f>'Input data'!#REF!</f>
        <v>#REF!</v>
      </c>
      <c r="N53">
        <v>0</v>
      </c>
      <c r="O53">
        <v>0</v>
      </c>
      <c r="P53" s="178" t="e">
        <f>L53*$D$5*'Input data'!U90/1000-N53</f>
        <v>#REF!</v>
      </c>
      <c r="Q53" s="178" t="e">
        <f>M53*$D$4*'Input data'!U90/1000-O53</f>
        <v>#REF!</v>
      </c>
      <c r="S53" s="178" t="e">
        <f>M53*$D$7*'Input data'!U90/1000</f>
        <v>#REF!</v>
      </c>
    </row>
    <row r="54" spans="1:23" ht="14.4" hidden="1" customHeight="1">
      <c r="A54" s="123">
        <f>'Input data'!A91</f>
        <v>1991</v>
      </c>
      <c r="B54" s="1423"/>
      <c r="C54" t="e">
        <f>'Input data'!#REF!</f>
        <v>#REF!</v>
      </c>
      <c r="D54" t="e">
        <f>'Input data'!#REF!</f>
        <v>#REF!</v>
      </c>
      <c r="E54">
        <v>0</v>
      </c>
      <c r="F54">
        <v>0</v>
      </c>
      <c r="G54" s="178" t="e">
        <f>C54*$D$5*'Input data'!K91/1000-E54</f>
        <v>#REF!</v>
      </c>
      <c r="H54" s="178" t="e">
        <f>D54*$D$4*'Input data'!K91/1000-F54</f>
        <v>#REF!</v>
      </c>
      <c r="J54" s="178" t="e">
        <f>D54*$D$7*'Input data'!K91/1000</f>
        <v>#REF!</v>
      </c>
      <c r="K54" s="1423"/>
      <c r="L54" t="e">
        <f>'Input data'!#REF!</f>
        <v>#REF!</v>
      </c>
      <c r="M54" t="e">
        <f>'Input data'!#REF!</f>
        <v>#REF!</v>
      </c>
      <c r="N54">
        <v>0</v>
      </c>
      <c r="O54">
        <v>0</v>
      </c>
      <c r="P54" s="178" t="e">
        <f>L54*$D$5*'Input data'!U91/1000-N54</f>
        <v>#REF!</v>
      </c>
      <c r="Q54" s="178" t="e">
        <f>M54*$D$4*'Input data'!U91/1000-O54</f>
        <v>#REF!</v>
      </c>
      <c r="S54" s="178" t="e">
        <f>M54*$D$7*'Input data'!U91/1000</f>
        <v>#REF!</v>
      </c>
    </row>
    <row r="55" spans="1:23" ht="14.4" hidden="1" customHeight="1">
      <c r="A55" s="123">
        <f>'Input data'!A92</f>
        <v>1992</v>
      </c>
      <c r="B55" s="1423"/>
      <c r="C55" t="e">
        <f>'Input data'!#REF!</f>
        <v>#REF!</v>
      </c>
      <c r="D55" t="e">
        <f>'Input data'!#REF!</f>
        <v>#REF!</v>
      </c>
      <c r="E55">
        <v>0</v>
      </c>
      <c r="F55">
        <v>0</v>
      </c>
      <c r="G55" s="178" t="e">
        <f>C55*$D$5*'Input data'!K92/1000-E55</f>
        <v>#REF!</v>
      </c>
      <c r="H55" s="178" t="e">
        <f>D55*$D$4*'Input data'!K92/1000-F55</f>
        <v>#REF!</v>
      </c>
      <c r="J55" s="178" t="e">
        <f>D55*$D$7*'Input data'!K92/1000</f>
        <v>#REF!</v>
      </c>
      <c r="K55" s="1423"/>
      <c r="L55" t="e">
        <f>'Input data'!#REF!</f>
        <v>#REF!</v>
      </c>
      <c r="M55" t="e">
        <f>'Input data'!#REF!</f>
        <v>#REF!</v>
      </c>
      <c r="N55">
        <v>0</v>
      </c>
      <c r="O55">
        <v>0</v>
      </c>
      <c r="P55" s="178" t="e">
        <f>L55*$D$5*'Input data'!U92/1000-N55</f>
        <v>#REF!</v>
      </c>
      <c r="Q55" s="178" t="e">
        <f>M55*$D$4*'Input data'!U92/1000-O55</f>
        <v>#REF!</v>
      </c>
      <c r="S55" s="178" t="e">
        <f>M55*$D$7*'Input data'!U92/1000</f>
        <v>#REF!</v>
      </c>
    </row>
    <row r="56" spans="1:23" ht="14.4" hidden="1" customHeight="1">
      <c r="A56" s="123">
        <f>'Input data'!A93</f>
        <v>1993</v>
      </c>
      <c r="B56" s="1423"/>
      <c r="C56" t="e">
        <f>'Input data'!#REF!</f>
        <v>#REF!</v>
      </c>
      <c r="D56" t="e">
        <f>'Input data'!#REF!</f>
        <v>#REF!</v>
      </c>
      <c r="E56">
        <v>0</v>
      </c>
      <c r="F56">
        <v>0</v>
      </c>
      <c r="G56" s="178" t="e">
        <f>C56*$D$5*'Input data'!K93/1000-E56</f>
        <v>#REF!</v>
      </c>
      <c r="H56" s="178" t="e">
        <f>D56*$D$4*'Input data'!K93/1000-F56</f>
        <v>#REF!</v>
      </c>
      <c r="J56" s="178" t="e">
        <f>D56*$D$7*'Input data'!K93/1000</f>
        <v>#REF!</v>
      </c>
      <c r="K56" s="1423"/>
      <c r="L56" t="e">
        <f>'Input data'!#REF!</f>
        <v>#REF!</v>
      </c>
      <c r="M56" t="e">
        <f>'Input data'!#REF!</f>
        <v>#REF!</v>
      </c>
      <c r="N56">
        <v>0</v>
      </c>
      <c r="O56">
        <v>0</v>
      </c>
      <c r="P56" s="178" t="e">
        <f>L56*$D$5*'Input data'!U93/1000-N56</f>
        <v>#REF!</v>
      </c>
      <c r="Q56" s="178" t="e">
        <f>M56*$D$4*'Input data'!U93/1000-O56</f>
        <v>#REF!</v>
      </c>
      <c r="S56" s="178" t="e">
        <f>M56*$D$7*'Input data'!U93/1000</f>
        <v>#REF!</v>
      </c>
    </row>
    <row r="57" spans="1:23" ht="14.4" hidden="1" customHeight="1">
      <c r="A57" s="123">
        <f>'Input data'!A94</f>
        <v>1994</v>
      </c>
      <c r="B57" s="1423"/>
      <c r="C57" t="e">
        <f>'Input data'!#REF!</f>
        <v>#REF!</v>
      </c>
      <c r="D57" t="e">
        <f>'Input data'!#REF!</f>
        <v>#REF!</v>
      </c>
      <c r="E57">
        <v>0</v>
      </c>
      <c r="F57">
        <v>0</v>
      </c>
      <c r="G57" s="178" t="e">
        <f>C57*$D$5*'Input data'!K94/1000-E57</f>
        <v>#REF!</v>
      </c>
      <c r="H57" s="178" t="e">
        <f>D57*$D$4*'Input data'!K94/1000-F57</f>
        <v>#REF!</v>
      </c>
      <c r="J57" s="178" t="e">
        <f>D57*$D$7*'Input data'!K94/1000</f>
        <v>#REF!</v>
      </c>
      <c r="K57" s="1423"/>
      <c r="L57" t="e">
        <f>'Input data'!#REF!</f>
        <v>#REF!</v>
      </c>
      <c r="M57" t="e">
        <f>'Input data'!#REF!</f>
        <v>#REF!</v>
      </c>
      <c r="N57">
        <v>0</v>
      </c>
      <c r="O57">
        <v>0</v>
      </c>
      <c r="P57" s="178" t="e">
        <f>L57*$D$5*'Input data'!U94/1000-N57</f>
        <v>#REF!</v>
      </c>
      <c r="Q57" s="178" t="e">
        <f>M57*$D$4*'Input data'!U94/1000-O57</f>
        <v>#REF!</v>
      </c>
      <c r="S57" s="178" t="e">
        <f>M57*$D$7*'Input data'!U94/1000</f>
        <v>#REF!</v>
      </c>
    </row>
    <row r="58" spans="1:23" ht="14.4" hidden="1" customHeight="1">
      <c r="A58" s="123">
        <f>'Input data'!A95</f>
        <v>1995</v>
      </c>
      <c r="B58" s="1423"/>
      <c r="C58" t="e">
        <f>'Input data'!#REF!</f>
        <v>#REF!</v>
      </c>
      <c r="D58" t="e">
        <f>'Input data'!#REF!</f>
        <v>#REF!</v>
      </c>
      <c r="E58">
        <v>0</v>
      </c>
      <c r="F58">
        <v>0</v>
      </c>
      <c r="G58" s="178" t="e">
        <f>C58*$D$5*'Input data'!K95/1000-E58</f>
        <v>#REF!</v>
      </c>
      <c r="H58" s="178" t="e">
        <f>D58*$D$4*'Input data'!K95/1000-F58</f>
        <v>#REF!</v>
      </c>
      <c r="J58" s="178" t="e">
        <f>D58*$D$7*'Input data'!K95/1000</f>
        <v>#REF!</v>
      </c>
      <c r="K58" s="1423"/>
      <c r="L58" t="e">
        <f>'Input data'!#REF!</f>
        <v>#REF!</v>
      </c>
      <c r="M58" t="e">
        <f>'Input data'!#REF!</f>
        <v>#REF!</v>
      </c>
      <c r="N58">
        <v>0</v>
      </c>
      <c r="O58">
        <v>0</v>
      </c>
      <c r="P58" s="178" t="e">
        <f>L58*$D$5*'Input data'!U95/1000-N58</f>
        <v>#REF!</v>
      </c>
      <c r="Q58" s="178" t="e">
        <f>M58*$D$4*'Input data'!U95/1000-O58</f>
        <v>#REF!</v>
      </c>
      <c r="S58" s="178" t="e">
        <f>M58*$D$7*'Input data'!U95/1000</f>
        <v>#REF!</v>
      </c>
    </row>
    <row r="59" spans="1:23" ht="14.4" hidden="1" customHeight="1">
      <c r="A59" s="123">
        <f>'Input data'!A96</f>
        <v>1996</v>
      </c>
      <c r="B59" s="1423"/>
      <c r="C59" t="e">
        <f>'Input data'!#REF!</f>
        <v>#REF!</v>
      </c>
      <c r="D59" t="e">
        <f>'Input data'!#REF!</f>
        <v>#REF!</v>
      </c>
      <c r="E59">
        <v>0</v>
      </c>
      <c r="F59">
        <v>0</v>
      </c>
      <c r="G59" s="178" t="e">
        <f>C59*$D$5*'Input data'!K96/1000-E59</f>
        <v>#REF!</v>
      </c>
      <c r="H59" s="178" t="e">
        <f>D59*$D$4*'Input data'!K96/1000-F59</f>
        <v>#REF!</v>
      </c>
      <c r="J59" s="178" t="e">
        <f>D59*$D$7*'Input data'!K96/1000</f>
        <v>#REF!</v>
      </c>
      <c r="K59" s="1423"/>
      <c r="L59" t="e">
        <f>'Input data'!#REF!</f>
        <v>#REF!</v>
      </c>
      <c r="M59" t="e">
        <f>'Input data'!#REF!</f>
        <v>#REF!</v>
      </c>
      <c r="N59">
        <v>0</v>
      </c>
      <c r="O59">
        <v>0</v>
      </c>
      <c r="P59" s="178" t="e">
        <f>L59*$D$5*'Input data'!U96/1000-N59</f>
        <v>#REF!</v>
      </c>
      <c r="Q59" s="178" t="e">
        <f>M59*$D$4*'Input data'!U96/1000-O59</f>
        <v>#REF!</v>
      </c>
      <c r="S59" s="178" t="e">
        <f>M59*$D$7*'Input data'!U96/1000</f>
        <v>#REF!</v>
      </c>
    </row>
    <row r="60" spans="1:23" ht="14.4" hidden="1" customHeight="1">
      <c r="A60" s="123">
        <f>'Input data'!A97</f>
        <v>1997</v>
      </c>
      <c r="B60" s="1423"/>
      <c r="C60" t="e">
        <f>'Input data'!#REF!</f>
        <v>#REF!</v>
      </c>
      <c r="D60" t="e">
        <f>'Input data'!#REF!</f>
        <v>#REF!</v>
      </c>
      <c r="E60">
        <v>0</v>
      </c>
      <c r="F60">
        <v>0</v>
      </c>
      <c r="G60" s="178" t="e">
        <f>C60*$D$5*'Input data'!K97/1000-E60</f>
        <v>#REF!</v>
      </c>
      <c r="H60" s="178" t="e">
        <f>D60*$D$4*'Input data'!K97/1000-F60</f>
        <v>#REF!</v>
      </c>
      <c r="J60" s="178" t="e">
        <f>D60*$D$7*'Input data'!K97/1000</f>
        <v>#REF!</v>
      </c>
      <c r="K60" s="1423"/>
      <c r="L60" t="e">
        <f>'Input data'!#REF!</f>
        <v>#REF!</v>
      </c>
      <c r="M60" t="e">
        <f>'Input data'!#REF!</f>
        <v>#REF!</v>
      </c>
      <c r="N60">
        <v>0</v>
      </c>
      <c r="O60">
        <v>0</v>
      </c>
      <c r="P60" s="178" t="e">
        <f>L60*$D$5*'Input data'!U97/1000-N60</f>
        <v>#REF!</v>
      </c>
      <c r="Q60" s="178" t="e">
        <f>M60*$D$4*'Input data'!U97/1000-O60</f>
        <v>#REF!</v>
      </c>
      <c r="S60" s="178" t="e">
        <f>M60*$D$7*'Input data'!U97/1000</f>
        <v>#REF!</v>
      </c>
    </row>
    <row r="61" spans="1:23" ht="14.4" hidden="1" customHeight="1">
      <c r="A61" s="123">
        <f>'Input data'!A98</f>
        <v>1998</v>
      </c>
      <c r="B61" s="1423"/>
      <c r="C61" t="e">
        <f>'Input data'!#REF!</f>
        <v>#REF!</v>
      </c>
      <c r="D61" t="e">
        <f>'Input data'!#REF!</f>
        <v>#REF!</v>
      </c>
      <c r="E61">
        <v>0</v>
      </c>
      <c r="F61">
        <v>0</v>
      </c>
      <c r="G61" s="178" t="e">
        <f>C61*$D$5*'Input data'!K98/1000-E61</f>
        <v>#REF!</v>
      </c>
      <c r="H61" s="178" t="e">
        <f>D61*$D$4*'Input data'!K98/1000-F61</f>
        <v>#REF!</v>
      </c>
      <c r="J61" s="178" t="e">
        <f>D61*$D$7*'Input data'!K98/1000</f>
        <v>#REF!</v>
      </c>
      <c r="K61" s="1423"/>
      <c r="L61" t="e">
        <f>'Input data'!#REF!</f>
        <v>#REF!</v>
      </c>
      <c r="M61" t="e">
        <f>'Input data'!#REF!</f>
        <v>#REF!</v>
      </c>
      <c r="N61">
        <v>0</v>
      </c>
      <c r="O61">
        <v>0</v>
      </c>
      <c r="P61" s="178" t="e">
        <f>L61*$D$5*'Input data'!U98/1000-N61</f>
        <v>#REF!</v>
      </c>
      <c r="Q61" s="178" t="e">
        <f>M61*$D$4*'Input data'!U98/1000-O61</f>
        <v>#REF!</v>
      </c>
      <c r="S61" s="178" t="e">
        <f>M61*$D$7*'Input data'!U98/1000</f>
        <v>#REF!</v>
      </c>
    </row>
    <row r="62" spans="1:23" ht="14.4" hidden="1" customHeight="1">
      <c r="A62" s="123">
        <f>'Input data'!A99</f>
        <v>1999</v>
      </c>
      <c r="B62" s="1423"/>
      <c r="C62" t="e">
        <f>'Input data'!#REF!</f>
        <v>#REF!</v>
      </c>
      <c r="D62" t="e">
        <f>'Input data'!#REF!</f>
        <v>#REF!</v>
      </c>
      <c r="E62">
        <v>0</v>
      </c>
      <c r="F62">
        <v>0</v>
      </c>
      <c r="G62" s="178" t="e">
        <f>C62*$D$5*'Input data'!K99/1000-E62</f>
        <v>#REF!</v>
      </c>
      <c r="H62" s="178" t="e">
        <f>D62*$D$4*'Input data'!K99/1000-F62</f>
        <v>#REF!</v>
      </c>
      <c r="J62" s="178" t="e">
        <f>D62*$D$7*'Input data'!K99/1000</f>
        <v>#REF!</v>
      </c>
      <c r="K62" s="1423"/>
      <c r="L62" t="e">
        <f>'Input data'!#REF!</f>
        <v>#REF!</v>
      </c>
      <c r="M62" t="e">
        <f>'Input data'!#REF!</f>
        <v>#REF!</v>
      </c>
      <c r="N62">
        <v>0</v>
      </c>
      <c r="O62">
        <v>0</v>
      </c>
      <c r="P62" s="178" t="e">
        <f>L62*$D$5*'Input data'!U99/1000-N62</f>
        <v>#REF!</v>
      </c>
      <c r="Q62" s="178" t="e">
        <f>M62*$D$4*'Input data'!U99/1000-O62</f>
        <v>#REF!</v>
      </c>
      <c r="S62" s="178" t="e">
        <f>M62*$D$7*'Input data'!U99/1000</f>
        <v>#REF!</v>
      </c>
    </row>
    <row r="63" spans="1:23">
      <c r="A63" s="123">
        <f>'Input data'!A100</f>
        <v>2000</v>
      </c>
      <c r="B63" s="485">
        <f>'Baseline data (from input)'!C56*'Baseline data (from input)'!U56*'Baseline data (from input)'!Z56</f>
        <v>945.60407088653449</v>
      </c>
      <c r="C63" s="114">
        <v>0</v>
      </c>
      <c r="D63" s="114">
        <f>1-C63</f>
        <v>1</v>
      </c>
      <c r="E63">
        <v>0</v>
      </c>
      <c r="F63">
        <v>0</v>
      </c>
      <c r="G63" s="178">
        <f>C63*$D$5*'Input data'!K100/1000-E63</f>
        <v>0</v>
      </c>
      <c r="H63" s="485">
        <f>D63*$D$4*B63/1000-F63</f>
        <v>3.7824162835461381</v>
      </c>
      <c r="I63" s="456"/>
      <c r="J63" s="178">
        <f>D63*$D$7*B63/1000</f>
        <v>0.22694497701276828</v>
      </c>
      <c r="K63" s="1085">
        <f>'Baseline data (from input)'!AI56*'Baseline data (from input)'!AD56*'Baseline data (from input)'!AB56</f>
        <v>3858.3720678568429</v>
      </c>
      <c r="L63" s="728">
        <v>0</v>
      </c>
      <c r="M63" s="728">
        <f>1-L63</f>
        <v>1</v>
      </c>
      <c r="N63" s="115">
        <v>0</v>
      </c>
      <c r="O63" s="115">
        <v>0</v>
      </c>
      <c r="P63" s="853">
        <f>L63*$D$5*'Input data'!U100/1000-N63</f>
        <v>0</v>
      </c>
      <c r="Q63" s="854">
        <f>M63*$D$4*K63/1000-O63</f>
        <v>15.433488271427372</v>
      </c>
      <c r="R63" s="115"/>
      <c r="S63" s="1424">
        <f>M63*$D$7*K63/1000</f>
        <v>0.92600929628564221</v>
      </c>
      <c r="T63" s="1425">
        <f>G63+P63</f>
        <v>0</v>
      </c>
      <c r="U63" s="1426">
        <f>H63+Q63</f>
        <v>19.215904554973509</v>
      </c>
      <c r="V63" s="1426">
        <f>I63+R63</f>
        <v>0</v>
      </c>
      <c r="W63" s="1427">
        <f>J63+S63</f>
        <v>1.1529542732984104</v>
      </c>
    </row>
    <row r="64" spans="1:23">
      <c r="A64" s="123">
        <f>'Input data'!A101</f>
        <v>2001</v>
      </c>
      <c r="B64" s="485">
        <f>'Baseline data (from input)'!C57*'Baseline data (from input)'!U57*'Baseline data (from input)'!Z57</f>
        <v>965.16088235259679</v>
      </c>
      <c r="C64" s="114">
        <v>0</v>
      </c>
      <c r="D64" s="114">
        <f t="shared" ref="D64:D80" si="0">1-C64</f>
        <v>1</v>
      </c>
      <c r="E64">
        <v>0</v>
      </c>
      <c r="F64">
        <v>0</v>
      </c>
      <c r="G64" s="178">
        <f>C64*$D$5*'Input data'!K101/1000-E64</f>
        <v>0</v>
      </c>
      <c r="H64" s="485">
        <f t="shared" ref="H64:H79" si="1">D64*$D$4*B64/1000-F64</f>
        <v>3.8606435294103871</v>
      </c>
      <c r="I64" s="456"/>
      <c r="J64" s="178">
        <f t="shared" ref="J64:J80" si="2">D64*$D$7*B64/1000</f>
        <v>0.23163861176462322</v>
      </c>
      <c r="K64" s="235">
        <f>'Baseline data (from input)'!AI57*'Baseline data (from input)'!AD57*'Baseline data (from input)'!AB57</f>
        <v>3962.5479040636237</v>
      </c>
      <c r="L64" s="114">
        <v>0</v>
      </c>
      <c r="M64" s="114">
        <f t="shared" ref="M64:M80" si="3">1-L64</f>
        <v>1</v>
      </c>
      <c r="N64">
        <v>0</v>
      </c>
      <c r="O64">
        <v>0</v>
      </c>
      <c r="P64" s="178">
        <f>L64*$D$5*'Input data'!U101/1000-N64</f>
        <v>0</v>
      </c>
      <c r="Q64" s="485">
        <f t="shared" ref="Q64:Q114" si="4">M64*$D$4*K64/1000-O64</f>
        <v>15.850191616254495</v>
      </c>
      <c r="S64" s="1428">
        <f t="shared" ref="S64:S114" si="5">M64*$D$7*K64/1000</f>
        <v>0.95101149697526965</v>
      </c>
      <c r="T64" s="1429">
        <f t="shared" ref="T64:W80" si="6">G64+P64</f>
        <v>0</v>
      </c>
      <c r="U64" s="1430">
        <f t="shared" si="6"/>
        <v>19.71083514566488</v>
      </c>
      <c r="V64" s="1430">
        <f t="shared" si="6"/>
        <v>0</v>
      </c>
      <c r="W64" s="1431">
        <f t="shared" si="6"/>
        <v>1.1826501087398928</v>
      </c>
    </row>
    <row r="65" spans="1:23">
      <c r="A65" s="123">
        <f>'Input data'!A102</f>
        <v>2002</v>
      </c>
      <c r="B65" s="485">
        <f>'Baseline data (from input)'!C58*'Baseline data (from input)'!U58*'Baseline data (from input)'!Z58</f>
        <v>978.54977635628575</v>
      </c>
      <c r="C65" s="114">
        <v>0</v>
      </c>
      <c r="D65" s="114">
        <f t="shared" si="0"/>
        <v>1</v>
      </c>
      <c r="E65">
        <v>0</v>
      </c>
      <c r="F65">
        <v>0</v>
      </c>
      <c r="G65" s="178">
        <f>C65*$D$5*'Input data'!K102/1000-E65</f>
        <v>0</v>
      </c>
      <c r="H65" s="485">
        <f t="shared" si="1"/>
        <v>3.9141991054251428</v>
      </c>
      <c r="I65" s="456"/>
      <c r="J65" s="178">
        <f t="shared" si="2"/>
        <v>0.23485194632550857</v>
      </c>
      <c r="K65" s="235">
        <f>'Baseline data (from input)'!AI58*'Baseline data (from input)'!AD58*'Baseline data (from input)'!AB58</f>
        <v>4109.1773273951394</v>
      </c>
      <c r="L65" s="114">
        <v>0</v>
      </c>
      <c r="M65" s="114">
        <f t="shared" si="3"/>
        <v>1</v>
      </c>
      <c r="N65">
        <v>0</v>
      </c>
      <c r="O65">
        <v>0</v>
      </c>
      <c r="P65" s="178">
        <f>L65*$D$5*'Input data'!U102/1000-N65</f>
        <v>0</v>
      </c>
      <c r="Q65" s="485">
        <f>M65*$D$4*K65/1000-O65</f>
        <v>16.436709309580557</v>
      </c>
      <c r="S65" s="1428">
        <f t="shared" si="5"/>
        <v>0.98620255857483341</v>
      </c>
      <c r="T65" s="1429">
        <f t="shared" si="6"/>
        <v>0</v>
      </c>
      <c r="U65" s="1430">
        <f t="shared" si="6"/>
        <v>20.350908415005701</v>
      </c>
      <c r="V65" s="1430">
        <f t="shared" si="6"/>
        <v>0</v>
      </c>
      <c r="W65" s="1431">
        <f t="shared" si="6"/>
        <v>1.2210545049003421</v>
      </c>
    </row>
    <row r="66" spans="1:23">
      <c r="A66" s="123">
        <f>'Input data'!A103</f>
        <v>2003</v>
      </c>
      <c r="B66" s="485">
        <f>'Baseline data (from input)'!C59*'Baseline data (from input)'!U59*'Baseline data (from input)'!Z59</f>
        <v>991.07903029553222</v>
      </c>
      <c r="C66" s="114">
        <v>0</v>
      </c>
      <c r="D66" s="114">
        <f t="shared" si="0"/>
        <v>1</v>
      </c>
      <c r="E66">
        <v>0</v>
      </c>
      <c r="F66">
        <v>0</v>
      </c>
      <c r="G66" s="178">
        <f>C66*$D$5*'Input data'!K103/1000-E66</f>
        <v>0</v>
      </c>
      <c r="H66" s="485">
        <f t="shared" si="1"/>
        <v>3.9643161211821289</v>
      </c>
      <c r="I66" s="456"/>
      <c r="J66" s="178">
        <f t="shared" si="2"/>
        <v>0.23785896727092773</v>
      </c>
      <c r="K66" s="235">
        <f>'Baseline data (from input)'!AI59*'Baseline data (from input)'!AD59*'Baseline data (from input)'!AB59</f>
        <v>4230.3602186596845</v>
      </c>
      <c r="L66" s="114">
        <v>0</v>
      </c>
      <c r="M66" s="114">
        <f t="shared" si="3"/>
        <v>1</v>
      </c>
      <c r="N66">
        <v>0</v>
      </c>
      <c r="O66">
        <v>0</v>
      </c>
      <c r="P66" s="178">
        <f>L66*$D$5*'Input data'!U103/1000-N66</f>
        <v>0</v>
      </c>
      <c r="Q66" s="485">
        <f t="shared" si="4"/>
        <v>16.921440874638737</v>
      </c>
      <c r="S66" s="1428">
        <f t="shared" si="5"/>
        <v>1.0152864524783243</v>
      </c>
      <c r="T66" s="1429">
        <f t="shared" si="6"/>
        <v>0</v>
      </c>
      <c r="U66" s="1430">
        <f t="shared" si="6"/>
        <v>20.885756995820866</v>
      </c>
      <c r="V66" s="1430">
        <f t="shared" si="6"/>
        <v>0</v>
      </c>
      <c r="W66" s="1431">
        <f t="shared" si="6"/>
        <v>1.253145419749252</v>
      </c>
    </row>
    <row r="67" spans="1:23">
      <c r="A67" s="123">
        <f>'Input data'!A104</f>
        <v>2004</v>
      </c>
      <c r="B67" s="485">
        <f>'Baseline data (from input)'!C60*'Baseline data (from input)'!U60*'Baseline data (from input)'!Z60</f>
        <v>1002.8775901800029</v>
      </c>
      <c r="C67" s="114">
        <v>0</v>
      </c>
      <c r="D67" s="114">
        <f t="shared" si="0"/>
        <v>1</v>
      </c>
      <c r="E67">
        <v>0</v>
      </c>
      <c r="F67">
        <v>0</v>
      </c>
      <c r="G67" s="178">
        <f>C67*$D$5*'Input data'!K104/1000-E67</f>
        <v>0</v>
      </c>
      <c r="H67" s="485">
        <f t="shared" si="1"/>
        <v>4.0115103607200115</v>
      </c>
      <c r="I67" s="456"/>
      <c r="J67" s="178">
        <f t="shared" si="2"/>
        <v>0.24069062164320071</v>
      </c>
      <c r="K67" s="235">
        <f>'Baseline data (from input)'!AI60*'Baseline data (from input)'!AD60*'Baseline data (from input)'!AB60</f>
        <v>4423.0342061220372</v>
      </c>
      <c r="L67" s="114">
        <v>0</v>
      </c>
      <c r="M67" s="114">
        <f t="shared" si="3"/>
        <v>1</v>
      </c>
      <c r="N67">
        <v>0</v>
      </c>
      <c r="O67">
        <v>0</v>
      </c>
      <c r="P67" s="178">
        <f>L67*$D$5*'Input data'!U104/1000-N67</f>
        <v>0</v>
      </c>
      <c r="Q67" s="485">
        <f t="shared" si="4"/>
        <v>17.692136824488149</v>
      </c>
      <c r="S67" s="1428">
        <f t="shared" si="5"/>
        <v>1.0615282094692888</v>
      </c>
      <c r="T67" s="1429">
        <f t="shared" si="6"/>
        <v>0</v>
      </c>
      <c r="U67" s="1430">
        <f t="shared" si="6"/>
        <v>21.703647185208162</v>
      </c>
      <c r="V67" s="1430">
        <f t="shared" si="6"/>
        <v>0</v>
      </c>
      <c r="W67" s="1431">
        <f t="shared" si="6"/>
        <v>1.3022188311124896</v>
      </c>
    </row>
    <row r="68" spans="1:23">
      <c r="A68" s="123">
        <f>'Input data'!A105</f>
        <v>2005</v>
      </c>
      <c r="B68" s="485">
        <f>'Baseline data (from input)'!C61*'Baseline data (from input)'!U61*'Baseline data (from input)'!Z61</f>
        <v>1014.3322940386965</v>
      </c>
      <c r="C68" s="114">
        <v>0</v>
      </c>
      <c r="D68" s="114">
        <f t="shared" si="0"/>
        <v>1</v>
      </c>
      <c r="E68">
        <v>0</v>
      </c>
      <c r="F68">
        <v>0</v>
      </c>
      <c r="G68" s="178">
        <f>C68*$D$5*'Input data'!K105/1000-E68</f>
        <v>0</v>
      </c>
      <c r="H68" s="485">
        <f t="shared" si="1"/>
        <v>4.0573291761547861</v>
      </c>
      <c r="I68" s="456"/>
      <c r="J68" s="178">
        <f t="shared" si="2"/>
        <v>0.24343975056928716</v>
      </c>
      <c r="K68" s="235">
        <f>'Baseline data (from input)'!AI61*'Baseline data (from input)'!AD61*'Baseline data (from input)'!AB61</f>
        <v>4656.440211878119</v>
      </c>
      <c r="L68" s="114">
        <v>0</v>
      </c>
      <c r="M68" s="114">
        <f t="shared" si="3"/>
        <v>1</v>
      </c>
      <c r="N68">
        <v>0</v>
      </c>
      <c r="O68">
        <v>0</v>
      </c>
      <c r="P68" s="178">
        <f>L68*$D$5*'Input data'!U105/1000-N68</f>
        <v>0</v>
      </c>
      <c r="Q68" s="485">
        <f t="shared" si="4"/>
        <v>18.625760847512478</v>
      </c>
      <c r="S68" s="1428">
        <f t="shared" si="5"/>
        <v>1.1175456508507484</v>
      </c>
      <c r="T68" s="1429">
        <f t="shared" si="6"/>
        <v>0</v>
      </c>
      <c r="U68" s="1430">
        <f t="shared" si="6"/>
        <v>22.683090023667262</v>
      </c>
      <c r="V68" s="1430">
        <f t="shared" si="6"/>
        <v>0</v>
      </c>
      <c r="W68" s="1431">
        <f t="shared" si="6"/>
        <v>1.3609854014200355</v>
      </c>
    </row>
    <row r="69" spans="1:23">
      <c r="A69" s="123">
        <f>'Input data'!A106</f>
        <v>2006</v>
      </c>
      <c r="B69" s="485">
        <f>'Baseline data (from input)'!C62*'Baseline data (from input)'!U62*'Baseline data (from input)'!Z62</f>
        <v>1025.7869978973904</v>
      </c>
      <c r="C69" s="114">
        <v>0</v>
      </c>
      <c r="D69" s="114">
        <f t="shared" si="0"/>
        <v>1</v>
      </c>
      <c r="E69">
        <v>0</v>
      </c>
      <c r="F69">
        <v>0</v>
      </c>
      <c r="G69" s="178">
        <f>C69*$D$5*'Input data'!K106/1000-E69</f>
        <v>0</v>
      </c>
      <c r="H69" s="485">
        <f t="shared" si="1"/>
        <v>4.1031479915895614</v>
      </c>
      <c r="I69" s="456"/>
      <c r="J69" s="178">
        <f t="shared" si="2"/>
        <v>0.24618887949537369</v>
      </c>
      <c r="K69" s="235">
        <f>'Baseline data (from input)'!AI62*'Baseline data (from input)'!AD62*'Baseline data (from input)'!AB62</f>
        <v>4917.3776993709516</v>
      </c>
      <c r="L69" s="114">
        <v>0</v>
      </c>
      <c r="M69" s="114">
        <f t="shared" si="3"/>
        <v>1</v>
      </c>
      <c r="N69">
        <v>0</v>
      </c>
      <c r="O69">
        <v>0</v>
      </c>
      <c r="P69" s="178">
        <f>L69*$D$5*'Input data'!U106/1000-N69</f>
        <v>0</v>
      </c>
      <c r="Q69" s="485">
        <f t="shared" si="4"/>
        <v>19.669510797483806</v>
      </c>
      <c r="S69" s="1428">
        <f t="shared" si="5"/>
        <v>1.1801706478490284</v>
      </c>
      <c r="T69" s="1429">
        <f t="shared" si="6"/>
        <v>0</v>
      </c>
      <c r="U69" s="1430">
        <f t="shared" si="6"/>
        <v>23.772658789073368</v>
      </c>
      <c r="V69" s="1430">
        <f t="shared" si="6"/>
        <v>0</v>
      </c>
      <c r="W69" s="1431">
        <f t="shared" si="6"/>
        <v>1.4263595273444021</v>
      </c>
    </row>
    <row r="70" spans="1:23">
      <c r="A70" s="123">
        <f>'Input data'!A107</f>
        <v>2007</v>
      </c>
      <c r="B70" s="485">
        <f>'Baseline data (from input)'!C63*'Baseline data (from input)'!U63*'Baseline data (from input)'!Z63</f>
        <v>1037.0912647448067</v>
      </c>
      <c r="C70" s="114">
        <v>0</v>
      </c>
      <c r="D70" s="114">
        <f t="shared" si="0"/>
        <v>1</v>
      </c>
      <c r="E70">
        <v>0</v>
      </c>
      <c r="F70">
        <v>0</v>
      </c>
      <c r="G70" s="178">
        <f>C70*$D$5*'Input data'!K107/1000-E70</f>
        <v>0</v>
      </c>
      <c r="H70" s="485">
        <f t="shared" si="1"/>
        <v>4.1483650589792269</v>
      </c>
      <c r="I70" s="456"/>
      <c r="J70" s="178">
        <f t="shared" si="2"/>
        <v>0.2489019035387536</v>
      </c>
      <c r="K70" s="235">
        <f>'Baseline data (from input)'!AI63*'Baseline data (from input)'!AD63*'Baseline data (from input)'!AB63</f>
        <v>5180.9725454151421</v>
      </c>
      <c r="L70" s="114">
        <v>0</v>
      </c>
      <c r="M70" s="114">
        <f t="shared" si="3"/>
        <v>1</v>
      </c>
      <c r="N70">
        <v>0</v>
      </c>
      <c r="O70">
        <v>0</v>
      </c>
      <c r="P70" s="178">
        <f>L70*$D$5*'Input data'!U107/1000-N70</f>
        <v>0</v>
      </c>
      <c r="Q70" s="485">
        <f t="shared" si="4"/>
        <v>20.723890181660568</v>
      </c>
      <c r="S70" s="1428">
        <f t="shared" si="5"/>
        <v>1.2434334108996341</v>
      </c>
      <c r="T70" s="1429">
        <f t="shared" si="6"/>
        <v>0</v>
      </c>
      <c r="U70" s="1430">
        <f t="shared" si="6"/>
        <v>24.872255240639795</v>
      </c>
      <c r="V70" s="1430">
        <f t="shared" si="6"/>
        <v>0</v>
      </c>
      <c r="W70" s="1431">
        <f t="shared" si="6"/>
        <v>1.4923353144383877</v>
      </c>
    </row>
    <row r="71" spans="1:23">
      <c r="A71" s="123">
        <f>'Input data'!A108</f>
        <v>2008</v>
      </c>
      <c r="B71" s="485">
        <f>'Baseline data (from input)'!C64*'Baseline data (from input)'!U64*'Baseline data (from input)'!Z64</f>
        <v>1048.6104416083335</v>
      </c>
      <c r="C71" s="114">
        <v>0</v>
      </c>
      <c r="D71" s="114">
        <f t="shared" si="0"/>
        <v>1</v>
      </c>
      <c r="E71">
        <v>0</v>
      </c>
      <c r="F71">
        <v>0</v>
      </c>
      <c r="G71" s="178">
        <f>C71*$D$5*'Input data'!K108/1000-E71</f>
        <v>0</v>
      </c>
      <c r="H71" s="485">
        <f t="shared" si="1"/>
        <v>4.194441766433334</v>
      </c>
      <c r="I71" s="456"/>
      <c r="J71" s="178">
        <f t="shared" si="2"/>
        <v>0.25166650598600004</v>
      </c>
      <c r="K71" s="235">
        <f>'Baseline data (from input)'!AI64*'Baseline data (from input)'!AD64*'Baseline data (from input)'!AB64</f>
        <v>5346.2998009777148</v>
      </c>
      <c r="L71" s="114">
        <v>0</v>
      </c>
      <c r="M71" s="114">
        <f t="shared" si="3"/>
        <v>1</v>
      </c>
      <c r="N71">
        <v>0</v>
      </c>
      <c r="O71">
        <v>0</v>
      </c>
      <c r="P71" s="178">
        <f>L71*$D$5*'Input data'!U108/1000-N71</f>
        <v>0</v>
      </c>
      <c r="Q71" s="485">
        <f t="shared" si="4"/>
        <v>21.385199203910858</v>
      </c>
      <c r="S71" s="1428">
        <f t="shared" si="5"/>
        <v>1.2831119522346515</v>
      </c>
      <c r="T71" s="1429">
        <f t="shared" si="6"/>
        <v>0</v>
      </c>
      <c r="U71" s="1430">
        <f t="shared" si="6"/>
        <v>25.579640970344194</v>
      </c>
      <c r="V71" s="1430">
        <f t="shared" si="6"/>
        <v>0</v>
      </c>
      <c r="W71" s="1431">
        <f t="shared" si="6"/>
        <v>1.5347784582206514</v>
      </c>
    </row>
    <row r="72" spans="1:23">
      <c r="A72" s="123">
        <f>'Input data'!A109</f>
        <v>2009</v>
      </c>
      <c r="B72" s="485">
        <f>'Baseline data (from input)'!C65*'Baseline data (from input)'!U65*'Baseline data (from input)'!Z65</f>
        <v>1059.9361994573608</v>
      </c>
      <c r="C72" s="114">
        <v>0</v>
      </c>
      <c r="D72" s="114">
        <f t="shared" si="0"/>
        <v>1</v>
      </c>
      <c r="E72">
        <v>0</v>
      </c>
      <c r="F72">
        <v>0</v>
      </c>
      <c r="G72" s="178">
        <f>C72*$D$5*'Input data'!K109/1000-E72</f>
        <v>0</v>
      </c>
      <c r="H72" s="485">
        <f t="shared" si="1"/>
        <v>4.2397447978294434</v>
      </c>
      <c r="I72" s="456"/>
      <c r="J72" s="178">
        <f t="shared" si="2"/>
        <v>0.25438468786976659</v>
      </c>
      <c r="K72" s="235">
        <f>'Baseline data (from input)'!AI65*'Baseline data (from input)'!AD65*'Baseline data (from input)'!AB65</f>
        <v>5264.0689339752143</v>
      </c>
      <c r="L72" s="114">
        <v>0</v>
      </c>
      <c r="M72" s="114">
        <f t="shared" si="3"/>
        <v>1</v>
      </c>
      <c r="N72">
        <v>0</v>
      </c>
      <c r="O72">
        <v>0</v>
      </c>
      <c r="P72" s="178">
        <f>L72*$D$5*'Input data'!U109/1000-N72</f>
        <v>0</v>
      </c>
      <c r="Q72" s="485">
        <f t="shared" si="4"/>
        <v>21.056275735900858</v>
      </c>
      <c r="S72" s="1428">
        <f t="shared" si="5"/>
        <v>1.2633765441540512</v>
      </c>
      <c r="T72" s="1429">
        <f t="shared" si="6"/>
        <v>0</v>
      </c>
      <c r="U72" s="1430">
        <f t="shared" si="6"/>
        <v>25.296020533730299</v>
      </c>
      <c r="V72" s="1430">
        <f t="shared" si="6"/>
        <v>0</v>
      </c>
      <c r="W72" s="1431">
        <f t="shared" si="6"/>
        <v>1.5177612320238179</v>
      </c>
    </row>
    <row r="73" spans="1:23">
      <c r="A73" s="123">
        <f>'Input data'!A110</f>
        <v>2010</v>
      </c>
      <c r="B73" s="485">
        <f>'Baseline data (from input)'!C66*'Baseline data (from input)'!U66*'Baseline data (from input)'!Z66</f>
        <v>1393.6695930858416</v>
      </c>
      <c r="C73" s="114">
        <v>0</v>
      </c>
      <c r="D73" s="114">
        <f t="shared" si="0"/>
        <v>1</v>
      </c>
      <c r="E73">
        <v>0</v>
      </c>
      <c r="F73">
        <v>0</v>
      </c>
      <c r="G73" s="178">
        <f>C73*$D$5*'Input data'!K110/1000-E73</f>
        <v>0</v>
      </c>
      <c r="H73" s="485">
        <f t="shared" si="1"/>
        <v>5.5746783723433664</v>
      </c>
      <c r="I73" s="456"/>
      <c r="J73" s="178">
        <f t="shared" si="2"/>
        <v>0.33448070234060195</v>
      </c>
      <c r="K73" s="235">
        <f>'Baseline data (from input)'!AI66*'Baseline data (from input)'!AD66*'Baseline data (from input)'!AB66</f>
        <v>5424.0824594314599</v>
      </c>
      <c r="L73" s="114">
        <v>0</v>
      </c>
      <c r="M73" s="114">
        <f t="shared" si="3"/>
        <v>1</v>
      </c>
      <c r="N73">
        <v>0</v>
      </c>
      <c r="O73">
        <v>0</v>
      </c>
      <c r="P73" s="178">
        <f>L73*$D$5*'Input data'!U110/1000-N73</f>
        <v>0</v>
      </c>
      <c r="Q73" s="485">
        <f t="shared" si="4"/>
        <v>21.696329837725841</v>
      </c>
      <c r="S73" s="1428">
        <f t="shared" si="5"/>
        <v>1.3017797902635502</v>
      </c>
      <c r="T73" s="1429">
        <f t="shared" si="6"/>
        <v>0</v>
      </c>
      <c r="U73" s="1430">
        <f t="shared" si="6"/>
        <v>27.271008210069208</v>
      </c>
      <c r="V73" s="1430">
        <f t="shared" si="6"/>
        <v>0</v>
      </c>
      <c r="W73" s="1431">
        <f t="shared" si="6"/>
        <v>1.6362604926041522</v>
      </c>
    </row>
    <row r="74" spans="1:23">
      <c r="A74" s="123">
        <f>'Input data'!A111</f>
        <v>2011</v>
      </c>
      <c r="B74" s="485">
        <f>'Baseline data (from input)'!C67*'Baseline data (from input)'!U67*'Baseline data (from input)'!Z67</f>
        <v>1755.3483663853285</v>
      </c>
      <c r="C74" s="114">
        <v>0.05</v>
      </c>
      <c r="D74" s="114">
        <f t="shared" si="0"/>
        <v>0.95</v>
      </c>
      <c r="E74">
        <v>0</v>
      </c>
      <c r="F74">
        <v>0</v>
      </c>
      <c r="G74" s="178">
        <f>C74*$D$5*B74/1000-E74</f>
        <v>7.021393465541316E-2</v>
      </c>
      <c r="H74" s="485">
        <f t="shared" si="1"/>
        <v>6.6703237922642487</v>
      </c>
      <c r="I74" s="456"/>
      <c r="J74" s="178">
        <f t="shared" si="2"/>
        <v>0.40021942753585488</v>
      </c>
      <c r="K74" s="235">
        <f>'Baseline data (from input)'!AI67*'Baseline data (from input)'!AD67*'Baseline data (from input)'!AB67</f>
        <v>5602.2184475599188</v>
      </c>
      <c r="L74" s="114">
        <v>0.1</v>
      </c>
      <c r="M74" s="114">
        <f t="shared" si="3"/>
        <v>0.9</v>
      </c>
      <c r="N74">
        <v>0</v>
      </c>
      <c r="O74">
        <v>0</v>
      </c>
      <c r="P74" s="178">
        <f>L74*$D$5*K74/1000-N74</f>
        <v>0.44817747580479356</v>
      </c>
      <c r="Q74" s="485">
        <f t="shared" si="4"/>
        <v>20.167986411215708</v>
      </c>
      <c r="S74" s="1428">
        <f t="shared" si="5"/>
        <v>1.2100791846729424</v>
      </c>
      <c r="T74" s="1429">
        <f t="shared" si="6"/>
        <v>0.51839141046020676</v>
      </c>
      <c r="U74" s="1430">
        <f t="shared" si="6"/>
        <v>26.838310203479956</v>
      </c>
      <c r="V74" s="1430">
        <f t="shared" si="6"/>
        <v>0</v>
      </c>
      <c r="W74" s="1431">
        <f t="shared" si="6"/>
        <v>1.6102986122087972</v>
      </c>
    </row>
    <row r="75" spans="1:23">
      <c r="A75" s="123">
        <f>'Input data'!A112</f>
        <v>2012</v>
      </c>
      <c r="B75" s="485">
        <f>'Baseline data (from input)'!C68*'Baseline data (from input)'!U68*'Baseline data (from input)'!Z68</f>
        <v>2060.0821081723147</v>
      </c>
      <c r="C75" s="114">
        <v>0.05</v>
      </c>
      <c r="D75" s="114">
        <f t="shared" si="0"/>
        <v>0.95</v>
      </c>
      <c r="E75">
        <v>0</v>
      </c>
      <c r="F75">
        <v>0</v>
      </c>
      <c r="G75" s="178">
        <f>C75*$D$5*B75/1000-E75</f>
        <v>8.2403284326892604E-2</v>
      </c>
      <c r="H75" s="485">
        <f t="shared" si="1"/>
        <v>7.8283120110547948</v>
      </c>
      <c r="I75" s="456"/>
      <c r="J75" s="178">
        <f t="shared" si="2"/>
        <v>0.46969872066328772</v>
      </c>
      <c r="K75" s="235">
        <f>'Baseline data (from input)'!AI68*'Baseline data (from input)'!AD68*'Baseline data (from input)'!AB68</f>
        <v>5726.2451031475339</v>
      </c>
      <c r="L75" s="114">
        <v>0.1</v>
      </c>
      <c r="M75" s="114">
        <f t="shared" si="3"/>
        <v>0.9</v>
      </c>
      <c r="N75">
        <v>0</v>
      </c>
      <c r="O75">
        <v>0</v>
      </c>
      <c r="P75" s="178">
        <f t="shared" ref="P75:P114" si="7">L75*$D$5*K75/1000-N75</f>
        <v>0.45809960825180279</v>
      </c>
      <c r="Q75" s="485">
        <f t="shared" si="4"/>
        <v>20.614482371331125</v>
      </c>
      <c r="S75" s="1428">
        <f t="shared" si="5"/>
        <v>1.2368689422798673</v>
      </c>
      <c r="T75" s="1429">
        <f t="shared" si="6"/>
        <v>0.54050289257869544</v>
      </c>
      <c r="U75" s="1430">
        <f t="shared" si="6"/>
        <v>28.44279438238592</v>
      </c>
      <c r="V75" s="1430">
        <f t="shared" si="6"/>
        <v>0</v>
      </c>
      <c r="W75" s="1431">
        <f t="shared" si="6"/>
        <v>1.706567662943155</v>
      </c>
    </row>
    <row r="76" spans="1:23">
      <c r="A76" s="123">
        <f>'Input data'!A113</f>
        <v>2013</v>
      </c>
      <c r="B76" s="485">
        <f>'Baseline data (from input)'!C69*'Baseline data (from input)'!U69*'Baseline data (from input)'!Z69</f>
        <v>2354.6679732272769</v>
      </c>
      <c r="C76" s="114">
        <v>0.05</v>
      </c>
      <c r="D76" s="114">
        <f t="shared" si="0"/>
        <v>0.95</v>
      </c>
      <c r="E76">
        <v>0</v>
      </c>
      <c r="F76">
        <v>0</v>
      </c>
      <c r="G76" s="178">
        <f t="shared" ref="G76:G78" si="8">C76*$D$5*B76/1000-E76</f>
        <v>9.4186718929091098E-2</v>
      </c>
      <c r="H76" s="485">
        <f t="shared" si="1"/>
        <v>8.9477382982636513</v>
      </c>
      <c r="I76" s="456"/>
      <c r="J76" s="178">
        <f t="shared" si="2"/>
        <v>0.53686429789581902</v>
      </c>
      <c r="K76" s="235">
        <f>'Baseline data (from input)'!AI69*'Baseline data (from input)'!AD69*'Baseline data (from input)'!AB69</f>
        <v>5868.1159038320293</v>
      </c>
      <c r="L76" s="114">
        <v>0.1</v>
      </c>
      <c r="M76" s="114">
        <f t="shared" si="3"/>
        <v>0.9</v>
      </c>
      <c r="N76">
        <v>0</v>
      </c>
      <c r="O76">
        <v>0</v>
      </c>
      <c r="P76" s="178">
        <f t="shared" si="7"/>
        <v>0.46944927230656242</v>
      </c>
      <c r="Q76" s="485">
        <f t="shared" si="4"/>
        <v>21.125217253795306</v>
      </c>
      <c r="S76" s="1428">
        <f t="shared" si="5"/>
        <v>1.2675130352277184</v>
      </c>
      <c r="T76" s="1429">
        <f t="shared" si="6"/>
        <v>0.56363599123565356</v>
      </c>
      <c r="U76" s="1430">
        <f t="shared" si="6"/>
        <v>30.072955552058957</v>
      </c>
      <c r="V76" s="1430">
        <f t="shared" si="6"/>
        <v>0</v>
      </c>
      <c r="W76" s="1431">
        <f t="shared" si="6"/>
        <v>1.8043773331235373</v>
      </c>
    </row>
    <row r="77" spans="1:23">
      <c r="A77" s="123">
        <f>'Input data'!A114</f>
        <v>2014</v>
      </c>
      <c r="B77" s="485">
        <f>'Baseline data (from input)'!C70*'Baseline data (from input)'!U70*'Baseline data (from input)'!Z70</f>
        <v>2631.7357399833486</v>
      </c>
      <c r="C77" s="114">
        <v>0.05</v>
      </c>
      <c r="D77" s="114">
        <f t="shared" si="0"/>
        <v>0.95</v>
      </c>
      <c r="E77">
        <v>0</v>
      </c>
      <c r="F77">
        <v>0</v>
      </c>
      <c r="G77" s="178">
        <f t="shared" si="8"/>
        <v>0.10526942959933396</v>
      </c>
      <c r="H77" s="485">
        <f t="shared" si="1"/>
        <v>10.000595811936725</v>
      </c>
      <c r="I77" s="456"/>
      <c r="J77" s="178">
        <f t="shared" si="2"/>
        <v>0.60003574871620347</v>
      </c>
      <c r="K77" s="235">
        <f>'Baseline data (from input)'!AI70*'Baseline data (from input)'!AD70*'Baseline data (from input)'!AB70</f>
        <v>5978.3235323732424</v>
      </c>
      <c r="L77" s="114">
        <v>0.1</v>
      </c>
      <c r="M77" s="114">
        <f t="shared" si="3"/>
        <v>0.9</v>
      </c>
      <c r="N77">
        <v>0</v>
      </c>
      <c r="O77">
        <v>0</v>
      </c>
      <c r="P77" s="178">
        <f t="shared" si="7"/>
        <v>0.47826588258985947</v>
      </c>
      <c r="Q77" s="485">
        <f t="shared" si="4"/>
        <v>21.521964716543671</v>
      </c>
      <c r="S77" s="1428">
        <f t="shared" si="5"/>
        <v>1.2913178829926204</v>
      </c>
      <c r="T77" s="1429">
        <f t="shared" si="6"/>
        <v>0.58353531218919341</v>
      </c>
      <c r="U77" s="1430">
        <f t="shared" si="6"/>
        <v>31.522560528480398</v>
      </c>
      <c r="V77" s="1430">
        <f t="shared" si="6"/>
        <v>0</v>
      </c>
      <c r="W77" s="1431">
        <f t="shared" si="6"/>
        <v>1.891353631708824</v>
      </c>
    </row>
    <row r="78" spans="1:23">
      <c r="A78" s="123">
        <f>'Input data'!A115</f>
        <v>2015</v>
      </c>
      <c r="B78" s="485">
        <f>'Baseline data (from input)'!C71*'Baseline data (from input)'!U71*'Baseline data (from input)'!Z71</f>
        <v>2890.5274162260434</v>
      </c>
      <c r="C78" s="114">
        <v>0.05</v>
      </c>
      <c r="D78" s="114">
        <f t="shared" si="0"/>
        <v>0.95</v>
      </c>
      <c r="E78">
        <v>0</v>
      </c>
      <c r="F78">
        <v>0</v>
      </c>
      <c r="G78" s="178">
        <f t="shared" si="8"/>
        <v>0.11562109664904176</v>
      </c>
      <c r="H78" s="485">
        <f t="shared" si="1"/>
        <v>10.984004181658964</v>
      </c>
      <c r="I78" s="456"/>
      <c r="J78" s="178">
        <f t="shared" si="2"/>
        <v>0.65904025089953777</v>
      </c>
      <c r="K78" s="235">
        <f>'Baseline data (from input)'!AI71*'Baseline data (from input)'!AD71*'Baseline data (from input)'!AB71</f>
        <v>6054.4932508604279</v>
      </c>
      <c r="L78" s="114">
        <v>0.1</v>
      </c>
      <c r="M78" s="114">
        <f t="shared" si="3"/>
        <v>0.9</v>
      </c>
      <c r="N78">
        <v>0</v>
      </c>
      <c r="O78">
        <v>0</v>
      </c>
      <c r="P78" s="178">
        <f>L78*$D$5*K78/1000-N78</f>
        <v>0.48435946006883435</v>
      </c>
      <c r="Q78" s="485">
        <f t="shared" si="4"/>
        <v>21.796175703097543</v>
      </c>
      <c r="S78" s="1428">
        <f t="shared" si="5"/>
        <v>1.3077705421858525</v>
      </c>
      <c r="T78" s="1429">
        <f t="shared" si="6"/>
        <v>0.59998055671787609</v>
      </c>
      <c r="U78" s="1430">
        <f t="shared" si="6"/>
        <v>32.780179884756507</v>
      </c>
      <c r="V78" s="1430">
        <f t="shared" si="6"/>
        <v>0</v>
      </c>
      <c r="W78" s="1431">
        <f t="shared" si="6"/>
        <v>1.9668107930853904</v>
      </c>
    </row>
    <row r="79" spans="1:23">
      <c r="A79" s="123">
        <f>'Input data'!A116</f>
        <v>2016</v>
      </c>
      <c r="B79" s="485">
        <f>'Baseline data (from input)'!C72*'Baseline data (from input)'!U72*'Baseline data (from input)'!Z72</f>
        <v>3130.2690826011199</v>
      </c>
      <c r="C79" s="114">
        <v>0.05</v>
      </c>
      <c r="D79" s="114">
        <f t="shared" si="0"/>
        <v>0.95</v>
      </c>
      <c r="E79">
        <v>0</v>
      </c>
      <c r="F79">
        <v>0</v>
      </c>
      <c r="G79" s="178">
        <f>C79*$D$5*B79/1000-E79</f>
        <v>0.12521076330404482</v>
      </c>
      <c r="H79" s="485">
        <f t="shared" si="1"/>
        <v>11.895022513884255</v>
      </c>
      <c r="I79" s="456"/>
      <c r="J79" s="178">
        <f t="shared" si="2"/>
        <v>0.71370135083305519</v>
      </c>
      <c r="K79" s="235">
        <f>'Baseline data (from input)'!AI72*'Baseline data (from input)'!AD72*'Baseline data (from input)'!AB72</f>
        <v>6102.9181147570616</v>
      </c>
      <c r="L79" s="114">
        <v>0.1</v>
      </c>
      <c r="M79" s="114">
        <f t="shared" si="3"/>
        <v>0.9</v>
      </c>
      <c r="N79">
        <v>0</v>
      </c>
      <c r="O79">
        <v>0</v>
      </c>
      <c r="P79" s="178">
        <f t="shared" si="7"/>
        <v>0.48823344918056499</v>
      </c>
      <c r="Q79" s="485">
        <f t="shared" si="4"/>
        <v>21.970505213125424</v>
      </c>
      <c r="S79" s="1428">
        <f t="shared" si="5"/>
        <v>1.3182303127875252</v>
      </c>
      <c r="T79" s="1429">
        <f t="shared" si="6"/>
        <v>0.61344421248460979</v>
      </c>
      <c r="U79" s="1430">
        <f t="shared" si="6"/>
        <v>33.865527727009678</v>
      </c>
      <c r="V79" s="1430">
        <f t="shared" si="6"/>
        <v>0</v>
      </c>
      <c r="W79" s="1431">
        <f t="shared" si="6"/>
        <v>2.0319316636205804</v>
      </c>
    </row>
    <row r="80" spans="1:23" ht="15" thickBot="1">
      <c r="A80" s="123">
        <f>'Input data'!A117</f>
        <v>2017</v>
      </c>
      <c r="B80" s="485">
        <f>'Baseline data (from input)'!C73*'Baseline data (from input)'!U73*'Baseline data (from input)'!Z73</f>
        <v>3350.003081988611</v>
      </c>
      <c r="C80" s="480">
        <v>0.05</v>
      </c>
      <c r="D80" s="480">
        <f t="shared" si="0"/>
        <v>0.95</v>
      </c>
      <c r="E80" s="479">
        <v>0</v>
      </c>
      <c r="F80" s="479">
        <v>0</v>
      </c>
      <c r="G80" s="539">
        <f>C80*$D$5*B80/1000-E80</f>
        <v>0.13400012327954444</v>
      </c>
      <c r="H80" s="538">
        <f>D80*$D$4*B80/1000-F80</f>
        <v>12.73001171155672</v>
      </c>
      <c r="I80" s="456"/>
      <c r="J80" s="539">
        <f t="shared" si="2"/>
        <v>0.76380070269340317</v>
      </c>
      <c r="K80" s="610">
        <f>'Baseline data (from input)'!AI73*'Baseline data (from input)'!AD73*'Baseline data (from input)'!AB73</f>
        <v>6175.387200000001</v>
      </c>
      <c r="L80" s="114">
        <v>0.1</v>
      </c>
      <c r="M80" s="480">
        <f t="shared" si="3"/>
        <v>0.9</v>
      </c>
      <c r="N80" s="479">
        <v>0</v>
      </c>
      <c r="O80" s="479">
        <v>0</v>
      </c>
      <c r="P80" s="539">
        <f t="shared" si="7"/>
        <v>0.49403097600000018</v>
      </c>
      <c r="Q80" s="538">
        <f t="shared" si="4"/>
        <v>22.231393920000006</v>
      </c>
      <c r="R80" s="479"/>
      <c r="S80" s="1432">
        <f t="shared" si="5"/>
        <v>1.3338836352000003</v>
      </c>
      <c r="T80" s="1429">
        <f t="shared" si="6"/>
        <v>0.62803109927954459</v>
      </c>
      <c r="U80" s="1430">
        <f t="shared" si="6"/>
        <v>34.96140563155673</v>
      </c>
      <c r="V80" s="1430">
        <f t="shared" si="6"/>
        <v>0</v>
      </c>
      <c r="W80" s="1431">
        <f t="shared" si="6"/>
        <v>2.0976843378934036</v>
      </c>
    </row>
    <row r="81" spans="1:23">
      <c r="A81" s="1433" t="s">
        <v>744</v>
      </c>
      <c r="B81" s="1434"/>
      <c r="C81" s="1435"/>
      <c r="D81" s="1435"/>
      <c r="E81" s="580"/>
      <c r="F81" s="580"/>
      <c r="G81" s="1436"/>
      <c r="H81" s="1434"/>
      <c r="I81" s="1437"/>
      <c r="J81" s="1436"/>
      <c r="K81" s="1438"/>
      <c r="L81" s="1435"/>
      <c r="M81" s="1435"/>
      <c r="N81" s="580"/>
      <c r="O81" s="580"/>
      <c r="P81" s="853">
        <f>L81*$D$5*'Input data'!U118/1000-N81</f>
        <v>0</v>
      </c>
      <c r="Q81" s="854">
        <f t="shared" si="4"/>
        <v>0</v>
      </c>
      <c r="R81" s="115"/>
      <c r="S81" s="1424">
        <f t="shared" si="5"/>
        <v>0</v>
      </c>
      <c r="T81" s="1425">
        <f t="shared" ref="T81:W114" si="9">G81+P81</f>
        <v>0</v>
      </c>
      <c r="U81" s="1426">
        <f t="shared" si="9"/>
        <v>0</v>
      </c>
      <c r="V81" s="1426">
        <f t="shared" si="9"/>
        <v>0</v>
      </c>
      <c r="W81" s="1427">
        <f t="shared" si="9"/>
        <v>0</v>
      </c>
    </row>
    <row r="82" spans="1:23">
      <c r="A82" s="123">
        <f>'Input data'!A118</f>
        <v>2018</v>
      </c>
      <c r="B82" s="1439">
        <f>'Recycling - Case 1'!AI98*'Recycling - Case 1'!B98</f>
        <v>3618.1594989577075</v>
      </c>
      <c r="C82" s="114">
        <f>($C$86-$C$80)/($A$86-$A$80)+C80</f>
        <v>6.0000000000000005E-2</v>
      </c>
      <c r="D82" s="114">
        <f>1-C82</f>
        <v>0.94</v>
      </c>
      <c r="E82">
        <v>0</v>
      </c>
      <c r="F82">
        <v>0</v>
      </c>
      <c r="G82" s="898">
        <f>C82*$D$5*B82/1000-E82</f>
        <v>0.17367165594997</v>
      </c>
      <c r="H82" s="598">
        <f>D82*$D$4*B82/1000-F82</f>
        <v>13.604279716080979</v>
      </c>
      <c r="J82" s="178">
        <f>D82*$D$7*B82/1000</f>
        <v>0.8162567829648586</v>
      </c>
      <c r="K82" s="606">
        <f>'Recycling - Case 1'!Z138*'Recycling - Case 1'!C138</f>
        <v>5930.432164483057</v>
      </c>
      <c r="L82" s="114">
        <v>0.1</v>
      </c>
      <c r="M82" s="114">
        <f>1-L82</f>
        <v>0.9</v>
      </c>
      <c r="N82">
        <f>N80</f>
        <v>0</v>
      </c>
      <c r="O82">
        <f>O80</f>
        <v>0</v>
      </c>
      <c r="P82" s="178">
        <f>L82*$D$5*K82/1000-N82</f>
        <v>0.47443457315864462</v>
      </c>
      <c r="Q82" s="485">
        <f t="shared" si="4"/>
        <v>21.349555792139007</v>
      </c>
      <c r="S82" s="1428">
        <f t="shared" si="5"/>
        <v>1.2809733475283402</v>
      </c>
      <c r="T82" s="1429">
        <f>G82+P82</f>
        <v>0.6481062291086146</v>
      </c>
      <c r="U82" s="1430">
        <f>H82+Q82</f>
        <v>34.953835508219989</v>
      </c>
      <c r="V82" s="1430">
        <f t="shared" si="9"/>
        <v>0</v>
      </c>
      <c r="W82" s="1431">
        <f t="shared" si="9"/>
        <v>2.0972301304931991</v>
      </c>
    </row>
    <row r="83" spans="1:23">
      <c r="A83" s="123">
        <f>'Input data'!A119</f>
        <v>2019</v>
      </c>
      <c r="B83" s="1439">
        <f>'Recycling - Case 1'!AI99*'Recycling - Case 1'!B99</f>
        <v>3883.8945846308343</v>
      </c>
      <c r="C83" s="1440">
        <f>($C$86-$C$80)/($A$86-$A$80)+C82</f>
        <v>7.0000000000000007E-2</v>
      </c>
      <c r="D83" s="1440">
        <f t="shared" ref="D83:D114" si="10">1-C83</f>
        <v>0.92999999999999994</v>
      </c>
      <c r="E83" s="53">
        <v>0</v>
      </c>
      <c r="F83" s="53">
        <v>0</v>
      </c>
      <c r="G83" s="898">
        <f t="shared" ref="G83:G114" si="11">C83*$D$5*B83/1000-E83</f>
        <v>0.21749809673932674</v>
      </c>
      <c r="H83" s="598">
        <f t="shared" ref="H83:H114" si="12">D83*$D$4*B83/1000-F83</f>
        <v>14.448087854826703</v>
      </c>
      <c r="I83" s="53"/>
      <c r="J83" s="898">
        <f t="shared" ref="J83:J114" si="13">D83*$D$7*B83/1000</f>
        <v>0.86688527128960213</v>
      </c>
      <c r="K83" s="606">
        <f>'Recycling - Case 1'!Z139*'Recycling - Case 1'!C139</f>
        <v>5725.6267788832301</v>
      </c>
      <c r="L83" s="114">
        <v>0.1</v>
      </c>
      <c r="M83" s="1440">
        <f t="shared" ref="M83:M114" si="14">1-L83</f>
        <v>0.9</v>
      </c>
      <c r="N83" s="53">
        <f t="shared" ref="N83:O98" si="15">N81</f>
        <v>0</v>
      </c>
      <c r="O83" s="53">
        <f t="shared" si="15"/>
        <v>0</v>
      </c>
      <c r="P83" s="178">
        <f t="shared" ref="P83:P112" si="16">L83*$D$5*K83/1000-N83</f>
        <v>0.45805014231065849</v>
      </c>
      <c r="Q83" s="598">
        <f t="shared" si="4"/>
        <v>20.612256403979632</v>
      </c>
      <c r="R83" s="53"/>
      <c r="S83" s="1442">
        <f t="shared" si="5"/>
        <v>1.2367353842387776</v>
      </c>
      <c r="T83" s="1429">
        <f t="shared" si="9"/>
        <v>0.67554823904998518</v>
      </c>
      <c r="U83" s="1430">
        <f t="shared" si="9"/>
        <v>35.060344258806339</v>
      </c>
      <c r="V83" s="1430">
        <f t="shared" si="9"/>
        <v>0</v>
      </c>
      <c r="W83" s="1431">
        <f t="shared" si="9"/>
        <v>2.1036206555283798</v>
      </c>
    </row>
    <row r="84" spans="1:23">
      <c r="A84" s="123">
        <f>'Input data'!A120</f>
        <v>2020</v>
      </c>
      <c r="B84" s="1439">
        <f>'Recycling - Case 1'!AI100*'Recycling - Case 1'!B100</f>
        <v>4148.07681666808</v>
      </c>
      <c r="C84" s="1440">
        <f t="shared" ref="C84:C85" si="17">($C$86-$C$80)/($A$86-$A$80)+C83</f>
        <v>0.08</v>
      </c>
      <c r="D84" s="1440">
        <f t="shared" si="10"/>
        <v>0.92</v>
      </c>
      <c r="E84" s="53">
        <v>0</v>
      </c>
      <c r="F84" s="53">
        <v>0</v>
      </c>
      <c r="G84" s="898">
        <f t="shared" si="11"/>
        <v>0.26547691626675712</v>
      </c>
      <c r="H84" s="598">
        <f t="shared" si="12"/>
        <v>15.264922685338535</v>
      </c>
      <c r="I84" s="53"/>
      <c r="J84" s="898">
        <f t="shared" si="13"/>
        <v>0.915895361120312</v>
      </c>
      <c r="K84" s="606">
        <f>'Recycling - Case 1'!Z140*'Recycling - Case 1'!C140</f>
        <v>4497.5412733564972</v>
      </c>
      <c r="L84" s="114">
        <v>0.1</v>
      </c>
      <c r="M84" s="1440">
        <f t="shared" si="14"/>
        <v>0.9</v>
      </c>
      <c r="N84" s="53">
        <f t="shared" si="15"/>
        <v>0</v>
      </c>
      <c r="O84" s="53">
        <f t="shared" si="15"/>
        <v>0</v>
      </c>
      <c r="P84" s="178">
        <f t="shared" si="16"/>
        <v>0.35980330186851983</v>
      </c>
      <c r="Q84" s="598">
        <f t="shared" si="4"/>
        <v>16.19114858408339</v>
      </c>
      <c r="R84" s="53"/>
      <c r="S84" s="1442">
        <f t="shared" si="5"/>
        <v>0.97146891504500343</v>
      </c>
      <c r="T84" s="1429">
        <f t="shared" si="9"/>
        <v>0.62528021813527701</v>
      </c>
      <c r="U84" s="1430">
        <f t="shared" si="9"/>
        <v>31.456071269421926</v>
      </c>
      <c r="V84" s="1430">
        <f t="shared" si="9"/>
        <v>0</v>
      </c>
      <c r="W84" s="1431">
        <f t="shared" si="9"/>
        <v>1.8873642761653153</v>
      </c>
    </row>
    <row r="85" spans="1:23">
      <c r="A85" s="123">
        <f>'Input data'!A121</f>
        <v>2021</v>
      </c>
      <c r="B85" s="1439">
        <f>'Recycling - Case 1'!AI101*'Recycling - Case 1'!B101</f>
        <v>4391.4182309081298</v>
      </c>
      <c r="C85" s="1440">
        <f t="shared" si="17"/>
        <v>0.09</v>
      </c>
      <c r="D85" s="1440">
        <f t="shared" si="10"/>
        <v>0.91</v>
      </c>
      <c r="E85" s="53">
        <v>0</v>
      </c>
      <c r="F85" s="53">
        <v>0</v>
      </c>
      <c r="G85" s="898">
        <f t="shared" si="11"/>
        <v>0.31618211262538537</v>
      </c>
      <c r="H85" s="598">
        <f t="shared" si="12"/>
        <v>15.984762360505592</v>
      </c>
      <c r="I85" s="53"/>
      <c r="J85" s="898">
        <f t="shared" si="13"/>
        <v>0.95908574163033566</v>
      </c>
      <c r="K85" s="606">
        <f>'Recycling - Case 1'!Z141*'Recycling - Case 1'!C141</f>
        <v>4436.6944753798243</v>
      </c>
      <c r="L85" s="114">
        <v>0.1</v>
      </c>
      <c r="M85" s="1440">
        <f t="shared" si="14"/>
        <v>0.9</v>
      </c>
      <c r="N85" s="53">
        <f t="shared" si="15"/>
        <v>0</v>
      </c>
      <c r="O85" s="53">
        <f t="shared" si="15"/>
        <v>0</v>
      </c>
      <c r="P85" s="178">
        <f t="shared" si="16"/>
        <v>0.35493555803038601</v>
      </c>
      <c r="Q85" s="598">
        <f t="shared" si="4"/>
        <v>15.972100111367368</v>
      </c>
      <c r="R85" s="53"/>
      <c r="S85" s="1442">
        <f t="shared" si="5"/>
        <v>0.95832600668204204</v>
      </c>
      <c r="T85" s="1429">
        <f t="shared" si="9"/>
        <v>0.67111767065577133</v>
      </c>
      <c r="U85" s="1430">
        <f t="shared" si="9"/>
        <v>31.956862471872959</v>
      </c>
      <c r="V85" s="1430">
        <f t="shared" si="9"/>
        <v>0</v>
      </c>
      <c r="W85" s="1431">
        <f t="shared" si="9"/>
        <v>1.9174117483123778</v>
      </c>
    </row>
    <row r="86" spans="1:23">
      <c r="A86" s="123">
        <f>'Input data'!A122</f>
        <v>2022</v>
      </c>
      <c r="B86" s="1439">
        <f>'Recycling - Case 1'!AI102*'Recycling - Case 1'!B102</f>
        <v>4632.7484481702204</v>
      </c>
      <c r="C86" s="1440">
        <f>'Recycling - Case 1'!C31</f>
        <v>0.1</v>
      </c>
      <c r="D86" s="1440">
        <f t="shared" si="10"/>
        <v>0.9</v>
      </c>
      <c r="E86" s="53">
        <v>0</v>
      </c>
      <c r="F86" s="53">
        <v>0</v>
      </c>
      <c r="G86" s="898">
        <f t="shared" si="11"/>
        <v>0.37061987585361772</v>
      </c>
      <c r="H86" s="598">
        <f t="shared" si="12"/>
        <v>16.677894413412794</v>
      </c>
      <c r="I86" s="53"/>
      <c r="J86" s="898">
        <f t="shared" si="13"/>
        <v>1.0006736648047676</v>
      </c>
      <c r="K86" s="606">
        <f>'Recycling - Case 1'!Z142*'Recycling - Case 1'!C142</f>
        <v>4688.2491991959869</v>
      </c>
      <c r="L86" s="1440">
        <f>'Recycling - Case 1'!C31</f>
        <v>0.1</v>
      </c>
      <c r="M86" s="1440">
        <f t="shared" si="14"/>
        <v>0.9</v>
      </c>
      <c r="N86" s="53">
        <f t="shared" si="15"/>
        <v>0</v>
      </c>
      <c r="O86" s="53">
        <f t="shared" si="15"/>
        <v>0</v>
      </c>
      <c r="P86" s="178">
        <f t="shared" si="16"/>
        <v>0.37505993593567905</v>
      </c>
      <c r="Q86" s="598">
        <f t="shared" si="4"/>
        <v>16.877697117105551</v>
      </c>
      <c r="R86" s="53"/>
      <c r="S86" s="1442">
        <f t="shared" si="5"/>
        <v>1.0126618270263332</v>
      </c>
      <c r="T86" s="1429">
        <f t="shared" si="9"/>
        <v>0.74567981178929676</v>
      </c>
      <c r="U86" s="1430">
        <f t="shared" si="9"/>
        <v>33.555591530518342</v>
      </c>
      <c r="V86" s="1430">
        <f t="shared" si="9"/>
        <v>0</v>
      </c>
      <c r="W86" s="1431">
        <f t="shared" si="9"/>
        <v>2.0133354918311008</v>
      </c>
    </row>
    <row r="87" spans="1:23">
      <c r="A87" s="123">
        <f>'Input data'!A123</f>
        <v>2023</v>
      </c>
      <c r="B87" s="1439">
        <f>'Recycling - Case 1'!AI103*'Recycling - Case 1'!B103</f>
        <v>4873.2756688444188</v>
      </c>
      <c r="C87" s="1440">
        <f>C86</f>
        <v>0.1</v>
      </c>
      <c r="D87" s="1440">
        <f t="shared" si="10"/>
        <v>0.9</v>
      </c>
      <c r="E87" s="53">
        <v>0</v>
      </c>
      <c r="F87" s="53">
        <v>0</v>
      </c>
      <c r="G87" s="898">
        <f t="shared" si="11"/>
        <v>0.3898620535075536</v>
      </c>
      <c r="H87" s="598">
        <f t="shared" si="12"/>
        <v>17.543792407839909</v>
      </c>
      <c r="I87" s="53"/>
      <c r="J87" s="898">
        <f t="shared" si="13"/>
        <v>1.0526275444703945</v>
      </c>
      <c r="K87" s="606">
        <f>'Recycling - Case 1'!Z143*'Recycling - Case 1'!C143</f>
        <v>4878.8033385548797</v>
      </c>
      <c r="L87" s="1440">
        <f>L86</f>
        <v>0.1</v>
      </c>
      <c r="M87" s="1440">
        <f t="shared" si="14"/>
        <v>0.9</v>
      </c>
      <c r="N87" s="53">
        <f t="shared" si="15"/>
        <v>0</v>
      </c>
      <c r="O87" s="53">
        <f t="shared" si="15"/>
        <v>0</v>
      </c>
      <c r="P87" s="178">
        <f t="shared" si="16"/>
        <v>0.39030426708439048</v>
      </c>
      <c r="Q87" s="598">
        <f t="shared" si="4"/>
        <v>17.563692018797568</v>
      </c>
      <c r="R87" s="53"/>
      <c r="S87" s="1442">
        <f t="shared" si="5"/>
        <v>1.0538215211278541</v>
      </c>
      <c r="T87" s="1429">
        <f t="shared" si="9"/>
        <v>0.78016632059194402</v>
      </c>
      <c r="U87" s="1430">
        <f t="shared" si="9"/>
        <v>35.107484426637477</v>
      </c>
      <c r="V87" s="1430">
        <f t="shared" si="9"/>
        <v>0</v>
      </c>
      <c r="W87" s="1431">
        <f t="shared" si="9"/>
        <v>2.1064490655982486</v>
      </c>
    </row>
    <row r="88" spans="1:23">
      <c r="A88" s="123">
        <f>'Input data'!A124</f>
        <v>2024</v>
      </c>
      <c r="B88" s="1439">
        <f>'Recycling - Case 1'!AI104*'Recycling - Case 1'!B104</f>
        <v>5114.0518807671697</v>
      </c>
      <c r="C88" s="1440">
        <f t="shared" ref="C88:C114" si="18">C87</f>
        <v>0.1</v>
      </c>
      <c r="D88" s="1440">
        <f t="shared" si="10"/>
        <v>0.9</v>
      </c>
      <c r="E88" s="53">
        <v>0</v>
      </c>
      <c r="F88" s="53">
        <v>0</v>
      </c>
      <c r="G88" s="898">
        <f t="shared" si="11"/>
        <v>0.40912415046137363</v>
      </c>
      <c r="H88" s="598">
        <f t="shared" si="12"/>
        <v>18.410586770761814</v>
      </c>
      <c r="I88" s="53"/>
      <c r="J88" s="898">
        <f t="shared" si="13"/>
        <v>1.1046352062457085</v>
      </c>
      <c r="K88" s="606">
        <f>'Recycling - Case 1'!Z144*'Recycling - Case 1'!C144</f>
        <v>5182.8356460053483</v>
      </c>
      <c r="L88" s="1440">
        <f t="shared" ref="L88:L114" si="19">L87</f>
        <v>0.1</v>
      </c>
      <c r="M88" s="1440">
        <f t="shared" si="14"/>
        <v>0.9</v>
      </c>
      <c r="N88" s="53">
        <f t="shared" si="15"/>
        <v>0</v>
      </c>
      <c r="O88" s="53">
        <f t="shared" si="15"/>
        <v>0</v>
      </c>
      <c r="P88" s="178">
        <f t="shared" si="16"/>
        <v>0.41462685168042795</v>
      </c>
      <c r="Q88" s="598">
        <f t="shared" si="4"/>
        <v>18.658208325619253</v>
      </c>
      <c r="R88" s="53"/>
      <c r="S88" s="1442">
        <f t="shared" si="5"/>
        <v>1.1194924995371553</v>
      </c>
      <c r="T88" s="1429">
        <f t="shared" si="9"/>
        <v>0.82375100214180152</v>
      </c>
      <c r="U88" s="1430">
        <f t="shared" si="9"/>
        <v>37.068795096381066</v>
      </c>
      <c r="V88" s="1430">
        <f t="shared" si="9"/>
        <v>0</v>
      </c>
      <c r="W88" s="1431">
        <f t="shared" si="9"/>
        <v>2.2241277057828639</v>
      </c>
    </row>
    <row r="89" spans="1:23">
      <c r="A89" s="123">
        <f>'Input data'!A125</f>
        <v>2025</v>
      </c>
      <c r="B89" s="1439">
        <f>'Recycling - Case 1'!AI105*'Recycling - Case 1'!B105</f>
        <v>5356.2849256095697</v>
      </c>
      <c r="C89" s="1440">
        <f t="shared" si="18"/>
        <v>0.1</v>
      </c>
      <c r="D89" s="1440">
        <f t="shared" si="10"/>
        <v>0.9</v>
      </c>
      <c r="E89" s="53">
        <v>0</v>
      </c>
      <c r="F89" s="53">
        <v>0</v>
      </c>
      <c r="G89" s="898">
        <f t="shared" si="11"/>
        <v>0.42850279404876568</v>
      </c>
      <c r="H89" s="598">
        <f t="shared" si="12"/>
        <v>19.28262573219445</v>
      </c>
      <c r="I89" s="53"/>
      <c r="J89" s="898">
        <f t="shared" si="13"/>
        <v>1.1569575439316671</v>
      </c>
      <c r="K89" s="606">
        <f>'Recycling - Case 1'!Z145*'Recycling - Case 1'!C145</f>
        <v>5813.8775780133574</v>
      </c>
      <c r="L89" s="1440">
        <f t="shared" si="19"/>
        <v>0.1</v>
      </c>
      <c r="M89" s="1440">
        <f t="shared" si="14"/>
        <v>0.9</v>
      </c>
      <c r="N89" s="53">
        <f t="shared" si="15"/>
        <v>0</v>
      </c>
      <c r="O89" s="53">
        <f t="shared" si="15"/>
        <v>0</v>
      </c>
      <c r="P89" s="178">
        <f t="shared" si="16"/>
        <v>0.46511020624106869</v>
      </c>
      <c r="Q89" s="598">
        <f t="shared" si="4"/>
        <v>20.929959280848088</v>
      </c>
      <c r="R89" s="53"/>
      <c r="S89" s="1442">
        <f t="shared" si="5"/>
        <v>1.2557975568508852</v>
      </c>
      <c r="T89" s="1429">
        <f t="shared" si="9"/>
        <v>0.89361300028983437</v>
      </c>
      <c r="U89" s="1430">
        <f t="shared" si="9"/>
        <v>40.212585013042542</v>
      </c>
      <c r="V89" s="1430">
        <f t="shared" si="9"/>
        <v>0</v>
      </c>
      <c r="W89" s="1431">
        <f t="shared" si="9"/>
        <v>2.4127551007825523</v>
      </c>
    </row>
    <row r="90" spans="1:23">
      <c r="A90" s="123">
        <f>'Input data'!A126</f>
        <v>2026</v>
      </c>
      <c r="B90" s="1439">
        <f>'Recycling - Case 1'!AI106*'Recycling - Case 1'!B106</f>
        <v>5592.026325896888</v>
      </c>
      <c r="C90" s="1440">
        <f t="shared" si="18"/>
        <v>0.1</v>
      </c>
      <c r="D90" s="1440">
        <f t="shared" si="10"/>
        <v>0.9</v>
      </c>
      <c r="E90" s="53">
        <v>0</v>
      </c>
      <c r="F90" s="53">
        <v>0</v>
      </c>
      <c r="G90" s="898">
        <f t="shared" si="11"/>
        <v>0.44736210607175109</v>
      </c>
      <c r="H90" s="598">
        <f t="shared" si="12"/>
        <v>20.131294773228799</v>
      </c>
      <c r="I90" s="53"/>
      <c r="J90" s="898">
        <f t="shared" si="13"/>
        <v>1.2078776863937277</v>
      </c>
      <c r="K90" s="606">
        <f>'Recycling - Case 1'!Z146*'Recycling - Case 1'!C146</f>
        <v>6099.8655437640655</v>
      </c>
      <c r="L90" s="1440">
        <f t="shared" si="19"/>
        <v>0.1</v>
      </c>
      <c r="M90" s="1440">
        <f t="shared" si="14"/>
        <v>0.9</v>
      </c>
      <c r="N90" s="53">
        <f t="shared" si="15"/>
        <v>0</v>
      </c>
      <c r="O90" s="53">
        <f t="shared" si="15"/>
        <v>0</v>
      </c>
      <c r="P90" s="178">
        <f t="shared" si="16"/>
        <v>0.48798924350112532</v>
      </c>
      <c r="Q90" s="598">
        <f t="shared" si="4"/>
        <v>21.959515957550636</v>
      </c>
      <c r="R90" s="53"/>
      <c r="S90" s="1442">
        <f t="shared" si="5"/>
        <v>1.3175709574530381</v>
      </c>
      <c r="T90" s="1429">
        <f t="shared" si="9"/>
        <v>0.93535134957287647</v>
      </c>
      <c r="U90" s="1430">
        <f t="shared" si="9"/>
        <v>42.090810730779438</v>
      </c>
      <c r="V90" s="1430">
        <f t="shared" si="9"/>
        <v>0</v>
      </c>
      <c r="W90" s="1431">
        <f t="shared" si="9"/>
        <v>2.525448643846766</v>
      </c>
    </row>
    <row r="91" spans="1:23">
      <c r="A91" s="123">
        <f>'Input data'!A127</f>
        <v>2027</v>
      </c>
      <c r="B91" s="1439">
        <f>'Recycling - Case 1'!AI107*'Recycling - Case 1'!B107</f>
        <v>5831.2742432911045</v>
      </c>
      <c r="C91" s="1440">
        <f t="shared" si="18"/>
        <v>0.1</v>
      </c>
      <c r="D91" s="1440">
        <f t="shared" si="10"/>
        <v>0.9</v>
      </c>
      <c r="E91" s="53">
        <v>0</v>
      </c>
      <c r="F91" s="53">
        <v>0</v>
      </c>
      <c r="G91" s="898">
        <f t="shared" si="11"/>
        <v>0.46650193946328844</v>
      </c>
      <c r="H91" s="598">
        <f t="shared" si="12"/>
        <v>20.992587275847978</v>
      </c>
      <c r="I91" s="53"/>
      <c r="J91" s="898">
        <f t="shared" si="13"/>
        <v>1.2595552365508786</v>
      </c>
      <c r="K91" s="606">
        <f>'Recycling - Case 1'!Z147*'Recycling - Case 1'!C147</f>
        <v>6404.3918254718665</v>
      </c>
      <c r="L91" s="1440">
        <f t="shared" si="19"/>
        <v>0.1</v>
      </c>
      <c r="M91" s="1440">
        <f t="shared" si="14"/>
        <v>0.9</v>
      </c>
      <c r="N91" s="53">
        <f t="shared" si="15"/>
        <v>0</v>
      </c>
      <c r="O91" s="53">
        <f t="shared" si="15"/>
        <v>0</v>
      </c>
      <c r="P91" s="178">
        <f t="shared" si="16"/>
        <v>0.51235134603774946</v>
      </c>
      <c r="Q91" s="598">
        <f t="shared" si="4"/>
        <v>23.055810571698718</v>
      </c>
      <c r="R91" s="53"/>
      <c r="S91" s="1442">
        <f t="shared" si="5"/>
        <v>1.383348634301923</v>
      </c>
      <c r="T91" s="1429">
        <f t="shared" si="9"/>
        <v>0.9788532855010379</v>
      </c>
      <c r="U91" s="1430">
        <f t="shared" si="9"/>
        <v>44.048397847546696</v>
      </c>
      <c r="V91" s="1430">
        <f t="shared" si="9"/>
        <v>0</v>
      </c>
      <c r="W91" s="1431">
        <f t="shared" si="9"/>
        <v>2.6429038708528019</v>
      </c>
    </row>
    <row r="92" spans="1:23">
      <c r="A92" s="123">
        <f>'Input data'!A128</f>
        <v>2028</v>
      </c>
      <c r="B92" s="1439">
        <f>'Recycling - Case 1'!AI108*'Recycling - Case 1'!B108</f>
        <v>5582.8820746627734</v>
      </c>
      <c r="C92" s="1440">
        <f t="shared" si="18"/>
        <v>0.1</v>
      </c>
      <c r="D92" s="1440">
        <f t="shared" si="10"/>
        <v>0.9</v>
      </c>
      <c r="E92" s="53">
        <v>0</v>
      </c>
      <c r="F92" s="53">
        <v>0</v>
      </c>
      <c r="G92" s="898">
        <f t="shared" si="11"/>
        <v>0.44663056597302198</v>
      </c>
      <c r="H92" s="598">
        <f t="shared" si="12"/>
        <v>20.098375468785985</v>
      </c>
      <c r="I92" s="53"/>
      <c r="J92" s="898">
        <f t="shared" si="13"/>
        <v>1.2059025281271589</v>
      </c>
      <c r="K92" s="606">
        <f>'Recycling - Case 1'!Z148*'Recycling - Case 1'!C148</f>
        <v>6387.2424453340236</v>
      </c>
      <c r="L92" s="1440">
        <f t="shared" si="19"/>
        <v>0.1</v>
      </c>
      <c r="M92" s="1440">
        <f t="shared" si="14"/>
        <v>0.9</v>
      </c>
      <c r="N92" s="53">
        <f t="shared" si="15"/>
        <v>0</v>
      </c>
      <c r="O92" s="53">
        <f t="shared" si="15"/>
        <v>0</v>
      </c>
      <c r="P92" s="178">
        <f t="shared" si="16"/>
        <v>0.51097939562672201</v>
      </c>
      <c r="Q92" s="598">
        <f t="shared" si="4"/>
        <v>22.994072803202485</v>
      </c>
      <c r="R92" s="53"/>
      <c r="S92" s="1442">
        <f t="shared" si="5"/>
        <v>1.3796443681921491</v>
      </c>
      <c r="T92" s="1429">
        <f t="shared" si="9"/>
        <v>0.95760996159974399</v>
      </c>
      <c r="U92" s="1430">
        <f t="shared" si="9"/>
        <v>43.092448271988474</v>
      </c>
      <c r="V92" s="1430">
        <f t="shared" si="9"/>
        <v>0</v>
      </c>
      <c r="W92" s="1431">
        <f t="shared" si="9"/>
        <v>2.585546896319308</v>
      </c>
    </row>
    <row r="93" spans="1:23">
      <c r="A93" s="123">
        <f>'Input data'!A129</f>
        <v>2029</v>
      </c>
      <c r="B93" s="1439">
        <f>'Recycling - Case 1'!AI109*'Recycling - Case 1'!B109</f>
        <v>5345.1362633003891</v>
      </c>
      <c r="C93" s="1440">
        <f t="shared" si="18"/>
        <v>0.1</v>
      </c>
      <c r="D93" s="1440">
        <f t="shared" si="10"/>
        <v>0.9</v>
      </c>
      <c r="E93" s="53">
        <v>0</v>
      </c>
      <c r="F93" s="53">
        <v>0</v>
      </c>
      <c r="G93" s="898">
        <f t="shared" si="11"/>
        <v>0.42761090106403121</v>
      </c>
      <c r="H93" s="598">
        <f t="shared" si="12"/>
        <v>19.242490547881399</v>
      </c>
      <c r="I93" s="53"/>
      <c r="J93" s="898">
        <f t="shared" si="13"/>
        <v>1.1545494328728843</v>
      </c>
      <c r="K93" s="606">
        <f>'Recycling - Case 1'!Z149*'Recycling - Case 1'!C149</f>
        <v>6403.8842955249538</v>
      </c>
      <c r="L93" s="1440">
        <f t="shared" si="19"/>
        <v>0.1</v>
      </c>
      <c r="M93" s="1440">
        <f t="shared" si="14"/>
        <v>0.9</v>
      </c>
      <c r="N93" s="53">
        <f t="shared" si="15"/>
        <v>0</v>
      </c>
      <c r="O93" s="53">
        <f t="shared" si="15"/>
        <v>0</v>
      </c>
      <c r="P93" s="178">
        <f t="shared" si="16"/>
        <v>0.51231074364199636</v>
      </c>
      <c r="Q93" s="598">
        <f t="shared" si="4"/>
        <v>23.053983463889836</v>
      </c>
      <c r="R93" s="53"/>
      <c r="S93" s="1442">
        <f t="shared" si="5"/>
        <v>1.3832390078333898</v>
      </c>
      <c r="T93" s="1429">
        <f t="shared" si="9"/>
        <v>0.93992164470602757</v>
      </c>
      <c r="U93" s="1430">
        <f t="shared" si="9"/>
        <v>42.296474011771238</v>
      </c>
      <c r="V93" s="1430">
        <f t="shared" si="9"/>
        <v>0</v>
      </c>
      <c r="W93" s="1431">
        <f t="shared" si="9"/>
        <v>2.5377884407062741</v>
      </c>
    </row>
    <row r="94" spans="1:23">
      <c r="A94" s="123">
        <f>'Input data'!A130</f>
        <v>2030</v>
      </c>
      <c r="B94" s="1439">
        <f>'Recycling - Case 1'!AI110*'Recycling - Case 1'!B110</f>
        <v>5117.493555626329</v>
      </c>
      <c r="C94" s="1440">
        <f t="shared" si="18"/>
        <v>0.1</v>
      </c>
      <c r="D94" s="1440">
        <f t="shared" si="10"/>
        <v>0.9</v>
      </c>
      <c r="E94" s="53">
        <v>0</v>
      </c>
      <c r="F94" s="53">
        <v>0</v>
      </c>
      <c r="G94" s="898">
        <f t="shared" si="11"/>
        <v>0.40939948445010638</v>
      </c>
      <c r="H94" s="598">
        <f t="shared" si="12"/>
        <v>18.422976800254787</v>
      </c>
      <c r="I94" s="53"/>
      <c r="J94" s="898">
        <f t="shared" si="13"/>
        <v>1.105378608015287</v>
      </c>
      <c r="K94" s="606">
        <f>'Recycling - Case 1'!Z150*'Recycling - Case 1'!C150</f>
        <v>6454.3850055850289</v>
      </c>
      <c r="L94" s="1440">
        <f t="shared" si="19"/>
        <v>0.1</v>
      </c>
      <c r="M94" s="1440">
        <f t="shared" si="14"/>
        <v>0.9</v>
      </c>
      <c r="N94" s="53">
        <f t="shared" si="15"/>
        <v>0</v>
      </c>
      <c r="O94" s="53">
        <f t="shared" si="15"/>
        <v>0</v>
      </c>
      <c r="P94" s="178">
        <f t="shared" si="16"/>
        <v>0.51635080044680237</v>
      </c>
      <c r="Q94" s="598">
        <f t="shared" si="4"/>
        <v>23.235786020106104</v>
      </c>
      <c r="R94" s="53"/>
      <c r="S94" s="1442">
        <f t="shared" si="5"/>
        <v>1.3941471612063663</v>
      </c>
      <c r="T94" s="1429">
        <f t="shared" si="9"/>
        <v>0.9257502848969088</v>
      </c>
      <c r="U94" s="1430">
        <f t="shared" si="9"/>
        <v>41.658762820360892</v>
      </c>
      <c r="V94" s="1430">
        <f t="shared" si="9"/>
        <v>0</v>
      </c>
      <c r="W94" s="1431">
        <f t="shared" si="9"/>
        <v>2.4995257692216533</v>
      </c>
    </row>
    <row r="95" spans="1:23">
      <c r="A95" s="123">
        <f>'Input data'!A131</f>
        <v>2031</v>
      </c>
      <c r="B95" s="1439">
        <f>'Recycling - Case 1'!AI111*'Recycling - Case 1'!B111</f>
        <v>4916.8151508003148</v>
      </c>
      <c r="C95" s="1440">
        <f t="shared" si="18"/>
        <v>0.1</v>
      </c>
      <c r="D95" s="1440">
        <f t="shared" si="10"/>
        <v>0.9</v>
      </c>
      <c r="E95" s="53">
        <v>0</v>
      </c>
      <c r="F95" s="53">
        <v>0</v>
      </c>
      <c r="G95" s="898">
        <f t="shared" si="11"/>
        <v>0.39334521206402523</v>
      </c>
      <c r="H95" s="598">
        <f t="shared" si="12"/>
        <v>17.700534542881133</v>
      </c>
      <c r="I95" s="53"/>
      <c r="J95" s="898">
        <f t="shared" si="13"/>
        <v>1.062032072572868</v>
      </c>
      <c r="K95" s="606">
        <f>'Recycling - Case 1'!Z151*'Recycling - Case 1'!C151</f>
        <v>6355.8197300385864</v>
      </c>
      <c r="L95" s="1440">
        <f t="shared" si="19"/>
        <v>0.1</v>
      </c>
      <c r="M95" s="1440">
        <f t="shared" si="14"/>
        <v>0.9</v>
      </c>
      <c r="N95" s="53">
        <f t="shared" si="15"/>
        <v>0</v>
      </c>
      <c r="O95" s="53">
        <f t="shared" si="15"/>
        <v>0</v>
      </c>
      <c r="P95" s="178">
        <f t="shared" si="16"/>
        <v>0.50846557840308704</v>
      </c>
      <c r="Q95" s="598">
        <f t="shared" si="4"/>
        <v>22.880951028138913</v>
      </c>
      <c r="R95" s="53"/>
      <c r="S95" s="1442">
        <f t="shared" si="5"/>
        <v>1.3728570616883347</v>
      </c>
      <c r="T95" s="1429">
        <f t="shared" si="9"/>
        <v>0.90181079046711221</v>
      </c>
      <c r="U95" s="1430">
        <f t="shared" si="9"/>
        <v>40.581485571020046</v>
      </c>
      <c r="V95" s="1430">
        <f t="shared" si="9"/>
        <v>0</v>
      </c>
      <c r="W95" s="1431">
        <f t="shared" si="9"/>
        <v>2.4348891342612027</v>
      </c>
    </row>
    <row r="96" spans="1:23">
      <c r="A96" s="123">
        <f>'Input data'!A132</f>
        <v>2032</v>
      </c>
      <c r="B96" s="1439">
        <f>'Recycling - Case 1'!AI112*'Recycling - Case 1'!B112</f>
        <v>4712.3515334521144</v>
      </c>
      <c r="C96" s="1440">
        <f t="shared" si="18"/>
        <v>0.1</v>
      </c>
      <c r="D96" s="1440">
        <f t="shared" si="10"/>
        <v>0.9</v>
      </c>
      <c r="E96" s="53">
        <v>0</v>
      </c>
      <c r="F96" s="53">
        <v>0</v>
      </c>
      <c r="G96" s="898">
        <f t="shared" si="11"/>
        <v>0.37698812267616921</v>
      </c>
      <c r="H96" s="598">
        <f t="shared" si="12"/>
        <v>16.964465520427613</v>
      </c>
      <c r="I96" s="53"/>
      <c r="J96" s="898">
        <f t="shared" si="13"/>
        <v>1.0178679312256567</v>
      </c>
      <c r="K96" s="606">
        <f>'Recycling - Case 1'!Z152*'Recycling - Case 1'!C152</f>
        <v>6221.4248567133482</v>
      </c>
      <c r="L96" s="1440">
        <f t="shared" si="19"/>
        <v>0.1</v>
      </c>
      <c r="M96" s="1440">
        <f t="shared" si="14"/>
        <v>0.9</v>
      </c>
      <c r="N96" s="53">
        <f t="shared" si="15"/>
        <v>0</v>
      </c>
      <c r="O96" s="53">
        <f t="shared" si="15"/>
        <v>0</v>
      </c>
      <c r="P96" s="178">
        <f t="shared" si="16"/>
        <v>0.49771398853706794</v>
      </c>
      <c r="Q96" s="598">
        <f t="shared" si="4"/>
        <v>22.397129484168055</v>
      </c>
      <c r="R96" s="53"/>
      <c r="S96" s="1442">
        <f t="shared" si="5"/>
        <v>1.3438277690500831</v>
      </c>
      <c r="T96" s="1429">
        <f t="shared" si="9"/>
        <v>0.87470211121323715</v>
      </c>
      <c r="U96" s="1430">
        <f t="shared" si="9"/>
        <v>39.361595004595671</v>
      </c>
      <c r="V96" s="1430">
        <f t="shared" si="9"/>
        <v>0</v>
      </c>
      <c r="W96" s="1431">
        <f t="shared" si="9"/>
        <v>2.3616957002757397</v>
      </c>
    </row>
    <row r="97" spans="1:23">
      <c r="A97" s="123">
        <f>'Input data'!A133</f>
        <v>2033</v>
      </c>
      <c r="B97" s="1439">
        <f>'Recycling - Case 1'!AI113*'Recycling - Case 1'!B113</f>
        <v>4503.9810313975577</v>
      </c>
      <c r="C97" s="1440">
        <f t="shared" si="18"/>
        <v>0.1</v>
      </c>
      <c r="D97" s="1440">
        <f t="shared" si="10"/>
        <v>0.9</v>
      </c>
      <c r="E97" s="53">
        <v>0</v>
      </c>
      <c r="F97" s="53">
        <v>0</v>
      </c>
      <c r="G97" s="898">
        <f t="shared" si="11"/>
        <v>0.36031848251180471</v>
      </c>
      <c r="H97" s="598">
        <f t="shared" si="12"/>
        <v>16.214331713031207</v>
      </c>
      <c r="I97" s="53"/>
      <c r="J97" s="898">
        <f t="shared" si="13"/>
        <v>0.9728599027818724</v>
      </c>
      <c r="K97" s="606">
        <f>'Recycling - Case 1'!Z153*'Recycling - Case 1'!C153</f>
        <v>6128.1556971461887</v>
      </c>
      <c r="L97" s="1440">
        <f t="shared" si="19"/>
        <v>0.1</v>
      </c>
      <c r="M97" s="1440">
        <f t="shared" si="14"/>
        <v>0.9</v>
      </c>
      <c r="N97" s="53">
        <f t="shared" si="15"/>
        <v>0</v>
      </c>
      <c r="O97" s="53">
        <f t="shared" si="15"/>
        <v>0</v>
      </c>
      <c r="P97" s="178">
        <f t="shared" si="16"/>
        <v>0.49025245577169518</v>
      </c>
      <c r="Q97" s="598">
        <f t="shared" si="4"/>
        <v>22.061360509726281</v>
      </c>
      <c r="R97" s="53"/>
      <c r="S97" s="1442">
        <f t="shared" si="5"/>
        <v>1.3236816305835766</v>
      </c>
      <c r="T97" s="1429">
        <f t="shared" si="9"/>
        <v>0.85057093828349983</v>
      </c>
      <c r="U97" s="1430">
        <f t="shared" si="9"/>
        <v>38.275692222757485</v>
      </c>
      <c r="V97" s="1430">
        <f t="shared" si="9"/>
        <v>0</v>
      </c>
      <c r="W97" s="1431">
        <f t="shared" si="9"/>
        <v>2.2965415333654491</v>
      </c>
    </row>
    <row r="98" spans="1:23">
      <c r="A98" s="123">
        <f>'Input data'!A134</f>
        <v>2034</v>
      </c>
      <c r="B98" s="1439">
        <f>'Recycling - Case 1'!AI114*'Recycling - Case 1'!B114</f>
        <v>4291.7853525238024</v>
      </c>
      <c r="C98" s="1440">
        <f t="shared" si="18"/>
        <v>0.1</v>
      </c>
      <c r="D98" s="1440">
        <f t="shared" si="10"/>
        <v>0.9</v>
      </c>
      <c r="E98" s="53">
        <v>0</v>
      </c>
      <c r="F98" s="53">
        <v>0</v>
      </c>
      <c r="G98" s="898">
        <f t="shared" si="11"/>
        <v>0.34334282820190426</v>
      </c>
      <c r="H98" s="598">
        <f t="shared" si="12"/>
        <v>15.450427269085688</v>
      </c>
      <c r="I98" s="53"/>
      <c r="J98" s="898">
        <f t="shared" si="13"/>
        <v>0.92702563614514133</v>
      </c>
      <c r="K98" s="606">
        <f>'Recycling - Case 1'!Z154*'Recycling - Case 1'!C154</f>
        <v>6056.6706285320279</v>
      </c>
      <c r="L98" s="1440">
        <f t="shared" si="19"/>
        <v>0.1</v>
      </c>
      <c r="M98" s="1440">
        <f t="shared" si="14"/>
        <v>0.9</v>
      </c>
      <c r="N98" s="53">
        <f t="shared" si="15"/>
        <v>0</v>
      </c>
      <c r="O98" s="53">
        <f t="shared" si="15"/>
        <v>0</v>
      </c>
      <c r="P98" s="178">
        <f t="shared" si="16"/>
        <v>0.48453365028256234</v>
      </c>
      <c r="Q98" s="598">
        <f t="shared" si="4"/>
        <v>21.804014262715299</v>
      </c>
      <c r="R98" s="53"/>
      <c r="S98" s="1442">
        <f t="shared" si="5"/>
        <v>1.3082408557629182</v>
      </c>
      <c r="T98" s="1429">
        <f t="shared" si="9"/>
        <v>0.82787647848446655</v>
      </c>
      <c r="U98" s="1430">
        <f t="shared" si="9"/>
        <v>37.254441531800985</v>
      </c>
      <c r="V98" s="1430">
        <f t="shared" si="9"/>
        <v>0</v>
      </c>
      <c r="W98" s="1431">
        <f t="shared" si="9"/>
        <v>2.2352664919080594</v>
      </c>
    </row>
    <row r="99" spans="1:23">
      <c r="A99" s="123">
        <f>'Input data'!A135</f>
        <v>2035</v>
      </c>
      <c r="B99" s="1439">
        <f>'Recycling - Case 1'!AI115*'Recycling - Case 1'!B115</f>
        <v>4075.5799293647588</v>
      </c>
      <c r="C99" s="1440">
        <f t="shared" si="18"/>
        <v>0.1</v>
      </c>
      <c r="D99" s="1440">
        <f t="shared" si="10"/>
        <v>0.9</v>
      </c>
      <c r="E99" s="53">
        <v>0</v>
      </c>
      <c r="F99" s="53">
        <v>0</v>
      </c>
      <c r="G99" s="898">
        <f t="shared" si="11"/>
        <v>0.32604639434918081</v>
      </c>
      <c r="H99" s="598">
        <f t="shared" si="12"/>
        <v>14.672087745713132</v>
      </c>
      <c r="I99" s="53"/>
      <c r="J99" s="898">
        <f t="shared" si="13"/>
        <v>0.88032526474278794</v>
      </c>
      <c r="K99" s="606">
        <f>'Recycling - Case 1'!Z155*'Recycling - Case 1'!C155</f>
        <v>6006.488286951082</v>
      </c>
      <c r="L99" s="1440">
        <f t="shared" si="19"/>
        <v>0.1</v>
      </c>
      <c r="M99" s="1440">
        <f t="shared" si="14"/>
        <v>0.9</v>
      </c>
      <c r="N99" s="53">
        <f t="shared" ref="N99:O114" si="20">N97</f>
        <v>0</v>
      </c>
      <c r="O99" s="53">
        <f t="shared" si="20"/>
        <v>0</v>
      </c>
      <c r="P99" s="178">
        <f>L99*$D$5*K99/1000-N99</f>
        <v>0.48051906295608665</v>
      </c>
      <c r="Q99" s="598">
        <f t="shared" si="4"/>
        <v>21.623357833023896</v>
      </c>
      <c r="R99" s="53"/>
      <c r="S99" s="1442">
        <f t="shared" si="5"/>
        <v>1.2974014699814338</v>
      </c>
      <c r="T99" s="1429">
        <f t="shared" si="9"/>
        <v>0.80656545730526741</v>
      </c>
      <c r="U99" s="1430">
        <f t="shared" si="9"/>
        <v>36.295445578737031</v>
      </c>
      <c r="V99" s="1430">
        <f t="shared" si="9"/>
        <v>0</v>
      </c>
      <c r="W99" s="1431">
        <f t="shared" si="9"/>
        <v>2.1777267347242217</v>
      </c>
    </row>
    <row r="100" spans="1:23">
      <c r="A100" s="123">
        <f>'Input data'!A136</f>
        <v>2036</v>
      </c>
      <c r="B100" s="1439">
        <f>'Recycling - Case 1'!AI116*'Recycling - Case 1'!B116</f>
        <v>3850.7657293741604</v>
      </c>
      <c r="C100" s="1440">
        <f t="shared" si="18"/>
        <v>0.1</v>
      </c>
      <c r="D100" s="1440">
        <f t="shared" si="10"/>
        <v>0.9</v>
      </c>
      <c r="E100" s="53">
        <v>0</v>
      </c>
      <c r="F100" s="53">
        <v>0</v>
      </c>
      <c r="G100" s="898">
        <f t="shared" si="11"/>
        <v>0.30806125834993286</v>
      </c>
      <c r="H100" s="598">
        <f t="shared" si="12"/>
        <v>13.862756625746977</v>
      </c>
      <c r="I100" s="53"/>
      <c r="J100" s="898">
        <f>D100*$D$7*B100/1000</f>
        <v>0.8317653975448186</v>
      </c>
      <c r="K100" s="606">
        <f>'Recycling - Case 1'!Z156*'Recycling - Case 1'!C156</f>
        <v>6913.648799766308</v>
      </c>
      <c r="L100" s="1440">
        <f t="shared" si="19"/>
        <v>0.1</v>
      </c>
      <c r="M100" s="1440">
        <f t="shared" si="14"/>
        <v>0.9</v>
      </c>
      <c r="N100" s="53">
        <f t="shared" si="20"/>
        <v>0</v>
      </c>
      <c r="O100" s="53">
        <f t="shared" si="20"/>
        <v>0</v>
      </c>
      <c r="P100" s="178">
        <f t="shared" si="16"/>
        <v>0.55309190398130481</v>
      </c>
      <c r="Q100" s="598">
        <f t="shared" si="4"/>
        <v>24.889135679158709</v>
      </c>
      <c r="R100" s="53"/>
      <c r="S100" s="1442">
        <f t="shared" si="5"/>
        <v>1.4933481407495226</v>
      </c>
      <c r="T100" s="1429">
        <f t="shared" si="9"/>
        <v>0.86115316233123762</v>
      </c>
      <c r="U100" s="1430">
        <f t="shared" si="9"/>
        <v>38.751892304905688</v>
      </c>
      <c r="V100" s="1430">
        <f t="shared" si="9"/>
        <v>0</v>
      </c>
      <c r="W100" s="1431">
        <f t="shared" si="9"/>
        <v>2.3251135382943411</v>
      </c>
    </row>
    <row r="101" spans="1:23">
      <c r="A101" s="123">
        <f>'Input data'!A137</f>
        <v>2037</v>
      </c>
      <c r="B101" s="1439">
        <f>'Recycling - Case 1'!AI117*'Recycling - Case 1'!B117</f>
        <v>3792.6527153340185</v>
      </c>
      <c r="C101" s="1440">
        <f t="shared" si="18"/>
        <v>0.1</v>
      </c>
      <c r="D101" s="1440">
        <f t="shared" si="10"/>
        <v>0.9</v>
      </c>
      <c r="E101" s="53">
        <v>0</v>
      </c>
      <c r="F101" s="53">
        <v>0</v>
      </c>
      <c r="G101" s="898">
        <f t="shared" si="11"/>
        <v>0.30341221722672151</v>
      </c>
      <c r="H101" s="598">
        <f t="shared" si="12"/>
        <v>13.653549775202467</v>
      </c>
      <c r="I101" s="53"/>
      <c r="J101" s="898">
        <f t="shared" si="13"/>
        <v>0.81921298651214791</v>
      </c>
      <c r="K101" s="606">
        <f>'Recycling - Case 1'!Z157*'Recycling - Case 1'!C157</f>
        <v>7828.0979052663688</v>
      </c>
      <c r="L101" s="1440">
        <f t="shared" si="19"/>
        <v>0.1</v>
      </c>
      <c r="M101" s="1440">
        <f t="shared" si="14"/>
        <v>0.9</v>
      </c>
      <c r="N101" s="53">
        <f t="shared" si="20"/>
        <v>0</v>
      </c>
      <c r="O101" s="53">
        <f t="shared" si="20"/>
        <v>0</v>
      </c>
      <c r="P101" s="178">
        <f t="shared" si="16"/>
        <v>0.62624783242130966</v>
      </c>
      <c r="Q101" s="598">
        <f t="shared" si="4"/>
        <v>28.181152458958927</v>
      </c>
      <c r="R101" s="53"/>
      <c r="S101" s="1442">
        <f t="shared" si="5"/>
        <v>1.6908691475375355</v>
      </c>
      <c r="T101" s="1429">
        <f t="shared" si="9"/>
        <v>0.92966004964803117</v>
      </c>
      <c r="U101" s="1430">
        <f t="shared" si="9"/>
        <v>41.834702234161398</v>
      </c>
      <c r="V101" s="1430">
        <f t="shared" si="9"/>
        <v>0</v>
      </c>
      <c r="W101" s="1431">
        <f t="shared" si="9"/>
        <v>2.5100821340496835</v>
      </c>
    </row>
    <row r="102" spans="1:23">
      <c r="A102" s="123">
        <f>'Input data'!A138</f>
        <v>2038</v>
      </c>
      <c r="B102" s="1439">
        <f>'Recycling - Case 1'!AI118*'Recycling - Case 1'!B118</f>
        <v>3656.7267607527906</v>
      </c>
      <c r="C102" s="1440">
        <f t="shared" si="18"/>
        <v>0.1</v>
      </c>
      <c r="D102" s="1440">
        <f t="shared" si="10"/>
        <v>0.9</v>
      </c>
      <c r="E102" s="53">
        <v>0</v>
      </c>
      <c r="F102" s="53">
        <v>0</v>
      </c>
      <c r="G102" s="898">
        <f t="shared" si="11"/>
        <v>0.29253814086022328</v>
      </c>
      <c r="H102" s="598">
        <f t="shared" si="12"/>
        <v>13.164216338710046</v>
      </c>
      <c r="I102" s="53"/>
      <c r="J102" s="898">
        <f t="shared" si="13"/>
        <v>0.78985298032260276</v>
      </c>
      <c r="K102" s="606">
        <f>'Recycling - Case 1'!Z158*'Recycling - Case 1'!C158</f>
        <v>8735.3101297585326</v>
      </c>
      <c r="L102" s="1440">
        <f t="shared" si="19"/>
        <v>0.1</v>
      </c>
      <c r="M102" s="1440">
        <f t="shared" si="14"/>
        <v>0.9</v>
      </c>
      <c r="N102" s="53">
        <f t="shared" si="20"/>
        <v>0</v>
      </c>
      <c r="O102" s="53">
        <f t="shared" si="20"/>
        <v>0</v>
      </c>
      <c r="P102" s="178">
        <f t="shared" si="16"/>
        <v>0.69882481038068267</v>
      </c>
      <c r="Q102" s="598">
        <f t="shared" si="4"/>
        <v>31.447116467130719</v>
      </c>
      <c r="R102" s="53"/>
      <c r="S102" s="1442">
        <f t="shared" si="5"/>
        <v>1.886826988027843</v>
      </c>
      <c r="T102" s="1429">
        <f t="shared" si="9"/>
        <v>0.9913629512409059</v>
      </c>
      <c r="U102" s="1430">
        <f t="shared" si="9"/>
        <v>44.611332805840767</v>
      </c>
      <c r="V102" s="1430">
        <f t="shared" si="9"/>
        <v>0</v>
      </c>
      <c r="W102" s="1431">
        <f t="shared" si="9"/>
        <v>2.6766799683504456</v>
      </c>
    </row>
    <row r="103" spans="1:23">
      <c r="A103" s="123">
        <f>'Input data'!A139</f>
        <v>2039</v>
      </c>
      <c r="B103" s="1439">
        <f>'Recycling - Case 1'!AI119*'Recycling - Case 1'!B119</f>
        <v>3518.5662283560164</v>
      </c>
      <c r="C103" s="1440">
        <f t="shared" si="18"/>
        <v>0.1</v>
      </c>
      <c r="D103" s="1440">
        <f t="shared" si="10"/>
        <v>0.9</v>
      </c>
      <c r="E103" s="53">
        <v>0</v>
      </c>
      <c r="F103" s="53">
        <v>0</v>
      </c>
      <c r="G103" s="898">
        <f t="shared" si="11"/>
        <v>0.28148529826848134</v>
      </c>
      <c r="H103" s="598">
        <f t="shared" si="12"/>
        <v>12.666838422081659</v>
      </c>
      <c r="I103" s="53"/>
      <c r="J103" s="898">
        <f t="shared" si="13"/>
        <v>0.76001030532489944</v>
      </c>
      <c r="K103" s="606">
        <f>'Recycling - Case 1'!Z159*'Recycling - Case 1'!C159</f>
        <v>9649.0189051256075</v>
      </c>
      <c r="L103" s="1440">
        <f t="shared" si="19"/>
        <v>0.1</v>
      </c>
      <c r="M103" s="1440">
        <f t="shared" si="14"/>
        <v>0.9</v>
      </c>
      <c r="N103" s="53">
        <f t="shared" si="20"/>
        <v>0</v>
      </c>
      <c r="O103" s="53">
        <f t="shared" si="20"/>
        <v>0</v>
      </c>
      <c r="P103" s="178">
        <f t="shared" si="16"/>
        <v>0.7719215124100488</v>
      </c>
      <c r="Q103" s="598">
        <f t="shared" si="4"/>
        <v>34.736468058452182</v>
      </c>
      <c r="R103" s="53"/>
      <c r="S103" s="1442">
        <f t="shared" si="5"/>
        <v>2.0841880835071311</v>
      </c>
      <c r="T103" s="1429">
        <f t="shared" si="9"/>
        <v>1.0534068106785301</v>
      </c>
      <c r="U103" s="1430">
        <f t="shared" si="9"/>
        <v>47.403306480533843</v>
      </c>
      <c r="V103" s="1430">
        <f t="shared" si="9"/>
        <v>0</v>
      </c>
      <c r="W103" s="1431">
        <f t="shared" si="9"/>
        <v>2.8441983888320306</v>
      </c>
    </row>
    <row r="104" spans="1:23">
      <c r="A104" s="123">
        <f>'Input data'!A140</f>
        <v>2040</v>
      </c>
      <c r="B104" s="1439">
        <f>'Recycling - Case 1'!AI120*'Recycling - Case 1'!B120</f>
        <v>3378.1501689766783</v>
      </c>
      <c r="C104" s="1440">
        <f t="shared" si="18"/>
        <v>0.1</v>
      </c>
      <c r="D104" s="1440">
        <f t="shared" si="10"/>
        <v>0.9</v>
      </c>
      <c r="E104" s="53">
        <v>0</v>
      </c>
      <c r="F104" s="53">
        <v>0</v>
      </c>
      <c r="G104" s="898">
        <f t="shared" si="11"/>
        <v>0.27025201351813433</v>
      </c>
      <c r="H104" s="598">
        <f t="shared" si="12"/>
        <v>12.161340608316042</v>
      </c>
      <c r="I104" s="53"/>
      <c r="J104" s="898">
        <f t="shared" si="13"/>
        <v>0.72968043649896253</v>
      </c>
      <c r="K104" s="606">
        <f>'Recycling - Case 1'!Z160*'Recycling - Case 1'!C160</f>
        <v>10579.36596479402</v>
      </c>
      <c r="L104" s="1440">
        <f t="shared" si="19"/>
        <v>0.1</v>
      </c>
      <c r="M104" s="1440">
        <f t="shared" si="14"/>
        <v>0.9</v>
      </c>
      <c r="N104" s="53">
        <f t="shared" si="20"/>
        <v>0</v>
      </c>
      <c r="O104" s="53">
        <f t="shared" si="20"/>
        <v>0</v>
      </c>
      <c r="P104" s="178">
        <f t="shared" si="16"/>
        <v>0.84634927718352171</v>
      </c>
      <c r="Q104" s="598">
        <f t="shared" si="4"/>
        <v>38.085717473258477</v>
      </c>
      <c r="R104" s="53"/>
      <c r="S104" s="1442">
        <f t="shared" si="5"/>
        <v>2.2851430483955082</v>
      </c>
      <c r="T104" s="1429">
        <f t="shared" si="9"/>
        <v>1.116601290701656</v>
      </c>
      <c r="U104" s="1430">
        <f t="shared" si="9"/>
        <v>50.247058081574522</v>
      </c>
      <c r="V104" s="1430">
        <f t="shared" si="9"/>
        <v>0</v>
      </c>
      <c r="W104" s="1431">
        <f t="shared" si="9"/>
        <v>3.0148234848944706</v>
      </c>
    </row>
    <row r="105" spans="1:23">
      <c r="A105" s="123">
        <f>'Input data'!A141</f>
        <v>2041</v>
      </c>
      <c r="B105" s="1439">
        <f>'Recycling - Case 1'!AI121*'Recycling - Case 1'!B121</f>
        <v>3231.9924860435121</v>
      </c>
      <c r="C105" s="1440">
        <f t="shared" si="18"/>
        <v>0.1</v>
      </c>
      <c r="D105" s="1440">
        <f t="shared" si="10"/>
        <v>0.9</v>
      </c>
      <c r="E105" s="53">
        <v>0</v>
      </c>
      <c r="F105" s="53">
        <v>0</v>
      </c>
      <c r="G105" s="898">
        <f t="shared" si="11"/>
        <v>0.25855939888348106</v>
      </c>
      <c r="H105" s="598">
        <f t="shared" si="12"/>
        <v>11.635172949756646</v>
      </c>
      <c r="I105" s="53"/>
      <c r="J105" s="898">
        <f t="shared" si="13"/>
        <v>0.69811037698539857</v>
      </c>
      <c r="K105" s="606">
        <f>'Recycling - Case 1'!Z161*'Recycling - Case 1'!C161</f>
        <v>10592.59718635746</v>
      </c>
      <c r="L105" s="1440">
        <f t="shared" si="19"/>
        <v>0.1</v>
      </c>
      <c r="M105" s="1440">
        <f t="shared" si="14"/>
        <v>0.9</v>
      </c>
      <c r="N105" s="53">
        <f t="shared" si="20"/>
        <v>0</v>
      </c>
      <c r="O105" s="53">
        <f t="shared" si="20"/>
        <v>0</v>
      </c>
      <c r="P105" s="178">
        <f t="shared" si="16"/>
        <v>0.84740777490859698</v>
      </c>
      <c r="Q105" s="598">
        <f t="shared" si="4"/>
        <v>38.13334987088686</v>
      </c>
      <c r="R105" s="53"/>
      <c r="S105" s="1442">
        <f t="shared" si="5"/>
        <v>2.2880009922532114</v>
      </c>
      <c r="T105" s="1429">
        <f t="shared" si="9"/>
        <v>1.105967173792078</v>
      </c>
      <c r="U105" s="1430">
        <f t="shared" si="9"/>
        <v>49.768522820643504</v>
      </c>
      <c r="V105" s="1430">
        <f t="shared" si="9"/>
        <v>0</v>
      </c>
      <c r="W105" s="1431">
        <f t="shared" si="9"/>
        <v>2.9861113692386101</v>
      </c>
    </row>
    <row r="106" spans="1:23">
      <c r="A106" s="123">
        <f>'Input data'!A142</f>
        <v>2042</v>
      </c>
      <c r="B106" s="1439">
        <f>'Recycling - Case 1'!AI122*'Recycling - Case 1'!B122</f>
        <v>3083.853167089198</v>
      </c>
      <c r="C106" s="1440">
        <f t="shared" si="18"/>
        <v>0.1</v>
      </c>
      <c r="D106" s="1440">
        <f t="shared" si="10"/>
        <v>0.9</v>
      </c>
      <c r="E106" s="53">
        <v>0</v>
      </c>
      <c r="F106" s="53">
        <v>0</v>
      </c>
      <c r="G106" s="898">
        <f t="shared" si="11"/>
        <v>0.24670825336713589</v>
      </c>
      <c r="H106" s="598">
        <f t="shared" si="12"/>
        <v>11.101871401521114</v>
      </c>
      <c r="I106" s="53"/>
      <c r="J106" s="898">
        <f t="shared" si="13"/>
        <v>0.66611228409126677</v>
      </c>
      <c r="K106" s="606">
        <f>'Recycling - Case 1'!Z162*'Recycling - Case 1'!C162</f>
        <v>10622.673408135464</v>
      </c>
      <c r="L106" s="1440">
        <f t="shared" si="19"/>
        <v>0.1</v>
      </c>
      <c r="M106" s="1440">
        <f t="shared" si="14"/>
        <v>0.9</v>
      </c>
      <c r="N106" s="53">
        <f t="shared" si="20"/>
        <v>0</v>
      </c>
      <c r="O106" s="53">
        <f t="shared" si="20"/>
        <v>0</v>
      </c>
      <c r="P106" s="178">
        <f t="shared" si="16"/>
        <v>0.8498138726508373</v>
      </c>
      <c r="Q106" s="598">
        <f t="shared" si="4"/>
        <v>38.241624269287669</v>
      </c>
      <c r="R106" s="53"/>
      <c r="S106" s="1442">
        <f t="shared" si="5"/>
        <v>2.2944974561572602</v>
      </c>
      <c r="T106" s="1429">
        <f t="shared" si="9"/>
        <v>1.0965221260179732</v>
      </c>
      <c r="U106" s="1430">
        <f t="shared" si="9"/>
        <v>49.343495670808785</v>
      </c>
      <c r="V106" s="1430">
        <f t="shared" si="9"/>
        <v>0</v>
      </c>
      <c r="W106" s="1431">
        <f t="shared" si="9"/>
        <v>2.9606097402485272</v>
      </c>
    </row>
    <row r="107" spans="1:23">
      <c r="A107" s="123">
        <f>'Input data'!A143</f>
        <v>2043</v>
      </c>
      <c r="B107" s="1439">
        <f>'Recycling - Case 1'!AI123*'Recycling - Case 1'!B123</f>
        <v>2933.7585925462827</v>
      </c>
      <c r="C107" s="1440">
        <f t="shared" si="18"/>
        <v>0.1</v>
      </c>
      <c r="D107" s="1440">
        <f t="shared" si="10"/>
        <v>0.9</v>
      </c>
      <c r="E107" s="53">
        <v>0</v>
      </c>
      <c r="F107" s="53">
        <v>0</v>
      </c>
      <c r="G107" s="898">
        <f t="shared" si="11"/>
        <v>0.23470068740370265</v>
      </c>
      <c r="H107" s="598">
        <f t="shared" si="12"/>
        <v>10.561530933166617</v>
      </c>
      <c r="I107" s="53"/>
      <c r="J107" s="898">
        <f t="shared" si="13"/>
        <v>0.63369185598999711</v>
      </c>
      <c r="K107" s="606">
        <f>'Recycling - Case 1'!Z163*'Recycling - Case 1'!C163</f>
        <v>10666.650609377608</v>
      </c>
      <c r="L107" s="1440">
        <f t="shared" si="19"/>
        <v>0.1</v>
      </c>
      <c r="M107" s="1440">
        <f t="shared" si="14"/>
        <v>0.9</v>
      </c>
      <c r="N107" s="53">
        <f t="shared" si="20"/>
        <v>0</v>
      </c>
      <c r="O107" s="53">
        <f t="shared" si="20"/>
        <v>0</v>
      </c>
      <c r="P107" s="178">
        <f t="shared" si="16"/>
        <v>0.85333204875020874</v>
      </c>
      <c r="Q107" s="598">
        <f t="shared" si="4"/>
        <v>38.399942193759387</v>
      </c>
      <c r="R107" s="53"/>
      <c r="S107" s="1442">
        <f t="shared" si="5"/>
        <v>2.3039965316255633</v>
      </c>
      <c r="T107" s="1429">
        <f t="shared" si="9"/>
        <v>1.0880327361539113</v>
      </c>
      <c r="U107" s="1430">
        <f t="shared" si="9"/>
        <v>48.961473126926002</v>
      </c>
      <c r="V107" s="1430">
        <f t="shared" si="9"/>
        <v>0</v>
      </c>
      <c r="W107" s="1431">
        <f t="shared" si="9"/>
        <v>2.9376883876155606</v>
      </c>
    </row>
    <row r="108" spans="1:23">
      <c r="A108" s="123">
        <f>'Input data'!A144</f>
        <v>2044</v>
      </c>
      <c r="B108" s="1439">
        <f>'Recycling - Case 1'!AI124*'Recycling - Case 1'!B124</f>
        <v>2781.6497943890804</v>
      </c>
      <c r="C108" s="1440">
        <f t="shared" si="18"/>
        <v>0.1</v>
      </c>
      <c r="D108" s="1440">
        <f t="shared" si="10"/>
        <v>0.9</v>
      </c>
      <c r="E108" s="53">
        <v>0</v>
      </c>
      <c r="F108" s="53">
        <v>0</v>
      </c>
      <c r="G108" s="898">
        <f t="shared" si="11"/>
        <v>0.22253198355112647</v>
      </c>
      <c r="H108" s="598">
        <f t="shared" si="12"/>
        <v>10.013939259800688</v>
      </c>
      <c r="I108" s="53"/>
      <c r="J108" s="898">
        <f t="shared" si="13"/>
        <v>0.60083635558804138</v>
      </c>
      <c r="K108" s="606">
        <f>'Recycling - Case 1'!Z164*'Recycling - Case 1'!C164</f>
        <v>10725.891937768529</v>
      </c>
      <c r="L108" s="1440">
        <f t="shared" si="19"/>
        <v>0.1</v>
      </c>
      <c r="M108" s="1440">
        <f t="shared" si="14"/>
        <v>0.9</v>
      </c>
      <c r="N108" s="53">
        <f t="shared" si="20"/>
        <v>0</v>
      </c>
      <c r="O108" s="53">
        <f t="shared" si="20"/>
        <v>0</v>
      </c>
      <c r="P108" s="178">
        <f t="shared" si="16"/>
        <v>0.85807135502148246</v>
      </c>
      <c r="Q108" s="598">
        <f t="shared" si="4"/>
        <v>38.613210975966709</v>
      </c>
      <c r="R108" s="53"/>
      <c r="S108" s="1442">
        <f t="shared" si="5"/>
        <v>2.3167926585580023</v>
      </c>
      <c r="T108" s="1429">
        <f t="shared" si="9"/>
        <v>1.080603338572609</v>
      </c>
      <c r="U108" s="1430">
        <f t="shared" si="9"/>
        <v>48.627150235767395</v>
      </c>
      <c r="V108" s="1430">
        <f t="shared" si="9"/>
        <v>0</v>
      </c>
      <c r="W108" s="1431">
        <f t="shared" si="9"/>
        <v>2.9176290141460437</v>
      </c>
    </row>
    <row r="109" spans="1:23">
      <c r="A109" s="123">
        <f>'Input data'!A145</f>
        <v>2045</v>
      </c>
      <c r="B109" s="1439">
        <f>'Recycling - Case 1'!AI125*'Recycling - Case 1'!B125</f>
        <v>2627.5841888531263</v>
      </c>
      <c r="C109" s="1440">
        <f t="shared" si="18"/>
        <v>0.1</v>
      </c>
      <c r="D109" s="1440">
        <f t="shared" si="10"/>
        <v>0.9</v>
      </c>
      <c r="E109" s="53">
        <v>0</v>
      </c>
      <c r="F109" s="53">
        <v>0</v>
      </c>
      <c r="G109" s="898">
        <f t="shared" si="11"/>
        <v>0.21020673510825014</v>
      </c>
      <c r="H109" s="598">
        <f t="shared" si="12"/>
        <v>9.4593030798712547</v>
      </c>
      <c r="I109" s="53"/>
      <c r="J109" s="898">
        <f t="shared" si="13"/>
        <v>0.56755818479227527</v>
      </c>
      <c r="K109" s="606">
        <f>'Recycling - Case 1'!Z165*'Recycling - Case 1'!C165</f>
        <v>10809.239967304975</v>
      </c>
      <c r="L109" s="1440">
        <f t="shared" si="19"/>
        <v>0.1</v>
      </c>
      <c r="M109" s="1440">
        <f t="shared" si="14"/>
        <v>0.9</v>
      </c>
      <c r="N109" s="53">
        <f t="shared" si="20"/>
        <v>0</v>
      </c>
      <c r="O109" s="53">
        <f t="shared" si="20"/>
        <v>0</v>
      </c>
      <c r="P109" s="178">
        <f t="shared" si="16"/>
        <v>0.86473919738439819</v>
      </c>
      <c r="Q109" s="598">
        <f t="shared" si="4"/>
        <v>38.913263882297912</v>
      </c>
      <c r="R109" s="53"/>
      <c r="S109" s="1442">
        <f t="shared" si="5"/>
        <v>2.3347958329378744</v>
      </c>
      <c r="T109" s="1429">
        <f t="shared" si="9"/>
        <v>1.0749459324926482</v>
      </c>
      <c r="U109" s="1430">
        <f t="shared" si="9"/>
        <v>48.372566962169167</v>
      </c>
      <c r="V109" s="1430">
        <f t="shared" si="9"/>
        <v>0</v>
      </c>
      <c r="W109" s="1431">
        <f t="shared" si="9"/>
        <v>2.9023540177301497</v>
      </c>
    </row>
    <row r="110" spans="1:23">
      <c r="A110" s="123">
        <f>'Input data'!A146</f>
        <v>2046</v>
      </c>
      <c r="B110" s="1439">
        <f>'Recycling - Case 1'!AI126*'Recycling - Case 1'!B126</f>
        <v>2468.7313107053969</v>
      </c>
      <c r="C110" s="1440">
        <f t="shared" si="18"/>
        <v>0.1</v>
      </c>
      <c r="D110" s="1440">
        <f t="shared" si="10"/>
        <v>0.9</v>
      </c>
      <c r="E110" s="53">
        <v>0</v>
      </c>
      <c r="F110" s="53">
        <v>0</v>
      </c>
      <c r="G110" s="898">
        <f t="shared" si="11"/>
        <v>0.19749850485643181</v>
      </c>
      <c r="H110" s="598">
        <f t="shared" si="12"/>
        <v>8.8874327185394293</v>
      </c>
      <c r="I110" s="53"/>
      <c r="J110" s="898">
        <f t="shared" si="13"/>
        <v>0.53324596311236572</v>
      </c>
      <c r="K110" s="606">
        <f>'Recycling - Case 1'!Z166*'Recycling - Case 1'!C166</f>
        <v>10909.236948381122</v>
      </c>
      <c r="L110" s="1440">
        <f t="shared" si="19"/>
        <v>0.1</v>
      </c>
      <c r="M110" s="1440">
        <f t="shared" si="14"/>
        <v>0.9</v>
      </c>
      <c r="N110" s="53">
        <f t="shared" si="20"/>
        <v>0</v>
      </c>
      <c r="O110" s="53">
        <f t="shared" si="20"/>
        <v>0</v>
      </c>
      <c r="P110" s="178">
        <f t="shared" si="16"/>
        <v>0.87273895587048989</v>
      </c>
      <c r="Q110" s="598">
        <f t="shared" si="4"/>
        <v>39.273253014172042</v>
      </c>
      <c r="R110" s="53"/>
      <c r="S110" s="1442">
        <f t="shared" si="5"/>
        <v>2.3563951808503218</v>
      </c>
      <c r="T110" s="1429">
        <f t="shared" si="9"/>
        <v>1.0702374607269216</v>
      </c>
      <c r="U110" s="1430">
        <f t="shared" si="9"/>
        <v>48.160685732711471</v>
      </c>
      <c r="V110" s="1430">
        <f t="shared" si="9"/>
        <v>0</v>
      </c>
      <c r="W110" s="1431">
        <f t="shared" si="9"/>
        <v>2.8896411439626877</v>
      </c>
    </row>
    <row r="111" spans="1:23">
      <c r="A111" s="123">
        <f>'Input data'!A147</f>
        <v>2047</v>
      </c>
      <c r="B111" s="1439">
        <f>'Recycling - Case 1'!AI127*'Recycling - Case 1'!B127</f>
        <v>2308.2257760482548</v>
      </c>
      <c r="C111" s="1440">
        <f t="shared" si="18"/>
        <v>0.1</v>
      </c>
      <c r="D111" s="1440">
        <f t="shared" si="10"/>
        <v>0.9</v>
      </c>
      <c r="E111" s="53">
        <v>0</v>
      </c>
      <c r="F111" s="53">
        <v>0</v>
      </c>
      <c r="G111" s="898">
        <f t="shared" si="11"/>
        <v>0.1846580620838604</v>
      </c>
      <c r="H111" s="598">
        <f t="shared" si="12"/>
        <v>8.3096127937737183</v>
      </c>
      <c r="I111" s="53"/>
      <c r="J111" s="898">
        <f t="shared" si="13"/>
        <v>0.498576767626423</v>
      </c>
      <c r="K111" s="606">
        <f>'Recycling - Case 1'!Z167*'Recycling - Case 1'!C167</f>
        <v>11024.181405215313</v>
      </c>
      <c r="L111" s="1440">
        <f t="shared" si="19"/>
        <v>0.1</v>
      </c>
      <c r="M111" s="1440">
        <f t="shared" si="14"/>
        <v>0.9</v>
      </c>
      <c r="N111" s="53">
        <f t="shared" si="20"/>
        <v>0</v>
      </c>
      <c r="O111" s="53">
        <f t="shared" si="20"/>
        <v>0</v>
      </c>
      <c r="P111" s="178">
        <f t="shared" si="16"/>
        <v>0.88193451241722531</v>
      </c>
      <c r="Q111" s="598">
        <f t="shared" si="4"/>
        <v>39.687053058775128</v>
      </c>
      <c r="R111" s="53"/>
      <c r="S111" s="1442">
        <f t="shared" si="5"/>
        <v>2.3812231835265076</v>
      </c>
      <c r="T111" s="1429">
        <f t="shared" si="9"/>
        <v>1.0665925745010858</v>
      </c>
      <c r="U111" s="1430">
        <f t="shared" si="9"/>
        <v>47.996665852548844</v>
      </c>
      <c r="V111" s="1430">
        <f t="shared" si="9"/>
        <v>0</v>
      </c>
      <c r="W111" s="1431">
        <f t="shared" si="9"/>
        <v>2.8797999511529309</v>
      </c>
    </row>
    <row r="112" spans="1:23">
      <c r="A112" s="123">
        <f>'Input data'!A148</f>
        <v>2048</v>
      </c>
      <c r="B112" s="1439">
        <f>'Recycling - Case 1'!AI128*'Recycling - Case 1'!B128</f>
        <v>2320.0193811858499</v>
      </c>
      <c r="C112" s="1440">
        <f t="shared" si="18"/>
        <v>0.1</v>
      </c>
      <c r="D112" s="1440">
        <f t="shared" si="10"/>
        <v>0.9</v>
      </c>
      <c r="E112" s="53">
        <v>0</v>
      </c>
      <c r="F112" s="53">
        <v>0</v>
      </c>
      <c r="G112" s="898">
        <f t="shared" si="11"/>
        <v>0.18560155049486804</v>
      </c>
      <c r="H112" s="598">
        <f t="shared" si="12"/>
        <v>8.3520697722690596</v>
      </c>
      <c r="I112" s="53"/>
      <c r="J112" s="898">
        <f t="shared" si="13"/>
        <v>0.50112418633614353</v>
      </c>
      <c r="K112" s="606">
        <f>'Recycling - Case 1'!Z168*'Recycling - Case 1'!C168</f>
        <v>11135.932043635305</v>
      </c>
      <c r="L112" s="1440">
        <f t="shared" si="19"/>
        <v>0.1</v>
      </c>
      <c r="M112" s="1440">
        <f t="shared" si="14"/>
        <v>0.9</v>
      </c>
      <c r="N112" s="53">
        <f t="shared" si="20"/>
        <v>0</v>
      </c>
      <c r="O112" s="53">
        <f t="shared" si="20"/>
        <v>0</v>
      </c>
      <c r="P112" s="178">
        <f t="shared" si="16"/>
        <v>0.89087456349082461</v>
      </c>
      <c r="Q112" s="598">
        <f t="shared" si="4"/>
        <v>40.089355357087101</v>
      </c>
      <c r="R112" s="53"/>
      <c r="S112" s="1442">
        <f t="shared" si="5"/>
        <v>2.4053613214252261</v>
      </c>
      <c r="T112" s="1429">
        <f t="shared" si="9"/>
        <v>1.0764761139856927</v>
      </c>
      <c r="U112" s="1430">
        <f t="shared" si="9"/>
        <v>48.441425129356162</v>
      </c>
      <c r="V112" s="1430">
        <f t="shared" si="9"/>
        <v>0</v>
      </c>
      <c r="W112" s="1431">
        <f t="shared" si="9"/>
        <v>2.9064855077613698</v>
      </c>
    </row>
    <row r="113" spans="1:23">
      <c r="A113" s="123">
        <f>'Input data'!A149</f>
        <v>2049</v>
      </c>
      <c r="B113" s="1439">
        <f>'Recycling - Case 1'!AI129*'Recycling - Case 1'!B129</f>
        <v>2331.8440221264382</v>
      </c>
      <c r="C113" s="1440">
        <f t="shared" si="18"/>
        <v>0.1</v>
      </c>
      <c r="D113" s="1440">
        <f t="shared" si="10"/>
        <v>0.9</v>
      </c>
      <c r="E113" s="53">
        <v>0</v>
      </c>
      <c r="F113" s="53">
        <v>0</v>
      </c>
      <c r="G113" s="898">
        <f t="shared" si="11"/>
        <v>0.18654752177011508</v>
      </c>
      <c r="H113" s="598">
        <f t="shared" si="12"/>
        <v>8.3946384796551783</v>
      </c>
      <c r="I113" s="53"/>
      <c r="J113" s="898">
        <f t="shared" si="13"/>
        <v>0.50367830877931064</v>
      </c>
      <c r="K113" s="606">
        <f>'Recycling - Case 1'!Z169*'Recycling - Case 1'!C169</f>
        <v>11262.95985020546</v>
      </c>
      <c r="L113" s="1440">
        <f t="shared" si="19"/>
        <v>0.1</v>
      </c>
      <c r="M113" s="1440">
        <f t="shared" si="14"/>
        <v>0.9</v>
      </c>
      <c r="N113" s="53">
        <f t="shared" si="20"/>
        <v>0</v>
      </c>
      <c r="O113" s="53">
        <f t="shared" si="20"/>
        <v>0</v>
      </c>
      <c r="P113" s="898">
        <f t="shared" si="7"/>
        <v>0.90103678801643694</v>
      </c>
      <c r="Q113" s="598">
        <f t="shared" si="4"/>
        <v>40.54665546073965</v>
      </c>
      <c r="R113" s="53"/>
      <c r="S113" s="1442">
        <f t="shared" si="5"/>
        <v>2.4327993276443793</v>
      </c>
      <c r="T113" s="1429">
        <f t="shared" si="9"/>
        <v>1.0875843097865521</v>
      </c>
      <c r="U113" s="1430">
        <f t="shared" si="9"/>
        <v>48.941293940394829</v>
      </c>
      <c r="V113" s="1430">
        <f t="shared" si="9"/>
        <v>0</v>
      </c>
      <c r="W113" s="1431">
        <f t="shared" si="9"/>
        <v>2.9364776364236898</v>
      </c>
    </row>
    <row r="114" spans="1:23" ht="15" thickBot="1">
      <c r="A114" s="123">
        <f>'Input data'!A150</f>
        <v>2050</v>
      </c>
      <c r="B114" s="1439">
        <f>'Recycling - Case 1'!AI130*'Recycling - Case 1'!B130</f>
        <v>2343.7617704760078</v>
      </c>
      <c r="C114" s="659">
        <f t="shared" si="18"/>
        <v>0.1</v>
      </c>
      <c r="D114" s="659">
        <f t="shared" si="10"/>
        <v>0.9</v>
      </c>
      <c r="E114" s="1443">
        <v>0</v>
      </c>
      <c r="F114" s="1443">
        <v>0</v>
      </c>
      <c r="G114" s="1444">
        <f t="shared" si="11"/>
        <v>0.18750094163808065</v>
      </c>
      <c r="H114" s="1333">
        <f t="shared" si="12"/>
        <v>8.4375423737136277</v>
      </c>
      <c r="I114" s="1443"/>
      <c r="J114" s="1444">
        <f t="shared" si="13"/>
        <v>0.5062525424228177</v>
      </c>
      <c r="K114" s="606">
        <f>'Recycling - Case 1'!Z170*'Recycling - Case 1'!C170</f>
        <v>11405.108755061457</v>
      </c>
      <c r="L114" s="659">
        <f t="shared" si="19"/>
        <v>0.1</v>
      </c>
      <c r="M114" s="659">
        <f t="shared" si="14"/>
        <v>0.9</v>
      </c>
      <c r="N114" s="1443">
        <f t="shared" si="20"/>
        <v>0</v>
      </c>
      <c r="O114" s="1443">
        <f t="shared" si="20"/>
        <v>0</v>
      </c>
      <c r="P114" s="1444">
        <f t="shared" si="7"/>
        <v>0.91240870040491673</v>
      </c>
      <c r="Q114" s="1333">
        <f t="shared" si="4"/>
        <v>41.058391518221249</v>
      </c>
      <c r="R114" s="1443"/>
      <c r="S114" s="1445">
        <f t="shared" si="5"/>
        <v>2.4635034910932752</v>
      </c>
      <c r="T114" s="1446">
        <f t="shared" si="9"/>
        <v>1.0999096420429975</v>
      </c>
      <c r="U114" s="1447">
        <f t="shared" si="9"/>
        <v>49.495933891934875</v>
      </c>
      <c r="V114" s="1447">
        <f t="shared" si="9"/>
        <v>0</v>
      </c>
      <c r="W114" s="1448">
        <f t="shared" si="9"/>
        <v>2.9697560335160929</v>
      </c>
    </row>
    <row r="115" spans="1:23">
      <c r="A115" s="1433" t="s">
        <v>739</v>
      </c>
      <c r="B115" s="1434"/>
      <c r="C115" s="1449"/>
      <c r="D115" s="1449"/>
      <c r="E115" s="1450"/>
      <c r="F115" s="1450"/>
      <c r="G115" s="1451"/>
      <c r="H115" s="1452"/>
      <c r="I115" s="1453"/>
      <c r="J115" s="1451"/>
      <c r="K115" s="1454"/>
      <c r="L115" s="1449"/>
      <c r="M115" s="1449"/>
      <c r="N115" s="1450"/>
      <c r="O115" s="1450"/>
      <c r="P115" s="1451"/>
      <c r="Q115" s="1452"/>
      <c r="R115" s="1450"/>
      <c r="S115" s="1455"/>
      <c r="T115" s="1425"/>
      <c r="U115" s="1426"/>
      <c r="V115" s="1426"/>
      <c r="W115" s="1427"/>
    </row>
    <row r="116" spans="1:23">
      <c r="A116" s="123">
        <f>'Input data'!A118</f>
        <v>2018</v>
      </c>
      <c r="B116" s="1439">
        <f>'Recycling - Case 1'!AI98*'Recycling - Case 1'!B98</f>
        <v>3618.1594989577075</v>
      </c>
      <c r="C116" s="1440">
        <f>($C$120-$C$80)/($A$120-$A$80)+C80</f>
        <v>6.0000000000000005E-2</v>
      </c>
      <c r="D116" s="1440">
        <f>1-C116</f>
        <v>0.94</v>
      </c>
      <c r="E116" s="53">
        <v>0</v>
      </c>
      <c r="F116" s="53">
        <v>0</v>
      </c>
      <c r="G116" s="898">
        <f>C116*$D$5*B116/1000-E116</f>
        <v>0.17367165594997</v>
      </c>
      <c r="H116" s="598">
        <f>D116*$D$4*B116/1000-F116</f>
        <v>13.604279716080979</v>
      </c>
      <c r="I116" s="53"/>
      <c r="J116" s="898">
        <f>D116*$D$7*B116/1000</f>
        <v>0.8162567829648586</v>
      </c>
      <c r="K116" s="1441">
        <f>'Recycling - Case 1'!C178*'Recycling - Case 1'!Z178</f>
        <v>5930.432164483057</v>
      </c>
      <c r="L116" s="1440">
        <f>($L$120-$L$80)/($A$120-$A$80)+L80</f>
        <v>0.1</v>
      </c>
      <c r="M116" s="1440">
        <f>1-L116</f>
        <v>0.9</v>
      </c>
      <c r="N116" s="53">
        <f>N114</f>
        <v>0</v>
      </c>
      <c r="O116" s="53">
        <f>O114</f>
        <v>0</v>
      </c>
      <c r="P116" s="898">
        <f>L116*$D$5*K116/1000-N116</f>
        <v>0.47443457315864462</v>
      </c>
      <c r="Q116" s="598">
        <f t="shared" ref="Q116:Q148" si="21">M116*$D$4*K116/1000-O116</f>
        <v>21.349555792139007</v>
      </c>
      <c r="R116" s="53"/>
      <c r="S116" s="1442">
        <f t="shared" ref="S116:S148" si="22">M116*$D$7*K116/1000</f>
        <v>1.2809733475283402</v>
      </c>
      <c r="T116" s="1429">
        <f t="shared" ref="T116:W148" si="23">G116+P116</f>
        <v>0.6481062291086146</v>
      </c>
      <c r="U116" s="1430">
        <f t="shared" si="23"/>
        <v>34.953835508219989</v>
      </c>
      <c r="V116" s="1430">
        <f t="shared" si="23"/>
        <v>0</v>
      </c>
      <c r="W116" s="1431">
        <f t="shared" si="23"/>
        <v>2.0972301304931991</v>
      </c>
    </row>
    <row r="117" spans="1:23">
      <c r="A117" s="123">
        <f>'Input data'!A119</f>
        <v>2019</v>
      </c>
      <c r="B117" s="1439">
        <f>'Recycling - Case 1'!AI99*'Recycling - Case 1'!B99</f>
        <v>3883.8945846308343</v>
      </c>
      <c r="C117" s="1440">
        <f>($C$120-$C$80)/($A$120-$A$80)+C116</f>
        <v>7.0000000000000007E-2</v>
      </c>
      <c r="D117" s="1440">
        <f t="shared" ref="D117:D148" si="24">1-C117</f>
        <v>0.92999999999999994</v>
      </c>
      <c r="E117" s="53">
        <v>0</v>
      </c>
      <c r="F117" s="53">
        <v>0</v>
      </c>
      <c r="G117" s="898">
        <f t="shared" ref="G117:G148" si="25">C117*$D$5*B117/1000-E117</f>
        <v>0.21749809673932674</v>
      </c>
      <c r="H117" s="598">
        <f t="shared" ref="H117:H148" si="26">D117*$D$4*B117/1000-F117</f>
        <v>14.448087854826703</v>
      </c>
      <c r="I117" s="53"/>
      <c r="J117" s="898">
        <f t="shared" ref="J117:J133" si="27">D117*$D$7*B117/1000</f>
        <v>0.86688527128960213</v>
      </c>
      <c r="K117" s="1441">
        <f>'Recycling - Case 1'!C179*'Recycling - Case 1'!Z179</f>
        <v>5644.4196067773519</v>
      </c>
      <c r="L117" s="1440">
        <f>($L$120-$L$80)/($A$120-$A$80)+L116</f>
        <v>0.1</v>
      </c>
      <c r="M117" s="1440">
        <f t="shared" ref="M117:M148" si="28">1-L117</f>
        <v>0.9</v>
      </c>
      <c r="N117" s="53">
        <f t="shared" ref="N117:O132" si="29">N115</f>
        <v>0</v>
      </c>
      <c r="O117" s="53">
        <f t="shared" si="29"/>
        <v>0</v>
      </c>
      <c r="P117" s="898">
        <f>L117*$D$5*K117/1000-N117</f>
        <v>0.45155356854218826</v>
      </c>
      <c r="Q117" s="598">
        <f t="shared" si="21"/>
        <v>20.319910584398468</v>
      </c>
      <c r="R117" s="53"/>
      <c r="S117" s="1442">
        <f t="shared" si="22"/>
        <v>1.219194635063908</v>
      </c>
      <c r="T117" s="1429">
        <f t="shared" si="23"/>
        <v>0.66905166528151505</v>
      </c>
      <c r="U117" s="1430">
        <f t="shared" si="23"/>
        <v>34.767998439225167</v>
      </c>
      <c r="V117" s="1430">
        <f t="shared" si="23"/>
        <v>0</v>
      </c>
      <c r="W117" s="1431">
        <f t="shared" si="23"/>
        <v>2.0860799063535103</v>
      </c>
    </row>
    <row r="118" spans="1:23">
      <c r="A118" s="123">
        <f>'Input data'!A120</f>
        <v>2020</v>
      </c>
      <c r="B118" s="1439">
        <f>'Recycling - Case 1'!AI100*'Recycling - Case 1'!B100</f>
        <v>4148.07681666808</v>
      </c>
      <c r="C118" s="1440">
        <f t="shared" ref="C118:C119" si="30">($C$120-$C$80)/($A$120-$A$80)+C117</f>
        <v>0.08</v>
      </c>
      <c r="D118" s="1440">
        <f t="shared" si="24"/>
        <v>0.92</v>
      </c>
      <c r="E118" s="53">
        <v>0</v>
      </c>
      <c r="F118" s="53">
        <v>0</v>
      </c>
      <c r="G118" s="898">
        <f t="shared" si="25"/>
        <v>0.26547691626675712</v>
      </c>
      <c r="H118" s="598">
        <f t="shared" si="26"/>
        <v>15.264922685338535</v>
      </c>
      <c r="I118" s="53"/>
      <c r="J118" s="898">
        <f t="shared" si="27"/>
        <v>0.915895361120312</v>
      </c>
      <c r="K118" s="1441">
        <f>'Recycling - Case 1'!C180*'Recycling - Case 1'!Z180</f>
        <v>3807.9678291351529</v>
      </c>
      <c r="L118" s="1440">
        <f t="shared" ref="L118:L119" si="31">($L$120-$L$80)/($A$120-$A$80)+L117</f>
        <v>0.1</v>
      </c>
      <c r="M118" s="1440">
        <f t="shared" si="28"/>
        <v>0.9</v>
      </c>
      <c r="N118" s="53">
        <f t="shared" si="29"/>
        <v>0</v>
      </c>
      <c r="O118" s="53">
        <f t="shared" si="29"/>
        <v>0</v>
      </c>
      <c r="P118" s="898">
        <f t="shared" ref="P118:P148" si="32">L118*$D$5*K118/1000-N118</f>
        <v>0.30463742633081226</v>
      </c>
      <c r="Q118" s="598">
        <f t="shared" si="21"/>
        <v>13.708684184886552</v>
      </c>
      <c r="R118" s="53"/>
      <c r="S118" s="1442">
        <f t="shared" si="22"/>
        <v>0.82252105109319307</v>
      </c>
      <c r="T118" s="1429">
        <f t="shared" si="23"/>
        <v>0.57011434259756943</v>
      </c>
      <c r="U118" s="1430">
        <f t="shared" si="23"/>
        <v>28.973606870225087</v>
      </c>
      <c r="V118" s="1430">
        <f t="shared" si="23"/>
        <v>0</v>
      </c>
      <c r="W118" s="1431">
        <f t="shared" si="23"/>
        <v>1.7384164122135051</v>
      </c>
    </row>
    <row r="119" spans="1:23">
      <c r="A119" s="123">
        <f>'Input data'!A121</f>
        <v>2021</v>
      </c>
      <c r="B119" s="1439">
        <f>'Recycling - Case 1'!AI101*'Recycling - Case 1'!B101</f>
        <v>4391.4182309081298</v>
      </c>
      <c r="C119" s="1440">
        <f t="shared" si="30"/>
        <v>0.09</v>
      </c>
      <c r="D119" s="1440">
        <f t="shared" si="24"/>
        <v>0.91</v>
      </c>
      <c r="E119" s="53">
        <v>0</v>
      </c>
      <c r="F119" s="53">
        <v>0</v>
      </c>
      <c r="G119" s="898">
        <f t="shared" si="25"/>
        <v>0.31618211262538537</v>
      </c>
      <c r="H119" s="598">
        <f t="shared" si="26"/>
        <v>15.984762360505592</v>
      </c>
      <c r="I119" s="53"/>
      <c r="J119" s="898">
        <f t="shared" si="27"/>
        <v>0.95908574163033566</v>
      </c>
      <c r="K119" s="1441">
        <f>'Recycling - Case 1'!C181*'Recycling - Case 1'!Z181</f>
        <v>3630.7989577136877</v>
      </c>
      <c r="L119" s="1440">
        <f t="shared" si="31"/>
        <v>0.1</v>
      </c>
      <c r="M119" s="1440">
        <f t="shared" si="28"/>
        <v>0.9</v>
      </c>
      <c r="N119" s="53">
        <f t="shared" si="29"/>
        <v>0</v>
      </c>
      <c r="O119" s="53">
        <f t="shared" si="29"/>
        <v>0</v>
      </c>
      <c r="P119" s="898">
        <f t="shared" si="32"/>
        <v>0.29046391661709509</v>
      </c>
      <c r="Q119" s="598">
        <f t="shared" si="21"/>
        <v>13.070876247769275</v>
      </c>
      <c r="R119" s="53"/>
      <c r="S119" s="1442">
        <f t="shared" si="22"/>
        <v>0.78425257486615663</v>
      </c>
      <c r="T119" s="1429">
        <f t="shared" si="23"/>
        <v>0.60664602924248046</v>
      </c>
      <c r="U119" s="1430">
        <f t="shared" si="23"/>
        <v>29.055638608274869</v>
      </c>
      <c r="V119" s="1430">
        <f t="shared" si="23"/>
        <v>0</v>
      </c>
      <c r="W119" s="1431">
        <f t="shared" si="23"/>
        <v>1.7433383164964922</v>
      </c>
    </row>
    <row r="120" spans="1:23">
      <c r="A120" s="123">
        <f>'Input data'!A122</f>
        <v>2022</v>
      </c>
      <c r="B120" s="1439">
        <f>'Recycling - Case 1'!AI102*'Recycling - Case 1'!B102</f>
        <v>4632.7484481702204</v>
      </c>
      <c r="C120" s="1440">
        <f>'Recycling - Case 1'!C31</f>
        <v>0.1</v>
      </c>
      <c r="D120" s="1440">
        <f t="shared" si="24"/>
        <v>0.9</v>
      </c>
      <c r="E120" s="53">
        <v>0</v>
      </c>
      <c r="F120" s="53">
        <v>0</v>
      </c>
      <c r="G120" s="898">
        <f t="shared" si="25"/>
        <v>0.37061987585361772</v>
      </c>
      <c r="H120" s="598">
        <f t="shared" si="26"/>
        <v>16.677894413412794</v>
      </c>
      <c r="I120" s="53"/>
      <c r="J120" s="898">
        <f t="shared" si="27"/>
        <v>1.0006736648047676</v>
      </c>
      <c r="K120" s="1441">
        <f>'Recycling - Case 1'!C182*'Recycling - Case 1'!Z182</f>
        <v>3407.0086985329208</v>
      </c>
      <c r="L120" s="1440">
        <f>'Recycling - Case 1'!C31</f>
        <v>0.1</v>
      </c>
      <c r="M120" s="1440">
        <f t="shared" si="28"/>
        <v>0.9</v>
      </c>
      <c r="N120" s="53">
        <f t="shared" si="29"/>
        <v>0</v>
      </c>
      <c r="O120" s="53">
        <f t="shared" si="29"/>
        <v>0</v>
      </c>
      <c r="P120" s="898">
        <f t="shared" si="32"/>
        <v>0.27256069588263371</v>
      </c>
      <c r="Q120" s="598">
        <f t="shared" si="21"/>
        <v>12.265231314718516</v>
      </c>
      <c r="R120" s="53"/>
      <c r="S120" s="1442">
        <f t="shared" si="22"/>
        <v>0.73591387888311088</v>
      </c>
      <c r="T120" s="1429">
        <f t="shared" si="23"/>
        <v>0.64318057173625143</v>
      </c>
      <c r="U120" s="1430">
        <f t="shared" si="23"/>
        <v>28.94312572813131</v>
      </c>
      <c r="V120" s="1430">
        <f t="shared" si="23"/>
        <v>0</v>
      </c>
      <c r="W120" s="1431">
        <f t="shared" si="23"/>
        <v>1.7365875436878784</v>
      </c>
    </row>
    <row r="121" spans="1:23">
      <c r="A121" s="123">
        <f>'Input data'!A123</f>
        <v>2023</v>
      </c>
      <c r="B121" s="1439">
        <f>'Recycling - Case 1'!AI103*'Recycling - Case 1'!B103</f>
        <v>4873.2756688444188</v>
      </c>
      <c r="C121" s="1440">
        <f>C120</f>
        <v>0.1</v>
      </c>
      <c r="D121" s="1440">
        <f t="shared" si="24"/>
        <v>0.9</v>
      </c>
      <c r="E121" s="53">
        <v>0</v>
      </c>
      <c r="F121" s="53">
        <v>0</v>
      </c>
      <c r="G121" s="898">
        <f t="shared" si="25"/>
        <v>0.3898620535075536</v>
      </c>
      <c r="H121" s="598">
        <f t="shared" si="26"/>
        <v>17.543792407839909</v>
      </c>
      <c r="I121" s="53"/>
      <c r="J121" s="898">
        <f t="shared" si="27"/>
        <v>1.0526275444703945</v>
      </c>
      <c r="K121" s="1441">
        <f>'Recycling - Case 1'!C183*'Recycling - Case 1'!Z183</f>
        <v>3159.3178028565285</v>
      </c>
      <c r="L121" s="1440">
        <f>L120</f>
        <v>0.1</v>
      </c>
      <c r="M121" s="1440">
        <f t="shared" si="28"/>
        <v>0.9</v>
      </c>
      <c r="N121" s="53">
        <f t="shared" si="29"/>
        <v>0</v>
      </c>
      <c r="O121" s="53">
        <f t="shared" si="29"/>
        <v>0</v>
      </c>
      <c r="P121" s="898">
        <f t="shared" si="32"/>
        <v>0.25274542422852231</v>
      </c>
      <c r="Q121" s="598">
        <f t="shared" si="21"/>
        <v>11.373544090283504</v>
      </c>
      <c r="R121" s="53"/>
      <c r="S121" s="1442">
        <f t="shared" si="22"/>
        <v>0.68241264541701019</v>
      </c>
      <c r="T121" s="1429">
        <f t="shared" si="23"/>
        <v>0.64260747773607596</v>
      </c>
      <c r="U121" s="1430">
        <f t="shared" si="23"/>
        <v>28.917336498123412</v>
      </c>
      <c r="V121" s="1430">
        <f t="shared" si="23"/>
        <v>0</v>
      </c>
      <c r="W121" s="1431">
        <f t="shared" si="23"/>
        <v>1.7350401898874046</v>
      </c>
    </row>
    <row r="122" spans="1:23">
      <c r="A122" s="123">
        <f>'Input data'!A124</f>
        <v>2024</v>
      </c>
      <c r="B122" s="1439">
        <f>'Recycling - Case 1'!AI104*'Recycling - Case 1'!B104</f>
        <v>5114.0518807671697</v>
      </c>
      <c r="C122" s="1440">
        <f t="shared" ref="C122:C148" si="33">C121</f>
        <v>0.1</v>
      </c>
      <c r="D122" s="1440">
        <f t="shared" si="24"/>
        <v>0.9</v>
      </c>
      <c r="E122" s="53">
        <v>0</v>
      </c>
      <c r="F122" s="53">
        <v>0</v>
      </c>
      <c r="G122" s="898">
        <f t="shared" si="25"/>
        <v>0.40912415046137363</v>
      </c>
      <c r="H122" s="598">
        <f t="shared" si="26"/>
        <v>18.410586770761814</v>
      </c>
      <c r="I122" s="53"/>
      <c r="J122" s="898">
        <f t="shared" si="27"/>
        <v>1.1046352062457085</v>
      </c>
      <c r="K122" s="1441">
        <f>'Recycling - Case 1'!C184*'Recycling - Case 1'!Z184</f>
        <v>2874.7982196631874</v>
      </c>
      <c r="L122" s="1440">
        <f t="shared" ref="L122:L148" si="34">L121</f>
        <v>0.1</v>
      </c>
      <c r="M122" s="1440">
        <f t="shared" si="28"/>
        <v>0.9</v>
      </c>
      <c r="N122" s="53">
        <f t="shared" si="29"/>
        <v>0</v>
      </c>
      <c r="O122" s="53">
        <f t="shared" si="29"/>
        <v>0</v>
      </c>
      <c r="P122" s="898">
        <f t="shared" si="32"/>
        <v>0.22998385757305503</v>
      </c>
      <c r="Q122" s="598">
        <f t="shared" si="21"/>
        <v>10.349273590787476</v>
      </c>
      <c r="R122" s="53"/>
      <c r="S122" s="1442">
        <f t="shared" si="22"/>
        <v>0.62095641544724844</v>
      </c>
      <c r="T122" s="1429">
        <f t="shared" si="23"/>
        <v>0.63910800803442869</v>
      </c>
      <c r="U122" s="1430">
        <f t="shared" si="23"/>
        <v>28.75986036154929</v>
      </c>
      <c r="V122" s="1430">
        <f t="shared" si="23"/>
        <v>0</v>
      </c>
      <c r="W122" s="1431">
        <f t="shared" si="23"/>
        <v>1.725591621692957</v>
      </c>
    </row>
    <row r="123" spans="1:23">
      <c r="A123" s="123">
        <f>'Input data'!A125</f>
        <v>2025</v>
      </c>
      <c r="B123" s="1439">
        <f>'Recycling - Case 1'!AI105*'Recycling - Case 1'!B105</f>
        <v>5356.2849256095697</v>
      </c>
      <c r="C123" s="1440">
        <f t="shared" si="33"/>
        <v>0.1</v>
      </c>
      <c r="D123" s="1440">
        <f t="shared" si="24"/>
        <v>0.9</v>
      </c>
      <c r="E123" s="53">
        <v>0</v>
      </c>
      <c r="F123" s="53">
        <v>0</v>
      </c>
      <c r="G123" s="898">
        <f t="shared" si="25"/>
        <v>0.42850279404876568</v>
      </c>
      <c r="H123" s="598">
        <f t="shared" si="26"/>
        <v>19.28262573219445</v>
      </c>
      <c r="I123" s="53"/>
      <c r="J123" s="898">
        <f t="shared" si="27"/>
        <v>1.1569575439316671</v>
      </c>
      <c r="K123" s="1441">
        <f>'Recycling - Case 1'!C185*'Recycling - Case 1'!Z185</f>
        <v>2588.1660525637235</v>
      </c>
      <c r="L123" s="1440">
        <f t="shared" si="34"/>
        <v>0.1</v>
      </c>
      <c r="M123" s="1440">
        <f t="shared" si="28"/>
        <v>0.9</v>
      </c>
      <c r="N123" s="53">
        <f t="shared" si="29"/>
        <v>0</v>
      </c>
      <c r="O123" s="53">
        <f t="shared" si="29"/>
        <v>0</v>
      </c>
      <c r="P123" s="898">
        <f t="shared" si="32"/>
        <v>0.20705328420509791</v>
      </c>
      <c r="Q123" s="598">
        <f t="shared" si="21"/>
        <v>9.3173977892294051</v>
      </c>
      <c r="R123" s="53"/>
      <c r="S123" s="1442">
        <f t="shared" si="22"/>
        <v>0.55904386735376432</v>
      </c>
      <c r="T123" s="1429">
        <f t="shared" si="23"/>
        <v>0.63555607825386362</v>
      </c>
      <c r="U123" s="1430">
        <f t="shared" si="23"/>
        <v>28.600023521423857</v>
      </c>
      <c r="V123" s="1430">
        <f t="shared" si="23"/>
        <v>0</v>
      </c>
      <c r="W123" s="1431">
        <f t="shared" si="23"/>
        <v>1.7160014112854314</v>
      </c>
    </row>
    <row r="124" spans="1:23">
      <c r="A124" s="123">
        <f>'Input data'!A126</f>
        <v>2026</v>
      </c>
      <c r="B124" s="1439">
        <f>'Recycling - Case 1'!AI106*'Recycling - Case 1'!B106</f>
        <v>5592.026325896888</v>
      </c>
      <c r="C124" s="1440">
        <f t="shared" si="33"/>
        <v>0.1</v>
      </c>
      <c r="D124" s="1440">
        <f t="shared" si="24"/>
        <v>0.9</v>
      </c>
      <c r="E124" s="53">
        <v>0</v>
      </c>
      <c r="F124" s="53">
        <v>0</v>
      </c>
      <c r="G124" s="898">
        <f t="shared" si="25"/>
        <v>0.44736210607175109</v>
      </c>
      <c r="H124" s="598">
        <f t="shared" si="26"/>
        <v>20.131294773228799</v>
      </c>
      <c r="I124" s="53"/>
      <c r="J124" s="898">
        <f t="shared" si="27"/>
        <v>1.2078776863937277</v>
      </c>
      <c r="K124" s="1441">
        <f>'Recycling - Case 1'!C186*'Recycling - Case 1'!Z186</f>
        <v>2363.6962010114967</v>
      </c>
      <c r="L124" s="1440">
        <f t="shared" si="34"/>
        <v>0.1</v>
      </c>
      <c r="M124" s="1440">
        <f t="shared" si="28"/>
        <v>0.9</v>
      </c>
      <c r="N124" s="53">
        <f t="shared" si="29"/>
        <v>0</v>
      </c>
      <c r="O124" s="53">
        <f t="shared" si="29"/>
        <v>0</v>
      </c>
      <c r="P124" s="898">
        <f t="shared" si="32"/>
        <v>0.18909569608091978</v>
      </c>
      <c r="Q124" s="598">
        <f t="shared" si="21"/>
        <v>8.5093063236413897</v>
      </c>
      <c r="R124" s="53"/>
      <c r="S124" s="1442">
        <f t="shared" si="22"/>
        <v>0.51055837941848325</v>
      </c>
      <c r="T124" s="1429">
        <f t="shared" si="23"/>
        <v>0.63645780215267089</v>
      </c>
      <c r="U124" s="1430">
        <f t="shared" si="23"/>
        <v>28.640601096870189</v>
      </c>
      <c r="V124" s="1430">
        <f t="shared" si="23"/>
        <v>0</v>
      </c>
      <c r="W124" s="1431">
        <f t="shared" si="23"/>
        <v>1.7184360658122109</v>
      </c>
    </row>
    <row r="125" spans="1:23">
      <c r="A125" s="123">
        <f>'Input data'!A127</f>
        <v>2027</v>
      </c>
      <c r="B125" s="1439">
        <f>'Recycling - Case 1'!AI107*'Recycling - Case 1'!B107</f>
        <v>5831.2742432911045</v>
      </c>
      <c r="C125" s="1440">
        <f t="shared" si="33"/>
        <v>0.1</v>
      </c>
      <c r="D125" s="1440">
        <f t="shared" si="24"/>
        <v>0.9</v>
      </c>
      <c r="E125" s="53">
        <v>0</v>
      </c>
      <c r="F125" s="53">
        <v>0</v>
      </c>
      <c r="G125" s="898">
        <f t="shared" si="25"/>
        <v>0.46650193946328844</v>
      </c>
      <c r="H125" s="598">
        <f t="shared" si="26"/>
        <v>20.992587275847978</v>
      </c>
      <c r="I125" s="53"/>
      <c r="J125" s="898">
        <f t="shared" si="27"/>
        <v>1.2595552365508786</v>
      </c>
      <c r="K125" s="1441">
        <f>'Recycling - Case 1'!C187*'Recycling - Case 1'!Z187</f>
        <v>2129.8917630054948</v>
      </c>
      <c r="L125" s="1440">
        <f t="shared" si="34"/>
        <v>0.1</v>
      </c>
      <c r="M125" s="1440">
        <f t="shared" si="28"/>
        <v>0.9</v>
      </c>
      <c r="N125" s="53">
        <f t="shared" si="29"/>
        <v>0</v>
      </c>
      <c r="O125" s="53">
        <f t="shared" si="29"/>
        <v>0</v>
      </c>
      <c r="P125" s="898">
        <f t="shared" si="32"/>
        <v>0.17039134104043963</v>
      </c>
      <c r="Q125" s="598">
        <f t="shared" si="21"/>
        <v>7.6676103468197816</v>
      </c>
      <c r="R125" s="53"/>
      <c r="S125" s="1442">
        <f t="shared" si="22"/>
        <v>0.46005662080918686</v>
      </c>
      <c r="T125" s="1429">
        <f t="shared" si="23"/>
        <v>0.63689328050372807</v>
      </c>
      <c r="U125" s="1430">
        <f t="shared" si="23"/>
        <v>28.660197622667759</v>
      </c>
      <c r="V125" s="1430">
        <f t="shared" si="23"/>
        <v>0</v>
      </c>
      <c r="W125" s="1431">
        <f t="shared" si="23"/>
        <v>1.7196118573600656</v>
      </c>
    </row>
    <row r="126" spans="1:23">
      <c r="A126" s="123">
        <f>'Input data'!A128</f>
        <v>2028</v>
      </c>
      <c r="B126" s="1439">
        <f>'Recycling - Case 1'!AI108*'Recycling - Case 1'!B108</f>
        <v>5582.8820746627734</v>
      </c>
      <c r="C126" s="1440">
        <f t="shared" si="33"/>
        <v>0.1</v>
      </c>
      <c r="D126" s="1440">
        <f t="shared" si="24"/>
        <v>0.9</v>
      </c>
      <c r="E126" s="53">
        <v>0</v>
      </c>
      <c r="F126" s="53">
        <v>0</v>
      </c>
      <c r="G126" s="898">
        <f t="shared" si="25"/>
        <v>0.44663056597302198</v>
      </c>
      <c r="H126" s="598">
        <f t="shared" si="26"/>
        <v>20.098375468785985</v>
      </c>
      <c r="I126" s="53"/>
      <c r="J126" s="898">
        <f t="shared" si="27"/>
        <v>1.2059025281271589</v>
      </c>
      <c r="K126" s="1441">
        <f>'Recycling - Case 1'!C188*'Recycling - Case 1'!Z188</f>
        <v>1815.5806895517665</v>
      </c>
      <c r="L126" s="1440">
        <f t="shared" si="34"/>
        <v>0.1</v>
      </c>
      <c r="M126" s="1440">
        <f t="shared" si="28"/>
        <v>0.9</v>
      </c>
      <c r="N126" s="53">
        <f t="shared" si="29"/>
        <v>0</v>
      </c>
      <c r="O126" s="53">
        <f t="shared" si="29"/>
        <v>0</v>
      </c>
      <c r="P126" s="898">
        <f t="shared" si="32"/>
        <v>0.14524645516414134</v>
      </c>
      <c r="Q126" s="598">
        <f t="shared" si="21"/>
        <v>6.536090482386359</v>
      </c>
      <c r="R126" s="53"/>
      <c r="S126" s="1442">
        <f t="shared" si="22"/>
        <v>0.39216542894318157</v>
      </c>
      <c r="T126" s="1429">
        <f t="shared" si="23"/>
        <v>0.59187702113716334</v>
      </c>
      <c r="U126" s="1430">
        <f t="shared" si="23"/>
        <v>26.634465951172345</v>
      </c>
      <c r="V126" s="1430">
        <f t="shared" si="23"/>
        <v>0</v>
      </c>
      <c r="W126" s="1431">
        <f t="shared" si="23"/>
        <v>1.5980679570703404</v>
      </c>
    </row>
    <row r="127" spans="1:23">
      <c r="A127" s="123">
        <f>'Input data'!A129</f>
        <v>2029</v>
      </c>
      <c r="B127" s="1439">
        <f>'Recycling - Case 1'!AI109*'Recycling - Case 1'!B109</f>
        <v>5345.1362633003891</v>
      </c>
      <c r="C127" s="1440">
        <f t="shared" si="33"/>
        <v>0.1</v>
      </c>
      <c r="D127" s="1440">
        <f t="shared" si="24"/>
        <v>0.9</v>
      </c>
      <c r="E127" s="53">
        <v>0</v>
      </c>
      <c r="F127" s="53">
        <v>0</v>
      </c>
      <c r="G127" s="898">
        <f t="shared" si="25"/>
        <v>0.42761090106403121</v>
      </c>
      <c r="H127" s="598">
        <f t="shared" si="26"/>
        <v>19.242490547881399</v>
      </c>
      <c r="I127" s="53"/>
      <c r="J127" s="898">
        <f t="shared" si="27"/>
        <v>1.1545494328728843</v>
      </c>
      <c r="K127" s="1441">
        <f>'Recycling - Case 1'!C189*'Recycling - Case 1'!Z189</f>
        <v>1752.9044334701946</v>
      </c>
      <c r="L127" s="1440">
        <f t="shared" si="34"/>
        <v>0.1</v>
      </c>
      <c r="M127" s="1440">
        <f t="shared" si="28"/>
        <v>0.9</v>
      </c>
      <c r="N127" s="53">
        <f t="shared" si="29"/>
        <v>0</v>
      </c>
      <c r="O127" s="53">
        <f t="shared" si="29"/>
        <v>0</v>
      </c>
      <c r="P127" s="898">
        <f t="shared" si="32"/>
        <v>0.14023235467761561</v>
      </c>
      <c r="Q127" s="598">
        <f t="shared" si="21"/>
        <v>6.3104559604927006</v>
      </c>
      <c r="R127" s="53"/>
      <c r="S127" s="1442">
        <f t="shared" si="22"/>
        <v>0.37862735762956201</v>
      </c>
      <c r="T127" s="1429">
        <f t="shared" si="23"/>
        <v>0.56784325574164685</v>
      </c>
      <c r="U127" s="1430">
        <f t="shared" si="23"/>
        <v>25.552946508374099</v>
      </c>
      <c r="V127" s="1430">
        <f t="shared" si="23"/>
        <v>0</v>
      </c>
      <c r="W127" s="1431">
        <f t="shared" si="23"/>
        <v>1.5331767905024463</v>
      </c>
    </row>
    <row r="128" spans="1:23">
      <c r="A128" s="123">
        <f>'Input data'!A130</f>
        <v>2030</v>
      </c>
      <c r="B128" s="1439">
        <f>'Recycling - Case 1'!AI110*'Recycling - Case 1'!B110</f>
        <v>5117.493555626329</v>
      </c>
      <c r="C128" s="1440">
        <f t="shared" si="33"/>
        <v>0.1</v>
      </c>
      <c r="D128" s="1440">
        <f t="shared" si="24"/>
        <v>0.9</v>
      </c>
      <c r="E128" s="53">
        <v>0</v>
      </c>
      <c r="F128" s="53">
        <v>0</v>
      </c>
      <c r="G128" s="898">
        <f t="shared" si="25"/>
        <v>0.40939948445010638</v>
      </c>
      <c r="H128" s="598">
        <f t="shared" si="26"/>
        <v>18.422976800254787</v>
      </c>
      <c r="I128" s="53"/>
      <c r="J128" s="898">
        <f t="shared" si="27"/>
        <v>1.105378608015287</v>
      </c>
      <c r="K128" s="1441">
        <f>'Recycling - Case 1'!C190*'Recycling - Case 1'!Z190</f>
        <v>1794.0987268274</v>
      </c>
      <c r="L128" s="1440">
        <f t="shared" si="34"/>
        <v>0.1</v>
      </c>
      <c r="M128" s="1440">
        <f t="shared" si="28"/>
        <v>0.9</v>
      </c>
      <c r="N128" s="53">
        <f t="shared" si="29"/>
        <v>0</v>
      </c>
      <c r="O128" s="53">
        <f t="shared" si="29"/>
        <v>0</v>
      </c>
      <c r="P128" s="898">
        <f t="shared" si="32"/>
        <v>0.14352789814619202</v>
      </c>
      <c r="Q128" s="598">
        <f t="shared" si="21"/>
        <v>6.4587554165786409</v>
      </c>
      <c r="R128" s="53"/>
      <c r="S128" s="1442">
        <f t="shared" si="22"/>
        <v>0.38752532499471842</v>
      </c>
      <c r="T128" s="1429">
        <f t="shared" si="23"/>
        <v>0.55292738259629837</v>
      </c>
      <c r="U128" s="1430">
        <f t="shared" si="23"/>
        <v>24.881732216833427</v>
      </c>
      <c r="V128" s="1430">
        <f t="shared" si="23"/>
        <v>0</v>
      </c>
      <c r="W128" s="1431">
        <f t="shared" si="23"/>
        <v>1.4929039330100053</v>
      </c>
    </row>
    <row r="129" spans="1:23">
      <c r="A129" s="123">
        <f>'Input data'!A131</f>
        <v>2031</v>
      </c>
      <c r="B129" s="1439">
        <f>'Recycling - Case 1'!AI111*'Recycling - Case 1'!B111</f>
        <v>4916.8151508003148</v>
      </c>
      <c r="C129" s="1440">
        <f t="shared" si="33"/>
        <v>0.1</v>
      </c>
      <c r="D129" s="1440">
        <f t="shared" si="24"/>
        <v>0.9</v>
      </c>
      <c r="E129" s="53">
        <v>0</v>
      </c>
      <c r="F129" s="53">
        <v>0</v>
      </c>
      <c r="G129" s="898">
        <f t="shared" si="25"/>
        <v>0.39334521206402523</v>
      </c>
      <c r="H129" s="598">
        <f t="shared" si="26"/>
        <v>17.700534542881133</v>
      </c>
      <c r="I129" s="53"/>
      <c r="J129" s="898">
        <f t="shared" si="27"/>
        <v>1.062032072572868</v>
      </c>
      <c r="K129" s="1441">
        <f>'Recycling - Case 1'!C191*'Recycling - Case 1'!Z191</f>
        <v>1843.5622696959817</v>
      </c>
      <c r="L129" s="1440">
        <f t="shared" si="34"/>
        <v>0.1</v>
      </c>
      <c r="M129" s="1440">
        <f t="shared" si="28"/>
        <v>0.9</v>
      </c>
      <c r="N129" s="53">
        <f t="shared" si="29"/>
        <v>0</v>
      </c>
      <c r="O129" s="53">
        <f t="shared" si="29"/>
        <v>0</v>
      </c>
      <c r="P129" s="898">
        <f t="shared" si="32"/>
        <v>0.14748498157567858</v>
      </c>
      <c r="Q129" s="598">
        <f t="shared" si="21"/>
        <v>6.6368241709055349</v>
      </c>
      <c r="R129" s="53"/>
      <c r="S129" s="1442">
        <f t="shared" si="22"/>
        <v>0.39820945025433208</v>
      </c>
      <c r="T129" s="1429">
        <f t="shared" si="23"/>
        <v>0.54083019363970375</v>
      </c>
      <c r="U129" s="1430">
        <f t="shared" si="23"/>
        <v>24.337358713786667</v>
      </c>
      <c r="V129" s="1430">
        <f t="shared" si="23"/>
        <v>0</v>
      </c>
      <c r="W129" s="1431">
        <f t="shared" si="23"/>
        <v>1.4602415228272001</v>
      </c>
    </row>
    <row r="130" spans="1:23">
      <c r="A130" s="123">
        <f>'Input data'!A132</f>
        <v>2032</v>
      </c>
      <c r="B130" s="1439">
        <f>'Recycling - Case 1'!AI112*'Recycling - Case 1'!B112</f>
        <v>4712.3515334521144</v>
      </c>
      <c r="C130" s="1440">
        <f t="shared" si="33"/>
        <v>0.1</v>
      </c>
      <c r="D130" s="1440">
        <f t="shared" si="24"/>
        <v>0.9</v>
      </c>
      <c r="E130" s="53">
        <v>0</v>
      </c>
      <c r="F130" s="53">
        <v>0</v>
      </c>
      <c r="G130" s="898">
        <f t="shared" si="25"/>
        <v>0.37698812267616921</v>
      </c>
      <c r="H130" s="598">
        <f t="shared" si="26"/>
        <v>16.964465520427613</v>
      </c>
      <c r="I130" s="53"/>
      <c r="J130" s="898">
        <f t="shared" si="27"/>
        <v>1.0178679312256567</v>
      </c>
      <c r="K130" s="1441">
        <f>'Recycling - Case 1'!C192*'Recycling - Case 1'!Z192</f>
        <v>1890.7023838340403</v>
      </c>
      <c r="L130" s="1440">
        <f t="shared" si="34"/>
        <v>0.1</v>
      </c>
      <c r="M130" s="1440">
        <f t="shared" si="28"/>
        <v>0.9</v>
      </c>
      <c r="N130" s="53">
        <f t="shared" si="29"/>
        <v>0</v>
      </c>
      <c r="O130" s="53">
        <f t="shared" si="29"/>
        <v>0</v>
      </c>
      <c r="P130" s="898">
        <f t="shared" si="32"/>
        <v>0.15125619070672325</v>
      </c>
      <c r="Q130" s="598">
        <f t="shared" si="21"/>
        <v>6.8065285818025449</v>
      </c>
      <c r="R130" s="53"/>
      <c r="S130" s="1442">
        <f t="shared" si="22"/>
        <v>0.40839171490815274</v>
      </c>
      <c r="T130" s="1429">
        <f t="shared" si="23"/>
        <v>0.52824431338289246</v>
      </c>
      <c r="U130" s="1430">
        <f t="shared" si="23"/>
        <v>23.770994102230159</v>
      </c>
      <c r="V130" s="1430">
        <f t="shared" si="23"/>
        <v>0</v>
      </c>
      <c r="W130" s="1431">
        <f t="shared" si="23"/>
        <v>1.4262596461338095</v>
      </c>
    </row>
    <row r="131" spans="1:23">
      <c r="A131" s="123">
        <f>'Input data'!A133</f>
        <v>2033</v>
      </c>
      <c r="B131" s="1439">
        <f>'Recycling - Case 1'!AI113*'Recycling - Case 1'!B113</f>
        <v>4503.9810313975577</v>
      </c>
      <c r="C131" s="1440">
        <f t="shared" si="33"/>
        <v>0.1</v>
      </c>
      <c r="D131" s="1440">
        <f t="shared" si="24"/>
        <v>0.9</v>
      </c>
      <c r="E131" s="53">
        <v>0</v>
      </c>
      <c r="F131" s="53">
        <v>0</v>
      </c>
      <c r="G131" s="898">
        <f t="shared" si="25"/>
        <v>0.36031848251180471</v>
      </c>
      <c r="H131" s="598">
        <f t="shared" si="26"/>
        <v>16.214331713031207</v>
      </c>
      <c r="I131" s="53"/>
      <c r="J131" s="898">
        <f t="shared" si="27"/>
        <v>0.9728599027818724</v>
      </c>
      <c r="K131" s="1441">
        <f>'Recycling - Case 1'!C193*'Recycling - Case 1'!Z193</f>
        <v>1943.0579582448343</v>
      </c>
      <c r="L131" s="1440">
        <f t="shared" si="34"/>
        <v>0.1</v>
      </c>
      <c r="M131" s="1440">
        <f t="shared" si="28"/>
        <v>0.9</v>
      </c>
      <c r="N131" s="53">
        <f t="shared" si="29"/>
        <v>0</v>
      </c>
      <c r="O131" s="53">
        <f t="shared" si="29"/>
        <v>0</v>
      </c>
      <c r="P131" s="898">
        <f t="shared" si="32"/>
        <v>0.15544463665958677</v>
      </c>
      <c r="Q131" s="598">
        <f t="shared" si="21"/>
        <v>6.9950086496814041</v>
      </c>
      <c r="R131" s="53"/>
      <c r="S131" s="1442">
        <f t="shared" si="22"/>
        <v>0.41970051898088417</v>
      </c>
      <c r="T131" s="1429">
        <f t="shared" si="23"/>
        <v>0.5157631191713915</v>
      </c>
      <c r="U131" s="1430">
        <f t="shared" si="23"/>
        <v>23.209340362712609</v>
      </c>
      <c r="V131" s="1430">
        <f t="shared" si="23"/>
        <v>0</v>
      </c>
      <c r="W131" s="1431">
        <f t="shared" si="23"/>
        <v>1.3925604217627565</v>
      </c>
    </row>
    <row r="132" spans="1:23">
      <c r="A132" s="123">
        <f>'Input data'!A134</f>
        <v>2034</v>
      </c>
      <c r="B132" s="1439">
        <f>'Recycling - Case 1'!AI114*'Recycling - Case 1'!B114</f>
        <v>4291.7853525238024</v>
      </c>
      <c r="C132" s="1440">
        <f t="shared" si="33"/>
        <v>0.1</v>
      </c>
      <c r="D132" s="1440">
        <f t="shared" si="24"/>
        <v>0.9</v>
      </c>
      <c r="E132" s="53">
        <v>0</v>
      </c>
      <c r="F132" s="53">
        <v>0</v>
      </c>
      <c r="G132" s="898">
        <f t="shared" si="25"/>
        <v>0.34334282820190426</v>
      </c>
      <c r="H132" s="598">
        <f t="shared" si="26"/>
        <v>15.450427269085688</v>
      </c>
      <c r="I132" s="53"/>
      <c r="J132" s="898">
        <f t="shared" si="27"/>
        <v>0.92702563614514133</v>
      </c>
      <c r="K132" s="1441">
        <f>'Recycling - Case 1'!C194*'Recycling - Case 1'!Z194</f>
        <v>1999.0408264543346</v>
      </c>
      <c r="L132" s="1440">
        <f t="shared" si="34"/>
        <v>0.1</v>
      </c>
      <c r="M132" s="1440">
        <f t="shared" si="28"/>
        <v>0.9</v>
      </c>
      <c r="N132" s="53">
        <f t="shared" si="29"/>
        <v>0</v>
      </c>
      <c r="O132" s="53">
        <f t="shared" si="29"/>
        <v>0</v>
      </c>
      <c r="P132" s="898">
        <f t="shared" si="32"/>
        <v>0.1599232661163468</v>
      </c>
      <c r="Q132" s="598">
        <f t="shared" si="21"/>
        <v>7.1965469752356048</v>
      </c>
      <c r="R132" s="53"/>
      <c r="S132" s="1442">
        <f t="shared" si="22"/>
        <v>0.43179281851413631</v>
      </c>
      <c r="T132" s="1429">
        <f t="shared" si="23"/>
        <v>0.50326609431825109</v>
      </c>
      <c r="U132" s="1430">
        <f t="shared" si="23"/>
        <v>22.646974244321292</v>
      </c>
      <c r="V132" s="1430">
        <f t="shared" si="23"/>
        <v>0</v>
      </c>
      <c r="W132" s="1431">
        <f t="shared" si="23"/>
        <v>1.3588184546592776</v>
      </c>
    </row>
    <row r="133" spans="1:23">
      <c r="A133" s="123">
        <f>'Input data'!A135</f>
        <v>2035</v>
      </c>
      <c r="B133" s="1439">
        <f>'Recycling - Case 1'!AI115*'Recycling - Case 1'!B115</f>
        <v>4075.5799293647588</v>
      </c>
      <c r="C133" s="1440">
        <f t="shared" si="33"/>
        <v>0.1</v>
      </c>
      <c r="D133" s="1440">
        <f t="shared" si="24"/>
        <v>0.9</v>
      </c>
      <c r="E133" s="53">
        <v>0</v>
      </c>
      <c r="F133" s="53">
        <v>0</v>
      </c>
      <c r="G133" s="898">
        <f t="shared" si="25"/>
        <v>0.32604639434918081</v>
      </c>
      <c r="H133" s="598">
        <f t="shared" si="26"/>
        <v>14.672087745713132</v>
      </c>
      <c r="I133" s="53"/>
      <c r="J133" s="898">
        <f t="shared" si="27"/>
        <v>0.88032526474278794</v>
      </c>
      <c r="K133" s="1441">
        <f>'Recycling - Case 1'!C195*'Recycling - Case 1'!Z195</f>
        <v>2058.8764688878668</v>
      </c>
      <c r="L133" s="1440">
        <f t="shared" si="34"/>
        <v>0.1</v>
      </c>
      <c r="M133" s="1440">
        <f t="shared" si="28"/>
        <v>0.9</v>
      </c>
      <c r="N133" s="53">
        <f t="shared" ref="N133:O148" si="35">N131</f>
        <v>0</v>
      </c>
      <c r="O133" s="53">
        <f t="shared" si="35"/>
        <v>0</v>
      </c>
      <c r="P133" s="898">
        <f t="shared" si="32"/>
        <v>0.16471011751102937</v>
      </c>
      <c r="Q133" s="598">
        <f t="shared" si="21"/>
        <v>7.4119552879963209</v>
      </c>
      <c r="R133" s="53"/>
      <c r="S133" s="1442">
        <f t="shared" si="22"/>
        <v>0.44471731727977926</v>
      </c>
      <c r="T133" s="1429">
        <f t="shared" si="23"/>
        <v>0.49075651186021019</v>
      </c>
      <c r="U133" s="1430">
        <f t="shared" si="23"/>
        <v>22.084043033709452</v>
      </c>
      <c r="V133" s="1430">
        <f t="shared" si="23"/>
        <v>0</v>
      </c>
      <c r="W133" s="1431">
        <f t="shared" si="23"/>
        <v>1.3250425820225673</v>
      </c>
    </row>
    <row r="134" spans="1:23">
      <c r="A134" s="123">
        <f>'Input data'!A136</f>
        <v>2036</v>
      </c>
      <c r="B134" s="1439">
        <f>'Recycling - Case 1'!AI116*'Recycling - Case 1'!B116</f>
        <v>3850.7657293741604</v>
      </c>
      <c r="C134" s="1440">
        <f t="shared" si="33"/>
        <v>0.1</v>
      </c>
      <c r="D134" s="1440">
        <f t="shared" si="24"/>
        <v>0.9</v>
      </c>
      <c r="E134" s="53">
        <v>0</v>
      </c>
      <c r="F134" s="53">
        <v>0</v>
      </c>
      <c r="G134" s="898">
        <f t="shared" si="25"/>
        <v>0.30806125834993286</v>
      </c>
      <c r="H134" s="598">
        <f t="shared" si="26"/>
        <v>13.862756625746977</v>
      </c>
      <c r="I134" s="53"/>
      <c r="J134" s="898">
        <f>D134*$D$7*B134/1000</f>
        <v>0.8317653975448186</v>
      </c>
      <c r="K134" s="1441">
        <f>'Recycling - Case 1'!C196*'Recycling - Case 1'!Z196</f>
        <v>2120.481642485363</v>
      </c>
      <c r="L134" s="1440">
        <f t="shared" si="34"/>
        <v>0.1</v>
      </c>
      <c r="M134" s="1440">
        <f t="shared" si="28"/>
        <v>0.9</v>
      </c>
      <c r="N134" s="53">
        <f t="shared" si="35"/>
        <v>0</v>
      </c>
      <c r="O134" s="53">
        <f t="shared" si="35"/>
        <v>0</v>
      </c>
      <c r="P134" s="898">
        <f t="shared" si="32"/>
        <v>0.16963853139882906</v>
      </c>
      <c r="Q134" s="598">
        <f t="shared" si="21"/>
        <v>7.6337339129473065</v>
      </c>
      <c r="R134" s="53"/>
      <c r="S134" s="1442">
        <f t="shared" si="22"/>
        <v>0.4580240347768384</v>
      </c>
      <c r="T134" s="1429">
        <f t="shared" si="23"/>
        <v>0.47769978974876193</v>
      </c>
      <c r="U134" s="1430">
        <f t="shared" si="23"/>
        <v>21.496490538694282</v>
      </c>
      <c r="V134" s="1430">
        <f t="shared" si="23"/>
        <v>0</v>
      </c>
      <c r="W134" s="1431">
        <f t="shared" si="23"/>
        <v>1.289789432321657</v>
      </c>
    </row>
    <row r="135" spans="1:23">
      <c r="A135" s="123">
        <f>'Input data'!A137</f>
        <v>2037</v>
      </c>
      <c r="B135" s="1439">
        <f>'Recycling - Case 1'!AI117*'Recycling - Case 1'!B117</f>
        <v>3792.6527153340185</v>
      </c>
      <c r="C135" s="1440">
        <f t="shared" si="33"/>
        <v>0.1</v>
      </c>
      <c r="D135" s="1440">
        <f t="shared" si="24"/>
        <v>0.9</v>
      </c>
      <c r="E135" s="53">
        <v>0</v>
      </c>
      <c r="F135" s="53">
        <v>0</v>
      </c>
      <c r="G135" s="898">
        <f t="shared" si="25"/>
        <v>0.30341221722672151</v>
      </c>
      <c r="H135" s="598">
        <f t="shared" si="26"/>
        <v>13.653549775202467</v>
      </c>
      <c r="I135" s="53"/>
      <c r="J135" s="898">
        <f t="shared" ref="J135:J148" si="36">D135*$D$7*B135/1000</f>
        <v>0.81921298651214791</v>
      </c>
      <c r="K135" s="1441">
        <f>'Recycling - Case 1'!C197*'Recycling - Case 1'!Z197</f>
        <v>2184.7092514643577</v>
      </c>
      <c r="L135" s="1440">
        <f t="shared" si="34"/>
        <v>0.1</v>
      </c>
      <c r="M135" s="1440">
        <f t="shared" si="28"/>
        <v>0.9</v>
      </c>
      <c r="N135" s="53">
        <f t="shared" si="35"/>
        <v>0</v>
      </c>
      <c r="O135" s="53">
        <f t="shared" si="35"/>
        <v>0</v>
      </c>
      <c r="P135" s="898">
        <f t="shared" si="32"/>
        <v>0.17477674011714864</v>
      </c>
      <c r="Q135" s="598">
        <f t="shared" si="21"/>
        <v>7.8649533052716878</v>
      </c>
      <c r="R135" s="53"/>
      <c r="S135" s="1442">
        <f t="shared" si="22"/>
        <v>0.47189719831630128</v>
      </c>
      <c r="T135" s="1429">
        <f t="shared" si="23"/>
        <v>0.47818895734387012</v>
      </c>
      <c r="U135" s="1430">
        <f t="shared" si="23"/>
        <v>21.518503080474154</v>
      </c>
      <c r="V135" s="1430">
        <f t="shared" si="23"/>
        <v>0</v>
      </c>
      <c r="W135" s="1431">
        <f t="shared" si="23"/>
        <v>1.2911101848284492</v>
      </c>
    </row>
    <row r="136" spans="1:23">
      <c r="A136" s="123">
        <f>'Input data'!A138</f>
        <v>2038</v>
      </c>
      <c r="B136" s="1439">
        <f>'Recycling - Case 1'!AI118*'Recycling - Case 1'!B118</f>
        <v>3656.7267607527906</v>
      </c>
      <c r="C136" s="1440">
        <f t="shared" si="33"/>
        <v>0.1</v>
      </c>
      <c r="D136" s="1440">
        <f t="shared" si="24"/>
        <v>0.9</v>
      </c>
      <c r="E136" s="53">
        <v>0</v>
      </c>
      <c r="F136" s="53">
        <v>0</v>
      </c>
      <c r="G136" s="898">
        <f t="shared" si="25"/>
        <v>0.29253814086022328</v>
      </c>
      <c r="H136" s="598">
        <f t="shared" si="26"/>
        <v>13.164216338710046</v>
      </c>
      <c r="I136" s="53"/>
      <c r="J136" s="898">
        <f t="shared" si="36"/>
        <v>0.78985298032260276</v>
      </c>
      <c r="K136" s="1441">
        <f>'Recycling - Case 1'!C198*'Recycling - Case 1'!Z198</f>
        <v>2249.9172101186768</v>
      </c>
      <c r="L136" s="1440">
        <f t="shared" si="34"/>
        <v>0.1</v>
      </c>
      <c r="M136" s="1440">
        <f t="shared" si="28"/>
        <v>0.9</v>
      </c>
      <c r="N136" s="53">
        <f t="shared" si="35"/>
        <v>0</v>
      </c>
      <c r="O136" s="53">
        <f t="shared" si="35"/>
        <v>0</v>
      </c>
      <c r="P136" s="898">
        <f t="shared" si="32"/>
        <v>0.17999337680949418</v>
      </c>
      <c r="Q136" s="598">
        <f t="shared" si="21"/>
        <v>8.0997019564272374</v>
      </c>
      <c r="R136" s="53"/>
      <c r="S136" s="1442">
        <f t="shared" si="22"/>
        <v>0.48598211738563418</v>
      </c>
      <c r="T136" s="1429">
        <f t="shared" si="23"/>
        <v>0.47253151766971746</v>
      </c>
      <c r="U136" s="1430">
        <f t="shared" si="23"/>
        <v>21.263918295137284</v>
      </c>
      <c r="V136" s="1430">
        <f t="shared" si="23"/>
        <v>0</v>
      </c>
      <c r="W136" s="1431">
        <f t="shared" si="23"/>
        <v>1.2758350977082369</v>
      </c>
    </row>
    <row r="137" spans="1:23">
      <c r="A137" s="123">
        <f>'Input data'!A139</f>
        <v>2039</v>
      </c>
      <c r="B137" s="1439">
        <f>'Recycling - Case 1'!AI119*'Recycling - Case 1'!B119</f>
        <v>3518.5662283560164</v>
      </c>
      <c r="C137" s="1440">
        <f t="shared" si="33"/>
        <v>0.1</v>
      </c>
      <c r="D137" s="1440">
        <f t="shared" si="24"/>
        <v>0.9</v>
      </c>
      <c r="E137" s="53">
        <v>0</v>
      </c>
      <c r="F137" s="53">
        <v>0</v>
      </c>
      <c r="G137" s="898">
        <f t="shared" si="25"/>
        <v>0.28148529826848134</v>
      </c>
      <c r="H137" s="598">
        <f t="shared" si="26"/>
        <v>12.666838422081659</v>
      </c>
      <c r="I137" s="53"/>
      <c r="J137" s="898">
        <f t="shared" si="36"/>
        <v>0.76001030532489944</v>
      </c>
      <c r="K137" s="1441">
        <f>'Recycling - Case 1'!C199*'Recycling - Case 1'!Z199</f>
        <v>2317.8064251350138</v>
      </c>
      <c r="L137" s="1440">
        <f t="shared" si="34"/>
        <v>0.1</v>
      </c>
      <c r="M137" s="1440">
        <f t="shared" si="28"/>
        <v>0.9</v>
      </c>
      <c r="N137" s="53">
        <f t="shared" si="35"/>
        <v>0</v>
      </c>
      <c r="O137" s="53">
        <f t="shared" si="35"/>
        <v>0</v>
      </c>
      <c r="P137" s="898">
        <f t="shared" si="32"/>
        <v>0.18542451401080115</v>
      </c>
      <c r="Q137" s="598">
        <f t="shared" si="21"/>
        <v>8.3441031304860491</v>
      </c>
      <c r="R137" s="53"/>
      <c r="S137" s="1442">
        <f t="shared" si="22"/>
        <v>0.50064618782916293</v>
      </c>
      <c r="T137" s="1429">
        <f t="shared" si="23"/>
        <v>0.46690981227928252</v>
      </c>
      <c r="U137" s="1430">
        <f t="shared" si="23"/>
        <v>21.010941552567708</v>
      </c>
      <c r="V137" s="1430">
        <f t="shared" si="23"/>
        <v>0</v>
      </c>
      <c r="W137" s="1431">
        <f t="shared" si="23"/>
        <v>1.2606564931540625</v>
      </c>
    </row>
    <row r="138" spans="1:23">
      <c r="A138" s="123">
        <f>'Input data'!A140</f>
        <v>2040</v>
      </c>
      <c r="B138" s="1439">
        <f>'Recycling - Case 1'!AI120*'Recycling - Case 1'!B120</f>
        <v>3378.1501689766783</v>
      </c>
      <c r="C138" s="1440">
        <f t="shared" si="33"/>
        <v>0.1</v>
      </c>
      <c r="D138" s="1440">
        <f t="shared" si="24"/>
        <v>0.9</v>
      </c>
      <c r="E138" s="53">
        <v>0</v>
      </c>
      <c r="F138" s="53">
        <v>0</v>
      </c>
      <c r="G138" s="898">
        <f t="shared" si="25"/>
        <v>0.27025201351813433</v>
      </c>
      <c r="H138" s="598">
        <f t="shared" si="26"/>
        <v>12.161340608316042</v>
      </c>
      <c r="I138" s="53"/>
      <c r="J138" s="898">
        <f t="shared" si="36"/>
        <v>0.72968043649896253</v>
      </c>
      <c r="K138" s="1441">
        <f>'Recycling - Case 1'!C200*'Recycling - Case 1'!Z200</f>
        <v>2389.8523227747337</v>
      </c>
      <c r="L138" s="1440">
        <f t="shared" si="34"/>
        <v>0.1</v>
      </c>
      <c r="M138" s="1440">
        <f t="shared" si="28"/>
        <v>0.9</v>
      </c>
      <c r="N138" s="53">
        <f t="shared" si="35"/>
        <v>0</v>
      </c>
      <c r="O138" s="53">
        <f t="shared" si="35"/>
        <v>0</v>
      </c>
      <c r="P138" s="898">
        <f t="shared" si="32"/>
        <v>0.19118818582197872</v>
      </c>
      <c r="Q138" s="598">
        <f t="shared" si="21"/>
        <v>8.6034683619890426</v>
      </c>
      <c r="R138" s="53"/>
      <c r="S138" s="1442">
        <f t="shared" si="22"/>
        <v>0.5162081017193425</v>
      </c>
      <c r="T138" s="1429">
        <f t="shared" si="23"/>
        <v>0.46144019934011304</v>
      </c>
      <c r="U138" s="1430">
        <f t="shared" si="23"/>
        <v>20.764808970305083</v>
      </c>
      <c r="V138" s="1430">
        <f t="shared" si="23"/>
        <v>0</v>
      </c>
      <c r="W138" s="1431">
        <f t="shared" si="23"/>
        <v>1.2458885382183049</v>
      </c>
    </row>
    <row r="139" spans="1:23">
      <c r="A139" s="123">
        <f>'Input data'!A141</f>
        <v>2041</v>
      </c>
      <c r="B139" s="1439">
        <f>'Recycling - Case 1'!AI121*'Recycling - Case 1'!B121</f>
        <v>3231.9924860435121</v>
      </c>
      <c r="C139" s="1440">
        <f t="shared" si="33"/>
        <v>0.1</v>
      </c>
      <c r="D139" s="1440">
        <f t="shared" si="24"/>
        <v>0.9</v>
      </c>
      <c r="E139" s="53">
        <v>0</v>
      </c>
      <c r="F139" s="53">
        <v>0</v>
      </c>
      <c r="G139" s="898">
        <f t="shared" si="25"/>
        <v>0.25855939888348106</v>
      </c>
      <c r="H139" s="598">
        <f t="shared" si="26"/>
        <v>11.635172949756646</v>
      </c>
      <c r="I139" s="53"/>
      <c r="J139" s="898">
        <f t="shared" si="36"/>
        <v>0.69811037698539857</v>
      </c>
      <c r="K139" s="1441">
        <f>'Recycling - Case 1'!C201*'Recycling - Case 1'!Z201</f>
        <v>2464.8637781823149</v>
      </c>
      <c r="L139" s="1440">
        <f t="shared" si="34"/>
        <v>0.1</v>
      </c>
      <c r="M139" s="1440">
        <f t="shared" si="28"/>
        <v>0.9</v>
      </c>
      <c r="N139" s="53">
        <f t="shared" si="35"/>
        <v>0</v>
      </c>
      <c r="O139" s="53">
        <f t="shared" si="35"/>
        <v>0</v>
      </c>
      <c r="P139" s="898">
        <f t="shared" si="32"/>
        <v>0.19718910225458525</v>
      </c>
      <c r="Q139" s="598">
        <f t="shared" si="21"/>
        <v>8.8735096014563339</v>
      </c>
      <c r="R139" s="53"/>
      <c r="S139" s="1442">
        <f t="shared" si="22"/>
        <v>0.53241057608738007</v>
      </c>
      <c r="T139" s="1429">
        <f t="shared" si="23"/>
        <v>0.45574850113806631</v>
      </c>
      <c r="U139" s="1430">
        <f t="shared" si="23"/>
        <v>20.508682551212978</v>
      </c>
      <c r="V139" s="1430">
        <f t="shared" si="23"/>
        <v>0</v>
      </c>
      <c r="W139" s="1431">
        <f t="shared" si="23"/>
        <v>1.2305209530727788</v>
      </c>
    </row>
    <row r="140" spans="1:23">
      <c r="A140" s="123">
        <f>'Input data'!A142</f>
        <v>2042</v>
      </c>
      <c r="B140" s="1439">
        <f>'Recycling - Case 1'!AI122*'Recycling - Case 1'!B122</f>
        <v>3083.853167089198</v>
      </c>
      <c r="C140" s="1440">
        <f t="shared" si="33"/>
        <v>0.1</v>
      </c>
      <c r="D140" s="1440">
        <f t="shared" si="24"/>
        <v>0.9</v>
      </c>
      <c r="E140" s="53">
        <v>0</v>
      </c>
      <c r="F140" s="53">
        <v>0</v>
      </c>
      <c r="G140" s="898">
        <f t="shared" si="25"/>
        <v>0.24670825336713589</v>
      </c>
      <c r="H140" s="598">
        <f t="shared" si="26"/>
        <v>11.101871401521114</v>
      </c>
      <c r="I140" s="53"/>
      <c r="J140" s="898">
        <f t="shared" si="36"/>
        <v>0.66611228409126677</v>
      </c>
      <c r="K140" s="1441">
        <f>'Recycling - Case 1'!C202*'Recycling - Case 1'!Z202</f>
        <v>2543.0760752798365</v>
      </c>
      <c r="L140" s="1440">
        <f t="shared" si="34"/>
        <v>0.1</v>
      </c>
      <c r="M140" s="1440">
        <f t="shared" si="28"/>
        <v>0.9</v>
      </c>
      <c r="N140" s="53">
        <f t="shared" si="35"/>
        <v>0</v>
      </c>
      <c r="O140" s="53">
        <f t="shared" si="35"/>
        <v>0</v>
      </c>
      <c r="P140" s="898">
        <f t="shared" si="32"/>
        <v>0.20344608602238695</v>
      </c>
      <c r="Q140" s="598">
        <f t="shared" si="21"/>
        <v>9.1550738710074118</v>
      </c>
      <c r="R140" s="53"/>
      <c r="S140" s="1442">
        <f t="shared" si="22"/>
        <v>0.54930443226044467</v>
      </c>
      <c r="T140" s="1429">
        <f t="shared" si="23"/>
        <v>0.45015433938952287</v>
      </c>
      <c r="U140" s="1430">
        <f t="shared" si="23"/>
        <v>20.256945272528526</v>
      </c>
      <c r="V140" s="1430">
        <f t="shared" si="23"/>
        <v>0</v>
      </c>
      <c r="W140" s="1431">
        <f t="shared" si="23"/>
        <v>1.2154167163517116</v>
      </c>
    </row>
    <row r="141" spans="1:23">
      <c r="A141" s="123">
        <f>'Input data'!A143</f>
        <v>2043</v>
      </c>
      <c r="B141" s="1439">
        <f>'Recycling - Case 1'!AI123*'Recycling - Case 1'!B123</f>
        <v>2933.7585925462827</v>
      </c>
      <c r="C141" s="1440">
        <f t="shared" si="33"/>
        <v>0.1</v>
      </c>
      <c r="D141" s="1440">
        <f t="shared" si="24"/>
        <v>0.9</v>
      </c>
      <c r="E141" s="53">
        <v>0</v>
      </c>
      <c r="F141" s="53">
        <v>0</v>
      </c>
      <c r="G141" s="898">
        <f t="shared" si="25"/>
        <v>0.23470068740370265</v>
      </c>
      <c r="H141" s="598">
        <f t="shared" si="26"/>
        <v>10.561530933166617</v>
      </c>
      <c r="I141" s="53"/>
      <c r="J141" s="898">
        <f t="shared" si="36"/>
        <v>0.63369185598999711</v>
      </c>
      <c r="K141" s="1441">
        <f>'Recycling - Case 1'!C203*'Recycling - Case 1'!Z203</f>
        <v>2624.2931441322321</v>
      </c>
      <c r="L141" s="1440">
        <f t="shared" si="34"/>
        <v>0.1</v>
      </c>
      <c r="M141" s="1440">
        <f t="shared" si="28"/>
        <v>0.9</v>
      </c>
      <c r="N141" s="53">
        <f t="shared" si="35"/>
        <v>0</v>
      </c>
      <c r="O141" s="53">
        <f t="shared" si="35"/>
        <v>0</v>
      </c>
      <c r="P141" s="898">
        <f t="shared" si="32"/>
        <v>0.20994345153057861</v>
      </c>
      <c r="Q141" s="598">
        <f t="shared" si="21"/>
        <v>9.4474553188760364</v>
      </c>
      <c r="R141" s="53"/>
      <c r="S141" s="1442">
        <f t="shared" si="22"/>
        <v>0.56684731913256214</v>
      </c>
      <c r="T141" s="1429">
        <f t="shared" si="23"/>
        <v>0.44464413893428123</v>
      </c>
      <c r="U141" s="1430">
        <f t="shared" si="23"/>
        <v>20.008986252042654</v>
      </c>
      <c r="V141" s="1430">
        <f t="shared" si="23"/>
        <v>0</v>
      </c>
      <c r="W141" s="1431">
        <f t="shared" si="23"/>
        <v>1.2005391751225591</v>
      </c>
    </row>
    <row r="142" spans="1:23">
      <c r="A142" s="123">
        <f>'Input data'!A144</f>
        <v>2044</v>
      </c>
      <c r="B142" s="1439">
        <f>'Recycling - Case 1'!AI124*'Recycling - Case 1'!B124</f>
        <v>2781.6497943890804</v>
      </c>
      <c r="C142" s="1440">
        <f t="shared" si="33"/>
        <v>0.1</v>
      </c>
      <c r="D142" s="1440">
        <f t="shared" si="24"/>
        <v>0.9</v>
      </c>
      <c r="E142" s="53">
        <v>0</v>
      </c>
      <c r="F142" s="53">
        <v>0</v>
      </c>
      <c r="G142" s="898">
        <f t="shared" si="25"/>
        <v>0.22253198355112647</v>
      </c>
      <c r="H142" s="598">
        <f t="shared" si="26"/>
        <v>10.013939259800688</v>
      </c>
      <c r="I142" s="53"/>
      <c r="J142" s="898">
        <f t="shared" si="36"/>
        <v>0.60083635558804138</v>
      </c>
      <c r="K142" s="1441">
        <f>'Recycling - Case 1'!C204*'Recycling - Case 1'!Z204</f>
        <v>2708.9512403450244</v>
      </c>
      <c r="L142" s="1440">
        <f t="shared" si="34"/>
        <v>0.1</v>
      </c>
      <c r="M142" s="1440">
        <f t="shared" si="28"/>
        <v>0.9</v>
      </c>
      <c r="N142" s="53">
        <f t="shared" si="35"/>
        <v>0</v>
      </c>
      <c r="O142" s="53">
        <f t="shared" si="35"/>
        <v>0</v>
      </c>
      <c r="P142" s="898">
        <f t="shared" si="32"/>
        <v>0.21671609922760199</v>
      </c>
      <c r="Q142" s="598">
        <f t="shared" si="21"/>
        <v>9.7522244652420884</v>
      </c>
      <c r="R142" s="53"/>
      <c r="S142" s="1442">
        <f t="shared" si="22"/>
        <v>0.58513346791452525</v>
      </c>
      <c r="T142" s="1429">
        <f t="shared" si="23"/>
        <v>0.43924808277872845</v>
      </c>
      <c r="U142" s="1430">
        <f t="shared" si="23"/>
        <v>19.766163725042777</v>
      </c>
      <c r="V142" s="1430">
        <f t="shared" si="23"/>
        <v>0</v>
      </c>
      <c r="W142" s="1431">
        <f t="shared" si="23"/>
        <v>1.1859698235025666</v>
      </c>
    </row>
    <row r="143" spans="1:23">
      <c r="A143" s="123">
        <f>'Input data'!A145</f>
        <v>2045</v>
      </c>
      <c r="B143" s="1439">
        <f>'Recycling - Case 1'!AI125*'Recycling - Case 1'!B125</f>
        <v>2627.5841888531263</v>
      </c>
      <c r="C143" s="1440">
        <f t="shared" si="33"/>
        <v>0.1</v>
      </c>
      <c r="D143" s="1440">
        <f t="shared" si="24"/>
        <v>0.9</v>
      </c>
      <c r="E143" s="53">
        <v>0</v>
      </c>
      <c r="F143" s="53">
        <v>0</v>
      </c>
      <c r="G143" s="898">
        <f t="shared" si="25"/>
        <v>0.21020673510825014</v>
      </c>
      <c r="H143" s="598">
        <f t="shared" si="26"/>
        <v>9.4593030798712547</v>
      </c>
      <c r="I143" s="53"/>
      <c r="J143" s="898">
        <f t="shared" si="36"/>
        <v>0.56755818479227527</v>
      </c>
      <c r="K143" s="1441">
        <f>'Recycling - Case 1'!C205*'Recycling - Case 1'!Z205</f>
        <v>2798.8640108175628</v>
      </c>
      <c r="L143" s="1440">
        <f t="shared" si="34"/>
        <v>0.1</v>
      </c>
      <c r="M143" s="1440">
        <f t="shared" si="28"/>
        <v>0.9</v>
      </c>
      <c r="N143" s="53">
        <f t="shared" si="35"/>
        <v>0</v>
      </c>
      <c r="O143" s="53">
        <f t="shared" si="35"/>
        <v>0</v>
      </c>
      <c r="P143" s="898">
        <f t="shared" si="32"/>
        <v>0.22390912086540507</v>
      </c>
      <c r="Q143" s="598">
        <f t="shared" si="21"/>
        <v>10.075910438943227</v>
      </c>
      <c r="R143" s="53"/>
      <c r="S143" s="1442">
        <f t="shared" si="22"/>
        <v>0.60455462633659351</v>
      </c>
      <c r="T143" s="1429">
        <f t="shared" si="23"/>
        <v>0.43411585597365521</v>
      </c>
      <c r="U143" s="1430">
        <f t="shared" si="23"/>
        <v>19.53521351881448</v>
      </c>
      <c r="V143" s="1430">
        <f t="shared" si="23"/>
        <v>0</v>
      </c>
      <c r="W143" s="1431">
        <f t="shared" si="23"/>
        <v>1.1721128111288688</v>
      </c>
    </row>
    <row r="144" spans="1:23">
      <c r="A144" s="123">
        <f>'Input data'!A146</f>
        <v>2046</v>
      </c>
      <c r="B144" s="1439">
        <f>'Recycling - Case 1'!AI126*'Recycling - Case 1'!B126</f>
        <v>2468.7313107053969</v>
      </c>
      <c r="C144" s="1440">
        <f t="shared" si="33"/>
        <v>0.1</v>
      </c>
      <c r="D144" s="1440">
        <f t="shared" si="24"/>
        <v>0.9</v>
      </c>
      <c r="E144" s="53">
        <v>0</v>
      </c>
      <c r="F144" s="53">
        <v>0</v>
      </c>
      <c r="G144" s="898">
        <f t="shared" si="25"/>
        <v>0.19749850485643181</v>
      </c>
      <c r="H144" s="598">
        <f t="shared" si="26"/>
        <v>8.8874327185394293</v>
      </c>
      <c r="I144" s="53"/>
      <c r="J144" s="898">
        <f t="shared" si="36"/>
        <v>0.53324596311236572</v>
      </c>
      <c r="K144" s="1441">
        <f>'Recycling - Case 1'!C206*'Recycling - Case 1'!Z206</f>
        <v>2893.222667067706</v>
      </c>
      <c r="L144" s="1440">
        <f t="shared" si="34"/>
        <v>0.1</v>
      </c>
      <c r="M144" s="1440">
        <f t="shared" si="28"/>
        <v>0.9</v>
      </c>
      <c r="N144" s="53">
        <f t="shared" si="35"/>
        <v>0</v>
      </c>
      <c r="O144" s="53">
        <f t="shared" si="35"/>
        <v>0</v>
      </c>
      <c r="P144" s="898">
        <f t="shared" si="32"/>
        <v>0.23145781336541651</v>
      </c>
      <c r="Q144" s="598">
        <f t="shared" si="21"/>
        <v>10.415601601443742</v>
      </c>
      <c r="R144" s="53"/>
      <c r="S144" s="1442">
        <f t="shared" si="22"/>
        <v>0.62493609608662448</v>
      </c>
      <c r="T144" s="1429">
        <f t="shared" si="23"/>
        <v>0.42895631822184832</v>
      </c>
      <c r="U144" s="1430">
        <f t="shared" si="23"/>
        <v>19.303034319983169</v>
      </c>
      <c r="V144" s="1430">
        <f t="shared" si="23"/>
        <v>0</v>
      </c>
      <c r="W144" s="1431">
        <f t="shared" si="23"/>
        <v>1.1581820591989902</v>
      </c>
    </row>
    <row r="145" spans="1:23">
      <c r="A145" s="123">
        <f>'Input data'!A147</f>
        <v>2047</v>
      </c>
      <c r="B145" s="1439">
        <f>'Recycling - Case 1'!AI127*'Recycling - Case 1'!B127</f>
        <v>2308.2257760482548</v>
      </c>
      <c r="C145" s="1440">
        <f t="shared" si="33"/>
        <v>0.1</v>
      </c>
      <c r="D145" s="1440">
        <f t="shared" si="24"/>
        <v>0.9</v>
      </c>
      <c r="E145" s="53">
        <v>0</v>
      </c>
      <c r="F145" s="53">
        <v>0</v>
      </c>
      <c r="G145" s="898">
        <f t="shared" si="25"/>
        <v>0.1846580620838604</v>
      </c>
      <c r="H145" s="598">
        <f t="shared" si="26"/>
        <v>8.3096127937737183</v>
      </c>
      <c r="I145" s="53"/>
      <c r="J145" s="898">
        <f t="shared" si="36"/>
        <v>0.498576767626423</v>
      </c>
      <c r="K145" s="1441">
        <f>'Recycling - Case 1'!C207*'Recycling - Case 1'!Z207</f>
        <v>2992.0860300759723</v>
      </c>
      <c r="L145" s="1440">
        <f t="shared" si="34"/>
        <v>0.1</v>
      </c>
      <c r="M145" s="1440">
        <f t="shared" si="28"/>
        <v>0.9</v>
      </c>
      <c r="N145" s="53">
        <f t="shared" si="35"/>
        <v>0</v>
      </c>
      <c r="O145" s="53">
        <f t="shared" si="35"/>
        <v>0</v>
      </c>
      <c r="P145" s="898">
        <f t="shared" si="32"/>
        <v>0.23936688240607781</v>
      </c>
      <c r="Q145" s="598">
        <f t="shared" si="21"/>
        <v>10.7715097082735</v>
      </c>
      <c r="R145" s="53"/>
      <c r="S145" s="1442">
        <f t="shared" si="22"/>
        <v>0.64629058249641003</v>
      </c>
      <c r="T145" s="1429">
        <f t="shared" si="23"/>
        <v>0.42402494448993822</v>
      </c>
      <c r="U145" s="1430">
        <f t="shared" si="23"/>
        <v>19.081122502047219</v>
      </c>
      <c r="V145" s="1430">
        <f t="shared" si="23"/>
        <v>0</v>
      </c>
      <c r="W145" s="1431">
        <f t="shared" si="23"/>
        <v>1.144867350122833</v>
      </c>
    </row>
    <row r="146" spans="1:23">
      <c r="A146" s="123">
        <f>'Input data'!A148</f>
        <v>2048</v>
      </c>
      <c r="B146" s="1439">
        <f>'Recycling - Case 1'!AI128*'Recycling - Case 1'!B128</f>
        <v>2320.0193811858499</v>
      </c>
      <c r="C146" s="1440">
        <f t="shared" si="33"/>
        <v>0.1</v>
      </c>
      <c r="D146" s="1440">
        <f t="shared" si="24"/>
        <v>0.9</v>
      </c>
      <c r="E146" s="53">
        <v>0</v>
      </c>
      <c r="F146" s="53">
        <v>0</v>
      </c>
      <c r="G146" s="898">
        <f t="shared" si="25"/>
        <v>0.18560155049486804</v>
      </c>
      <c r="H146" s="598">
        <f t="shared" si="26"/>
        <v>8.3520697722690596</v>
      </c>
      <c r="I146" s="53"/>
      <c r="J146" s="898">
        <f t="shared" si="36"/>
        <v>0.50112418633614353</v>
      </c>
      <c r="K146" s="1441">
        <f>'Recycling - Case 1'!C208*'Recycling - Case 1'!Z208</f>
        <v>3092.0865987076181</v>
      </c>
      <c r="L146" s="1440">
        <f t="shared" si="34"/>
        <v>0.1</v>
      </c>
      <c r="M146" s="1440">
        <f t="shared" si="28"/>
        <v>0.9</v>
      </c>
      <c r="N146" s="53">
        <f t="shared" si="35"/>
        <v>0</v>
      </c>
      <c r="O146" s="53">
        <f t="shared" si="35"/>
        <v>0</v>
      </c>
      <c r="P146" s="898">
        <f t="shared" si="32"/>
        <v>0.2473669278966095</v>
      </c>
      <c r="Q146" s="598">
        <f t="shared" si="21"/>
        <v>11.131511755347425</v>
      </c>
      <c r="R146" s="53"/>
      <c r="S146" s="1442">
        <f t="shared" si="22"/>
        <v>0.66789070532084549</v>
      </c>
      <c r="T146" s="1429">
        <f t="shared" si="23"/>
        <v>0.43296847839147756</v>
      </c>
      <c r="U146" s="1430">
        <f t="shared" si="23"/>
        <v>19.483581527616487</v>
      </c>
      <c r="V146" s="1430">
        <f t="shared" si="23"/>
        <v>0</v>
      </c>
      <c r="W146" s="1431">
        <f t="shared" si="23"/>
        <v>1.1690148916569889</v>
      </c>
    </row>
    <row r="147" spans="1:23">
      <c r="A147" s="123">
        <f>'Input data'!A149</f>
        <v>2049</v>
      </c>
      <c r="B147" s="1439">
        <f>'Recycling - Case 1'!AI129*'Recycling - Case 1'!B129</f>
        <v>2331.8440221264382</v>
      </c>
      <c r="C147" s="1440">
        <f t="shared" si="33"/>
        <v>0.1</v>
      </c>
      <c r="D147" s="1440">
        <f t="shared" si="24"/>
        <v>0.9</v>
      </c>
      <c r="E147" s="53">
        <v>0</v>
      </c>
      <c r="F147" s="53">
        <v>0</v>
      </c>
      <c r="G147" s="898">
        <f t="shared" si="25"/>
        <v>0.18654752177011508</v>
      </c>
      <c r="H147" s="598">
        <f t="shared" si="26"/>
        <v>8.3946384796551783</v>
      </c>
      <c r="I147" s="53"/>
      <c r="J147" s="898">
        <f t="shared" si="36"/>
        <v>0.50367830877931064</v>
      </c>
      <c r="K147" s="1441">
        <f>'Recycling - Case 1'!C209*'Recycling - Case 1'!Z209</f>
        <v>3197.0183262061546</v>
      </c>
      <c r="L147" s="1440">
        <f t="shared" si="34"/>
        <v>0.1</v>
      </c>
      <c r="M147" s="1440">
        <f t="shared" si="28"/>
        <v>0.9</v>
      </c>
      <c r="N147" s="53">
        <f t="shared" si="35"/>
        <v>0</v>
      </c>
      <c r="O147" s="53">
        <f t="shared" si="35"/>
        <v>0</v>
      </c>
      <c r="P147" s="898">
        <f t="shared" si="32"/>
        <v>0.25576146609649242</v>
      </c>
      <c r="Q147" s="598">
        <f t="shared" si="21"/>
        <v>11.509265974342158</v>
      </c>
      <c r="R147" s="53"/>
      <c r="S147" s="1442">
        <f t="shared" si="22"/>
        <v>0.69055595846052942</v>
      </c>
      <c r="T147" s="1429">
        <f t="shared" si="23"/>
        <v>0.44230898786660749</v>
      </c>
      <c r="U147" s="1430">
        <f t="shared" si="23"/>
        <v>19.903904453997335</v>
      </c>
      <c r="V147" s="1430">
        <f t="shared" si="23"/>
        <v>0</v>
      </c>
      <c r="W147" s="1431">
        <f t="shared" si="23"/>
        <v>1.1942342672398401</v>
      </c>
    </row>
    <row r="148" spans="1:23" ht="15" thickBot="1">
      <c r="A148" s="123">
        <f>'Input data'!A150</f>
        <v>2050</v>
      </c>
      <c r="B148" s="1439">
        <f>'Recycling - Case 1'!AI130*'Recycling - Case 1'!B130</f>
        <v>2343.7617704760078</v>
      </c>
      <c r="C148" s="659">
        <f t="shared" si="33"/>
        <v>0.1</v>
      </c>
      <c r="D148" s="659">
        <f t="shared" si="24"/>
        <v>0.9</v>
      </c>
      <c r="E148" s="1443">
        <v>0</v>
      </c>
      <c r="F148" s="1443">
        <v>0</v>
      </c>
      <c r="G148" s="1444">
        <f t="shared" si="25"/>
        <v>0.18750094163808065</v>
      </c>
      <c r="H148" s="1333">
        <f t="shared" si="26"/>
        <v>8.4375423737136277</v>
      </c>
      <c r="I148" s="1443"/>
      <c r="J148" s="1444">
        <f t="shared" si="36"/>
        <v>0.5062525424228177</v>
      </c>
      <c r="K148" s="1441">
        <f>'Recycling - Case 1'!C210*'Recycling - Case 1'!Z210</f>
        <v>3307.2733524417122</v>
      </c>
      <c r="L148" s="659">
        <f t="shared" si="34"/>
        <v>0.1</v>
      </c>
      <c r="M148" s="659">
        <f t="shared" si="28"/>
        <v>0.9</v>
      </c>
      <c r="N148" s="1443">
        <f t="shared" si="35"/>
        <v>0</v>
      </c>
      <c r="O148" s="1443">
        <f t="shared" si="35"/>
        <v>0</v>
      </c>
      <c r="P148" s="1444">
        <f t="shared" si="32"/>
        <v>0.26458186819533708</v>
      </c>
      <c r="Q148" s="1333">
        <f t="shared" si="21"/>
        <v>11.906184068790164</v>
      </c>
      <c r="R148" s="1443"/>
      <c r="S148" s="1445">
        <f t="shared" si="22"/>
        <v>0.71437104412740982</v>
      </c>
      <c r="T148" s="1446">
        <f t="shared" si="23"/>
        <v>0.45208280983341775</v>
      </c>
      <c r="U148" s="1447">
        <f t="shared" si="23"/>
        <v>20.343726442503794</v>
      </c>
      <c r="V148" s="1447">
        <f t="shared" si="23"/>
        <v>0</v>
      </c>
      <c r="W148" s="1448">
        <f t="shared" si="23"/>
        <v>1.2206235865502275</v>
      </c>
    </row>
    <row r="149" spans="1:23">
      <c r="A149" s="1433" t="s">
        <v>749</v>
      </c>
      <c r="B149" s="1434"/>
      <c r="C149" s="1449"/>
      <c r="D149" s="1449"/>
      <c r="E149" s="1450"/>
      <c r="F149" s="1450"/>
      <c r="G149" s="1451"/>
      <c r="H149" s="1452"/>
      <c r="I149" s="1453"/>
      <c r="J149" s="1451"/>
      <c r="K149" s="1454"/>
      <c r="L149" s="1449"/>
      <c r="M149" s="1449"/>
      <c r="N149" s="1450"/>
      <c r="O149" s="1450"/>
      <c r="P149" s="1451"/>
      <c r="Q149" s="1452"/>
      <c r="R149" s="1450"/>
      <c r="S149" s="1455"/>
      <c r="T149" s="1425"/>
      <c r="U149" s="1426"/>
      <c r="V149" s="1426"/>
      <c r="W149" s="1427"/>
    </row>
    <row r="150" spans="1:23">
      <c r="A150" s="123">
        <f>'Input data'!A118</f>
        <v>2018</v>
      </c>
      <c r="B150" s="1439">
        <f>'Recycling - Case 2'!B97*'Recycling - Case 2'!AI97</f>
        <v>3621.0946455823168</v>
      </c>
      <c r="C150" s="1440">
        <f>($C$154-$C$80)/($A$154-$A$80)+C80</f>
        <v>6.0000000000000005E-2</v>
      </c>
      <c r="D150" s="1440">
        <f>1-C150</f>
        <v>0.94</v>
      </c>
      <c r="E150" s="53">
        <v>0</v>
      </c>
      <c r="F150" s="53">
        <v>0</v>
      </c>
      <c r="G150" s="898">
        <f>C150*$D$5*B150/1000-E150</f>
        <v>0.17381254298795124</v>
      </c>
      <c r="H150" s="598">
        <f>D150*$D$4*B150/1000-F150</f>
        <v>13.61531586738951</v>
      </c>
      <c r="I150" s="53"/>
      <c r="J150" s="898">
        <f>D150*$D$7*B150/1000</f>
        <v>0.81691895204337062</v>
      </c>
      <c r="K150" s="1441">
        <f>'Recycling - Case 2'!C137*'Recycling - Case 2'!Z137</f>
        <v>6033.9365292433795</v>
      </c>
      <c r="L150" s="1440">
        <f>($L$154-$L$80)/($A$154-$A$80)+L80</f>
        <v>0.1</v>
      </c>
      <c r="M150" s="1440">
        <f>($M$154-$M$80)/($A$154-$A$80)+M80</f>
        <v>0.9</v>
      </c>
      <c r="N150" s="53">
        <f>N114</f>
        <v>0</v>
      </c>
      <c r="O150" s="53">
        <f>O114</f>
        <v>0</v>
      </c>
      <c r="P150" s="898">
        <f>L150*$D$5*K150/1000-N150</f>
        <v>0.48271492233947044</v>
      </c>
      <c r="Q150" s="598">
        <f t="shared" ref="Q150:Q182" si="37">M150*$D$4*K150/1000-O150</f>
        <v>21.722171505276169</v>
      </c>
      <c r="R150" s="53"/>
      <c r="S150" s="1442">
        <f t="shared" ref="S150:S182" si="38">M150*$D$7*K150/1000</f>
        <v>1.30333029031657</v>
      </c>
      <c r="T150" s="1429">
        <f t="shared" ref="T150:W182" si="39">G150+P150</f>
        <v>0.65652746532742168</v>
      </c>
      <c r="U150" s="1430">
        <f t="shared" si="39"/>
        <v>35.337487372665677</v>
      </c>
      <c r="V150" s="1430">
        <f t="shared" si="39"/>
        <v>0</v>
      </c>
      <c r="W150" s="1431">
        <f t="shared" si="39"/>
        <v>2.1202492423599404</v>
      </c>
    </row>
    <row r="151" spans="1:23">
      <c r="A151" s="123">
        <f>'Input data'!A119</f>
        <v>2019</v>
      </c>
      <c r="B151" s="1439">
        <f>'Recycling - Case 2'!B98*'Recycling - Case 2'!AI98</f>
        <v>3920.8675148070129</v>
      </c>
      <c r="C151" s="1440">
        <f>($C$154-$C$80)/($A$154-$A$80)+C150</f>
        <v>7.0000000000000007E-2</v>
      </c>
      <c r="D151" s="1440">
        <f t="shared" ref="D151:D153" si="40">1-C151</f>
        <v>0.92999999999999994</v>
      </c>
      <c r="E151" s="53">
        <v>0</v>
      </c>
      <c r="F151" s="53">
        <v>0</v>
      </c>
      <c r="G151" s="898">
        <f t="shared" ref="G151:G182" si="41">C151*$D$5*B151/1000-E151</f>
        <v>0.21956858082919273</v>
      </c>
      <c r="H151" s="598">
        <f t="shared" ref="H151:H182" si="42">D151*$D$4*B151/1000-F151</f>
        <v>14.585627155082088</v>
      </c>
      <c r="I151" s="53"/>
      <c r="J151" s="898">
        <f t="shared" ref="J151:J182" si="43">D151*$D$7*B151/1000</f>
        <v>0.87513762930492522</v>
      </c>
      <c r="K151" s="1441">
        <f>'Recycling - Case 2'!C138*'Recycling - Case 2'!Z138</f>
        <v>6082.7909808167815</v>
      </c>
      <c r="L151" s="1440">
        <f>($L$154-$L$80)/($A$154-$A$80)+L150</f>
        <v>0.1</v>
      </c>
      <c r="M151" s="1440">
        <f>($M$154-$M$80)/($A$154-$A$80)+M150</f>
        <v>0.9</v>
      </c>
      <c r="N151" s="53">
        <f t="shared" ref="N151:O166" si="44">N149</f>
        <v>0</v>
      </c>
      <c r="O151" s="53">
        <f t="shared" si="44"/>
        <v>0</v>
      </c>
      <c r="P151" s="898">
        <f t="shared" ref="P151:P182" si="45">L151*$D$5*K151/1000-N151</f>
        <v>0.48662327846534259</v>
      </c>
      <c r="Q151" s="598">
        <f t="shared" si="37"/>
        <v>21.898047530940413</v>
      </c>
      <c r="R151" s="53"/>
      <c r="S151" s="1442">
        <f t="shared" si="38"/>
        <v>1.3138828518564249</v>
      </c>
      <c r="T151" s="1429">
        <f t="shared" si="39"/>
        <v>0.70619185929453532</v>
      </c>
      <c r="U151" s="1430">
        <f t="shared" si="39"/>
        <v>36.483674686022503</v>
      </c>
      <c r="V151" s="1430">
        <f t="shared" si="39"/>
        <v>0</v>
      </c>
      <c r="W151" s="1431">
        <f t="shared" si="39"/>
        <v>2.1890204811613501</v>
      </c>
    </row>
    <row r="152" spans="1:23">
      <c r="A152" s="123">
        <f>'Input data'!A120</f>
        <v>2020</v>
      </c>
      <c r="B152" s="1439">
        <f>'Recycling - Case 2'!B99*'Recycling - Case 2'!AI99</f>
        <v>4489.6146062493435</v>
      </c>
      <c r="C152" s="1440">
        <f>($C$154-$C$80)/($A$154-$A$80)+C151</f>
        <v>0.08</v>
      </c>
      <c r="D152" s="1440">
        <f t="shared" si="40"/>
        <v>0.92</v>
      </c>
      <c r="E152" s="53">
        <v>0</v>
      </c>
      <c r="F152" s="53">
        <v>0</v>
      </c>
      <c r="G152" s="898">
        <f t="shared" si="41"/>
        <v>0.28733533479995799</v>
      </c>
      <c r="H152" s="598">
        <f t="shared" si="42"/>
        <v>16.521781750997587</v>
      </c>
      <c r="I152" s="53"/>
      <c r="J152" s="898">
        <f t="shared" si="43"/>
        <v>0.99130690505985497</v>
      </c>
      <c r="K152" s="1441">
        <f>'Recycling - Case 2'!C139*'Recycling - Case 2'!Z139</f>
        <v>4778.0738813212811</v>
      </c>
      <c r="L152" s="1440">
        <f>($L$154-$L$80)/($A$154-$A$80)+L151</f>
        <v>0.1</v>
      </c>
      <c r="M152" s="1440">
        <f>($M$154-$M$80)/($A$154-$A$80)+M151</f>
        <v>0.9</v>
      </c>
      <c r="N152" s="53">
        <f t="shared" si="44"/>
        <v>0</v>
      </c>
      <c r="O152" s="53">
        <f t="shared" si="44"/>
        <v>0</v>
      </c>
      <c r="P152" s="898">
        <f t="shared" si="45"/>
        <v>0.38224591050570256</v>
      </c>
      <c r="Q152" s="598">
        <f t="shared" si="37"/>
        <v>17.201065972756613</v>
      </c>
      <c r="R152" s="53"/>
      <c r="S152" s="1442">
        <f t="shared" si="38"/>
        <v>1.0320639583653968</v>
      </c>
      <c r="T152" s="1429">
        <f t="shared" si="39"/>
        <v>0.66958124530566054</v>
      </c>
      <c r="U152" s="1430">
        <f t="shared" si="39"/>
        <v>33.722847723754199</v>
      </c>
      <c r="V152" s="1430">
        <f t="shared" si="39"/>
        <v>0</v>
      </c>
      <c r="W152" s="1431">
        <f t="shared" si="39"/>
        <v>2.0233708634252516</v>
      </c>
    </row>
    <row r="153" spans="1:23">
      <c r="A153" s="123">
        <f>'Input data'!A121</f>
        <v>2021</v>
      </c>
      <c r="B153" s="1439">
        <f>'Recycling - Case 2'!B100*'Recycling - Case 2'!AI100</f>
        <v>5342.7306030456248</v>
      </c>
      <c r="C153" s="1440">
        <f>($C$154-$C$80)/($A$154-$A$80)+C152</f>
        <v>0.09</v>
      </c>
      <c r="D153" s="1440">
        <f t="shared" si="40"/>
        <v>0.91</v>
      </c>
      <c r="E153" s="53">
        <v>0</v>
      </c>
      <c r="F153" s="53">
        <v>0</v>
      </c>
      <c r="G153" s="898">
        <f t="shared" si="41"/>
        <v>0.38467660341928495</v>
      </c>
      <c r="H153" s="598">
        <f t="shared" si="42"/>
        <v>19.447539395086075</v>
      </c>
      <c r="I153" s="53"/>
      <c r="J153" s="898">
        <f t="shared" si="43"/>
        <v>1.1668523637051644</v>
      </c>
      <c r="K153" s="1441">
        <f>'Recycling - Case 2'!C140*'Recycling - Case 2'!Z140</f>
        <v>2687.2902924075147</v>
      </c>
      <c r="L153" s="1440">
        <f>($L$154-$L$80)/($A$154-$A$80)+L152</f>
        <v>0.1</v>
      </c>
      <c r="M153" s="1440">
        <f>($M$154-$M$80)/($A$154-$A$80)+M152</f>
        <v>0.9</v>
      </c>
      <c r="N153" s="53">
        <f t="shared" si="44"/>
        <v>0</v>
      </c>
      <c r="O153" s="53">
        <f t="shared" si="44"/>
        <v>0</v>
      </c>
      <c r="P153" s="898">
        <f t="shared" si="45"/>
        <v>0.21498322339260123</v>
      </c>
      <c r="Q153" s="598">
        <f t="shared" si="37"/>
        <v>9.674245052667052</v>
      </c>
      <c r="R153" s="53"/>
      <c r="S153" s="1442">
        <f t="shared" si="38"/>
        <v>0.58045470316002323</v>
      </c>
      <c r="T153" s="1429">
        <f t="shared" si="39"/>
        <v>0.59965982681188623</v>
      </c>
      <c r="U153" s="1430">
        <f t="shared" si="39"/>
        <v>29.121784447753129</v>
      </c>
      <c r="V153" s="1430">
        <f t="shared" si="39"/>
        <v>0</v>
      </c>
      <c r="W153" s="1431">
        <f t="shared" si="39"/>
        <v>1.7473070668651878</v>
      </c>
    </row>
    <row r="154" spans="1:23">
      <c r="A154" s="123">
        <f>'Input data'!A122</f>
        <v>2022</v>
      </c>
      <c r="B154" s="1439">
        <f>'Recycling - Case 2'!B101*'Recycling - Case 2'!AI101</f>
        <v>5021.1547579907265</v>
      </c>
      <c r="C154" s="1440">
        <f>'Recycling - Case 2'!E31</f>
        <v>0.1</v>
      </c>
      <c r="D154" s="1440">
        <f>'Recycling - Case 2'!F31</f>
        <v>0.9</v>
      </c>
      <c r="E154" s="53">
        <v>0</v>
      </c>
      <c r="F154" s="53">
        <v>0</v>
      </c>
      <c r="G154" s="898">
        <f t="shared" si="41"/>
        <v>0.40169238063925822</v>
      </c>
      <c r="H154" s="598">
        <f t="shared" si="42"/>
        <v>18.076157128766617</v>
      </c>
      <c r="I154" s="53"/>
      <c r="J154" s="898">
        <f t="shared" si="43"/>
        <v>1.084569427725997</v>
      </c>
      <c r="K154" s="1441">
        <f>'Recycling - Case 2'!C141*'Recycling - Case 2'!Z141</f>
        <v>1508.3660104568362</v>
      </c>
      <c r="L154" s="1440">
        <f>'Recycling - Case 2'!E31</f>
        <v>0.1</v>
      </c>
      <c r="M154" s="1440">
        <f>'Recycling - Case 2'!F31</f>
        <v>0.9</v>
      </c>
      <c r="N154" s="53">
        <f t="shared" si="44"/>
        <v>0</v>
      </c>
      <c r="O154" s="53">
        <f t="shared" si="44"/>
        <v>0</v>
      </c>
      <c r="P154" s="898">
        <f t="shared" si="45"/>
        <v>0.12066928083654692</v>
      </c>
      <c r="Q154" s="598">
        <f t="shared" si="37"/>
        <v>5.4301176376446101</v>
      </c>
      <c r="R154" s="53"/>
      <c r="S154" s="1442">
        <f t="shared" si="38"/>
        <v>0.32580705825867662</v>
      </c>
      <c r="T154" s="1429">
        <f t="shared" si="39"/>
        <v>0.52236166147580509</v>
      </c>
      <c r="U154" s="1430">
        <f t="shared" si="39"/>
        <v>23.506274766411227</v>
      </c>
      <c r="V154" s="1430">
        <f t="shared" si="39"/>
        <v>0</v>
      </c>
      <c r="W154" s="1431">
        <f t="shared" si="39"/>
        <v>1.4103764859846737</v>
      </c>
    </row>
    <row r="155" spans="1:23">
      <c r="A155" s="123">
        <f>'Input data'!A123</f>
        <v>2023</v>
      </c>
      <c r="B155" s="1439">
        <f>'Recycling - Case 2'!B102*'Recycling - Case 2'!AI102</f>
        <v>4838.5591386232072</v>
      </c>
      <c r="C155" s="1440">
        <f>C154</f>
        <v>0.1</v>
      </c>
      <c r="D155" s="1440">
        <f>D154</f>
        <v>0.9</v>
      </c>
      <c r="E155" s="53">
        <v>0</v>
      </c>
      <c r="F155" s="53">
        <v>0</v>
      </c>
      <c r="G155" s="898">
        <f t="shared" si="41"/>
        <v>0.38708473108985664</v>
      </c>
      <c r="H155" s="598">
        <f t="shared" si="42"/>
        <v>17.418812899043548</v>
      </c>
      <c r="I155" s="53"/>
      <c r="J155" s="898">
        <f t="shared" si="43"/>
        <v>1.0451287739426127</v>
      </c>
      <c r="K155" s="1441">
        <f>'Recycling - Case 2'!C142*'Recycling - Case 2'!Z142</f>
        <v>1539.4479969130523</v>
      </c>
      <c r="L155" s="1440">
        <f>L154</f>
        <v>0.1</v>
      </c>
      <c r="M155" s="1440">
        <f>M154</f>
        <v>0.9</v>
      </c>
      <c r="N155" s="53">
        <f t="shared" si="44"/>
        <v>0</v>
      </c>
      <c r="O155" s="53">
        <f t="shared" si="44"/>
        <v>0</v>
      </c>
      <c r="P155" s="898">
        <f t="shared" si="45"/>
        <v>0.1231558397530442</v>
      </c>
      <c r="Q155" s="598">
        <f t="shared" si="37"/>
        <v>5.5420127888869883</v>
      </c>
      <c r="R155" s="53"/>
      <c r="S155" s="1442">
        <f t="shared" si="38"/>
        <v>0.33252076733321928</v>
      </c>
      <c r="T155" s="1429">
        <f t="shared" si="39"/>
        <v>0.51024057084290086</v>
      </c>
      <c r="U155" s="1430">
        <f t="shared" si="39"/>
        <v>22.960825687930537</v>
      </c>
      <c r="V155" s="1430">
        <f t="shared" si="39"/>
        <v>0</v>
      </c>
      <c r="W155" s="1431">
        <f t="shared" si="39"/>
        <v>1.3776495412758321</v>
      </c>
    </row>
    <row r="156" spans="1:23">
      <c r="A156" s="123">
        <f>'Input data'!A124</f>
        <v>2024</v>
      </c>
      <c r="B156" s="1439">
        <f>'Recycling - Case 2'!B103*'Recycling - Case 2'!AI103</f>
        <v>4644.4457885792062</v>
      </c>
      <c r="C156" s="1440">
        <f t="shared" ref="C156:D171" si="46">C155</f>
        <v>0.1</v>
      </c>
      <c r="D156" s="1440">
        <f t="shared" si="46"/>
        <v>0.9</v>
      </c>
      <c r="E156" s="53">
        <v>0</v>
      </c>
      <c r="F156" s="53">
        <v>0</v>
      </c>
      <c r="G156" s="898">
        <f t="shared" si="41"/>
        <v>0.37155566308633653</v>
      </c>
      <c r="H156" s="598">
        <f t="shared" si="42"/>
        <v>16.720004838885142</v>
      </c>
      <c r="I156" s="53"/>
      <c r="J156" s="898">
        <f t="shared" si="43"/>
        <v>1.0032002903331085</v>
      </c>
      <c r="K156" s="1441">
        <f>'Recycling - Case 2'!C143*'Recycling - Case 2'!Z143</f>
        <v>1569.4270899845264</v>
      </c>
      <c r="L156" s="1440">
        <f t="shared" ref="L156:M171" si="47">L155</f>
        <v>0.1</v>
      </c>
      <c r="M156" s="1440">
        <f t="shared" si="47"/>
        <v>0.9</v>
      </c>
      <c r="N156" s="53">
        <f t="shared" si="44"/>
        <v>0</v>
      </c>
      <c r="O156" s="53">
        <f t="shared" si="44"/>
        <v>0</v>
      </c>
      <c r="P156" s="898">
        <f t="shared" si="45"/>
        <v>0.12555416719876214</v>
      </c>
      <c r="Q156" s="598">
        <f t="shared" si="37"/>
        <v>5.6499375239442955</v>
      </c>
      <c r="R156" s="53"/>
      <c r="S156" s="1442">
        <f t="shared" si="38"/>
        <v>0.33899625143665768</v>
      </c>
      <c r="T156" s="1429">
        <f t="shared" si="39"/>
        <v>0.4971098302850987</v>
      </c>
      <c r="U156" s="1430">
        <f t="shared" si="39"/>
        <v>22.369942362829438</v>
      </c>
      <c r="V156" s="1430">
        <f t="shared" si="39"/>
        <v>0</v>
      </c>
      <c r="W156" s="1431">
        <f t="shared" si="39"/>
        <v>1.3421965417697663</v>
      </c>
    </row>
    <row r="157" spans="1:23">
      <c r="A157" s="123">
        <f>'Input data'!A125</f>
        <v>2025</v>
      </c>
      <c r="B157" s="1439">
        <f>'Recycling - Case 2'!B104*'Recycling - Case 2'!AI104</f>
        <v>4438.2123213922823</v>
      </c>
      <c r="C157" s="1440">
        <f t="shared" si="46"/>
        <v>0.1</v>
      </c>
      <c r="D157" s="1440">
        <f t="shared" si="46"/>
        <v>0.9</v>
      </c>
      <c r="E157" s="53">
        <v>0</v>
      </c>
      <c r="F157" s="53">
        <v>0</v>
      </c>
      <c r="G157" s="898">
        <f t="shared" si="41"/>
        <v>0.35505698571138267</v>
      </c>
      <c r="H157" s="598">
        <f t="shared" si="42"/>
        <v>15.977564357012218</v>
      </c>
      <c r="I157" s="53"/>
      <c r="J157" s="898">
        <f t="shared" si="43"/>
        <v>0.95865386142073294</v>
      </c>
      <c r="K157" s="1441">
        <f>'Recycling - Case 2'!C144*'Recycling - Case 2'!Z144</f>
        <v>1600.6855393823012</v>
      </c>
      <c r="L157" s="1440">
        <f t="shared" si="47"/>
        <v>0.1</v>
      </c>
      <c r="M157" s="1440">
        <f t="shared" si="47"/>
        <v>0.9</v>
      </c>
      <c r="N157" s="53">
        <f t="shared" si="44"/>
        <v>0</v>
      </c>
      <c r="O157" s="53">
        <f t="shared" si="44"/>
        <v>0</v>
      </c>
      <c r="P157" s="898">
        <f t="shared" si="45"/>
        <v>0.1280548431505841</v>
      </c>
      <c r="Q157" s="598">
        <f t="shared" si="37"/>
        <v>5.7624679417762845</v>
      </c>
      <c r="R157" s="53"/>
      <c r="S157" s="1442">
        <f t="shared" si="38"/>
        <v>0.34574807650657702</v>
      </c>
      <c r="T157" s="1429">
        <f t="shared" si="39"/>
        <v>0.4831118288619668</v>
      </c>
      <c r="U157" s="1430">
        <f t="shared" si="39"/>
        <v>21.740032298788503</v>
      </c>
      <c r="V157" s="1430">
        <f t="shared" si="39"/>
        <v>0</v>
      </c>
      <c r="W157" s="1431">
        <f t="shared" si="39"/>
        <v>1.30440193792731</v>
      </c>
    </row>
    <row r="158" spans="1:23">
      <c r="A158" s="123">
        <f>'Input data'!A126</f>
        <v>2026</v>
      </c>
      <c r="B158" s="1439">
        <f>'Recycling - Case 2'!B105*'Recycling - Case 2'!AI105</f>
        <v>4212.2487177631583</v>
      </c>
      <c r="C158" s="1440">
        <f t="shared" si="46"/>
        <v>0.1</v>
      </c>
      <c r="D158" s="1440">
        <f t="shared" si="46"/>
        <v>0.9</v>
      </c>
      <c r="E158" s="53">
        <v>0</v>
      </c>
      <c r="F158" s="53">
        <v>0</v>
      </c>
      <c r="G158" s="898">
        <f t="shared" si="41"/>
        <v>0.33697989742105272</v>
      </c>
      <c r="H158" s="598">
        <f t="shared" si="42"/>
        <v>15.16409538394737</v>
      </c>
      <c r="I158" s="53"/>
      <c r="J158" s="898">
        <f t="shared" si="43"/>
        <v>0.90984572303684219</v>
      </c>
      <c r="K158" s="1441">
        <f>'Recycling - Case 2'!C145*'Recycling - Case 2'!Z145</f>
        <v>1637.8113815869031</v>
      </c>
      <c r="L158" s="1440">
        <f t="shared" si="47"/>
        <v>0.1</v>
      </c>
      <c r="M158" s="1440">
        <f t="shared" si="47"/>
        <v>0.9</v>
      </c>
      <c r="N158" s="53">
        <f t="shared" si="44"/>
        <v>0</v>
      </c>
      <c r="O158" s="53">
        <f t="shared" si="44"/>
        <v>0</v>
      </c>
      <c r="P158" s="898">
        <f t="shared" si="45"/>
        <v>0.13102491052695228</v>
      </c>
      <c r="Q158" s="598">
        <f t="shared" si="37"/>
        <v>5.8961209737128515</v>
      </c>
      <c r="R158" s="53"/>
      <c r="S158" s="1442">
        <f t="shared" si="38"/>
        <v>0.35376725842277107</v>
      </c>
      <c r="T158" s="1429">
        <f t="shared" si="39"/>
        <v>0.46800480794800503</v>
      </c>
      <c r="U158" s="1430">
        <f t="shared" si="39"/>
        <v>21.06021635766022</v>
      </c>
      <c r="V158" s="1430">
        <f t="shared" si="39"/>
        <v>0</v>
      </c>
      <c r="W158" s="1431">
        <f t="shared" si="39"/>
        <v>1.2636129814596133</v>
      </c>
    </row>
    <row r="159" spans="1:23">
      <c r="A159" s="123">
        <f>'Input data'!A127</f>
        <v>2027</v>
      </c>
      <c r="B159" s="1439">
        <f>'Recycling - Case 2'!B106*'Recycling - Case 2'!AI106</f>
        <v>3973.7125528245519</v>
      </c>
      <c r="C159" s="1440">
        <f t="shared" si="46"/>
        <v>0.1</v>
      </c>
      <c r="D159" s="1440">
        <f t="shared" si="46"/>
        <v>0.9</v>
      </c>
      <c r="E159" s="53">
        <v>0</v>
      </c>
      <c r="F159" s="53">
        <v>0</v>
      </c>
      <c r="G159" s="898">
        <f t="shared" si="41"/>
        <v>0.31789700422596423</v>
      </c>
      <c r="H159" s="598">
        <f t="shared" si="42"/>
        <v>14.305365190168388</v>
      </c>
      <c r="I159" s="53"/>
      <c r="J159" s="898">
        <f t="shared" si="43"/>
        <v>0.85832191141010317</v>
      </c>
      <c r="K159" s="1441">
        <f>'Recycling - Case 2'!C146*'Recycling - Case 2'!Z146</f>
        <v>1674.5744944116341</v>
      </c>
      <c r="L159" s="1440">
        <f t="shared" si="47"/>
        <v>0.1</v>
      </c>
      <c r="M159" s="1440">
        <f t="shared" si="47"/>
        <v>0.9</v>
      </c>
      <c r="N159" s="53">
        <f t="shared" si="44"/>
        <v>0</v>
      </c>
      <c r="O159" s="53">
        <f t="shared" si="44"/>
        <v>0</v>
      </c>
      <c r="P159" s="898">
        <f t="shared" si="45"/>
        <v>0.13396595955293075</v>
      </c>
      <c r="Q159" s="598">
        <f t="shared" si="37"/>
        <v>6.0284681798818829</v>
      </c>
      <c r="R159" s="53"/>
      <c r="S159" s="1442">
        <f t="shared" si="38"/>
        <v>0.361708090792913</v>
      </c>
      <c r="T159" s="1429">
        <f t="shared" si="39"/>
        <v>0.45186296377889501</v>
      </c>
      <c r="U159" s="1430">
        <f t="shared" si="39"/>
        <v>20.333833370050272</v>
      </c>
      <c r="V159" s="1430">
        <f t="shared" si="39"/>
        <v>0</v>
      </c>
      <c r="W159" s="1431">
        <f t="shared" si="39"/>
        <v>1.2200300022030162</v>
      </c>
    </row>
    <row r="160" spans="1:23">
      <c r="A160" s="123">
        <f>'Input data'!A128</f>
        <v>2028</v>
      </c>
      <c r="B160" s="1439">
        <f>'Recycling - Case 2'!B107*'Recycling - Case 2'!AI107</f>
        <v>3721.8307341944769</v>
      </c>
      <c r="C160" s="1440">
        <f t="shared" si="46"/>
        <v>0.1</v>
      </c>
      <c r="D160" s="1440">
        <f t="shared" si="46"/>
        <v>0.9</v>
      </c>
      <c r="E160" s="53">
        <v>0</v>
      </c>
      <c r="F160" s="53">
        <v>0</v>
      </c>
      <c r="G160" s="898">
        <f t="shared" si="41"/>
        <v>0.29774645873555822</v>
      </c>
      <c r="H160" s="598">
        <f t="shared" si="42"/>
        <v>13.398590643100118</v>
      </c>
      <c r="I160" s="53"/>
      <c r="J160" s="898">
        <f t="shared" si="43"/>
        <v>0.803915438586007</v>
      </c>
      <c r="K160" s="1441">
        <f>'Recycling - Case 2'!C147*'Recycling - Case 2'!Z147</f>
        <v>1713.1022366519528</v>
      </c>
      <c r="L160" s="1440">
        <f t="shared" si="47"/>
        <v>0.1</v>
      </c>
      <c r="M160" s="1440">
        <f t="shared" si="47"/>
        <v>0.9</v>
      </c>
      <c r="N160" s="53">
        <f t="shared" si="44"/>
        <v>0</v>
      </c>
      <c r="O160" s="53">
        <f t="shared" si="44"/>
        <v>0</v>
      </c>
      <c r="P160" s="898">
        <f t="shared" si="45"/>
        <v>0.13704817893215623</v>
      </c>
      <c r="Q160" s="598">
        <f t="shared" si="37"/>
        <v>6.16716805194703</v>
      </c>
      <c r="R160" s="53"/>
      <c r="S160" s="1442">
        <f t="shared" si="38"/>
        <v>0.37003008311682178</v>
      </c>
      <c r="T160" s="1429">
        <f t="shared" si="39"/>
        <v>0.43479463766771442</v>
      </c>
      <c r="U160" s="1430">
        <f t="shared" si="39"/>
        <v>19.565758695047148</v>
      </c>
      <c r="V160" s="1430">
        <f t="shared" si="39"/>
        <v>0</v>
      </c>
      <c r="W160" s="1431">
        <f t="shared" si="39"/>
        <v>1.1739455217028287</v>
      </c>
    </row>
    <row r="161" spans="1:23">
      <c r="A161" s="123">
        <f>'Input data'!A129</f>
        <v>2029</v>
      </c>
      <c r="B161" s="1439">
        <f>'Recycling - Case 2'!B108*'Recycling - Case 2'!AI108</f>
        <v>3456.0403079453235</v>
      </c>
      <c r="C161" s="1440">
        <f t="shared" si="46"/>
        <v>0.1</v>
      </c>
      <c r="D161" s="1440">
        <f t="shared" si="46"/>
        <v>0.9</v>
      </c>
      <c r="E161" s="53">
        <v>0</v>
      </c>
      <c r="F161" s="53">
        <v>0</v>
      </c>
      <c r="G161" s="898">
        <f t="shared" si="41"/>
        <v>0.27648322463562597</v>
      </c>
      <c r="H161" s="598">
        <f t="shared" si="42"/>
        <v>12.441745108603165</v>
      </c>
      <c r="I161" s="53"/>
      <c r="J161" s="898">
        <f t="shared" si="43"/>
        <v>0.74650470651618994</v>
      </c>
      <c r="K161" s="1441">
        <f>'Recycling - Case 2'!C148*'Recycling - Case 2'!Z148</f>
        <v>1752.9044334701946</v>
      </c>
      <c r="L161" s="1440">
        <f t="shared" si="47"/>
        <v>0.1</v>
      </c>
      <c r="M161" s="1440">
        <f t="shared" si="47"/>
        <v>0.9</v>
      </c>
      <c r="N161" s="53">
        <f t="shared" si="44"/>
        <v>0</v>
      </c>
      <c r="O161" s="53">
        <f t="shared" si="44"/>
        <v>0</v>
      </c>
      <c r="P161" s="898">
        <f t="shared" si="45"/>
        <v>0.14023235467761561</v>
      </c>
      <c r="Q161" s="598">
        <f t="shared" si="37"/>
        <v>6.3104559604927006</v>
      </c>
      <c r="R161" s="53"/>
      <c r="S161" s="1442">
        <f t="shared" si="38"/>
        <v>0.37862735762956201</v>
      </c>
      <c r="T161" s="1429">
        <f t="shared" si="39"/>
        <v>0.41671557931324155</v>
      </c>
      <c r="U161" s="1430">
        <f t="shared" si="39"/>
        <v>18.752201069095864</v>
      </c>
      <c r="V161" s="1430">
        <f t="shared" si="39"/>
        <v>0</v>
      </c>
      <c r="W161" s="1431">
        <f t="shared" si="39"/>
        <v>1.1251320641457521</v>
      </c>
    </row>
    <row r="162" spans="1:23">
      <c r="A162" s="123">
        <f>'Input data'!A130</f>
        <v>2030</v>
      </c>
      <c r="B162" s="1439">
        <f>'Recycling - Case 2'!B109*'Recycling - Case 2'!AI109</f>
        <v>3175.5559501258704</v>
      </c>
      <c r="C162" s="1440">
        <f t="shared" si="46"/>
        <v>0.1</v>
      </c>
      <c r="D162" s="1440">
        <f t="shared" si="46"/>
        <v>0.9</v>
      </c>
      <c r="E162" s="53">
        <v>0</v>
      </c>
      <c r="F162" s="53">
        <v>0</v>
      </c>
      <c r="G162" s="898">
        <f t="shared" si="41"/>
        <v>0.25404447601006969</v>
      </c>
      <c r="H162" s="598">
        <f t="shared" si="42"/>
        <v>11.432001420453135</v>
      </c>
      <c r="I162" s="53"/>
      <c r="J162" s="898">
        <f t="shared" si="43"/>
        <v>0.68592008522718795</v>
      </c>
      <c r="K162" s="1441">
        <f>'Recycling - Case 2'!C149*'Recycling - Case 2'!Z149</f>
        <v>1794.0987268274</v>
      </c>
      <c r="L162" s="1440">
        <f t="shared" si="47"/>
        <v>0.1</v>
      </c>
      <c r="M162" s="1440">
        <f t="shared" si="47"/>
        <v>0.9</v>
      </c>
      <c r="N162" s="53">
        <f t="shared" si="44"/>
        <v>0</v>
      </c>
      <c r="O162" s="53">
        <f t="shared" si="44"/>
        <v>0</v>
      </c>
      <c r="P162" s="898">
        <f t="shared" si="45"/>
        <v>0.14352789814619202</v>
      </c>
      <c r="Q162" s="598">
        <f t="shared" si="37"/>
        <v>6.4587554165786409</v>
      </c>
      <c r="R162" s="53"/>
      <c r="S162" s="1442">
        <f t="shared" si="38"/>
        <v>0.38752532499471842</v>
      </c>
      <c r="T162" s="1429">
        <f t="shared" si="39"/>
        <v>0.39757237415626168</v>
      </c>
      <c r="U162" s="1430">
        <f t="shared" si="39"/>
        <v>17.890756837031777</v>
      </c>
      <c r="V162" s="1430">
        <f t="shared" si="39"/>
        <v>0</v>
      </c>
      <c r="W162" s="1431">
        <f t="shared" si="39"/>
        <v>1.0734454102219064</v>
      </c>
    </row>
    <row r="163" spans="1:23">
      <c r="A163" s="123">
        <f>'Input data'!A131</f>
        <v>2031</v>
      </c>
      <c r="B163" s="1439">
        <f>'Recycling - Case 2'!B110*'Recycling - Case 2'!AI110</f>
        <v>2833.1244977232623</v>
      </c>
      <c r="C163" s="1440">
        <f t="shared" si="46"/>
        <v>0.1</v>
      </c>
      <c r="D163" s="1440">
        <f t="shared" si="46"/>
        <v>0.9</v>
      </c>
      <c r="E163" s="53">
        <v>0</v>
      </c>
      <c r="F163" s="53">
        <v>0</v>
      </c>
      <c r="G163" s="898">
        <f t="shared" si="41"/>
        <v>0.22664995981786104</v>
      </c>
      <c r="H163" s="598">
        <f t="shared" si="42"/>
        <v>10.199248191803745</v>
      </c>
      <c r="I163" s="53"/>
      <c r="J163" s="898">
        <f t="shared" si="43"/>
        <v>0.61195489150822457</v>
      </c>
      <c r="K163" s="1441">
        <f>'Recycling - Case 2'!C150*'Recycling - Case 2'!Z150</f>
        <v>1843.5622696959817</v>
      </c>
      <c r="L163" s="1440">
        <f t="shared" si="47"/>
        <v>0.1</v>
      </c>
      <c r="M163" s="1440">
        <f t="shared" si="47"/>
        <v>0.9</v>
      </c>
      <c r="N163" s="53">
        <f t="shared" si="44"/>
        <v>0</v>
      </c>
      <c r="O163" s="53">
        <f t="shared" si="44"/>
        <v>0</v>
      </c>
      <c r="P163" s="898">
        <f t="shared" si="45"/>
        <v>0.14748498157567858</v>
      </c>
      <c r="Q163" s="598">
        <f t="shared" si="37"/>
        <v>6.6368241709055349</v>
      </c>
      <c r="R163" s="53"/>
      <c r="S163" s="1442">
        <f t="shared" si="38"/>
        <v>0.39820945025433208</v>
      </c>
      <c r="T163" s="1429">
        <f t="shared" si="39"/>
        <v>0.37413494139353964</v>
      </c>
      <c r="U163" s="1430">
        <f t="shared" si="39"/>
        <v>16.836072362709281</v>
      </c>
      <c r="V163" s="1430">
        <f t="shared" si="39"/>
        <v>0</v>
      </c>
      <c r="W163" s="1431">
        <f t="shared" si="39"/>
        <v>1.0101643417625565</v>
      </c>
    </row>
    <row r="164" spans="1:23">
      <c r="A164" s="123">
        <f>'Input data'!A132</f>
        <v>2032</v>
      </c>
      <c r="B164" s="1439">
        <f>'Recycling - Case 2'!B111*'Recycling - Case 2'!AI111</f>
        <v>2484.6228724288708</v>
      </c>
      <c r="C164" s="1440">
        <f t="shared" si="46"/>
        <v>0.1</v>
      </c>
      <c r="D164" s="1440">
        <f t="shared" si="46"/>
        <v>0.9</v>
      </c>
      <c r="E164" s="53">
        <v>0</v>
      </c>
      <c r="F164" s="53">
        <v>0</v>
      </c>
      <c r="G164" s="898">
        <f t="shared" si="41"/>
        <v>0.19876982979430971</v>
      </c>
      <c r="H164" s="598">
        <f t="shared" si="42"/>
        <v>8.9446423407439344</v>
      </c>
      <c r="I164" s="53"/>
      <c r="J164" s="898">
        <f t="shared" si="43"/>
        <v>0.53667854044463603</v>
      </c>
      <c r="K164" s="1441">
        <f>'Recycling - Case 2'!C151*'Recycling - Case 2'!Z151</f>
        <v>1890.7023838340403</v>
      </c>
      <c r="L164" s="1440">
        <f t="shared" si="47"/>
        <v>0.1</v>
      </c>
      <c r="M164" s="1440">
        <f t="shared" si="47"/>
        <v>0.9</v>
      </c>
      <c r="N164" s="53">
        <f t="shared" si="44"/>
        <v>0</v>
      </c>
      <c r="O164" s="53">
        <f t="shared" si="44"/>
        <v>0</v>
      </c>
      <c r="P164" s="898">
        <f t="shared" si="45"/>
        <v>0.15125619070672325</v>
      </c>
      <c r="Q164" s="598">
        <f t="shared" si="37"/>
        <v>6.8065285818025449</v>
      </c>
      <c r="R164" s="53"/>
      <c r="S164" s="1442">
        <f t="shared" si="38"/>
        <v>0.40839171490815274</v>
      </c>
      <c r="T164" s="1429">
        <f t="shared" si="39"/>
        <v>0.35002602050103293</v>
      </c>
      <c r="U164" s="1430">
        <f t="shared" si="39"/>
        <v>15.751170922546478</v>
      </c>
      <c r="V164" s="1430">
        <f t="shared" si="39"/>
        <v>0</v>
      </c>
      <c r="W164" s="1431">
        <f t="shared" si="39"/>
        <v>0.94507025535278877</v>
      </c>
    </row>
    <row r="165" spans="1:23">
      <c r="A165" s="123">
        <f>'Input data'!A133</f>
        <v>2033</v>
      </c>
      <c r="B165" s="1439">
        <f>'Recycling - Case 2'!B112*'Recycling - Case 2'!AI112</f>
        <v>2505.8073684270425</v>
      </c>
      <c r="C165" s="1440">
        <f t="shared" si="46"/>
        <v>0.1</v>
      </c>
      <c r="D165" s="1440">
        <f t="shared" si="46"/>
        <v>0.9</v>
      </c>
      <c r="E165" s="53">
        <v>0</v>
      </c>
      <c r="F165" s="53">
        <v>0</v>
      </c>
      <c r="G165" s="898">
        <f t="shared" si="41"/>
        <v>0.20046458947416343</v>
      </c>
      <c r="H165" s="598">
        <f t="shared" si="42"/>
        <v>9.0209065263373542</v>
      </c>
      <c r="I165" s="53"/>
      <c r="J165" s="898">
        <f t="shared" si="43"/>
        <v>0.54125439158024125</v>
      </c>
      <c r="K165" s="1441">
        <f>'Recycling - Case 2'!C152*'Recycling - Case 2'!Z152</f>
        <v>1943.0579582448343</v>
      </c>
      <c r="L165" s="1440">
        <f t="shared" si="47"/>
        <v>0.1</v>
      </c>
      <c r="M165" s="1440">
        <f t="shared" si="47"/>
        <v>0.9</v>
      </c>
      <c r="N165" s="53">
        <f t="shared" si="44"/>
        <v>0</v>
      </c>
      <c r="O165" s="53">
        <f t="shared" si="44"/>
        <v>0</v>
      </c>
      <c r="P165" s="898">
        <f t="shared" si="45"/>
        <v>0.15544463665958677</v>
      </c>
      <c r="Q165" s="598">
        <f t="shared" si="37"/>
        <v>6.9950086496814041</v>
      </c>
      <c r="R165" s="53"/>
      <c r="S165" s="1442">
        <f t="shared" si="38"/>
        <v>0.41970051898088417</v>
      </c>
      <c r="T165" s="1429">
        <f t="shared" si="39"/>
        <v>0.3559092261337502</v>
      </c>
      <c r="U165" s="1430">
        <f t="shared" si="39"/>
        <v>16.015915176018758</v>
      </c>
      <c r="V165" s="1430">
        <f t="shared" si="39"/>
        <v>0</v>
      </c>
      <c r="W165" s="1431">
        <f t="shared" si="39"/>
        <v>0.96095491056112547</v>
      </c>
    </row>
    <row r="166" spans="1:23">
      <c r="A166" s="123">
        <f>'Input data'!A134</f>
        <v>2034</v>
      </c>
      <c r="B166" s="1439">
        <f>'Recycling - Case 2'!B113*'Recycling - Case 2'!AI113</f>
        <v>2527.214079418201</v>
      </c>
      <c r="C166" s="1440">
        <f t="shared" si="46"/>
        <v>0.1</v>
      </c>
      <c r="D166" s="1440">
        <f t="shared" si="46"/>
        <v>0.9</v>
      </c>
      <c r="E166" s="53">
        <v>0</v>
      </c>
      <c r="F166" s="53">
        <v>0</v>
      </c>
      <c r="G166" s="898">
        <f t="shared" si="41"/>
        <v>0.20217712635345611</v>
      </c>
      <c r="H166" s="598">
        <f t="shared" si="42"/>
        <v>9.0979706859055245</v>
      </c>
      <c r="I166" s="53"/>
      <c r="J166" s="898">
        <f t="shared" si="43"/>
        <v>0.54587824115433137</v>
      </c>
      <c r="K166" s="1441">
        <f>'Recycling - Case 2'!C153*'Recycling - Case 2'!Z153</f>
        <v>1999.0408264543346</v>
      </c>
      <c r="L166" s="1440">
        <f t="shared" si="47"/>
        <v>0.1</v>
      </c>
      <c r="M166" s="1440">
        <f t="shared" si="47"/>
        <v>0.9</v>
      </c>
      <c r="N166" s="53">
        <f t="shared" si="44"/>
        <v>0</v>
      </c>
      <c r="O166" s="53">
        <f t="shared" si="44"/>
        <v>0</v>
      </c>
      <c r="P166" s="898">
        <f t="shared" si="45"/>
        <v>0.1599232661163468</v>
      </c>
      <c r="Q166" s="598">
        <f t="shared" si="37"/>
        <v>7.1965469752356048</v>
      </c>
      <c r="R166" s="53"/>
      <c r="S166" s="1442">
        <f t="shared" si="38"/>
        <v>0.43179281851413631</v>
      </c>
      <c r="T166" s="1429">
        <f t="shared" si="39"/>
        <v>0.36210039246980291</v>
      </c>
      <c r="U166" s="1430">
        <f t="shared" si="39"/>
        <v>16.294517661141128</v>
      </c>
      <c r="V166" s="1430">
        <f t="shared" si="39"/>
        <v>0</v>
      </c>
      <c r="W166" s="1431">
        <f t="shared" si="39"/>
        <v>0.97767105966846768</v>
      </c>
    </row>
    <row r="167" spans="1:23">
      <c r="A167" s="123">
        <f>'Input data'!A135</f>
        <v>2035</v>
      </c>
      <c r="B167" s="1439">
        <f>'Recycling - Case 2'!B114*'Recycling - Case 2'!AI114</f>
        <v>2548.7689337380189</v>
      </c>
      <c r="C167" s="1440">
        <f t="shared" si="46"/>
        <v>0.1</v>
      </c>
      <c r="D167" s="1440">
        <f t="shared" si="46"/>
        <v>0.9</v>
      </c>
      <c r="E167" s="53">
        <v>0</v>
      </c>
      <c r="F167" s="53">
        <v>0</v>
      </c>
      <c r="G167" s="898">
        <f t="shared" si="41"/>
        <v>0.20390151469904155</v>
      </c>
      <c r="H167" s="598">
        <f t="shared" si="42"/>
        <v>9.1755681614568676</v>
      </c>
      <c r="I167" s="53"/>
      <c r="J167" s="898">
        <f t="shared" si="43"/>
        <v>0.55053408968741213</v>
      </c>
      <c r="K167" s="1441">
        <f>'Recycling - Case 2'!C154*'Recycling - Case 2'!Z154</f>
        <v>2058.8764688878668</v>
      </c>
      <c r="L167" s="1440">
        <f t="shared" si="47"/>
        <v>0.1</v>
      </c>
      <c r="M167" s="1440">
        <f t="shared" si="47"/>
        <v>0.9</v>
      </c>
      <c r="N167" s="53">
        <f t="shared" ref="N167:O182" si="48">N165</f>
        <v>0</v>
      </c>
      <c r="O167" s="53">
        <f t="shared" si="48"/>
        <v>0</v>
      </c>
      <c r="P167" s="898">
        <f t="shared" si="45"/>
        <v>0.16471011751102937</v>
      </c>
      <c r="Q167" s="598">
        <f t="shared" si="37"/>
        <v>7.4119552879963209</v>
      </c>
      <c r="R167" s="53"/>
      <c r="S167" s="1442">
        <f t="shared" si="38"/>
        <v>0.44471731727977926</v>
      </c>
      <c r="T167" s="1429">
        <f t="shared" si="39"/>
        <v>0.36861163221007093</v>
      </c>
      <c r="U167" s="1430">
        <f t="shared" si="39"/>
        <v>16.587523449453187</v>
      </c>
      <c r="V167" s="1430">
        <f t="shared" si="39"/>
        <v>0</v>
      </c>
      <c r="W167" s="1431">
        <f t="shared" si="39"/>
        <v>0.99525140696719139</v>
      </c>
    </row>
    <row r="168" spans="1:23">
      <c r="A168" s="123">
        <f>'Input data'!A136</f>
        <v>2036</v>
      </c>
      <c r="B168" s="1439">
        <f>'Recycling - Case 2'!B115*'Recycling - Case 2'!AI115</f>
        <v>2567.4349931489946</v>
      </c>
      <c r="C168" s="1440">
        <f t="shared" si="46"/>
        <v>0.1</v>
      </c>
      <c r="D168" s="1440">
        <f t="shared" si="46"/>
        <v>0.9</v>
      </c>
      <c r="E168" s="53">
        <v>0</v>
      </c>
      <c r="F168" s="53">
        <v>0</v>
      </c>
      <c r="G168" s="898">
        <f t="shared" si="41"/>
        <v>0.20539479945191963</v>
      </c>
      <c r="H168" s="598">
        <f t="shared" si="42"/>
        <v>9.2427659753363809</v>
      </c>
      <c r="I168" s="53"/>
      <c r="J168" s="898">
        <f t="shared" si="43"/>
        <v>0.55456595852018276</v>
      </c>
      <c r="K168" s="1441">
        <f>'Recycling - Case 2'!C155*'Recycling - Case 2'!Z155</f>
        <v>2120.481642485363</v>
      </c>
      <c r="L168" s="1440">
        <f t="shared" si="47"/>
        <v>0.1</v>
      </c>
      <c r="M168" s="1440">
        <f t="shared" si="47"/>
        <v>0.9</v>
      </c>
      <c r="N168" s="53">
        <f t="shared" si="48"/>
        <v>0</v>
      </c>
      <c r="O168" s="53">
        <f t="shared" si="48"/>
        <v>0</v>
      </c>
      <c r="P168" s="898">
        <f t="shared" si="45"/>
        <v>0.16963853139882906</v>
      </c>
      <c r="Q168" s="598">
        <f t="shared" si="37"/>
        <v>7.6337339129473065</v>
      </c>
      <c r="R168" s="53"/>
      <c r="S168" s="1442">
        <f t="shared" si="38"/>
        <v>0.4580240347768384</v>
      </c>
      <c r="T168" s="1429">
        <f t="shared" si="39"/>
        <v>0.37503333085074869</v>
      </c>
      <c r="U168" s="1430">
        <f t="shared" si="39"/>
        <v>16.876499888283689</v>
      </c>
      <c r="V168" s="1430">
        <f t="shared" si="39"/>
        <v>0</v>
      </c>
      <c r="W168" s="1431">
        <f t="shared" si="39"/>
        <v>1.0125899932970213</v>
      </c>
    </row>
    <row r="169" spans="1:23">
      <c r="A169" s="123">
        <f>'Input data'!A137</f>
        <v>2037</v>
      </c>
      <c r="B169" s="1439">
        <f>'Recycling - Case 2'!B116*'Recycling - Case 2'!AI116</f>
        <v>2586.2121600564647</v>
      </c>
      <c r="C169" s="1440">
        <f t="shared" si="46"/>
        <v>0.1</v>
      </c>
      <c r="D169" s="1440">
        <f t="shared" si="46"/>
        <v>0.9</v>
      </c>
      <c r="E169" s="53">
        <v>0</v>
      </c>
      <c r="F169" s="53">
        <v>0</v>
      </c>
      <c r="G169" s="898">
        <f t="shared" si="41"/>
        <v>0.20689697280451722</v>
      </c>
      <c r="H169" s="598">
        <f t="shared" si="42"/>
        <v>9.3103637762032729</v>
      </c>
      <c r="I169" s="53"/>
      <c r="J169" s="898">
        <f t="shared" si="43"/>
        <v>0.55862182657219639</v>
      </c>
      <c r="K169" s="1441">
        <f>'Recycling - Case 2'!C156*'Recycling - Case 2'!Z156</f>
        <v>2184.7092514643577</v>
      </c>
      <c r="L169" s="1440">
        <f t="shared" si="47"/>
        <v>0.1</v>
      </c>
      <c r="M169" s="1440">
        <f t="shared" si="47"/>
        <v>0.9</v>
      </c>
      <c r="N169" s="53">
        <f t="shared" si="48"/>
        <v>0</v>
      </c>
      <c r="O169" s="53">
        <f t="shared" si="48"/>
        <v>0</v>
      </c>
      <c r="P169" s="898">
        <f t="shared" si="45"/>
        <v>0.17477674011714864</v>
      </c>
      <c r="Q169" s="598">
        <f t="shared" si="37"/>
        <v>7.8649533052716878</v>
      </c>
      <c r="R169" s="53"/>
      <c r="S169" s="1442">
        <f t="shared" si="38"/>
        <v>0.47189719831630128</v>
      </c>
      <c r="T169" s="1429">
        <f t="shared" si="39"/>
        <v>0.38167371292166585</v>
      </c>
      <c r="U169" s="1430">
        <f t="shared" si="39"/>
        <v>17.175317081474962</v>
      </c>
      <c r="V169" s="1430">
        <f t="shared" si="39"/>
        <v>0</v>
      </c>
      <c r="W169" s="1431">
        <f t="shared" si="39"/>
        <v>1.0305190248884977</v>
      </c>
    </row>
    <row r="170" spans="1:23">
      <c r="A170" s="123">
        <f>'Input data'!A138</f>
        <v>2038</v>
      </c>
      <c r="B170" s="1439">
        <f>'Recycling - Case 2'!B117*'Recycling - Case 2'!AI117</f>
        <v>2605.174506124758</v>
      </c>
      <c r="C170" s="1440">
        <f t="shared" si="46"/>
        <v>0.1</v>
      </c>
      <c r="D170" s="1440">
        <f t="shared" si="46"/>
        <v>0.9</v>
      </c>
      <c r="E170" s="53">
        <v>0</v>
      </c>
      <c r="F170" s="53">
        <v>0</v>
      </c>
      <c r="G170" s="898">
        <f t="shared" si="41"/>
        <v>0.20841396048998068</v>
      </c>
      <c r="H170" s="598">
        <f t="shared" si="42"/>
        <v>9.3786282220491284</v>
      </c>
      <c r="I170" s="53"/>
      <c r="J170" s="898">
        <f t="shared" si="43"/>
        <v>0.56271769332294774</v>
      </c>
      <c r="K170" s="1441">
        <f>'Recycling - Case 2'!C157*'Recycling - Case 2'!Z157</f>
        <v>2556.4821270854186</v>
      </c>
      <c r="L170" s="1440">
        <f t="shared" si="47"/>
        <v>0.1</v>
      </c>
      <c r="M170" s="1440">
        <f t="shared" si="47"/>
        <v>0.9</v>
      </c>
      <c r="N170" s="53">
        <f t="shared" si="48"/>
        <v>0</v>
      </c>
      <c r="O170" s="53">
        <f t="shared" si="48"/>
        <v>0</v>
      </c>
      <c r="P170" s="898">
        <f t="shared" si="45"/>
        <v>0.20451857016683353</v>
      </c>
      <c r="Q170" s="598">
        <f t="shared" si="37"/>
        <v>9.2033356575075072</v>
      </c>
      <c r="R170" s="53"/>
      <c r="S170" s="1442">
        <f t="shared" si="38"/>
        <v>0.55220013945045032</v>
      </c>
      <c r="T170" s="1429">
        <f t="shared" si="39"/>
        <v>0.41293253065681423</v>
      </c>
      <c r="U170" s="1430">
        <f t="shared" si="39"/>
        <v>18.581963879556636</v>
      </c>
      <c r="V170" s="1430">
        <f t="shared" si="39"/>
        <v>0</v>
      </c>
      <c r="W170" s="1431">
        <f t="shared" si="39"/>
        <v>1.114917832773398</v>
      </c>
    </row>
    <row r="171" spans="1:23">
      <c r="A171" s="123">
        <f>'Input data'!A139</f>
        <v>2039</v>
      </c>
      <c r="B171" s="1439">
        <f>'Recycling - Case 2'!B118*'Recycling - Case 2'!AI118</f>
        <v>2624.247959689545</v>
      </c>
      <c r="C171" s="1440">
        <f t="shared" si="46"/>
        <v>0.1</v>
      </c>
      <c r="D171" s="1440">
        <f t="shared" si="46"/>
        <v>0.9</v>
      </c>
      <c r="E171" s="53">
        <v>0</v>
      </c>
      <c r="F171" s="53">
        <v>0</v>
      </c>
      <c r="G171" s="898">
        <f t="shared" si="41"/>
        <v>0.20993983677516365</v>
      </c>
      <c r="H171" s="598">
        <f t="shared" si="42"/>
        <v>9.4472926548823608</v>
      </c>
      <c r="I171" s="53"/>
      <c r="J171" s="898">
        <f t="shared" si="43"/>
        <v>0.56683755929294166</v>
      </c>
      <c r="K171" s="1441">
        <f>'Recycling - Case 2'!C158*'Recycling - Case 2'!Z158</f>
        <v>3617.5286687971379</v>
      </c>
      <c r="L171" s="1440">
        <f t="shared" si="47"/>
        <v>0.1</v>
      </c>
      <c r="M171" s="1440">
        <f t="shared" si="47"/>
        <v>0.9</v>
      </c>
      <c r="N171" s="53">
        <f t="shared" si="48"/>
        <v>0</v>
      </c>
      <c r="O171" s="53">
        <f t="shared" si="48"/>
        <v>0</v>
      </c>
      <c r="P171" s="898">
        <f t="shared" si="45"/>
        <v>0.28940229350377111</v>
      </c>
      <c r="Q171" s="598">
        <f t="shared" si="37"/>
        <v>13.023103207669697</v>
      </c>
      <c r="R171" s="53"/>
      <c r="S171" s="1442">
        <f t="shared" si="38"/>
        <v>0.78138619246018171</v>
      </c>
      <c r="T171" s="1429">
        <f t="shared" si="39"/>
        <v>0.49934213027893476</v>
      </c>
      <c r="U171" s="1430">
        <f t="shared" si="39"/>
        <v>22.47039586255206</v>
      </c>
      <c r="V171" s="1430">
        <f t="shared" si="39"/>
        <v>0</v>
      </c>
      <c r="W171" s="1431">
        <f t="shared" si="39"/>
        <v>1.3482237517531233</v>
      </c>
    </row>
    <row r="172" spans="1:23">
      <c r="A172" s="123">
        <f>'Input data'!A140</f>
        <v>2040</v>
      </c>
      <c r="B172" s="1439">
        <f>'Recycling - Case 2'!B119*'Recycling - Case 2'!AI119</f>
        <v>2643.4325207508259</v>
      </c>
      <c r="C172" s="1440">
        <f t="shared" ref="C172:D182" si="49">C171</f>
        <v>0.1</v>
      </c>
      <c r="D172" s="1440">
        <f t="shared" si="49"/>
        <v>0.9</v>
      </c>
      <c r="E172" s="53">
        <v>0</v>
      </c>
      <c r="F172" s="53">
        <v>0</v>
      </c>
      <c r="G172" s="898">
        <f t="shared" si="41"/>
        <v>0.21147460166006612</v>
      </c>
      <c r="H172" s="598">
        <f t="shared" si="42"/>
        <v>9.5163570747029738</v>
      </c>
      <c r="I172" s="53"/>
      <c r="J172" s="898">
        <f t="shared" si="43"/>
        <v>0.57098142448217837</v>
      </c>
      <c r="K172" s="1441">
        <f>'Recycling - Case 2'!C159*'Recycling - Case 2'!Z159</f>
        <v>4696.5967929774069</v>
      </c>
      <c r="L172" s="1440">
        <f t="shared" ref="L172:M182" si="50">L171</f>
        <v>0.1</v>
      </c>
      <c r="M172" s="1440">
        <f t="shared" si="50"/>
        <v>0.9</v>
      </c>
      <c r="N172" s="53">
        <f t="shared" si="48"/>
        <v>0</v>
      </c>
      <c r="O172" s="53">
        <f t="shared" si="48"/>
        <v>0</v>
      </c>
      <c r="P172" s="898">
        <f t="shared" si="45"/>
        <v>0.37572774343819265</v>
      </c>
      <c r="Q172" s="598">
        <f t="shared" si="37"/>
        <v>16.907748454718664</v>
      </c>
      <c r="R172" s="53"/>
      <c r="S172" s="1442">
        <f t="shared" si="38"/>
        <v>1.01446490728312</v>
      </c>
      <c r="T172" s="1429">
        <f t="shared" si="39"/>
        <v>0.58720234509825875</v>
      </c>
      <c r="U172" s="1430">
        <f t="shared" si="39"/>
        <v>26.424105529421638</v>
      </c>
      <c r="V172" s="1430">
        <f t="shared" si="39"/>
        <v>0</v>
      </c>
      <c r="W172" s="1431">
        <f t="shared" si="39"/>
        <v>1.5854463317652985</v>
      </c>
    </row>
    <row r="173" spans="1:23">
      <c r="A173" s="123">
        <f>'Input data'!A141</f>
        <v>2041</v>
      </c>
      <c r="B173" s="1439">
        <f>'Recycling - Case 2'!B120*'Recycling - Case 2'!AI120</f>
        <v>2659.8764302319241</v>
      </c>
      <c r="C173" s="1440">
        <f t="shared" si="49"/>
        <v>0.1</v>
      </c>
      <c r="D173" s="1440">
        <f t="shared" si="49"/>
        <v>0.9</v>
      </c>
      <c r="E173" s="53">
        <v>0</v>
      </c>
      <c r="F173" s="53">
        <v>0</v>
      </c>
      <c r="G173" s="898">
        <f t="shared" si="41"/>
        <v>0.21279011441855397</v>
      </c>
      <c r="H173" s="598">
        <f t="shared" si="42"/>
        <v>9.5755551488349262</v>
      </c>
      <c r="I173" s="53"/>
      <c r="J173" s="898">
        <f t="shared" si="43"/>
        <v>0.57453330893009558</v>
      </c>
      <c r="K173" s="1441">
        <f>'Recycling - Case 2'!C160*'Recycling - Case 2'!Z160</f>
        <v>5368.256159484923</v>
      </c>
      <c r="L173" s="1440">
        <f t="shared" si="50"/>
        <v>0.1</v>
      </c>
      <c r="M173" s="1440">
        <f t="shared" si="50"/>
        <v>0.9</v>
      </c>
      <c r="N173" s="53">
        <f t="shared" si="48"/>
        <v>0</v>
      </c>
      <c r="O173" s="53">
        <f t="shared" si="48"/>
        <v>0</v>
      </c>
      <c r="P173" s="898">
        <f t="shared" si="45"/>
        <v>0.42946049275879394</v>
      </c>
      <c r="Q173" s="598">
        <f t="shared" si="37"/>
        <v>19.325722174145724</v>
      </c>
      <c r="R173" s="53"/>
      <c r="S173" s="1442">
        <f t="shared" si="38"/>
        <v>1.1595433304487432</v>
      </c>
      <c r="T173" s="1429">
        <f t="shared" si="39"/>
        <v>0.64225060717734794</v>
      </c>
      <c r="U173" s="1430">
        <f t="shared" si="39"/>
        <v>28.901277322980651</v>
      </c>
      <c r="V173" s="1430">
        <f t="shared" si="39"/>
        <v>0</v>
      </c>
      <c r="W173" s="1431">
        <f t="shared" si="39"/>
        <v>1.7340766393788387</v>
      </c>
    </row>
    <row r="174" spans="1:23">
      <c r="A174" s="123">
        <f>'Input data'!A142</f>
        <v>2042</v>
      </c>
      <c r="B174" s="1439">
        <f>'Recycling - Case 2'!B121*'Recycling - Case 2'!AI121</f>
        <v>2676.3944113773509</v>
      </c>
      <c r="C174" s="1440">
        <f t="shared" si="49"/>
        <v>0.1</v>
      </c>
      <c r="D174" s="1440">
        <f t="shared" si="49"/>
        <v>0.9</v>
      </c>
      <c r="E174" s="53">
        <v>0</v>
      </c>
      <c r="F174" s="53">
        <v>0</v>
      </c>
      <c r="G174" s="898">
        <f t="shared" si="41"/>
        <v>0.21411155291018813</v>
      </c>
      <c r="H174" s="598">
        <f t="shared" si="42"/>
        <v>9.6350198809584633</v>
      </c>
      <c r="I174" s="53"/>
      <c r="J174" s="898">
        <f t="shared" si="43"/>
        <v>0.57810119285750783</v>
      </c>
      <c r="K174" s="1441">
        <f>'Recycling - Case 2'!C161*'Recycling - Case 2'!Z161</f>
        <v>6053.7929945678707</v>
      </c>
      <c r="L174" s="1440">
        <f t="shared" si="50"/>
        <v>0.1</v>
      </c>
      <c r="M174" s="1440">
        <f t="shared" si="50"/>
        <v>0.9</v>
      </c>
      <c r="N174" s="53">
        <f t="shared" si="48"/>
        <v>0</v>
      </c>
      <c r="O174" s="53">
        <f t="shared" si="48"/>
        <v>0</v>
      </c>
      <c r="P174" s="898">
        <f t="shared" si="45"/>
        <v>0.48430343956542976</v>
      </c>
      <c r="Q174" s="598">
        <f t="shared" si="37"/>
        <v>21.793654780444335</v>
      </c>
      <c r="R174" s="53"/>
      <c r="S174" s="1442">
        <f t="shared" si="38"/>
        <v>1.3076192868266601</v>
      </c>
      <c r="T174" s="1429">
        <f t="shared" si="39"/>
        <v>0.69841499247561789</v>
      </c>
      <c r="U174" s="1430">
        <f t="shared" si="39"/>
        <v>31.428674661402798</v>
      </c>
      <c r="V174" s="1430">
        <f t="shared" si="39"/>
        <v>0</v>
      </c>
      <c r="W174" s="1431">
        <f t="shared" si="39"/>
        <v>1.885720479684168</v>
      </c>
    </row>
    <row r="175" spans="1:23">
      <c r="A175" s="123">
        <f>'Input data'!A143</f>
        <v>2043</v>
      </c>
      <c r="B175" s="1439">
        <f>'Recycling - Case 2'!B122*'Recycling - Case 2'!AI122</f>
        <v>2693.023500019272</v>
      </c>
      <c r="C175" s="1440">
        <f t="shared" si="49"/>
        <v>0.1</v>
      </c>
      <c r="D175" s="1440">
        <f t="shared" si="49"/>
        <v>0.9</v>
      </c>
      <c r="E175" s="53">
        <v>0</v>
      </c>
      <c r="F175" s="53">
        <v>0</v>
      </c>
      <c r="G175" s="898">
        <f t="shared" si="41"/>
        <v>0.2154418800015418</v>
      </c>
      <c r="H175" s="598">
        <f t="shared" si="42"/>
        <v>9.6948846000693791</v>
      </c>
      <c r="I175" s="53"/>
      <c r="J175" s="898">
        <f t="shared" si="43"/>
        <v>0.58169307600416276</v>
      </c>
      <c r="K175" s="1441">
        <f>'Recycling - Case 2'!C162*'Recycling - Case 2'!Z162</f>
        <v>6752.3572235815018</v>
      </c>
      <c r="L175" s="1440">
        <f t="shared" si="50"/>
        <v>0.1</v>
      </c>
      <c r="M175" s="1440">
        <f t="shared" si="50"/>
        <v>0.9</v>
      </c>
      <c r="N175" s="53">
        <f t="shared" si="48"/>
        <v>0</v>
      </c>
      <c r="O175" s="53">
        <f t="shared" si="48"/>
        <v>0</v>
      </c>
      <c r="P175" s="898">
        <f t="shared" si="45"/>
        <v>0.54018857788652019</v>
      </c>
      <c r="Q175" s="598">
        <f t="shared" si="37"/>
        <v>24.308486004893407</v>
      </c>
      <c r="R175" s="53"/>
      <c r="S175" s="1442">
        <f t="shared" si="38"/>
        <v>1.4585091602936042</v>
      </c>
      <c r="T175" s="1429">
        <f t="shared" si="39"/>
        <v>0.75563045788806193</v>
      </c>
      <c r="U175" s="1430">
        <f t="shared" si="39"/>
        <v>34.003370604962782</v>
      </c>
      <c r="V175" s="1430">
        <f t="shared" si="39"/>
        <v>0</v>
      </c>
      <c r="W175" s="1431">
        <f t="shared" si="39"/>
        <v>2.040202236297767</v>
      </c>
    </row>
    <row r="176" spans="1:23">
      <c r="A176" s="123">
        <f>'Input data'!A144</f>
        <v>2044</v>
      </c>
      <c r="B176" s="1439">
        <f>'Recycling - Case 2'!B123*'Recycling - Case 2'!AI123</f>
        <v>2709.726660325523</v>
      </c>
      <c r="C176" s="1440">
        <f t="shared" si="49"/>
        <v>0.1</v>
      </c>
      <c r="D176" s="1440">
        <f t="shared" si="49"/>
        <v>0.9</v>
      </c>
      <c r="E176" s="53">
        <v>0</v>
      </c>
      <c r="F176" s="53">
        <v>0</v>
      </c>
      <c r="G176" s="898">
        <f t="shared" si="41"/>
        <v>0.21677813282604189</v>
      </c>
      <c r="H176" s="598">
        <f t="shared" si="42"/>
        <v>9.7550159771718832</v>
      </c>
      <c r="I176" s="53"/>
      <c r="J176" s="898">
        <f t="shared" si="43"/>
        <v>0.58530095863031295</v>
      </c>
      <c r="K176" s="1441">
        <f>'Recycling - Case 2'!C163*'Recycling - Case 2'!Z163</f>
        <v>7465.8402626103825</v>
      </c>
      <c r="L176" s="1440">
        <f t="shared" si="50"/>
        <v>0.1</v>
      </c>
      <c r="M176" s="1440">
        <f t="shared" si="50"/>
        <v>0.9</v>
      </c>
      <c r="N176" s="53">
        <f t="shared" si="48"/>
        <v>0</v>
      </c>
      <c r="O176" s="53">
        <f t="shared" si="48"/>
        <v>0</v>
      </c>
      <c r="P176" s="898">
        <f t="shared" si="45"/>
        <v>0.59726722100883067</v>
      </c>
      <c r="Q176" s="598">
        <f t="shared" si="37"/>
        <v>26.877024945397377</v>
      </c>
      <c r="R176" s="53"/>
      <c r="S176" s="1442">
        <f t="shared" si="38"/>
        <v>1.6126214967238428</v>
      </c>
      <c r="T176" s="1429">
        <f t="shared" si="39"/>
        <v>0.81404535383487253</v>
      </c>
      <c r="U176" s="1430">
        <f t="shared" si="39"/>
        <v>36.63204092256926</v>
      </c>
      <c r="V176" s="1430">
        <f t="shared" si="39"/>
        <v>0</v>
      </c>
      <c r="W176" s="1431">
        <f t="shared" si="39"/>
        <v>2.1979224553541559</v>
      </c>
    </row>
    <row r="177" spans="1:23">
      <c r="A177" s="123">
        <f>'Input data'!A145</f>
        <v>2045</v>
      </c>
      <c r="B177" s="1439">
        <f>'Recycling - Case 2'!B124*'Recycling - Case 2'!AI124</f>
        <v>2726.5779639604316</v>
      </c>
      <c r="C177" s="1440">
        <f t="shared" si="49"/>
        <v>0.1</v>
      </c>
      <c r="D177" s="1440">
        <f t="shared" si="49"/>
        <v>0.9</v>
      </c>
      <c r="E177" s="53">
        <v>0</v>
      </c>
      <c r="F177" s="53">
        <v>0</v>
      </c>
      <c r="G177" s="898">
        <f t="shared" si="41"/>
        <v>0.21812623711683457</v>
      </c>
      <c r="H177" s="598">
        <f t="shared" si="42"/>
        <v>9.8156806702575548</v>
      </c>
      <c r="I177" s="53"/>
      <c r="J177" s="898">
        <f t="shared" si="43"/>
        <v>0.58894084021545323</v>
      </c>
      <c r="K177" s="1441">
        <f>'Recycling - Case 2'!C164*'Recycling - Case 2'!Z164</f>
        <v>8202.1053021183707</v>
      </c>
      <c r="L177" s="1440">
        <f t="shared" si="50"/>
        <v>0.1</v>
      </c>
      <c r="M177" s="1440">
        <f t="shared" si="50"/>
        <v>0.9</v>
      </c>
      <c r="N177" s="53">
        <f t="shared" si="48"/>
        <v>0</v>
      </c>
      <c r="O177" s="53">
        <f t="shared" si="48"/>
        <v>0</v>
      </c>
      <c r="P177" s="898">
        <f t="shared" si="45"/>
        <v>0.65616842416946974</v>
      </c>
      <c r="Q177" s="598">
        <f t="shared" si="37"/>
        <v>29.527579087626133</v>
      </c>
      <c r="R177" s="53"/>
      <c r="S177" s="1442">
        <f t="shared" si="38"/>
        <v>1.7716547452575679</v>
      </c>
      <c r="T177" s="1429">
        <f t="shared" si="39"/>
        <v>0.87429466128630429</v>
      </c>
      <c r="U177" s="1430">
        <f t="shared" si="39"/>
        <v>39.343259757883686</v>
      </c>
      <c r="V177" s="1430">
        <f t="shared" si="39"/>
        <v>0</v>
      </c>
      <c r="W177" s="1431">
        <f t="shared" si="39"/>
        <v>2.3605955854730212</v>
      </c>
    </row>
    <row r="178" spans="1:23">
      <c r="A178" s="123">
        <f>'Input data'!A146</f>
        <v>2046</v>
      </c>
      <c r="B178" s="1439">
        <f>'Recycling - Case 2'!B125*'Recycling - Case 2'!AI125</f>
        <v>2740.46640102217</v>
      </c>
      <c r="C178" s="1440">
        <f t="shared" si="49"/>
        <v>0.1</v>
      </c>
      <c r="D178" s="1440">
        <f t="shared" si="49"/>
        <v>0.9</v>
      </c>
      <c r="E178" s="53">
        <v>0</v>
      </c>
      <c r="F178" s="53">
        <v>0</v>
      </c>
      <c r="G178" s="898">
        <f t="shared" si="41"/>
        <v>0.21923731208177363</v>
      </c>
      <c r="H178" s="598">
        <f t="shared" si="42"/>
        <v>9.8656790436798136</v>
      </c>
      <c r="I178" s="53"/>
      <c r="J178" s="898">
        <f t="shared" si="43"/>
        <v>0.59194074262078866</v>
      </c>
      <c r="K178" s="1441">
        <f>'Recycling - Case 2'!C165*'Recycling - Case 2'!Z165</f>
        <v>8957.6457841959073</v>
      </c>
      <c r="L178" s="1440">
        <f t="shared" si="50"/>
        <v>0.1</v>
      </c>
      <c r="M178" s="1440">
        <f t="shared" si="50"/>
        <v>0.9</v>
      </c>
      <c r="N178" s="53">
        <f t="shared" si="48"/>
        <v>0</v>
      </c>
      <c r="O178" s="53">
        <f t="shared" si="48"/>
        <v>0</v>
      </c>
      <c r="P178" s="898">
        <f t="shared" si="45"/>
        <v>0.71661166273567267</v>
      </c>
      <c r="Q178" s="598">
        <f t="shared" si="37"/>
        <v>32.247524823105266</v>
      </c>
      <c r="R178" s="53"/>
      <c r="S178" s="1442">
        <f t="shared" si="38"/>
        <v>1.934851489386316</v>
      </c>
      <c r="T178" s="1429">
        <f t="shared" si="39"/>
        <v>0.93584897481744633</v>
      </c>
      <c r="U178" s="1430">
        <f t="shared" si="39"/>
        <v>42.113203866785078</v>
      </c>
      <c r="V178" s="1430">
        <f t="shared" si="39"/>
        <v>0</v>
      </c>
      <c r="W178" s="1431">
        <f t="shared" si="39"/>
        <v>2.5267922320071046</v>
      </c>
    </row>
    <row r="179" spans="1:23">
      <c r="A179" s="123">
        <f>'Input data'!A147</f>
        <v>2047</v>
      </c>
      <c r="B179" s="1439">
        <f>'Recycling - Case 2'!B126*'Recycling - Case 2'!AI126</f>
        <v>2754.4659455804021</v>
      </c>
      <c r="C179" s="1440">
        <f t="shared" si="49"/>
        <v>0.1</v>
      </c>
      <c r="D179" s="1440">
        <f t="shared" si="49"/>
        <v>0.9</v>
      </c>
      <c r="E179" s="53">
        <v>0</v>
      </c>
      <c r="F179" s="53">
        <v>0</v>
      </c>
      <c r="G179" s="898">
        <f t="shared" si="41"/>
        <v>0.2203572756464322</v>
      </c>
      <c r="H179" s="598">
        <f t="shared" si="42"/>
        <v>9.9160774040894477</v>
      </c>
      <c r="I179" s="53"/>
      <c r="J179" s="898">
        <f t="shared" si="43"/>
        <v>0.59496464424536688</v>
      </c>
      <c r="K179" s="1441">
        <f>'Recycling - Case 2'!C166*'Recycling - Case 2'!Z166</f>
        <v>9732.7167312364109</v>
      </c>
      <c r="L179" s="1440">
        <f t="shared" si="50"/>
        <v>0.1</v>
      </c>
      <c r="M179" s="1440">
        <f t="shared" si="50"/>
        <v>0.9</v>
      </c>
      <c r="N179" s="53">
        <f t="shared" si="48"/>
        <v>0</v>
      </c>
      <c r="O179" s="53">
        <f t="shared" si="48"/>
        <v>0</v>
      </c>
      <c r="P179" s="898">
        <f t="shared" si="45"/>
        <v>0.77861733849891301</v>
      </c>
      <c r="Q179" s="598">
        <f t="shared" si="37"/>
        <v>35.037780232451077</v>
      </c>
      <c r="R179" s="53"/>
      <c r="S179" s="1442">
        <f t="shared" si="38"/>
        <v>2.1022668139470646</v>
      </c>
      <c r="T179" s="1429">
        <f t="shared" si="39"/>
        <v>0.99897461414534527</v>
      </c>
      <c r="U179" s="1430">
        <f t="shared" si="39"/>
        <v>44.953857636540526</v>
      </c>
      <c r="V179" s="1430">
        <f t="shared" si="39"/>
        <v>0</v>
      </c>
      <c r="W179" s="1431">
        <f t="shared" si="39"/>
        <v>2.6972314581924315</v>
      </c>
    </row>
    <row r="180" spans="1:23">
      <c r="A180" s="123">
        <f>'Input data'!A148</f>
        <v>2048</v>
      </c>
      <c r="B180" s="1439">
        <f>'Recycling - Case 2'!B127*'Recycling - Case 2'!AI127</f>
        <v>2768.5395618029629</v>
      </c>
      <c r="C180" s="1440">
        <f t="shared" si="49"/>
        <v>0.1</v>
      </c>
      <c r="D180" s="1440">
        <f t="shared" si="49"/>
        <v>0.9</v>
      </c>
      <c r="E180" s="53">
        <v>0</v>
      </c>
      <c r="F180" s="53">
        <v>0</v>
      </c>
      <c r="G180" s="898">
        <f t="shared" si="41"/>
        <v>0.22148316494423709</v>
      </c>
      <c r="H180" s="598">
        <f t="shared" si="42"/>
        <v>9.9667424224906664</v>
      </c>
      <c r="I180" s="53"/>
      <c r="J180" s="898">
        <f t="shared" si="43"/>
        <v>0.59800454534944003</v>
      </c>
      <c r="K180" s="1441">
        <f>'Recycling - Case 2'!C167*'Recycling - Case 2'!Z167</f>
        <v>10512.718111216431</v>
      </c>
      <c r="L180" s="1440">
        <f t="shared" si="50"/>
        <v>0.1</v>
      </c>
      <c r="M180" s="1440">
        <f t="shared" si="50"/>
        <v>0.9</v>
      </c>
      <c r="N180" s="53">
        <f t="shared" si="48"/>
        <v>0</v>
      </c>
      <c r="O180" s="53">
        <f t="shared" si="48"/>
        <v>0</v>
      </c>
      <c r="P180" s="898">
        <f t="shared" si="45"/>
        <v>0.84101744889731456</v>
      </c>
      <c r="Q180" s="598">
        <f t="shared" si="37"/>
        <v>37.845785200379147</v>
      </c>
      <c r="R180" s="53"/>
      <c r="S180" s="1442">
        <f t="shared" si="38"/>
        <v>2.2707471120227494</v>
      </c>
      <c r="T180" s="1429">
        <f t="shared" si="39"/>
        <v>1.0625006138415516</v>
      </c>
      <c r="U180" s="1430">
        <f t="shared" si="39"/>
        <v>47.812527622869816</v>
      </c>
      <c r="V180" s="1430">
        <f t="shared" si="39"/>
        <v>0</v>
      </c>
      <c r="W180" s="1431">
        <f t="shared" si="39"/>
        <v>2.8687516573721892</v>
      </c>
    </row>
    <row r="181" spans="1:23">
      <c r="A181" s="123">
        <f>'Input data'!A149</f>
        <v>2049</v>
      </c>
      <c r="B181" s="1439">
        <f>'Recycling - Case 2'!B128*'Recycling - Case 2'!AI128</f>
        <v>2782.6502138576889</v>
      </c>
      <c r="C181" s="1440">
        <f t="shared" si="49"/>
        <v>0.1</v>
      </c>
      <c r="D181" s="1440">
        <f t="shared" si="49"/>
        <v>0.9</v>
      </c>
      <c r="E181" s="53">
        <v>0</v>
      </c>
      <c r="F181" s="53">
        <v>0</v>
      </c>
      <c r="G181" s="898">
        <f t="shared" si="41"/>
        <v>0.22261201710861517</v>
      </c>
      <c r="H181" s="598">
        <f t="shared" si="42"/>
        <v>10.017540769887681</v>
      </c>
      <c r="I181" s="53"/>
      <c r="J181" s="898">
        <f t="shared" si="43"/>
        <v>0.60105244619326081</v>
      </c>
      <c r="K181" s="1441">
        <f>'Recycling - Case 2'!C168*'Recycling - Case 2'!Z168</f>
        <v>11314.098868511739</v>
      </c>
      <c r="L181" s="1440">
        <f t="shared" si="50"/>
        <v>0.1</v>
      </c>
      <c r="M181" s="1440">
        <f t="shared" si="50"/>
        <v>0.9</v>
      </c>
      <c r="N181" s="53">
        <f t="shared" si="48"/>
        <v>0</v>
      </c>
      <c r="O181" s="53">
        <f t="shared" si="48"/>
        <v>0</v>
      </c>
      <c r="P181" s="898">
        <f t="shared" si="45"/>
        <v>0.90512790948093924</v>
      </c>
      <c r="Q181" s="598">
        <f t="shared" si="37"/>
        <v>40.73075592664226</v>
      </c>
      <c r="R181" s="53"/>
      <c r="S181" s="1442">
        <f t="shared" si="38"/>
        <v>2.4438453555985356</v>
      </c>
      <c r="T181" s="1429">
        <f t="shared" si="39"/>
        <v>1.1277399265895545</v>
      </c>
      <c r="U181" s="1430">
        <f t="shared" si="39"/>
        <v>50.748296696529941</v>
      </c>
      <c r="V181" s="1430">
        <f t="shared" si="39"/>
        <v>0</v>
      </c>
      <c r="W181" s="1431">
        <f t="shared" si="39"/>
        <v>3.0448978017917963</v>
      </c>
    </row>
    <row r="182" spans="1:23" ht="15" thickBot="1">
      <c r="A182" s="123">
        <f>'Input data'!A150</f>
        <v>2050</v>
      </c>
      <c r="B182" s="1439">
        <f>'Recycling - Case 2'!B129*'Recycling - Case 2'!AI129</f>
        <v>2796.8719734089091</v>
      </c>
      <c r="C182" s="659">
        <f t="shared" si="49"/>
        <v>0.1</v>
      </c>
      <c r="D182" s="659">
        <f t="shared" si="49"/>
        <v>0.9</v>
      </c>
      <c r="E182" s="1443">
        <v>0</v>
      </c>
      <c r="F182" s="1443">
        <v>0</v>
      </c>
      <c r="G182" s="1444">
        <f t="shared" si="41"/>
        <v>0.22374975787271276</v>
      </c>
      <c r="H182" s="1333">
        <f t="shared" si="42"/>
        <v>10.068739104272074</v>
      </c>
      <c r="I182" s="1443"/>
      <c r="J182" s="1444">
        <f t="shared" si="43"/>
        <v>0.60412434625632427</v>
      </c>
      <c r="K182" s="1441">
        <f>'Recycling - Case 2'!C169*'Recycling - Case 2'!Z169</f>
        <v>12138.559152411821</v>
      </c>
      <c r="L182" s="659">
        <f t="shared" si="50"/>
        <v>0.1</v>
      </c>
      <c r="M182" s="659">
        <f t="shared" si="50"/>
        <v>0.9</v>
      </c>
      <c r="N182" s="1443">
        <f t="shared" si="48"/>
        <v>0</v>
      </c>
      <c r="O182" s="1443">
        <f t="shared" si="48"/>
        <v>0</v>
      </c>
      <c r="P182" s="1444">
        <f t="shared" si="45"/>
        <v>0.97108473219294578</v>
      </c>
      <c r="Q182" s="1333">
        <f t="shared" si="37"/>
        <v>43.698812948682558</v>
      </c>
      <c r="R182" s="1443"/>
      <c r="S182" s="1445">
        <f t="shared" si="38"/>
        <v>2.6219287769209534</v>
      </c>
      <c r="T182" s="1446">
        <f t="shared" si="39"/>
        <v>1.1948344900656584</v>
      </c>
      <c r="U182" s="1447">
        <f t="shared" si="39"/>
        <v>53.767552052954635</v>
      </c>
      <c r="V182" s="1447">
        <f t="shared" si="39"/>
        <v>0</v>
      </c>
      <c r="W182" s="1448">
        <f t="shared" si="39"/>
        <v>3.2260531231772775</v>
      </c>
    </row>
    <row r="183" spans="1:23">
      <c r="A183" s="1433" t="s">
        <v>756</v>
      </c>
      <c r="B183" s="1434"/>
      <c r="C183" s="1449"/>
      <c r="D183" s="1449"/>
      <c r="E183" s="1450"/>
      <c r="F183" s="1450"/>
      <c r="G183" s="1451"/>
      <c r="H183" s="1452"/>
      <c r="I183" s="1453"/>
      <c r="J183" s="1451"/>
      <c r="K183" s="1454"/>
      <c r="L183" s="1449"/>
      <c r="M183" s="1449"/>
      <c r="N183" s="1450"/>
      <c r="O183" s="1450"/>
      <c r="P183" s="1451"/>
      <c r="Q183" s="1452"/>
      <c r="R183" s="1450"/>
      <c r="S183" s="1455"/>
      <c r="T183" s="1425"/>
      <c r="U183" s="1426"/>
      <c r="V183" s="1426"/>
      <c r="W183" s="1427"/>
    </row>
    <row r="184" spans="1:23">
      <c r="A184" s="123">
        <f>'Input data'!A118</f>
        <v>2018</v>
      </c>
      <c r="B184" s="1439">
        <f>'Recycling - Case 2'!B97*'Recycling - Case 2'!AI97</f>
        <v>3621.0946455823168</v>
      </c>
      <c r="C184" s="1440">
        <f>($C$188-$C$80)/($A$188-$A$80)+C80</f>
        <v>6.0000000000000005E-2</v>
      </c>
      <c r="D184" s="1440">
        <f>1-C184</f>
        <v>0.94</v>
      </c>
      <c r="E184" s="53">
        <v>0</v>
      </c>
      <c r="F184" s="53">
        <v>0</v>
      </c>
      <c r="G184" s="898">
        <f t="shared" ref="G184:G216" si="51">C184*$D$5*B184/1000-E184</f>
        <v>0.17381254298795124</v>
      </c>
      <c r="H184" s="598">
        <f t="shared" ref="H184:H216" si="52">D184*$D$4*B184/1000-F184</f>
        <v>13.61531586738951</v>
      </c>
      <c r="I184" s="53"/>
      <c r="J184" s="898">
        <f t="shared" ref="J184:J216" si="53">D184*$D$7*B184/1000</f>
        <v>0.81691895204337062</v>
      </c>
      <c r="K184" s="1441">
        <f>'Recycling - Case 3'!C137*'Recycling - Case 3'!Z137</f>
        <v>6033.9365292433795</v>
      </c>
      <c r="L184" s="1440">
        <f>($L$188-$L$80)/($A$188-$A$80)+L80</f>
        <v>0.1</v>
      </c>
      <c r="M184" s="1440">
        <f>1-L184</f>
        <v>0.9</v>
      </c>
      <c r="N184" s="53">
        <f>N148</f>
        <v>0</v>
      </c>
      <c r="O184" s="53">
        <f>O148</f>
        <v>0</v>
      </c>
      <c r="P184" s="898">
        <f t="shared" ref="P184:P216" si="54">L184*$D$5*K184/1000-N184</f>
        <v>0.48271492233947044</v>
      </c>
      <c r="Q184" s="598">
        <f t="shared" ref="Q184:Q216" si="55">M184*$D$4*K184/1000-O184</f>
        <v>21.722171505276169</v>
      </c>
      <c r="R184" s="53"/>
      <c r="S184" s="1442">
        <f t="shared" ref="S184:S216" si="56">M184*$D$7*K184/1000</f>
        <v>1.30333029031657</v>
      </c>
      <c r="T184" s="1429">
        <f t="shared" ref="T184:W216" si="57">G184+P184</f>
        <v>0.65652746532742168</v>
      </c>
      <c r="U184" s="1430">
        <f t="shared" si="57"/>
        <v>35.337487372665677</v>
      </c>
      <c r="V184" s="1430">
        <f t="shared" si="57"/>
        <v>0</v>
      </c>
      <c r="W184" s="1431">
        <f t="shared" si="57"/>
        <v>2.1202492423599404</v>
      </c>
    </row>
    <row r="185" spans="1:23">
      <c r="A185" s="123">
        <f>'Input data'!A119</f>
        <v>2019</v>
      </c>
      <c r="B185" s="1439">
        <f>'Recycling - Case 2'!B98*'Recycling - Case 2'!AI98</f>
        <v>3920.8675148070129</v>
      </c>
      <c r="C185" s="1440">
        <f>($C$188-$C$80)/($A$188-$A$80)+C184</f>
        <v>7.0000000000000007E-2</v>
      </c>
      <c r="D185" s="1440">
        <f t="shared" ref="D185:D216" si="58">1-C185</f>
        <v>0.92999999999999994</v>
      </c>
      <c r="E185" s="53">
        <v>0</v>
      </c>
      <c r="F185" s="53">
        <v>0</v>
      </c>
      <c r="G185" s="898">
        <f t="shared" si="51"/>
        <v>0.21956858082919273</v>
      </c>
      <c r="H185" s="598">
        <f t="shared" si="52"/>
        <v>14.585627155082088</v>
      </c>
      <c r="I185" s="53"/>
      <c r="J185" s="898">
        <f t="shared" si="53"/>
        <v>0.87513762930492522</v>
      </c>
      <c r="K185" s="1441">
        <f>'Recycling - Case 3'!C138*'Recycling - Case 3'!Z138</f>
        <v>6082.7909808167815</v>
      </c>
      <c r="L185" s="1440">
        <f>($L$188-$L$80)/($A$188-$A$80)+L184</f>
        <v>0.1</v>
      </c>
      <c r="M185" s="1440">
        <f t="shared" ref="M185:M216" si="59">1-L185</f>
        <v>0.9</v>
      </c>
      <c r="N185" s="53">
        <f t="shared" ref="N185:O200" si="60">N183</f>
        <v>0</v>
      </c>
      <c r="O185" s="53">
        <f t="shared" si="60"/>
        <v>0</v>
      </c>
      <c r="P185" s="898">
        <f t="shared" si="54"/>
        <v>0.48662327846534259</v>
      </c>
      <c r="Q185" s="598">
        <f t="shared" si="55"/>
        <v>21.898047530940413</v>
      </c>
      <c r="R185" s="53"/>
      <c r="S185" s="1442">
        <f t="shared" si="56"/>
        <v>1.3138828518564249</v>
      </c>
      <c r="T185" s="1429">
        <f t="shared" si="57"/>
        <v>0.70619185929453532</v>
      </c>
      <c r="U185" s="1430">
        <f t="shared" si="57"/>
        <v>36.483674686022503</v>
      </c>
      <c r="V185" s="1430">
        <f t="shared" si="57"/>
        <v>0</v>
      </c>
      <c r="W185" s="1431">
        <f t="shared" si="57"/>
        <v>2.1890204811613501</v>
      </c>
    </row>
    <row r="186" spans="1:23">
      <c r="A186" s="123">
        <f>'Input data'!A120</f>
        <v>2020</v>
      </c>
      <c r="B186" s="1439">
        <f>'Recycling - Case 2'!B99*'Recycling - Case 2'!AI99</f>
        <v>4489.6146062493435</v>
      </c>
      <c r="C186" s="1440">
        <f t="shared" ref="C186:C187" si="61">($C$188-$C$80)/($A$188-$A$80)+C185</f>
        <v>0.08</v>
      </c>
      <c r="D186" s="1440">
        <f t="shared" si="58"/>
        <v>0.92</v>
      </c>
      <c r="E186" s="53">
        <v>0</v>
      </c>
      <c r="F186" s="53">
        <v>0</v>
      </c>
      <c r="G186" s="898">
        <f t="shared" si="51"/>
        <v>0.28733533479995799</v>
      </c>
      <c r="H186" s="598">
        <f t="shared" si="52"/>
        <v>16.521781750997587</v>
      </c>
      <c r="I186" s="53"/>
      <c r="J186" s="898">
        <f t="shared" si="53"/>
        <v>0.99130690505985497</v>
      </c>
      <c r="K186" s="1441">
        <f>'Recycling - Case 3'!C139*'Recycling - Case 3'!Z139</f>
        <v>4778.0738813212811</v>
      </c>
      <c r="L186" s="1440">
        <f t="shared" ref="L186:L187" si="62">($L$188-$L$80)/($A$188-$A$80)+L185</f>
        <v>0.1</v>
      </c>
      <c r="M186" s="1440">
        <f t="shared" si="59"/>
        <v>0.9</v>
      </c>
      <c r="N186" s="53">
        <f t="shared" si="60"/>
        <v>0</v>
      </c>
      <c r="O186" s="53">
        <f t="shared" si="60"/>
        <v>0</v>
      </c>
      <c r="P186" s="898">
        <f t="shared" si="54"/>
        <v>0.38224591050570256</v>
      </c>
      <c r="Q186" s="598">
        <f t="shared" si="55"/>
        <v>17.201065972756613</v>
      </c>
      <c r="R186" s="53"/>
      <c r="S186" s="1442">
        <f t="shared" si="56"/>
        <v>1.0320639583653968</v>
      </c>
      <c r="T186" s="1429">
        <f t="shared" si="57"/>
        <v>0.66958124530566054</v>
      </c>
      <c r="U186" s="1430">
        <f t="shared" si="57"/>
        <v>33.722847723754199</v>
      </c>
      <c r="V186" s="1430">
        <f t="shared" si="57"/>
        <v>0</v>
      </c>
      <c r="W186" s="1431">
        <f t="shared" si="57"/>
        <v>2.0233708634252516</v>
      </c>
    </row>
    <row r="187" spans="1:23">
      <c r="A187" s="123">
        <f>'Input data'!A121</f>
        <v>2021</v>
      </c>
      <c r="B187" s="1439">
        <f>'Recycling - Case 2'!B100*'Recycling - Case 2'!AI100</f>
        <v>5342.7306030456248</v>
      </c>
      <c r="C187" s="1440">
        <f t="shared" si="61"/>
        <v>0.09</v>
      </c>
      <c r="D187" s="1440">
        <f t="shared" si="58"/>
        <v>0.91</v>
      </c>
      <c r="E187" s="53">
        <v>0</v>
      </c>
      <c r="F187" s="53">
        <v>0</v>
      </c>
      <c r="G187" s="898">
        <f t="shared" si="51"/>
        <v>0.38467660341928495</v>
      </c>
      <c r="H187" s="598">
        <f t="shared" si="52"/>
        <v>19.447539395086075</v>
      </c>
      <c r="I187" s="53"/>
      <c r="J187" s="898">
        <f t="shared" si="53"/>
        <v>1.1668523637051644</v>
      </c>
      <c r="K187" s="1441">
        <f>'Recycling - Case 3'!C140*'Recycling - Case 3'!Z140</f>
        <v>2687.2902924075147</v>
      </c>
      <c r="L187" s="1440">
        <f t="shared" si="62"/>
        <v>0.1</v>
      </c>
      <c r="M187" s="1440">
        <f t="shared" si="59"/>
        <v>0.9</v>
      </c>
      <c r="N187" s="53">
        <f t="shared" si="60"/>
        <v>0</v>
      </c>
      <c r="O187" s="53">
        <f t="shared" si="60"/>
        <v>0</v>
      </c>
      <c r="P187" s="898">
        <f t="shared" si="54"/>
        <v>0.21498322339260123</v>
      </c>
      <c r="Q187" s="598">
        <f t="shared" si="55"/>
        <v>9.674245052667052</v>
      </c>
      <c r="R187" s="53"/>
      <c r="S187" s="1442">
        <f t="shared" si="56"/>
        <v>0.58045470316002323</v>
      </c>
      <c r="T187" s="1429">
        <f t="shared" si="57"/>
        <v>0.59965982681188623</v>
      </c>
      <c r="U187" s="1430">
        <f t="shared" si="57"/>
        <v>29.121784447753129</v>
      </c>
      <c r="V187" s="1430">
        <f t="shared" si="57"/>
        <v>0</v>
      </c>
      <c r="W187" s="1431">
        <f t="shared" si="57"/>
        <v>1.7473070668651878</v>
      </c>
    </row>
    <row r="188" spans="1:23">
      <c r="A188" s="123">
        <f>'Input data'!A122</f>
        <v>2022</v>
      </c>
      <c r="B188" s="1439">
        <f>'Recycling - Case 2'!B101*'Recycling - Case 2'!AI101</f>
        <v>5021.1547579907265</v>
      </c>
      <c r="C188" s="1440">
        <f>'Recycling - Case 2'!E31</f>
        <v>0.1</v>
      </c>
      <c r="D188" s="1440">
        <f t="shared" si="58"/>
        <v>0.9</v>
      </c>
      <c r="E188" s="53">
        <v>0</v>
      </c>
      <c r="F188" s="53">
        <v>0</v>
      </c>
      <c r="G188" s="898">
        <f t="shared" si="51"/>
        <v>0.40169238063925822</v>
      </c>
      <c r="H188" s="598">
        <f t="shared" si="52"/>
        <v>18.076157128766617</v>
      </c>
      <c r="I188" s="53"/>
      <c r="J188" s="898">
        <f t="shared" si="53"/>
        <v>1.084569427725997</v>
      </c>
      <c r="K188" s="1441">
        <f>'Recycling - Case 3'!C141*'Recycling - Case 3'!Z141</f>
        <v>1508.3660104568362</v>
      </c>
      <c r="L188" s="1440">
        <f>'Recycling - Case 2'!E31</f>
        <v>0.1</v>
      </c>
      <c r="M188" s="1440">
        <f t="shared" si="59"/>
        <v>0.9</v>
      </c>
      <c r="N188" s="53">
        <f t="shared" si="60"/>
        <v>0</v>
      </c>
      <c r="O188" s="53">
        <f t="shared" si="60"/>
        <v>0</v>
      </c>
      <c r="P188" s="898">
        <f t="shared" si="54"/>
        <v>0.12066928083654692</v>
      </c>
      <c r="Q188" s="598">
        <f t="shared" si="55"/>
        <v>5.4301176376446101</v>
      </c>
      <c r="R188" s="53"/>
      <c r="S188" s="1442">
        <f t="shared" si="56"/>
        <v>0.32580705825867662</v>
      </c>
      <c r="T188" s="1429">
        <f t="shared" si="57"/>
        <v>0.52236166147580509</v>
      </c>
      <c r="U188" s="1430">
        <f t="shared" si="57"/>
        <v>23.506274766411227</v>
      </c>
      <c r="V188" s="1430">
        <f t="shared" si="57"/>
        <v>0</v>
      </c>
      <c r="W188" s="1431">
        <f t="shared" si="57"/>
        <v>1.4103764859846737</v>
      </c>
    </row>
    <row r="189" spans="1:23">
      <c r="A189" s="123">
        <f>'Input data'!A123</f>
        <v>2023</v>
      </c>
      <c r="B189" s="1439">
        <f>'Recycling - Case 2'!B102*'Recycling - Case 2'!AI102</f>
        <v>4838.5591386232072</v>
      </c>
      <c r="C189" s="1440">
        <f>C188</f>
        <v>0.1</v>
      </c>
      <c r="D189" s="1440">
        <f t="shared" si="58"/>
        <v>0.9</v>
      </c>
      <c r="E189" s="53">
        <v>0</v>
      </c>
      <c r="F189" s="53">
        <v>0</v>
      </c>
      <c r="G189" s="898">
        <f t="shared" si="51"/>
        <v>0.38708473108985664</v>
      </c>
      <c r="H189" s="598">
        <f t="shared" si="52"/>
        <v>17.418812899043548</v>
      </c>
      <c r="I189" s="53"/>
      <c r="J189" s="898">
        <f t="shared" si="53"/>
        <v>1.0451287739426127</v>
      </c>
      <c r="K189" s="1441">
        <f>'Recycling - Case 3'!C142*'Recycling - Case 3'!Z142</f>
        <v>1539.4479969130523</v>
      </c>
      <c r="L189" s="1440">
        <f>L188</f>
        <v>0.1</v>
      </c>
      <c r="M189" s="1440">
        <f t="shared" si="59"/>
        <v>0.9</v>
      </c>
      <c r="N189" s="53">
        <f t="shared" si="60"/>
        <v>0</v>
      </c>
      <c r="O189" s="53">
        <f t="shared" si="60"/>
        <v>0</v>
      </c>
      <c r="P189" s="898">
        <f t="shared" si="54"/>
        <v>0.1231558397530442</v>
      </c>
      <c r="Q189" s="598">
        <f t="shared" si="55"/>
        <v>5.5420127888869883</v>
      </c>
      <c r="R189" s="53"/>
      <c r="S189" s="1442">
        <f t="shared" si="56"/>
        <v>0.33252076733321928</v>
      </c>
      <c r="T189" s="1429">
        <f t="shared" si="57"/>
        <v>0.51024057084290086</v>
      </c>
      <c r="U189" s="1430">
        <f t="shared" si="57"/>
        <v>22.960825687930537</v>
      </c>
      <c r="V189" s="1430">
        <f t="shared" si="57"/>
        <v>0</v>
      </c>
      <c r="W189" s="1431">
        <f t="shared" si="57"/>
        <v>1.3776495412758321</v>
      </c>
    </row>
    <row r="190" spans="1:23">
      <c r="A190" s="123">
        <f>'Input data'!A124</f>
        <v>2024</v>
      </c>
      <c r="B190" s="1439">
        <f>'Recycling - Case 2'!B103*'Recycling - Case 2'!AI103</f>
        <v>4644.4457885792062</v>
      </c>
      <c r="C190" s="1440">
        <f t="shared" ref="C190:C216" si="63">C189</f>
        <v>0.1</v>
      </c>
      <c r="D190" s="1440">
        <f t="shared" si="58"/>
        <v>0.9</v>
      </c>
      <c r="E190" s="53">
        <v>0</v>
      </c>
      <c r="F190" s="53">
        <v>0</v>
      </c>
      <c r="G190" s="898">
        <f t="shared" si="51"/>
        <v>0.37155566308633653</v>
      </c>
      <c r="H190" s="598">
        <f t="shared" si="52"/>
        <v>16.720004838885142</v>
      </c>
      <c r="I190" s="53"/>
      <c r="J190" s="898">
        <f t="shared" si="53"/>
        <v>1.0032002903331085</v>
      </c>
      <c r="K190" s="1441">
        <f>'Recycling - Case 3'!C143*'Recycling - Case 3'!Z143</f>
        <v>1569.4270899845264</v>
      </c>
      <c r="L190" s="1440">
        <f t="shared" ref="L190:L216" si="64">L189</f>
        <v>0.1</v>
      </c>
      <c r="M190" s="1440">
        <f t="shared" si="59"/>
        <v>0.9</v>
      </c>
      <c r="N190" s="53">
        <f t="shared" si="60"/>
        <v>0</v>
      </c>
      <c r="O190" s="53">
        <f t="shared" si="60"/>
        <v>0</v>
      </c>
      <c r="P190" s="898">
        <f t="shared" si="54"/>
        <v>0.12555416719876214</v>
      </c>
      <c r="Q190" s="598">
        <f t="shared" si="55"/>
        <v>5.6499375239442955</v>
      </c>
      <c r="R190" s="53"/>
      <c r="S190" s="1442">
        <f t="shared" si="56"/>
        <v>0.33899625143665768</v>
      </c>
      <c r="T190" s="1429">
        <f t="shared" si="57"/>
        <v>0.4971098302850987</v>
      </c>
      <c r="U190" s="1430">
        <f t="shared" si="57"/>
        <v>22.369942362829438</v>
      </c>
      <c r="V190" s="1430">
        <f t="shared" si="57"/>
        <v>0</v>
      </c>
      <c r="W190" s="1431">
        <f t="shared" si="57"/>
        <v>1.3421965417697663</v>
      </c>
    </row>
    <row r="191" spans="1:23">
      <c r="A191" s="123">
        <f>'Input data'!A125</f>
        <v>2025</v>
      </c>
      <c r="B191" s="1439">
        <f>'Recycling - Case 2'!B104*'Recycling - Case 2'!AI104</f>
        <v>4438.2123213922823</v>
      </c>
      <c r="C191" s="1440">
        <f t="shared" si="63"/>
        <v>0.1</v>
      </c>
      <c r="D191" s="1440">
        <f t="shared" si="58"/>
        <v>0.9</v>
      </c>
      <c r="E191" s="53">
        <v>0</v>
      </c>
      <c r="F191" s="53">
        <v>0</v>
      </c>
      <c r="G191" s="898">
        <f t="shared" si="51"/>
        <v>0.35505698571138267</v>
      </c>
      <c r="H191" s="598">
        <f t="shared" si="52"/>
        <v>15.977564357012218</v>
      </c>
      <c r="I191" s="53"/>
      <c r="J191" s="898">
        <f t="shared" si="53"/>
        <v>0.95865386142073294</v>
      </c>
      <c r="K191" s="1441">
        <f>'Recycling - Case 3'!C144*'Recycling - Case 3'!Z144</f>
        <v>1600.6855393823012</v>
      </c>
      <c r="L191" s="1440">
        <f t="shared" si="64"/>
        <v>0.1</v>
      </c>
      <c r="M191" s="1440">
        <f t="shared" si="59"/>
        <v>0.9</v>
      </c>
      <c r="N191" s="53">
        <f t="shared" si="60"/>
        <v>0</v>
      </c>
      <c r="O191" s="53">
        <f t="shared" si="60"/>
        <v>0</v>
      </c>
      <c r="P191" s="898">
        <f t="shared" si="54"/>
        <v>0.1280548431505841</v>
      </c>
      <c r="Q191" s="598">
        <f t="shared" si="55"/>
        <v>5.7624679417762845</v>
      </c>
      <c r="R191" s="53"/>
      <c r="S191" s="1442">
        <f t="shared" si="56"/>
        <v>0.34574807650657702</v>
      </c>
      <c r="T191" s="1429">
        <f t="shared" si="57"/>
        <v>0.4831118288619668</v>
      </c>
      <c r="U191" s="1430">
        <f t="shared" si="57"/>
        <v>21.740032298788503</v>
      </c>
      <c r="V191" s="1430">
        <f t="shared" si="57"/>
        <v>0</v>
      </c>
      <c r="W191" s="1431">
        <f t="shared" si="57"/>
        <v>1.30440193792731</v>
      </c>
    </row>
    <row r="192" spans="1:23">
      <c r="A192" s="123">
        <f>'Input data'!A126</f>
        <v>2026</v>
      </c>
      <c r="B192" s="1439">
        <f>'Recycling - Case 2'!B105*'Recycling - Case 2'!AI105</f>
        <v>4212.2487177631583</v>
      </c>
      <c r="C192" s="1440">
        <f t="shared" si="63"/>
        <v>0.1</v>
      </c>
      <c r="D192" s="1440">
        <f t="shared" si="58"/>
        <v>0.9</v>
      </c>
      <c r="E192" s="53">
        <v>0</v>
      </c>
      <c r="F192" s="53">
        <v>0</v>
      </c>
      <c r="G192" s="898">
        <f t="shared" si="51"/>
        <v>0.33697989742105272</v>
      </c>
      <c r="H192" s="598">
        <f t="shared" si="52"/>
        <v>15.16409538394737</v>
      </c>
      <c r="I192" s="53"/>
      <c r="J192" s="898">
        <f t="shared" si="53"/>
        <v>0.90984572303684219</v>
      </c>
      <c r="K192" s="1441">
        <f>'Recycling - Case 3'!C145*'Recycling - Case 3'!Z145</f>
        <v>1637.8113815869031</v>
      </c>
      <c r="L192" s="1440">
        <f t="shared" si="64"/>
        <v>0.1</v>
      </c>
      <c r="M192" s="1440">
        <f t="shared" si="59"/>
        <v>0.9</v>
      </c>
      <c r="N192" s="53">
        <f t="shared" si="60"/>
        <v>0</v>
      </c>
      <c r="O192" s="53">
        <f t="shared" si="60"/>
        <v>0</v>
      </c>
      <c r="P192" s="898">
        <f t="shared" si="54"/>
        <v>0.13102491052695228</v>
      </c>
      <c r="Q192" s="598">
        <f t="shared" si="55"/>
        <v>5.8961209737128515</v>
      </c>
      <c r="R192" s="53"/>
      <c r="S192" s="1442">
        <f t="shared" si="56"/>
        <v>0.35376725842277107</v>
      </c>
      <c r="T192" s="1429">
        <f t="shared" si="57"/>
        <v>0.46800480794800503</v>
      </c>
      <c r="U192" s="1430">
        <f t="shared" si="57"/>
        <v>21.06021635766022</v>
      </c>
      <c r="V192" s="1430">
        <f t="shared" si="57"/>
        <v>0</v>
      </c>
      <c r="W192" s="1431">
        <f t="shared" si="57"/>
        <v>1.2636129814596133</v>
      </c>
    </row>
    <row r="193" spans="1:23">
      <c r="A193" s="123">
        <f>'Input data'!A127</f>
        <v>2027</v>
      </c>
      <c r="B193" s="1439">
        <f>'Recycling - Case 2'!B106*'Recycling - Case 2'!AI106</f>
        <v>3973.7125528245519</v>
      </c>
      <c r="C193" s="1440">
        <f t="shared" si="63"/>
        <v>0.1</v>
      </c>
      <c r="D193" s="1440">
        <f t="shared" si="58"/>
        <v>0.9</v>
      </c>
      <c r="E193" s="53">
        <v>0</v>
      </c>
      <c r="F193" s="53">
        <v>0</v>
      </c>
      <c r="G193" s="898">
        <f t="shared" si="51"/>
        <v>0.31789700422596423</v>
      </c>
      <c r="H193" s="598">
        <f t="shared" si="52"/>
        <v>14.305365190168388</v>
      </c>
      <c r="I193" s="53"/>
      <c r="J193" s="898">
        <f t="shared" si="53"/>
        <v>0.85832191141010317</v>
      </c>
      <c r="K193" s="1441">
        <f>'Recycling - Case 3'!C146*'Recycling - Case 3'!Z146</f>
        <v>1674.5744944116341</v>
      </c>
      <c r="L193" s="1440">
        <f t="shared" si="64"/>
        <v>0.1</v>
      </c>
      <c r="M193" s="1440">
        <f t="shared" si="59"/>
        <v>0.9</v>
      </c>
      <c r="N193" s="53">
        <f t="shared" si="60"/>
        <v>0</v>
      </c>
      <c r="O193" s="53">
        <f t="shared" si="60"/>
        <v>0</v>
      </c>
      <c r="P193" s="898">
        <f t="shared" si="54"/>
        <v>0.13396595955293075</v>
      </c>
      <c r="Q193" s="598">
        <f t="shared" si="55"/>
        <v>6.0284681798818829</v>
      </c>
      <c r="R193" s="53"/>
      <c r="S193" s="1442">
        <f t="shared" si="56"/>
        <v>0.361708090792913</v>
      </c>
      <c r="T193" s="1429">
        <f t="shared" si="57"/>
        <v>0.45186296377889501</v>
      </c>
      <c r="U193" s="1430">
        <f t="shared" si="57"/>
        <v>20.333833370050272</v>
      </c>
      <c r="V193" s="1430">
        <f t="shared" si="57"/>
        <v>0</v>
      </c>
      <c r="W193" s="1431">
        <f t="shared" si="57"/>
        <v>1.2200300022030162</v>
      </c>
    </row>
    <row r="194" spans="1:23">
      <c r="A194" s="123">
        <f>'Input data'!A128</f>
        <v>2028</v>
      </c>
      <c r="B194" s="1439">
        <f>'Recycling - Case 2'!B107*'Recycling - Case 2'!AI107</f>
        <v>3721.8307341944769</v>
      </c>
      <c r="C194" s="1440">
        <f t="shared" si="63"/>
        <v>0.1</v>
      </c>
      <c r="D194" s="1440">
        <f t="shared" si="58"/>
        <v>0.9</v>
      </c>
      <c r="E194" s="53">
        <v>0</v>
      </c>
      <c r="F194" s="53">
        <v>0</v>
      </c>
      <c r="G194" s="898">
        <f t="shared" si="51"/>
        <v>0.29774645873555822</v>
      </c>
      <c r="H194" s="598">
        <f t="shared" si="52"/>
        <v>13.398590643100118</v>
      </c>
      <c r="I194" s="53"/>
      <c r="J194" s="898">
        <f t="shared" si="53"/>
        <v>0.803915438586007</v>
      </c>
      <c r="K194" s="1441">
        <f>'Recycling - Case 3'!C147*'Recycling - Case 3'!Z147</f>
        <v>1713.1022366519528</v>
      </c>
      <c r="L194" s="1440">
        <f t="shared" si="64"/>
        <v>0.1</v>
      </c>
      <c r="M194" s="1440">
        <f t="shared" si="59"/>
        <v>0.9</v>
      </c>
      <c r="N194" s="53">
        <f t="shared" si="60"/>
        <v>0</v>
      </c>
      <c r="O194" s="53">
        <f t="shared" si="60"/>
        <v>0</v>
      </c>
      <c r="P194" s="898">
        <f t="shared" si="54"/>
        <v>0.13704817893215623</v>
      </c>
      <c r="Q194" s="598">
        <f t="shared" si="55"/>
        <v>6.16716805194703</v>
      </c>
      <c r="R194" s="53"/>
      <c r="S194" s="1442">
        <f t="shared" si="56"/>
        <v>0.37003008311682178</v>
      </c>
      <c r="T194" s="1429">
        <f t="shared" si="57"/>
        <v>0.43479463766771442</v>
      </c>
      <c r="U194" s="1430">
        <f t="shared" si="57"/>
        <v>19.565758695047148</v>
      </c>
      <c r="V194" s="1430">
        <f t="shared" si="57"/>
        <v>0</v>
      </c>
      <c r="W194" s="1431">
        <f t="shared" si="57"/>
        <v>1.1739455217028287</v>
      </c>
    </row>
    <row r="195" spans="1:23">
      <c r="A195" s="123">
        <f>'Input data'!A129</f>
        <v>2029</v>
      </c>
      <c r="B195" s="1439">
        <f>'Recycling - Case 2'!B108*'Recycling - Case 2'!AI108</f>
        <v>3456.0403079453235</v>
      </c>
      <c r="C195" s="1440">
        <f t="shared" si="63"/>
        <v>0.1</v>
      </c>
      <c r="D195" s="1440">
        <f t="shared" si="58"/>
        <v>0.9</v>
      </c>
      <c r="E195" s="53">
        <v>0</v>
      </c>
      <c r="F195" s="53">
        <v>0</v>
      </c>
      <c r="G195" s="898">
        <f t="shared" si="51"/>
        <v>0.27648322463562597</v>
      </c>
      <c r="H195" s="598">
        <f t="shared" si="52"/>
        <v>12.441745108603165</v>
      </c>
      <c r="I195" s="53"/>
      <c r="J195" s="898">
        <f t="shared" si="53"/>
        <v>0.74650470651618994</v>
      </c>
      <c r="K195" s="1441">
        <f>'Recycling - Case 3'!C148*'Recycling - Case 3'!Z148</f>
        <v>1752.9044334701946</v>
      </c>
      <c r="L195" s="1440">
        <f t="shared" si="64"/>
        <v>0.1</v>
      </c>
      <c r="M195" s="1440">
        <f t="shared" si="59"/>
        <v>0.9</v>
      </c>
      <c r="N195" s="53">
        <f t="shared" si="60"/>
        <v>0</v>
      </c>
      <c r="O195" s="53">
        <f t="shared" si="60"/>
        <v>0</v>
      </c>
      <c r="P195" s="898">
        <f t="shared" si="54"/>
        <v>0.14023235467761561</v>
      </c>
      <c r="Q195" s="598">
        <f t="shared" si="55"/>
        <v>6.3104559604927006</v>
      </c>
      <c r="R195" s="53"/>
      <c r="S195" s="1442">
        <f t="shared" si="56"/>
        <v>0.37862735762956201</v>
      </c>
      <c r="T195" s="1429">
        <f t="shared" si="57"/>
        <v>0.41671557931324155</v>
      </c>
      <c r="U195" s="1430">
        <f t="shared" si="57"/>
        <v>18.752201069095864</v>
      </c>
      <c r="V195" s="1430">
        <f t="shared" si="57"/>
        <v>0</v>
      </c>
      <c r="W195" s="1431">
        <f t="shared" si="57"/>
        <v>1.1251320641457521</v>
      </c>
    </row>
    <row r="196" spans="1:23">
      <c r="A196" s="123">
        <f>'Input data'!A130</f>
        <v>2030</v>
      </c>
      <c r="B196" s="1439">
        <f>'Recycling - Case 2'!B109*'Recycling - Case 2'!AI109</f>
        <v>3175.5559501258704</v>
      </c>
      <c r="C196" s="1440">
        <f t="shared" si="63"/>
        <v>0.1</v>
      </c>
      <c r="D196" s="1440">
        <f t="shared" si="58"/>
        <v>0.9</v>
      </c>
      <c r="E196" s="53">
        <v>0</v>
      </c>
      <c r="F196" s="53">
        <v>0</v>
      </c>
      <c r="G196" s="898">
        <f t="shared" si="51"/>
        <v>0.25404447601006969</v>
      </c>
      <c r="H196" s="598">
        <f t="shared" si="52"/>
        <v>11.432001420453135</v>
      </c>
      <c r="I196" s="53"/>
      <c r="J196" s="898">
        <f t="shared" si="53"/>
        <v>0.68592008522718795</v>
      </c>
      <c r="K196" s="1441">
        <f>'Recycling - Case 3'!C149*'Recycling - Case 3'!Z149</f>
        <v>1794.0987268274</v>
      </c>
      <c r="L196" s="1440">
        <f t="shared" si="64"/>
        <v>0.1</v>
      </c>
      <c r="M196" s="1440">
        <f t="shared" si="59"/>
        <v>0.9</v>
      </c>
      <c r="N196" s="53">
        <f t="shared" si="60"/>
        <v>0</v>
      </c>
      <c r="O196" s="53">
        <f t="shared" si="60"/>
        <v>0</v>
      </c>
      <c r="P196" s="898">
        <f t="shared" si="54"/>
        <v>0.14352789814619202</v>
      </c>
      <c r="Q196" s="598">
        <f t="shared" si="55"/>
        <v>6.4587554165786409</v>
      </c>
      <c r="R196" s="53"/>
      <c r="S196" s="1442">
        <f t="shared" si="56"/>
        <v>0.38752532499471842</v>
      </c>
      <c r="T196" s="1429">
        <f t="shared" si="57"/>
        <v>0.39757237415626168</v>
      </c>
      <c r="U196" s="1430">
        <f t="shared" si="57"/>
        <v>17.890756837031777</v>
      </c>
      <c r="V196" s="1430">
        <f t="shared" si="57"/>
        <v>0</v>
      </c>
      <c r="W196" s="1431">
        <f t="shared" si="57"/>
        <v>1.0734454102219064</v>
      </c>
    </row>
    <row r="197" spans="1:23">
      <c r="A197" s="123">
        <f>'Input data'!A131</f>
        <v>2031</v>
      </c>
      <c r="B197" s="1439">
        <f>'Recycling - Case 2'!B110*'Recycling - Case 2'!AI110</f>
        <v>2833.1244977232623</v>
      </c>
      <c r="C197" s="1440">
        <f t="shared" si="63"/>
        <v>0.1</v>
      </c>
      <c r="D197" s="1440">
        <f t="shared" si="58"/>
        <v>0.9</v>
      </c>
      <c r="E197" s="53">
        <v>0</v>
      </c>
      <c r="F197" s="53">
        <v>0</v>
      </c>
      <c r="G197" s="898">
        <f t="shared" si="51"/>
        <v>0.22664995981786104</v>
      </c>
      <c r="H197" s="598">
        <f t="shared" si="52"/>
        <v>10.199248191803745</v>
      </c>
      <c r="I197" s="53"/>
      <c r="J197" s="898">
        <f t="shared" si="53"/>
        <v>0.61195489150822457</v>
      </c>
      <c r="K197" s="1441">
        <f>'Recycling - Case 3'!C150*'Recycling - Case 3'!Z150</f>
        <v>1843.5622696959817</v>
      </c>
      <c r="L197" s="1440">
        <f t="shared" si="64"/>
        <v>0.1</v>
      </c>
      <c r="M197" s="1440">
        <f t="shared" si="59"/>
        <v>0.9</v>
      </c>
      <c r="N197" s="53">
        <f t="shared" si="60"/>
        <v>0</v>
      </c>
      <c r="O197" s="53">
        <f t="shared" si="60"/>
        <v>0</v>
      </c>
      <c r="P197" s="898">
        <f t="shared" si="54"/>
        <v>0.14748498157567858</v>
      </c>
      <c r="Q197" s="598">
        <f t="shared" si="55"/>
        <v>6.6368241709055349</v>
      </c>
      <c r="R197" s="53"/>
      <c r="S197" s="1442">
        <f t="shared" si="56"/>
        <v>0.39820945025433208</v>
      </c>
      <c r="T197" s="1429">
        <f t="shared" si="57"/>
        <v>0.37413494139353964</v>
      </c>
      <c r="U197" s="1430">
        <f t="shared" si="57"/>
        <v>16.836072362709281</v>
      </c>
      <c r="V197" s="1430">
        <f t="shared" si="57"/>
        <v>0</v>
      </c>
      <c r="W197" s="1431">
        <f t="shared" si="57"/>
        <v>1.0101643417625565</v>
      </c>
    </row>
    <row r="198" spans="1:23">
      <c r="A198" s="123">
        <f>'Input data'!A132</f>
        <v>2032</v>
      </c>
      <c r="B198" s="1439">
        <f>'Recycling - Case 2'!B111*'Recycling - Case 2'!AI111</f>
        <v>2484.6228724288708</v>
      </c>
      <c r="C198" s="1440">
        <f t="shared" si="63"/>
        <v>0.1</v>
      </c>
      <c r="D198" s="1440">
        <f t="shared" si="58"/>
        <v>0.9</v>
      </c>
      <c r="E198" s="53">
        <v>0</v>
      </c>
      <c r="F198" s="53">
        <v>0</v>
      </c>
      <c r="G198" s="898">
        <f t="shared" si="51"/>
        <v>0.19876982979430971</v>
      </c>
      <c r="H198" s="598">
        <f t="shared" si="52"/>
        <v>8.9446423407439344</v>
      </c>
      <c r="I198" s="53"/>
      <c r="J198" s="898">
        <f t="shared" si="53"/>
        <v>0.53667854044463603</v>
      </c>
      <c r="K198" s="1441">
        <f>'Recycling - Case 3'!C151*'Recycling - Case 3'!Z151</f>
        <v>1890.7023838340403</v>
      </c>
      <c r="L198" s="1440">
        <f t="shared" si="64"/>
        <v>0.1</v>
      </c>
      <c r="M198" s="1440">
        <f t="shared" si="59"/>
        <v>0.9</v>
      </c>
      <c r="N198" s="53">
        <f t="shared" si="60"/>
        <v>0</v>
      </c>
      <c r="O198" s="53">
        <f t="shared" si="60"/>
        <v>0</v>
      </c>
      <c r="P198" s="898">
        <f t="shared" si="54"/>
        <v>0.15125619070672325</v>
      </c>
      <c r="Q198" s="598">
        <f t="shared" si="55"/>
        <v>6.8065285818025449</v>
      </c>
      <c r="R198" s="53"/>
      <c r="S198" s="1442">
        <f t="shared" si="56"/>
        <v>0.40839171490815274</v>
      </c>
      <c r="T198" s="1429">
        <f t="shared" si="57"/>
        <v>0.35002602050103293</v>
      </c>
      <c r="U198" s="1430">
        <f t="shared" si="57"/>
        <v>15.751170922546478</v>
      </c>
      <c r="V198" s="1430">
        <f t="shared" si="57"/>
        <v>0</v>
      </c>
      <c r="W198" s="1431">
        <f t="shared" si="57"/>
        <v>0.94507025535278877</v>
      </c>
    </row>
    <row r="199" spans="1:23">
      <c r="A199" s="123">
        <f>'Input data'!A133</f>
        <v>2033</v>
      </c>
      <c r="B199" s="1439">
        <f>'Recycling - Case 2'!B112*'Recycling - Case 2'!AI112</f>
        <v>2505.8073684270425</v>
      </c>
      <c r="C199" s="1440">
        <f t="shared" si="63"/>
        <v>0.1</v>
      </c>
      <c r="D199" s="1440">
        <f t="shared" si="58"/>
        <v>0.9</v>
      </c>
      <c r="E199" s="53">
        <v>0</v>
      </c>
      <c r="F199" s="53">
        <v>0</v>
      </c>
      <c r="G199" s="898">
        <f t="shared" si="51"/>
        <v>0.20046458947416343</v>
      </c>
      <c r="H199" s="598">
        <f t="shared" si="52"/>
        <v>9.0209065263373542</v>
      </c>
      <c r="I199" s="53"/>
      <c r="J199" s="898">
        <f t="shared" si="53"/>
        <v>0.54125439158024125</v>
      </c>
      <c r="K199" s="1441">
        <f>'Recycling - Case 3'!C152*'Recycling - Case 3'!Z152</f>
        <v>1943.0579582448343</v>
      </c>
      <c r="L199" s="1440">
        <f t="shared" si="64"/>
        <v>0.1</v>
      </c>
      <c r="M199" s="1440">
        <f t="shared" si="59"/>
        <v>0.9</v>
      </c>
      <c r="N199" s="53">
        <f t="shared" si="60"/>
        <v>0</v>
      </c>
      <c r="O199" s="53">
        <f t="shared" si="60"/>
        <v>0</v>
      </c>
      <c r="P199" s="898">
        <f t="shared" si="54"/>
        <v>0.15544463665958677</v>
      </c>
      <c r="Q199" s="598">
        <f t="shared" si="55"/>
        <v>6.9950086496814041</v>
      </c>
      <c r="R199" s="53"/>
      <c r="S199" s="1442">
        <f t="shared" si="56"/>
        <v>0.41970051898088417</v>
      </c>
      <c r="T199" s="1429">
        <f t="shared" si="57"/>
        <v>0.3559092261337502</v>
      </c>
      <c r="U199" s="1430">
        <f t="shared" si="57"/>
        <v>16.015915176018758</v>
      </c>
      <c r="V199" s="1430">
        <f t="shared" si="57"/>
        <v>0</v>
      </c>
      <c r="W199" s="1431">
        <f t="shared" si="57"/>
        <v>0.96095491056112547</v>
      </c>
    </row>
    <row r="200" spans="1:23">
      <c r="A200" s="123">
        <f>'Input data'!A134</f>
        <v>2034</v>
      </c>
      <c r="B200" s="1439">
        <f>'Recycling - Case 2'!B113*'Recycling - Case 2'!AI113</f>
        <v>2527.214079418201</v>
      </c>
      <c r="C200" s="1440">
        <f t="shared" si="63"/>
        <v>0.1</v>
      </c>
      <c r="D200" s="1440">
        <f t="shared" si="58"/>
        <v>0.9</v>
      </c>
      <c r="E200" s="53">
        <v>0</v>
      </c>
      <c r="F200" s="53">
        <v>0</v>
      </c>
      <c r="G200" s="898">
        <f t="shared" si="51"/>
        <v>0.20217712635345611</v>
      </c>
      <c r="H200" s="598">
        <f t="shared" si="52"/>
        <v>9.0979706859055245</v>
      </c>
      <c r="I200" s="53"/>
      <c r="J200" s="898">
        <f t="shared" si="53"/>
        <v>0.54587824115433137</v>
      </c>
      <c r="K200" s="1441">
        <f>'Recycling - Case 3'!C153*'Recycling - Case 3'!Z153</f>
        <v>1999.0408264543346</v>
      </c>
      <c r="L200" s="1440">
        <f t="shared" si="64"/>
        <v>0.1</v>
      </c>
      <c r="M200" s="1440">
        <f t="shared" si="59"/>
        <v>0.9</v>
      </c>
      <c r="N200" s="53">
        <f t="shared" si="60"/>
        <v>0</v>
      </c>
      <c r="O200" s="53">
        <f t="shared" si="60"/>
        <v>0</v>
      </c>
      <c r="P200" s="898">
        <f t="shared" si="54"/>
        <v>0.1599232661163468</v>
      </c>
      <c r="Q200" s="598">
        <f t="shared" si="55"/>
        <v>7.1965469752356048</v>
      </c>
      <c r="R200" s="53"/>
      <c r="S200" s="1442">
        <f t="shared" si="56"/>
        <v>0.43179281851413631</v>
      </c>
      <c r="T200" s="1429">
        <f t="shared" si="57"/>
        <v>0.36210039246980291</v>
      </c>
      <c r="U200" s="1430">
        <f t="shared" si="57"/>
        <v>16.294517661141128</v>
      </c>
      <c r="V200" s="1430">
        <f t="shared" si="57"/>
        <v>0</v>
      </c>
      <c r="W200" s="1431">
        <f t="shared" si="57"/>
        <v>0.97767105966846768</v>
      </c>
    </row>
    <row r="201" spans="1:23">
      <c r="A201" s="123">
        <f>'Input data'!A135</f>
        <v>2035</v>
      </c>
      <c r="B201" s="1439">
        <f>'Recycling - Case 2'!B114*'Recycling - Case 2'!AI114</f>
        <v>2548.7689337380189</v>
      </c>
      <c r="C201" s="1440">
        <f t="shared" si="63"/>
        <v>0.1</v>
      </c>
      <c r="D201" s="1440">
        <f t="shared" si="58"/>
        <v>0.9</v>
      </c>
      <c r="E201" s="53">
        <v>0</v>
      </c>
      <c r="F201" s="53">
        <v>0</v>
      </c>
      <c r="G201" s="898">
        <f t="shared" si="51"/>
        <v>0.20390151469904155</v>
      </c>
      <c r="H201" s="598">
        <f t="shared" si="52"/>
        <v>9.1755681614568676</v>
      </c>
      <c r="I201" s="53"/>
      <c r="J201" s="898">
        <f t="shared" si="53"/>
        <v>0.55053408968741213</v>
      </c>
      <c r="K201" s="1441">
        <f>'Recycling - Case 3'!C154*'Recycling - Case 3'!Z154</f>
        <v>2058.8764688878668</v>
      </c>
      <c r="L201" s="1440">
        <f t="shared" si="64"/>
        <v>0.1</v>
      </c>
      <c r="M201" s="1440">
        <f t="shared" si="59"/>
        <v>0.9</v>
      </c>
      <c r="N201" s="53">
        <f t="shared" ref="N201:O216" si="65">N199</f>
        <v>0</v>
      </c>
      <c r="O201" s="53">
        <f t="shared" si="65"/>
        <v>0</v>
      </c>
      <c r="P201" s="898">
        <f t="shared" si="54"/>
        <v>0.16471011751102937</v>
      </c>
      <c r="Q201" s="598">
        <f t="shared" si="55"/>
        <v>7.4119552879963209</v>
      </c>
      <c r="R201" s="53"/>
      <c r="S201" s="1442">
        <f t="shared" si="56"/>
        <v>0.44471731727977926</v>
      </c>
      <c r="T201" s="1429">
        <f t="shared" si="57"/>
        <v>0.36861163221007093</v>
      </c>
      <c r="U201" s="1430">
        <f t="shared" si="57"/>
        <v>16.587523449453187</v>
      </c>
      <c r="V201" s="1430">
        <f t="shared" si="57"/>
        <v>0</v>
      </c>
      <c r="W201" s="1431">
        <f t="shared" si="57"/>
        <v>0.99525140696719139</v>
      </c>
    </row>
    <row r="202" spans="1:23">
      <c r="A202" s="123">
        <f>'Input data'!A136</f>
        <v>2036</v>
      </c>
      <c r="B202" s="1439">
        <f>'Recycling - Case 2'!B115*'Recycling - Case 2'!AI115</f>
        <v>2567.4349931489946</v>
      </c>
      <c r="C202" s="1440">
        <f t="shared" si="63"/>
        <v>0.1</v>
      </c>
      <c r="D202" s="1440">
        <f t="shared" si="58"/>
        <v>0.9</v>
      </c>
      <c r="E202" s="53">
        <v>0</v>
      </c>
      <c r="F202" s="53">
        <v>0</v>
      </c>
      <c r="G202" s="898">
        <f t="shared" si="51"/>
        <v>0.20539479945191963</v>
      </c>
      <c r="H202" s="598">
        <f t="shared" si="52"/>
        <v>9.2427659753363809</v>
      </c>
      <c r="I202" s="53"/>
      <c r="J202" s="898">
        <f t="shared" si="53"/>
        <v>0.55456595852018276</v>
      </c>
      <c r="K202" s="1441">
        <f>'Recycling - Case 3'!C155*'Recycling - Case 3'!Z155</f>
        <v>2120.481642485363</v>
      </c>
      <c r="L202" s="1440">
        <f t="shared" si="64"/>
        <v>0.1</v>
      </c>
      <c r="M202" s="1440">
        <f t="shared" si="59"/>
        <v>0.9</v>
      </c>
      <c r="N202" s="53">
        <f t="shared" si="65"/>
        <v>0</v>
      </c>
      <c r="O202" s="53">
        <f t="shared" si="65"/>
        <v>0</v>
      </c>
      <c r="P202" s="898">
        <f t="shared" si="54"/>
        <v>0.16963853139882906</v>
      </c>
      <c r="Q202" s="598">
        <f t="shared" si="55"/>
        <v>7.6337339129473065</v>
      </c>
      <c r="R202" s="53"/>
      <c r="S202" s="1442">
        <f t="shared" si="56"/>
        <v>0.4580240347768384</v>
      </c>
      <c r="T202" s="1429">
        <f t="shared" si="57"/>
        <v>0.37503333085074869</v>
      </c>
      <c r="U202" s="1430">
        <f t="shared" si="57"/>
        <v>16.876499888283689</v>
      </c>
      <c r="V202" s="1430">
        <f t="shared" si="57"/>
        <v>0</v>
      </c>
      <c r="W202" s="1431">
        <f t="shared" si="57"/>
        <v>1.0125899932970213</v>
      </c>
    </row>
    <row r="203" spans="1:23">
      <c r="A203" s="123">
        <f>'Input data'!A137</f>
        <v>2037</v>
      </c>
      <c r="B203" s="1439">
        <f>'Recycling - Case 2'!B116*'Recycling - Case 2'!AI116</f>
        <v>2586.2121600564647</v>
      </c>
      <c r="C203" s="1440">
        <f t="shared" si="63"/>
        <v>0.1</v>
      </c>
      <c r="D203" s="1440">
        <f t="shared" si="58"/>
        <v>0.9</v>
      </c>
      <c r="E203" s="53">
        <v>0</v>
      </c>
      <c r="F203" s="53">
        <v>0</v>
      </c>
      <c r="G203" s="898">
        <f t="shared" si="51"/>
        <v>0.20689697280451722</v>
      </c>
      <c r="H203" s="598">
        <f t="shared" si="52"/>
        <v>9.3103637762032729</v>
      </c>
      <c r="I203" s="53"/>
      <c r="J203" s="898">
        <f t="shared" si="53"/>
        <v>0.55862182657219639</v>
      </c>
      <c r="K203" s="1441">
        <f>'Recycling - Case 3'!C156*'Recycling - Case 3'!Z156</f>
        <v>2184.7092514643577</v>
      </c>
      <c r="L203" s="1440">
        <f t="shared" si="64"/>
        <v>0.1</v>
      </c>
      <c r="M203" s="1440">
        <f t="shared" si="59"/>
        <v>0.9</v>
      </c>
      <c r="N203" s="53">
        <f t="shared" si="65"/>
        <v>0</v>
      </c>
      <c r="O203" s="53">
        <f t="shared" si="65"/>
        <v>0</v>
      </c>
      <c r="P203" s="898">
        <f t="shared" si="54"/>
        <v>0.17477674011714864</v>
      </c>
      <c r="Q203" s="598">
        <f t="shared" si="55"/>
        <v>7.8649533052716878</v>
      </c>
      <c r="R203" s="53"/>
      <c r="S203" s="1442">
        <f t="shared" si="56"/>
        <v>0.47189719831630128</v>
      </c>
      <c r="T203" s="1429">
        <f t="shared" si="57"/>
        <v>0.38167371292166585</v>
      </c>
      <c r="U203" s="1430">
        <f t="shared" si="57"/>
        <v>17.175317081474962</v>
      </c>
      <c r="V203" s="1430">
        <f t="shared" si="57"/>
        <v>0</v>
      </c>
      <c r="W203" s="1431">
        <f t="shared" si="57"/>
        <v>1.0305190248884977</v>
      </c>
    </row>
    <row r="204" spans="1:23">
      <c r="A204" s="123">
        <f>'Input data'!A138</f>
        <v>2038</v>
      </c>
      <c r="B204" s="1439">
        <f>'Recycling - Case 2'!B117*'Recycling - Case 2'!AI117</f>
        <v>2605.174506124758</v>
      </c>
      <c r="C204" s="1440">
        <f t="shared" si="63"/>
        <v>0.1</v>
      </c>
      <c r="D204" s="1440">
        <f t="shared" si="58"/>
        <v>0.9</v>
      </c>
      <c r="E204" s="53">
        <v>0</v>
      </c>
      <c r="F204" s="53">
        <v>0</v>
      </c>
      <c r="G204" s="898">
        <f t="shared" si="51"/>
        <v>0.20841396048998068</v>
      </c>
      <c r="H204" s="598">
        <f t="shared" si="52"/>
        <v>9.3786282220491284</v>
      </c>
      <c r="I204" s="53"/>
      <c r="J204" s="898">
        <f t="shared" si="53"/>
        <v>0.56271769332294774</v>
      </c>
      <c r="K204" s="1441">
        <f>'Recycling - Case 3'!C157*'Recycling - Case 3'!Z157</f>
        <v>2556.4821270854186</v>
      </c>
      <c r="L204" s="1440">
        <f t="shared" si="64"/>
        <v>0.1</v>
      </c>
      <c r="M204" s="1440">
        <f t="shared" si="59"/>
        <v>0.9</v>
      </c>
      <c r="N204" s="53">
        <f t="shared" si="65"/>
        <v>0</v>
      </c>
      <c r="O204" s="53">
        <f t="shared" si="65"/>
        <v>0</v>
      </c>
      <c r="P204" s="898">
        <f t="shared" si="54"/>
        <v>0.20451857016683353</v>
      </c>
      <c r="Q204" s="598">
        <f t="shared" si="55"/>
        <v>9.2033356575075072</v>
      </c>
      <c r="R204" s="53"/>
      <c r="S204" s="1442">
        <f t="shared" si="56"/>
        <v>0.55220013945045032</v>
      </c>
      <c r="T204" s="1429">
        <f t="shared" si="57"/>
        <v>0.41293253065681423</v>
      </c>
      <c r="U204" s="1430">
        <f t="shared" si="57"/>
        <v>18.581963879556636</v>
      </c>
      <c r="V204" s="1430">
        <f t="shared" si="57"/>
        <v>0</v>
      </c>
      <c r="W204" s="1431">
        <f t="shared" si="57"/>
        <v>1.114917832773398</v>
      </c>
    </row>
    <row r="205" spans="1:23">
      <c r="A205" s="123">
        <f>'Input data'!A139</f>
        <v>2039</v>
      </c>
      <c r="B205" s="1439">
        <f>'Recycling - Case 2'!B118*'Recycling - Case 2'!AI118</f>
        <v>2624.247959689545</v>
      </c>
      <c r="C205" s="1440">
        <f t="shared" si="63"/>
        <v>0.1</v>
      </c>
      <c r="D205" s="1440">
        <f t="shared" si="58"/>
        <v>0.9</v>
      </c>
      <c r="E205" s="53">
        <v>0</v>
      </c>
      <c r="F205" s="53">
        <v>0</v>
      </c>
      <c r="G205" s="898">
        <f t="shared" si="51"/>
        <v>0.20993983677516365</v>
      </c>
      <c r="H205" s="598">
        <f t="shared" si="52"/>
        <v>9.4472926548823608</v>
      </c>
      <c r="I205" s="53"/>
      <c r="J205" s="898">
        <f t="shared" si="53"/>
        <v>0.56683755929294166</v>
      </c>
      <c r="K205" s="1441">
        <f>'Recycling - Case 3'!C158*'Recycling - Case 3'!Z158</f>
        <v>3617.5286687971379</v>
      </c>
      <c r="L205" s="1440">
        <f t="shared" si="64"/>
        <v>0.1</v>
      </c>
      <c r="M205" s="1440">
        <f t="shared" si="59"/>
        <v>0.9</v>
      </c>
      <c r="N205" s="53">
        <f t="shared" si="65"/>
        <v>0</v>
      </c>
      <c r="O205" s="53">
        <f t="shared" si="65"/>
        <v>0</v>
      </c>
      <c r="P205" s="898">
        <f t="shared" si="54"/>
        <v>0.28940229350377111</v>
      </c>
      <c r="Q205" s="598">
        <f t="shared" si="55"/>
        <v>13.023103207669697</v>
      </c>
      <c r="R205" s="53"/>
      <c r="S205" s="1442">
        <f t="shared" si="56"/>
        <v>0.78138619246018171</v>
      </c>
      <c r="T205" s="1429">
        <f t="shared" si="57"/>
        <v>0.49934213027893476</v>
      </c>
      <c r="U205" s="1430">
        <f t="shared" si="57"/>
        <v>22.47039586255206</v>
      </c>
      <c r="V205" s="1430">
        <f t="shared" si="57"/>
        <v>0</v>
      </c>
      <c r="W205" s="1431">
        <f t="shared" si="57"/>
        <v>1.3482237517531233</v>
      </c>
    </row>
    <row r="206" spans="1:23">
      <c r="A206" s="123">
        <f>'Input data'!A140</f>
        <v>2040</v>
      </c>
      <c r="B206" s="1439">
        <f>'Recycling - Case 2'!B119*'Recycling - Case 2'!AI119</f>
        <v>2643.4325207508259</v>
      </c>
      <c r="C206" s="1440">
        <f t="shared" si="63"/>
        <v>0.1</v>
      </c>
      <c r="D206" s="1440">
        <f t="shared" si="58"/>
        <v>0.9</v>
      </c>
      <c r="E206" s="53">
        <v>0</v>
      </c>
      <c r="F206" s="53">
        <v>0</v>
      </c>
      <c r="G206" s="898">
        <f t="shared" si="51"/>
        <v>0.21147460166006612</v>
      </c>
      <c r="H206" s="598">
        <f t="shared" si="52"/>
        <v>9.5163570747029738</v>
      </c>
      <c r="I206" s="53"/>
      <c r="J206" s="898">
        <f t="shared" si="53"/>
        <v>0.57098142448217837</v>
      </c>
      <c r="K206" s="1441">
        <f>'Recycling - Case 3'!C159*'Recycling - Case 3'!Z159</f>
        <v>4696.5967929774069</v>
      </c>
      <c r="L206" s="1440">
        <f t="shared" si="64"/>
        <v>0.1</v>
      </c>
      <c r="M206" s="1440">
        <f t="shared" si="59"/>
        <v>0.9</v>
      </c>
      <c r="N206" s="53">
        <f t="shared" si="65"/>
        <v>0</v>
      </c>
      <c r="O206" s="53">
        <f t="shared" si="65"/>
        <v>0</v>
      </c>
      <c r="P206" s="898">
        <f t="shared" si="54"/>
        <v>0.37572774343819265</v>
      </c>
      <c r="Q206" s="598">
        <f t="shared" si="55"/>
        <v>16.907748454718664</v>
      </c>
      <c r="R206" s="53"/>
      <c r="S206" s="1442">
        <f t="shared" si="56"/>
        <v>1.01446490728312</v>
      </c>
      <c r="T206" s="1429">
        <f t="shared" si="57"/>
        <v>0.58720234509825875</v>
      </c>
      <c r="U206" s="1430">
        <f t="shared" si="57"/>
        <v>26.424105529421638</v>
      </c>
      <c r="V206" s="1430">
        <f t="shared" si="57"/>
        <v>0</v>
      </c>
      <c r="W206" s="1431">
        <f t="shared" si="57"/>
        <v>1.5854463317652985</v>
      </c>
    </row>
    <row r="207" spans="1:23">
      <c r="A207" s="123">
        <f>'Input data'!A141</f>
        <v>2041</v>
      </c>
      <c r="B207" s="1439">
        <f>'Recycling - Case 2'!B120*'Recycling - Case 2'!AI120</f>
        <v>2659.8764302319241</v>
      </c>
      <c r="C207" s="1440">
        <f t="shared" si="63"/>
        <v>0.1</v>
      </c>
      <c r="D207" s="1440">
        <f t="shared" si="58"/>
        <v>0.9</v>
      </c>
      <c r="E207" s="53">
        <v>0</v>
      </c>
      <c r="F207" s="53">
        <v>0</v>
      </c>
      <c r="G207" s="898">
        <f t="shared" si="51"/>
        <v>0.21279011441855397</v>
      </c>
      <c r="H207" s="598">
        <f t="shared" si="52"/>
        <v>9.5755551488349262</v>
      </c>
      <c r="I207" s="53"/>
      <c r="J207" s="898">
        <f t="shared" si="53"/>
        <v>0.57453330893009558</v>
      </c>
      <c r="K207" s="1441">
        <f>'Recycling - Case 3'!C160*'Recycling - Case 3'!Z160</f>
        <v>5368.256159484923</v>
      </c>
      <c r="L207" s="1440">
        <f t="shared" si="64"/>
        <v>0.1</v>
      </c>
      <c r="M207" s="1440">
        <f t="shared" si="59"/>
        <v>0.9</v>
      </c>
      <c r="N207" s="53">
        <f t="shared" si="65"/>
        <v>0</v>
      </c>
      <c r="O207" s="53">
        <f t="shared" si="65"/>
        <v>0</v>
      </c>
      <c r="P207" s="898">
        <f t="shared" si="54"/>
        <v>0.42946049275879394</v>
      </c>
      <c r="Q207" s="598">
        <f t="shared" si="55"/>
        <v>19.325722174145724</v>
      </c>
      <c r="R207" s="53"/>
      <c r="S207" s="1442">
        <f t="shared" si="56"/>
        <v>1.1595433304487432</v>
      </c>
      <c r="T207" s="1429">
        <f t="shared" si="57"/>
        <v>0.64225060717734794</v>
      </c>
      <c r="U207" s="1430">
        <f t="shared" si="57"/>
        <v>28.901277322980651</v>
      </c>
      <c r="V207" s="1430">
        <f t="shared" si="57"/>
        <v>0</v>
      </c>
      <c r="W207" s="1431">
        <f t="shared" si="57"/>
        <v>1.7340766393788387</v>
      </c>
    </row>
    <row r="208" spans="1:23">
      <c r="A208" s="123">
        <f>'Input data'!A142</f>
        <v>2042</v>
      </c>
      <c r="B208" s="1439">
        <f>'Recycling - Case 2'!B121*'Recycling - Case 2'!AI121</f>
        <v>2676.3944113773509</v>
      </c>
      <c r="C208" s="1440">
        <f t="shared" si="63"/>
        <v>0.1</v>
      </c>
      <c r="D208" s="1440">
        <f t="shared" si="58"/>
        <v>0.9</v>
      </c>
      <c r="E208" s="53">
        <v>0</v>
      </c>
      <c r="F208" s="53">
        <v>0</v>
      </c>
      <c r="G208" s="898">
        <f t="shared" si="51"/>
        <v>0.21411155291018813</v>
      </c>
      <c r="H208" s="598">
        <f t="shared" si="52"/>
        <v>9.6350198809584633</v>
      </c>
      <c r="I208" s="53"/>
      <c r="J208" s="898">
        <f t="shared" si="53"/>
        <v>0.57810119285750783</v>
      </c>
      <c r="K208" s="1441">
        <f>'Recycling - Case 3'!C161*'Recycling - Case 3'!Z161</f>
        <v>6053.7929945678707</v>
      </c>
      <c r="L208" s="1440">
        <f t="shared" si="64"/>
        <v>0.1</v>
      </c>
      <c r="M208" s="1440">
        <f t="shared" si="59"/>
        <v>0.9</v>
      </c>
      <c r="N208" s="53">
        <f t="shared" si="65"/>
        <v>0</v>
      </c>
      <c r="O208" s="53">
        <f t="shared" si="65"/>
        <v>0</v>
      </c>
      <c r="P208" s="898">
        <f t="shared" si="54"/>
        <v>0.48430343956542976</v>
      </c>
      <c r="Q208" s="598">
        <f t="shared" si="55"/>
        <v>21.793654780444335</v>
      </c>
      <c r="R208" s="53"/>
      <c r="S208" s="1442">
        <f t="shared" si="56"/>
        <v>1.3076192868266601</v>
      </c>
      <c r="T208" s="1429">
        <f t="shared" si="57"/>
        <v>0.69841499247561789</v>
      </c>
      <c r="U208" s="1430">
        <f t="shared" si="57"/>
        <v>31.428674661402798</v>
      </c>
      <c r="V208" s="1430">
        <f t="shared" si="57"/>
        <v>0</v>
      </c>
      <c r="W208" s="1431">
        <f t="shared" si="57"/>
        <v>1.885720479684168</v>
      </c>
    </row>
    <row r="209" spans="1:23">
      <c r="A209" s="123">
        <f>'Input data'!A143</f>
        <v>2043</v>
      </c>
      <c r="B209" s="1439">
        <f>'Recycling - Case 2'!B122*'Recycling - Case 2'!AI122</f>
        <v>2693.023500019272</v>
      </c>
      <c r="C209" s="1440">
        <f t="shared" si="63"/>
        <v>0.1</v>
      </c>
      <c r="D209" s="1440">
        <f t="shared" si="58"/>
        <v>0.9</v>
      </c>
      <c r="E209" s="53">
        <v>0</v>
      </c>
      <c r="F209" s="53">
        <v>0</v>
      </c>
      <c r="G209" s="898">
        <f t="shared" si="51"/>
        <v>0.2154418800015418</v>
      </c>
      <c r="H209" s="598">
        <f t="shared" si="52"/>
        <v>9.6948846000693791</v>
      </c>
      <c r="I209" s="53"/>
      <c r="J209" s="898">
        <f t="shared" si="53"/>
        <v>0.58169307600416276</v>
      </c>
      <c r="K209" s="1441">
        <f>'Recycling - Case 3'!C162*'Recycling - Case 3'!Z162</f>
        <v>6752.3572235815018</v>
      </c>
      <c r="L209" s="1440">
        <f t="shared" si="64"/>
        <v>0.1</v>
      </c>
      <c r="M209" s="1440">
        <f t="shared" si="59"/>
        <v>0.9</v>
      </c>
      <c r="N209" s="53">
        <f t="shared" si="65"/>
        <v>0</v>
      </c>
      <c r="O209" s="53">
        <f t="shared" si="65"/>
        <v>0</v>
      </c>
      <c r="P209" s="898">
        <f t="shared" si="54"/>
        <v>0.54018857788652019</v>
      </c>
      <c r="Q209" s="598">
        <f t="shared" si="55"/>
        <v>24.308486004893407</v>
      </c>
      <c r="R209" s="53"/>
      <c r="S209" s="1442">
        <f t="shared" si="56"/>
        <v>1.4585091602936042</v>
      </c>
      <c r="T209" s="1429">
        <f t="shared" si="57"/>
        <v>0.75563045788806193</v>
      </c>
      <c r="U209" s="1430">
        <f t="shared" si="57"/>
        <v>34.003370604962782</v>
      </c>
      <c r="V209" s="1430">
        <f t="shared" si="57"/>
        <v>0</v>
      </c>
      <c r="W209" s="1431">
        <f t="shared" si="57"/>
        <v>2.040202236297767</v>
      </c>
    </row>
    <row r="210" spans="1:23">
      <c r="A210" s="123">
        <f>'Input data'!A144</f>
        <v>2044</v>
      </c>
      <c r="B210" s="1439">
        <f>'Recycling - Case 2'!B123*'Recycling - Case 2'!AI123</f>
        <v>2709.726660325523</v>
      </c>
      <c r="C210" s="1440">
        <f t="shared" si="63"/>
        <v>0.1</v>
      </c>
      <c r="D210" s="1440">
        <f t="shared" si="58"/>
        <v>0.9</v>
      </c>
      <c r="E210" s="53">
        <v>0</v>
      </c>
      <c r="F210" s="53">
        <v>0</v>
      </c>
      <c r="G210" s="898">
        <f t="shared" si="51"/>
        <v>0.21677813282604189</v>
      </c>
      <c r="H210" s="598">
        <f t="shared" si="52"/>
        <v>9.7550159771718832</v>
      </c>
      <c r="I210" s="53"/>
      <c r="J210" s="898">
        <f t="shared" si="53"/>
        <v>0.58530095863031295</v>
      </c>
      <c r="K210" s="1441">
        <f>'Recycling - Case 3'!C163*'Recycling - Case 3'!Z163</f>
        <v>7465.8402626103825</v>
      </c>
      <c r="L210" s="1440">
        <f t="shared" si="64"/>
        <v>0.1</v>
      </c>
      <c r="M210" s="1440">
        <f t="shared" si="59"/>
        <v>0.9</v>
      </c>
      <c r="N210" s="53">
        <f t="shared" si="65"/>
        <v>0</v>
      </c>
      <c r="O210" s="53">
        <f t="shared" si="65"/>
        <v>0</v>
      </c>
      <c r="P210" s="898">
        <f t="shared" si="54"/>
        <v>0.59726722100883067</v>
      </c>
      <c r="Q210" s="598">
        <f t="shared" si="55"/>
        <v>26.877024945397377</v>
      </c>
      <c r="R210" s="53"/>
      <c r="S210" s="1442">
        <f t="shared" si="56"/>
        <v>1.6126214967238428</v>
      </c>
      <c r="T210" s="1429">
        <f t="shared" si="57"/>
        <v>0.81404535383487253</v>
      </c>
      <c r="U210" s="1430">
        <f t="shared" si="57"/>
        <v>36.63204092256926</v>
      </c>
      <c r="V210" s="1430">
        <f t="shared" si="57"/>
        <v>0</v>
      </c>
      <c r="W210" s="1431">
        <f t="shared" si="57"/>
        <v>2.1979224553541559</v>
      </c>
    </row>
    <row r="211" spans="1:23">
      <c r="A211" s="123">
        <f>'Input data'!A145</f>
        <v>2045</v>
      </c>
      <c r="B211" s="1439">
        <f>'Recycling - Case 2'!B124*'Recycling - Case 2'!AI124</f>
        <v>2726.5779639604316</v>
      </c>
      <c r="C211" s="1440">
        <f t="shared" si="63"/>
        <v>0.1</v>
      </c>
      <c r="D211" s="1440">
        <f t="shared" si="58"/>
        <v>0.9</v>
      </c>
      <c r="E211" s="53">
        <v>0</v>
      </c>
      <c r="F211" s="53">
        <v>0</v>
      </c>
      <c r="G211" s="898">
        <f t="shared" si="51"/>
        <v>0.21812623711683457</v>
      </c>
      <c r="H211" s="598">
        <f t="shared" si="52"/>
        <v>9.8156806702575548</v>
      </c>
      <c r="I211" s="53"/>
      <c r="J211" s="898">
        <f t="shared" si="53"/>
        <v>0.58894084021545323</v>
      </c>
      <c r="K211" s="1441">
        <f>'Recycling - Case 3'!C164*'Recycling - Case 3'!Z164</f>
        <v>8202.1053021183707</v>
      </c>
      <c r="L211" s="1440">
        <f t="shared" si="64"/>
        <v>0.1</v>
      </c>
      <c r="M211" s="1440">
        <f t="shared" si="59"/>
        <v>0.9</v>
      </c>
      <c r="N211" s="53">
        <f t="shared" si="65"/>
        <v>0</v>
      </c>
      <c r="O211" s="53">
        <f t="shared" si="65"/>
        <v>0</v>
      </c>
      <c r="P211" s="898">
        <f t="shared" si="54"/>
        <v>0.65616842416946974</v>
      </c>
      <c r="Q211" s="598">
        <f t="shared" si="55"/>
        <v>29.527579087626133</v>
      </c>
      <c r="R211" s="53"/>
      <c r="S211" s="1442">
        <f t="shared" si="56"/>
        <v>1.7716547452575679</v>
      </c>
      <c r="T211" s="1429">
        <f t="shared" si="57"/>
        <v>0.87429466128630429</v>
      </c>
      <c r="U211" s="1430">
        <f t="shared" si="57"/>
        <v>39.343259757883686</v>
      </c>
      <c r="V211" s="1430">
        <f t="shared" si="57"/>
        <v>0</v>
      </c>
      <c r="W211" s="1431">
        <f t="shared" si="57"/>
        <v>2.3605955854730212</v>
      </c>
    </row>
    <row r="212" spans="1:23">
      <c r="A212" s="123">
        <f>'Input data'!A146</f>
        <v>2046</v>
      </c>
      <c r="B212" s="1439">
        <f>'Recycling - Case 2'!B125*'Recycling - Case 2'!AI125</f>
        <v>2740.46640102217</v>
      </c>
      <c r="C212" s="1440">
        <f t="shared" si="63"/>
        <v>0.1</v>
      </c>
      <c r="D212" s="1440">
        <f t="shared" si="58"/>
        <v>0.9</v>
      </c>
      <c r="E212" s="53">
        <v>0</v>
      </c>
      <c r="F212" s="53">
        <v>0</v>
      </c>
      <c r="G212" s="898">
        <f t="shared" si="51"/>
        <v>0.21923731208177363</v>
      </c>
      <c r="H212" s="598">
        <f t="shared" si="52"/>
        <v>9.8656790436798136</v>
      </c>
      <c r="I212" s="53"/>
      <c r="J212" s="898">
        <f t="shared" si="53"/>
        <v>0.59194074262078866</v>
      </c>
      <c r="K212" s="1441">
        <f>'Recycling - Case 3'!C165*'Recycling - Case 3'!Z165</f>
        <v>8957.6457841959073</v>
      </c>
      <c r="L212" s="1440">
        <f t="shared" si="64"/>
        <v>0.1</v>
      </c>
      <c r="M212" s="1440">
        <f t="shared" si="59"/>
        <v>0.9</v>
      </c>
      <c r="N212" s="53">
        <f t="shared" si="65"/>
        <v>0</v>
      </c>
      <c r="O212" s="53">
        <f t="shared" si="65"/>
        <v>0</v>
      </c>
      <c r="P212" s="898">
        <f t="shared" si="54"/>
        <v>0.71661166273567267</v>
      </c>
      <c r="Q212" s="598">
        <f t="shared" si="55"/>
        <v>32.247524823105266</v>
      </c>
      <c r="R212" s="53"/>
      <c r="S212" s="1442">
        <f t="shared" si="56"/>
        <v>1.934851489386316</v>
      </c>
      <c r="T212" s="1429">
        <f t="shared" si="57"/>
        <v>0.93584897481744633</v>
      </c>
      <c r="U212" s="1430">
        <f t="shared" si="57"/>
        <v>42.113203866785078</v>
      </c>
      <c r="V212" s="1430">
        <f t="shared" si="57"/>
        <v>0</v>
      </c>
      <c r="W212" s="1431">
        <f t="shared" si="57"/>
        <v>2.5267922320071046</v>
      </c>
    </row>
    <row r="213" spans="1:23">
      <c r="A213" s="123">
        <f>'Input data'!A147</f>
        <v>2047</v>
      </c>
      <c r="B213" s="1439">
        <f>'Recycling - Case 2'!B126*'Recycling - Case 2'!AI126</f>
        <v>2754.4659455804021</v>
      </c>
      <c r="C213" s="1440">
        <f t="shared" si="63"/>
        <v>0.1</v>
      </c>
      <c r="D213" s="1440">
        <f t="shared" si="58"/>
        <v>0.9</v>
      </c>
      <c r="E213" s="53">
        <v>0</v>
      </c>
      <c r="F213" s="53">
        <v>0</v>
      </c>
      <c r="G213" s="898">
        <f t="shared" si="51"/>
        <v>0.2203572756464322</v>
      </c>
      <c r="H213" s="598">
        <f t="shared" si="52"/>
        <v>9.9160774040894477</v>
      </c>
      <c r="I213" s="53"/>
      <c r="J213" s="898">
        <f t="shared" si="53"/>
        <v>0.59496464424536688</v>
      </c>
      <c r="K213" s="1441">
        <f>'Recycling - Case 3'!C166*'Recycling - Case 3'!Z166</f>
        <v>9732.7167312364109</v>
      </c>
      <c r="L213" s="1440">
        <f t="shared" si="64"/>
        <v>0.1</v>
      </c>
      <c r="M213" s="1440">
        <f t="shared" si="59"/>
        <v>0.9</v>
      </c>
      <c r="N213" s="53">
        <f t="shared" si="65"/>
        <v>0</v>
      </c>
      <c r="O213" s="53">
        <f t="shared" si="65"/>
        <v>0</v>
      </c>
      <c r="P213" s="898">
        <f t="shared" si="54"/>
        <v>0.77861733849891301</v>
      </c>
      <c r="Q213" s="598">
        <f t="shared" si="55"/>
        <v>35.037780232451077</v>
      </c>
      <c r="R213" s="53"/>
      <c r="S213" s="1442">
        <f t="shared" si="56"/>
        <v>2.1022668139470646</v>
      </c>
      <c r="T213" s="1429">
        <f t="shared" si="57"/>
        <v>0.99897461414534527</v>
      </c>
      <c r="U213" s="1430">
        <f t="shared" si="57"/>
        <v>44.953857636540526</v>
      </c>
      <c r="V213" s="1430">
        <f t="shared" si="57"/>
        <v>0</v>
      </c>
      <c r="W213" s="1431">
        <f t="shared" si="57"/>
        <v>2.6972314581924315</v>
      </c>
    </row>
    <row r="214" spans="1:23">
      <c r="A214" s="123">
        <f>'Input data'!A148</f>
        <v>2048</v>
      </c>
      <c r="B214" s="1439">
        <f>'Recycling - Case 2'!B127*'Recycling - Case 2'!AI127</f>
        <v>2768.5395618029629</v>
      </c>
      <c r="C214" s="1440">
        <f t="shared" si="63"/>
        <v>0.1</v>
      </c>
      <c r="D214" s="1440">
        <f t="shared" si="58"/>
        <v>0.9</v>
      </c>
      <c r="E214" s="53">
        <v>0</v>
      </c>
      <c r="F214" s="53">
        <v>0</v>
      </c>
      <c r="G214" s="898">
        <f t="shared" si="51"/>
        <v>0.22148316494423709</v>
      </c>
      <c r="H214" s="598">
        <f t="shared" si="52"/>
        <v>9.9667424224906664</v>
      </c>
      <c r="I214" s="53"/>
      <c r="J214" s="898">
        <f t="shared" si="53"/>
        <v>0.59800454534944003</v>
      </c>
      <c r="K214" s="1441">
        <f>'Recycling - Case 3'!C167*'Recycling - Case 3'!Z167</f>
        <v>10512.718111216431</v>
      </c>
      <c r="L214" s="1440">
        <f t="shared" si="64"/>
        <v>0.1</v>
      </c>
      <c r="M214" s="1440">
        <f t="shared" si="59"/>
        <v>0.9</v>
      </c>
      <c r="N214" s="53">
        <f t="shared" si="65"/>
        <v>0</v>
      </c>
      <c r="O214" s="53">
        <f t="shared" si="65"/>
        <v>0</v>
      </c>
      <c r="P214" s="898">
        <f t="shared" si="54"/>
        <v>0.84101744889731456</v>
      </c>
      <c r="Q214" s="598">
        <f t="shared" si="55"/>
        <v>37.845785200379147</v>
      </c>
      <c r="R214" s="53"/>
      <c r="S214" s="1442">
        <f t="shared" si="56"/>
        <v>2.2707471120227494</v>
      </c>
      <c r="T214" s="1429">
        <f t="shared" si="57"/>
        <v>1.0625006138415516</v>
      </c>
      <c r="U214" s="1430">
        <f t="shared" si="57"/>
        <v>47.812527622869816</v>
      </c>
      <c r="V214" s="1430">
        <f t="shared" si="57"/>
        <v>0</v>
      </c>
      <c r="W214" s="1431">
        <f t="shared" si="57"/>
        <v>2.8687516573721892</v>
      </c>
    </row>
    <row r="215" spans="1:23">
      <c r="A215" s="123">
        <f>'Input data'!A149</f>
        <v>2049</v>
      </c>
      <c r="B215" s="1439">
        <f>'Recycling - Case 2'!B128*'Recycling - Case 2'!AI128</f>
        <v>2782.6502138576889</v>
      </c>
      <c r="C215" s="1440">
        <f t="shared" si="63"/>
        <v>0.1</v>
      </c>
      <c r="D215" s="1440">
        <f t="shared" si="58"/>
        <v>0.9</v>
      </c>
      <c r="E215" s="53">
        <v>0</v>
      </c>
      <c r="F215" s="53">
        <v>0</v>
      </c>
      <c r="G215" s="898">
        <f t="shared" si="51"/>
        <v>0.22261201710861517</v>
      </c>
      <c r="H215" s="598">
        <f t="shared" si="52"/>
        <v>10.017540769887681</v>
      </c>
      <c r="I215" s="53"/>
      <c r="J215" s="898">
        <f t="shared" si="53"/>
        <v>0.60105244619326081</v>
      </c>
      <c r="K215" s="1441">
        <f>'Recycling - Case 3'!C168*'Recycling - Case 3'!Z168</f>
        <v>11314.098868511739</v>
      </c>
      <c r="L215" s="1440">
        <f t="shared" si="64"/>
        <v>0.1</v>
      </c>
      <c r="M215" s="1440">
        <f t="shared" si="59"/>
        <v>0.9</v>
      </c>
      <c r="N215" s="53">
        <f t="shared" si="65"/>
        <v>0</v>
      </c>
      <c r="O215" s="53">
        <f t="shared" si="65"/>
        <v>0</v>
      </c>
      <c r="P215" s="898">
        <f t="shared" si="54"/>
        <v>0.90512790948093924</v>
      </c>
      <c r="Q215" s="598">
        <f t="shared" si="55"/>
        <v>40.73075592664226</v>
      </c>
      <c r="R215" s="53"/>
      <c r="S215" s="1442">
        <f t="shared" si="56"/>
        <v>2.4438453555985356</v>
      </c>
      <c r="T215" s="1429">
        <f t="shared" si="57"/>
        <v>1.1277399265895545</v>
      </c>
      <c r="U215" s="1430">
        <f t="shared" si="57"/>
        <v>50.748296696529941</v>
      </c>
      <c r="V215" s="1430">
        <f t="shared" si="57"/>
        <v>0</v>
      </c>
      <c r="W215" s="1431">
        <f t="shared" si="57"/>
        <v>3.0448978017917963</v>
      </c>
    </row>
    <row r="216" spans="1:23" ht="15" thickBot="1">
      <c r="A216" s="123">
        <f>'Input data'!A150</f>
        <v>2050</v>
      </c>
      <c r="B216" s="1439">
        <f>'Recycling - Case 2'!B129*'Recycling - Case 2'!AI129</f>
        <v>2796.8719734089091</v>
      </c>
      <c r="C216" s="659">
        <f t="shared" si="63"/>
        <v>0.1</v>
      </c>
      <c r="D216" s="659">
        <f t="shared" si="58"/>
        <v>0.9</v>
      </c>
      <c r="E216" s="1443">
        <v>0</v>
      </c>
      <c r="F216" s="1443">
        <v>0</v>
      </c>
      <c r="G216" s="1444">
        <f t="shared" si="51"/>
        <v>0.22374975787271276</v>
      </c>
      <c r="H216" s="1333">
        <f t="shared" si="52"/>
        <v>10.068739104272074</v>
      </c>
      <c r="I216" s="1443"/>
      <c r="J216" s="1444">
        <f t="shared" si="53"/>
        <v>0.60412434625632427</v>
      </c>
      <c r="K216" s="1441">
        <f>'Recycling - Case 3'!C169*'Recycling - Case 3'!Z169</f>
        <v>12138.559152411821</v>
      </c>
      <c r="L216" s="659">
        <f t="shared" si="64"/>
        <v>0.1</v>
      </c>
      <c r="M216" s="659">
        <f t="shared" si="59"/>
        <v>0.9</v>
      </c>
      <c r="N216" s="1443">
        <f t="shared" si="65"/>
        <v>0</v>
      </c>
      <c r="O216" s="1443">
        <f t="shared" si="65"/>
        <v>0</v>
      </c>
      <c r="P216" s="1444">
        <f t="shared" si="54"/>
        <v>0.97108473219294578</v>
      </c>
      <c r="Q216" s="1333">
        <f t="shared" si="55"/>
        <v>43.698812948682558</v>
      </c>
      <c r="R216" s="1443"/>
      <c r="S216" s="1445">
        <f t="shared" si="56"/>
        <v>2.6219287769209534</v>
      </c>
      <c r="T216" s="1446">
        <f t="shared" si="57"/>
        <v>1.1948344900656584</v>
      </c>
      <c r="U216" s="1447">
        <f t="shared" si="57"/>
        <v>53.767552052954635</v>
      </c>
      <c r="V216" s="1447">
        <f t="shared" si="57"/>
        <v>0</v>
      </c>
      <c r="W216" s="1448">
        <f t="shared" si="57"/>
        <v>3.2260531231772775</v>
      </c>
    </row>
    <row r="217" spans="1:23">
      <c r="A217" s="1433" t="s">
        <v>772</v>
      </c>
      <c r="B217" s="1434"/>
      <c r="C217" s="1449"/>
      <c r="D217" s="1449"/>
      <c r="E217" s="1450"/>
      <c r="F217" s="1450"/>
      <c r="G217" s="1451"/>
      <c r="H217" s="1452"/>
      <c r="I217" s="1453"/>
      <c r="J217" s="1451"/>
      <c r="K217" s="1454"/>
      <c r="L217" s="1449"/>
      <c r="M217" s="1449"/>
      <c r="N217" s="1450"/>
      <c r="O217" s="1450"/>
      <c r="P217" s="1451"/>
      <c r="Q217" s="1452"/>
      <c r="R217" s="1450"/>
      <c r="S217" s="1455"/>
      <c r="T217" s="1425"/>
      <c r="U217" s="1426"/>
      <c r="V217" s="1426"/>
      <c r="W217" s="1427"/>
    </row>
    <row r="218" spans="1:23">
      <c r="A218" s="123">
        <f>'Input data'!A118</f>
        <v>2018</v>
      </c>
      <c r="B218" s="1439">
        <f>'Recycling - Case 3'!B97*'Recycling - Case 3'!AI97</f>
        <v>3621.0946455823168</v>
      </c>
      <c r="C218" s="1440">
        <f>($C$222-$C$80)/($A$222-$A$80)+C80</f>
        <v>0.14000000000000001</v>
      </c>
      <c r="D218" s="1440">
        <f>1-C218</f>
        <v>0.86</v>
      </c>
      <c r="E218" s="53">
        <v>0</v>
      </c>
      <c r="F218" s="53">
        <v>0</v>
      </c>
      <c r="G218" s="898">
        <f>C218*$D$5*B218/1000-E218</f>
        <v>0.40556260030521951</v>
      </c>
      <c r="H218" s="598">
        <f>D218*$D$4*B218/1000-F218</f>
        <v>12.45656558080317</v>
      </c>
      <c r="I218" s="53"/>
      <c r="J218" s="898">
        <f>D218*$D$7*B218/1000</f>
        <v>0.74739393484819017</v>
      </c>
      <c r="K218" s="1441">
        <f>'Recycling - Case 3'!W136*'Recycling - Case 3'!AG136*'Recycling - Case 3'!C136</f>
        <v>6175.3872000000001</v>
      </c>
      <c r="L218" s="1440">
        <f>($L$222-$L$80)/($A$222-$A$80)+L80</f>
        <v>0.18</v>
      </c>
      <c r="M218" s="1440">
        <f>($M$222-$M$80)/($A$222-$A$80)+M80</f>
        <v>0.82000000000000006</v>
      </c>
      <c r="N218" s="53">
        <f t="shared" ref="N218:O233" si="66">N80</f>
        <v>0</v>
      </c>
      <c r="O218" s="53">
        <f t="shared" si="66"/>
        <v>0</v>
      </c>
      <c r="P218" s="898">
        <f t="shared" ref="P218:P250" si="67">L218*$D$5*K218/1000-N218</f>
        <v>0.88925575680000002</v>
      </c>
      <c r="Q218" s="598">
        <f t="shared" ref="Q218:Q250" si="68">M218*$D$4*K218/1000-O218</f>
        <v>20.255270016000001</v>
      </c>
      <c r="R218" s="53"/>
      <c r="S218" s="1442">
        <f t="shared" ref="S218:S250" si="69">M218*$D$7*K218/1000</f>
        <v>1.21531620096</v>
      </c>
      <c r="T218" s="1429">
        <f t="shared" ref="T218:W250" si="70">G218+P218</f>
        <v>1.2948183571052194</v>
      </c>
      <c r="U218" s="1430">
        <f t="shared" si="70"/>
        <v>32.711835596803169</v>
      </c>
      <c r="V218" s="1430">
        <f t="shared" si="70"/>
        <v>0</v>
      </c>
      <c r="W218" s="1431">
        <f t="shared" si="70"/>
        <v>1.9627101358081902</v>
      </c>
    </row>
    <row r="219" spans="1:23">
      <c r="A219" s="123">
        <f>'Input data'!A119</f>
        <v>2019</v>
      </c>
      <c r="B219" s="1439">
        <f>'Recycling - Case 3'!B98*'Recycling - Case 3'!AI98</f>
        <v>3920.8675148070129</v>
      </c>
      <c r="C219" s="1440">
        <f>($C$222-$C$80)/($A$222-$A$80)+C218</f>
        <v>0.23</v>
      </c>
      <c r="D219" s="1440">
        <f t="shared" ref="D219:D221" si="71">1-C219</f>
        <v>0.77</v>
      </c>
      <c r="E219" s="53">
        <v>0</v>
      </c>
      <c r="F219" s="53">
        <v>0</v>
      </c>
      <c r="G219" s="898">
        <f t="shared" ref="G219:G250" si="72">C219*$D$5*B219/1000-E219</f>
        <v>0.72143962272449047</v>
      </c>
      <c r="H219" s="598">
        <f t="shared" ref="H219:H250" si="73">D219*$D$4*B219/1000-F219</f>
        <v>12.076271945605599</v>
      </c>
      <c r="I219" s="53"/>
      <c r="J219" s="898">
        <f t="shared" ref="J219:J250" si="74">D219*$D$7*B219/1000</f>
        <v>0.72457631673633593</v>
      </c>
      <c r="K219" s="1441">
        <f>'Recycling - Case 3'!W137*'Recycling - Case 3'!AG137*'Recycling - Case 3'!C137</f>
        <v>6033.9365292433813</v>
      </c>
      <c r="L219" s="1440">
        <f>($L$222-$L$80)/($A$222-$A$80)+L218</f>
        <v>0.26</v>
      </c>
      <c r="M219" s="1440">
        <f>($M$222-$M$80)/($A$222-$A$80)+M218</f>
        <v>0.7400000000000001</v>
      </c>
      <c r="N219" s="53">
        <f t="shared" si="66"/>
        <v>0</v>
      </c>
      <c r="O219" s="53">
        <f t="shared" si="66"/>
        <v>0</v>
      </c>
      <c r="P219" s="898">
        <f t="shared" si="67"/>
        <v>1.2550587980826236</v>
      </c>
      <c r="Q219" s="598">
        <f t="shared" si="68"/>
        <v>17.860452126560414</v>
      </c>
      <c r="R219" s="53"/>
      <c r="S219" s="1442">
        <f t="shared" si="69"/>
        <v>1.0716271275936247</v>
      </c>
      <c r="T219" s="1429">
        <f t="shared" si="70"/>
        <v>1.9764984208071139</v>
      </c>
      <c r="U219" s="1430">
        <f t="shared" si="70"/>
        <v>29.936724072166015</v>
      </c>
      <c r="V219" s="1430">
        <f t="shared" si="70"/>
        <v>0</v>
      </c>
      <c r="W219" s="1431">
        <f t="shared" si="70"/>
        <v>1.7962034443299606</v>
      </c>
    </row>
    <row r="220" spans="1:23">
      <c r="A220" s="123">
        <f>'Input data'!A120</f>
        <v>2020</v>
      </c>
      <c r="B220" s="1439">
        <f>'Recycling - Case 3'!B99*'Recycling - Case 3'!AI99</f>
        <v>4489.6146062493435</v>
      </c>
      <c r="C220" s="1440">
        <f>($C$222-$C$80)/($A$222-$A$80)+C219</f>
        <v>0.32</v>
      </c>
      <c r="D220" s="1440">
        <f t="shared" si="71"/>
        <v>0.67999999999999994</v>
      </c>
      <c r="E220" s="53">
        <v>0</v>
      </c>
      <c r="F220" s="53">
        <v>0</v>
      </c>
      <c r="G220" s="898">
        <f t="shared" si="72"/>
        <v>1.1493413391998319</v>
      </c>
      <c r="H220" s="598">
        <f t="shared" si="73"/>
        <v>12.211751728998212</v>
      </c>
      <c r="I220" s="53"/>
      <c r="J220" s="898">
        <f t="shared" si="74"/>
        <v>0.73270510373989284</v>
      </c>
      <c r="K220" s="1441">
        <f>'Recycling - Case 3'!W138*'Recycling - Case 3'!AG138*'Recycling - Case 3'!C138</f>
        <v>6082.7909808167815</v>
      </c>
      <c r="L220" s="1440">
        <f>($L$222-$L$80)/($A$222-$A$80)+L219</f>
        <v>0.34</v>
      </c>
      <c r="M220" s="1440">
        <f>($M$222-$M$80)/($A$222-$A$80)+M219</f>
        <v>0.66000000000000014</v>
      </c>
      <c r="N220" s="53">
        <f t="shared" si="66"/>
        <v>0</v>
      </c>
      <c r="O220" s="53">
        <f t="shared" si="66"/>
        <v>0</v>
      </c>
      <c r="P220" s="898">
        <f t="shared" si="67"/>
        <v>1.6545191467821647</v>
      </c>
      <c r="Q220" s="598">
        <f t="shared" si="68"/>
        <v>16.058568189356308</v>
      </c>
      <c r="R220" s="53"/>
      <c r="S220" s="1442">
        <f t="shared" si="69"/>
        <v>0.96351409136137844</v>
      </c>
      <c r="T220" s="1429">
        <f t="shared" si="70"/>
        <v>2.8038604859819967</v>
      </c>
      <c r="U220" s="1430">
        <f t="shared" si="70"/>
        <v>28.27031991835452</v>
      </c>
      <c r="V220" s="1430">
        <f t="shared" si="70"/>
        <v>0</v>
      </c>
      <c r="W220" s="1431">
        <f t="shared" si="70"/>
        <v>1.6962191951012713</v>
      </c>
    </row>
    <row r="221" spans="1:23">
      <c r="A221" s="123">
        <f>'Input data'!A121</f>
        <v>2021</v>
      </c>
      <c r="B221" s="1439">
        <f>'Recycling - Case 3'!B100*'Recycling - Case 3'!AI100</f>
        <v>5342.7306030456248</v>
      </c>
      <c r="C221" s="1440">
        <f>($C$222-$C$80)/($A$222-$A$80)+C220</f>
        <v>0.41000000000000003</v>
      </c>
      <c r="D221" s="1440">
        <f t="shared" si="71"/>
        <v>0.59</v>
      </c>
      <c r="E221" s="53">
        <v>0</v>
      </c>
      <c r="F221" s="53">
        <v>0</v>
      </c>
      <c r="G221" s="898">
        <f t="shared" si="72"/>
        <v>1.7524156377989653</v>
      </c>
      <c r="H221" s="598">
        <f t="shared" si="73"/>
        <v>12.608844223187674</v>
      </c>
      <c r="I221" s="53"/>
      <c r="J221" s="898">
        <f t="shared" si="74"/>
        <v>0.75653065339126035</v>
      </c>
      <c r="K221" s="1441">
        <f>'Recycling - Case 3'!W139*'Recycling - Case 3'!AG139*'Recycling - Case 3'!C139</f>
        <v>4778.0738813212811</v>
      </c>
      <c r="L221" s="1440">
        <f>($L$222-$L$80)/($A$222-$A$80)+L220</f>
        <v>0.42000000000000004</v>
      </c>
      <c r="M221" s="1440">
        <f>($M$222-$M$80)/($A$222-$A$80)+M220</f>
        <v>0.58000000000000018</v>
      </c>
      <c r="N221" s="53">
        <f t="shared" si="66"/>
        <v>0</v>
      </c>
      <c r="O221" s="53">
        <f t="shared" si="66"/>
        <v>0</v>
      </c>
      <c r="P221" s="898">
        <f t="shared" si="67"/>
        <v>1.6054328241239506</v>
      </c>
      <c r="Q221" s="598">
        <f t="shared" si="68"/>
        <v>11.085131404665375</v>
      </c>
      <c r="R221" s="53"/>
      <c r="S221" s="1442">
        <f t="shared" si="69"/>
        <v>0.66510788427992262</v>
      </c>
      <c r="T221" s="1429">
        <f t="shared" si="70"/>
        <v>3.3578484619229156</v>
      </c>
      <c r="U221" s="1430">
        <f t="shared" si="70"/>
        <v>23.69397562785305</v>
      </c>
      <c r="V221" s="1430">
        <f t="shared" si="70"/>
        <v>0</v>
      </c>
      <c r="W221" s="1431">
        <f t="shared" si="70"/>
        <v>1.4216385376711829</v>
      </c>
    </row>
    <row r="222" spans="1:23">
      <c r="A222" s="123">
        <f>'Input data'!A122</f>
        <v>2022</v>
      </c>
      <c r="B222" s="1439">
        <f>'Recycling - Case 3'!B101*'Recycling - Case 3'!AI101</f>
        <v>5021.1547579907265</v>
      </c>
      <c r="C222" s="1440">
        <f>'Recycling - Case 3'!G31</f>
        <v>0.5</v>
      </c>
      <c r="D222" s="1440">
        <f>'Recycling - Case 3'!H31</f>
        <v>0.5</v>
      </c>
      <c r="E222" s="53">
        <v>0</v>
      </c>
      <c r="F222" s="53">
        <v>0</v>
      </c>
      <c r="G222" s="898">
        <f t="shared" si="72"/>
        <v>2.0084619031962907</v>
      </c>
      <c r="H222" s="598">
        <f t="shared" si="73"/>
        <v>10.042309515981453</v>
      </c>
      <c r="I222" s="53"/>
      <c r="J222" s="898">
        <f t="shared" si="74"/>
        <v>0.60253857095888719</v>
      </c>
      <c r="K222" s="1441">
        <f>'Recycling - Case 3'!W140*'Recycling - Case 3'!AG140*'Recycling - Case 3'!C140</f>
        <v>2687.2902924075152</v>
      </c>
      <c r="L222" s="1440">
        <f>'Recycling - Case 3'!G31</f>
        <v>0.5</v>
      </c>
      <c r="M222" s="1440">
        <f>'Recycling - Case 3'!H31</f>
        <v>0.5</v>
      </c>
      <c r="N222" s="53">
        <f t="shared" si="66"/>
        <v>0</v>
      </c>
      <c r="O222" s="53">
        <f t="shared" si="66"/>
        <v>0</v>
      </c>
      <c r="P222" s="898">
        <f t="shared" si="67"/>
        <v>1.0749161169630062</v>
      </c>
      <c r="Q222" s="598">
        <f t="shared" si="68"/>
        <v>5.3745805848150301</v>
      </c>
      <c r="R222" s="53"/>
      <c r="S222" s="1442">
        <f t="shared" si="69"/>
        <v>0.32247483508890179</v>
      </c>
      <c r="T222" s="1429">
        <f t="shared" si="70"/>
        <v>3.0833780201592971</v>
      </c>
      <c r="U222" s="1430">
        <f t="shared" si="70"/>
        <v>15.416890100796483</v>
      </c>
      <c r="V222" s="1430">
        <f t="shared" si="70"/>
        <v>0</v>
      </c>
      <c r="W222" s="1431">
        <f t="shared" si="70"/>
        <v>0.92501340604778903</v>
      </c>
    </row>
    <row r="223" spans="1:23">
      <c r="A223" s="123">
        <f>'Input data'!A123</f>
        <v>2023</v>
      </c>
      <c r="B223" s="1439">
        <f>'Recycling - Case 3'!B102*'Recycling - Case 3'!AI102</f>
        <v>4838.5591386232072</v>
      </c>
      <c r="C223" s="1440">
        <f>C222</f>
        <v>0.5</v>
      </c>
      <c r="D223" s="1440">
        <f>D222</f>
        <v>0.5</v>
      </c>
      <c r="E223" s="53">
        <v>0</v>
      </c>
      <c r="F223" s="53">
        <v>0</v>
      </c>
      <c r="G223" s="898">
        <f t="shared" si="72"/>
        <v>1.935423655449283</v>
      </c>
      <c r="H223" s="598">
        <f t="shared" si="73"/>
        <v>9.6771182772464144</v>
      </c>
      <c r="I223" s="53"/>
      <c r="J223" s="898">
        <f t="shared" si="74"/>
        <v>0.58062709663478485</v>
      </c>
      <c r="K223" s="1441">
        <f>'Recycling - Case 3'!W141*'Recycling - Case 3'!AG141*'Recycling - Case 3'!C141</f>
        <v>1508.3660104568362</v>
      </c>
      <c r="L223" s="1440">
        <f>L222</f>
        <v>0.5</v>
      </c>
      <c r="M223" s="1440">
        <f>M222</f>
        <v>0.5</v>
      </c>
      <c r="N223" s="53">
        <f t="shared" si="66"/>
        <v>0</v>
      </c>
      <c r="O223" s="53">
        <f t="shared" si="66"/>
        <v>0</v>
      </c>
      <c r="P223" s="898">
        <f t="shared" si="67"/>
        <v>0.60334640418273455</v>
      </c>
      <c r="Q223" s="598">
        <f t="shared" si="68"/>
        <v>3.0167320209136723</v>
      </c>
      <c r="R223" s="53"/>
      <c r="S223" s="1442">
        <f t="shared" si="69"/>
        <v>0.18100392125482034</v>
      </c>
      <c r="T223" s="1429">
        <f t="shared" si="70"/>
        <v>2.5387700596320175</v>
      </c>
      <c r="U223" s="1430">
        <f t="shared" si="70"/>
        <v>12.693850298160086</v>
      </c>
      <c r="V223" s="1430">
        <f t="shared" si="70"/>
        <v>0</v>
      </c>
      <c r="W223" s="1431">
        <f t="shared" si="70"/>
        <v>0.76163101788960519</v>
      </c>
    </row>
    <row r="224" spans="1:23">
      <c r="A224" s="123">
        <f>'Input data'!A124</f>
        <v>2024</v>
      </c>
      <c r="B224" s="1439">
        <f>'Recycling - Case 3'!B103*'Recycling - Case 3'!AI103</f>
        <v>4644.4457885792062</v>
      </c>
      <c r="C224" s="1440">
        <f t="shared" ref="C224:D239" si="75">C223</f>
        <v>0.5</v>
      </c>
      <c r="D224" s="1440">
        <f t="shared" si="75"/>
        <v>0.5</v>
      </c>
      <c r="E224" s="53">
        <v>0</v>
      </c>
      <c r="F224" s="53">
        <v>0</v>
      </c>
      <c r="G224" s="898">
        <f t="shared" si="72"/>
        <v>1.8577783154316825</v>
      </c>
      <c r="H224" s="598">
        <f t="shared" si="73"/>
        <v>9.2888915771584131</v>
      </c>
      <c r="I224" s="53"/>
      <c r="J224" s="898">
        <f t="shared" si="74"/>
        <v>0.55733349462950466</v>
      </c>
      <c r="K224" s="1441">
        <f>'Recycling - Case 3'!W142*'Recycling - Case 3'!AG142*'Recycling - Case 3'!C142</f>
        <v>1539.4479969130523</v>
      </c>
      <c r="L224" s="1440">
        <f t="shared" ref="L224:M239" si="76">L223</f>
        <v>0.5</v>
      </c>
      <c r="M224" s="1440">
        <f t="shared" si="76"/>
        <v>0.5</v>
      </c>
      <c r="N224" s="53">
        <f t="shared" si="66"/>
        <v>0</v>
      </c>
      <c r="O224" s="53">
        <f t="shared" si="66"/>
        <v>0</v>
      </c>
      <c r="P224" s="898">
        <f t="shared" si="67"/>
        <v>0.61577919876522091</v>
      </c>
      <c r="Q224" s="598">
        <f t="shared" si="68"/>
        <v>3.0788959938261047</v>
      </c>
      <c r="R224" s="53"/>
      <c r="S224" s="1442">
        <f t="shared" si="69"/>
        <v>0.18473375962956626</v>
      </c>
      <c r="T224" s="1429">
        <f t="shared" si="70"/>
        <v>2.4735575141969033</v>
      </c>
      <c r="U224" s="1430">
        <f t="shared" si="70"/>
        <v>12.367787570984518</v>
      </c>
      <c r="V224" s="1430">
        <f t="shared" si="70"/>
        <v>0</v>
      </c>
      <c r="W224" s="1431">
        <f t="shared" si="70"/>
        <v>0.74206725425907094</v>
      </c>
    </row>
    <row r="225" spans="1:23">
      <c r="A225" s="123">
        <f>'Input data'!A125</f>
        <v>2025</v>
      </c>
      <c r="B225" s="1439">
        <f>'Recycling - Case 3'!B104*'Recycling - Case 3'!AI104</f>
        <v>4438.2123213922823</v>
      </c>
      <c r="C225" s="1440">
        <f t="shared" si="75"/>
        <v>0.5</v>
      </c>
      <c r="D225" s="1440">
        <f t="shared" si="75"/>
        <v>0.5</v>
      </c>
      <c r="E225" s="53">
        <v>0</v>
      </c>
      <c r="F225" s="53">
        <v>0</v>
      </c>
      <c r="G225" s="898">
        <f t="shared" si="72"/>
        <v>1.775284928556913</v>
      </c>
      <c r="H225" s="598">
        <f t="shared" si="73"/>
        <v>8.8764246427845652</v>
      </c>
      <c r="I225" s="53"/>
      <c r="J225" s="898">
        <f t="shared" si="74"/>
        <v>0.53258547856707394</v>
      </c>
      <c r="K225" s="1441">
        <f>'Recycling - Case 3'!W143*'Recycling - Case 3'!AG143*'Recycling - Case 3'!C143</f>
        <v>1569.4270899845267</v>
      </c>
      <c r="L225" s="1440">
        <f t="shared" si="76"/>
        <v>0.5</v>
      </c>
      <c r="M225" s="1440">
        <f t="shared" si="76"/>
        <v>0.5</v>
      </c>
      <c r="N225" s="53">
        <f t="shared" si="66"/>
        <v>0</v>
      </c>
      <c r="O225" s="53">
        <f t="shared" si="66"/>
        <v>0</v>
      </c>
      <c r="P225" s="898">
        <f t="shared" si="67"/>
        <v>0.62777083599381067</v>
      </c>
      <c r="Q225" s="598">
        <f t="shared" si="68"/>
        <v>3.1388541799690532</v>
      </c>
      <c r="R225" s="53"/>
      <c r="S225" s="1442">
        <f t="shared" si="69"/>
        <v>0.1883312507981432</v>
      </c>
      <c r="T225" s="1429">
        <f t="shared" si="70"/>
        <v>2.4030557645507238</v>
      </c>
      <c r="U225" s="1430">
        <f t="shared" si="70"/>
        <v>12.015278822753618</v>
      </c>
      <c r="V225" s="1430">
        <f t="shared" si="70"/>
        <v>0</v>
      </c>
      <c r="W225" s="1431">
        <f t="shared" si="70"/>
        <v>0.72091672936521711</v>
      </c>
    </row>
    <row r="226" spans="1:23">
      <c r="A226" s="123">
        <f>'Input data'!A126</f>
        <v>2026</v>
      </c>
      <c r="B226" s="1439">
        <f>'Recycling - Case 3'!B105*'Recycling - Case 3'!AI105</f>
        <v>4212.2487177631583</v>
      </c>
      <c r="C226" s="1440">
        <f t="shared" si="75"/>
        <v>0.5</v>
      </c>
      <c r="D226" s="1440">
        <f t="shared" si="75"/>
        <v>0.5</v>
      </c>
      <c r="E226" s="53">
        <v>0</v>
      </c>
      <c r="F226" s="53">
        <v>0</v>
      </c>
      <c r="G226" s="898">
        <f t="shared" si="72"/>
        <v>1.6848994871052634</v>
      </c>
      <c r="H226" s="598">
        <f t="shared" si="73"/>
        <v>8.424497435526316</v>
      </c>
      <c r="I226" s="53"/>
      <c r="J226" s="898">
        <f t="shared" si="74"/>
        <v>0.50546984613157897</v>
      </c>
      <c r="K226" s="1441">
        <f>'Recycling - Case 3'!W144*'Recycling - Case 3'!AG144*'Recycling - Case 3'!C144</f>
        <v>1600.6855393823012</v>
      </c>
      <c r="L226" s="1440">
        <f t="shared" si="76"/>
        <v>0.5</v>
      </c>
      <c r="M226" s="1440">
        <f t="shared" si="76"/>
        <v>0.5</v>
      </c>
      <c r="N226" s="53">
        <f t="shared" si="66"/>
        <v>0</v>
      </c>
      <c r="O226" s="53">
        <f t="shared" si="66"/>
        <v>0</v>
      </c>
      <c r="P226" s="898">
        <f t="shared" si="67"/>
        <v>0.64027421575292054</v>
      </c>
      <c r="Q226" s="598">
        <f t="shared" si="68"/>
        <v>3.2013710787646024</v>
      </c>
      <c r="R226" s="53"/>
      <c r="S226" s="1442">
        <f t="shared" si="69"/>
        <v>0.19208226472587614</v>
      </c>
      <c r="T226" s="1429">
        <f t="shared" si="70"/>
        <v>2.325173702858184</v>
      </c>
      <c r="U226" s="1430">
        <f t="shared" si="70"/>
        <v>11.625868514290918</v>
      </c>
      <c r="V226" s="1430">
        <f t="shared" si="70"/>
        <v>0</v>
      </c>
      <c r="W226" s="1431">
        <f t="shared" si="70"/>
        <v>0.69755211085745517</v>
      </c>
    </row>
    <row r="227" spans="1:23">
      <c r="A227" s="123">
        <f>'Input data'!A127</f>
        <v>2027</v>
      </c>
      <c r="B227" s="1439">
        <f>'Recycling - Case 3'!B106*'Recycling - Case 3'!AI106</f>
        <v>3973.7125528245519</v>
      </c>
      <c r="C227" s="1440">
        <f t="shared" si="75"/>
        <v>0.5</v>
      </c>
      <c r="D227" s="1440">
        <f t="shared" si="75"/>
        <v>0.5</v>
      </c>
      <c r="E227" s="53">
        <v>0</v>
      </c>
      <c r="F227" s="53">
        <v>0</v>
      </c>
      <c r="G227" s="898">
        <f t="shared" si="72"/>
        <v>1.5894850211298208</v>
      </c>
      <c r="H227" s="598">
        <f t="shared" si="73"/>
        <v>7.9474251056491036</v>
      </c>
      <c r="I227" s="53"/>
      <c r="J227" s="898">
        <f t="shared" si="74"/>
        <v>0.47684550633894623</v>
      </c>
      <c r="K227" s="1441">
        <f>'Recycling - Case 3'!W145*'Recycling - Case 3'!AG145*'Recycling - Case 3'!C145</f>
        <v>1637.8113815869031</v>
      </c>
      <c r="L227" s="1440">
        <f t="shared" si="76"/>
        <v>0.5</v>
      </c>
      <c r="M227" s="1440">
        <f t="shared" si="76"/>
        <v>0.5</v>
      </c>
      <c r="N227" s="53">
        <f t="shared" si="66"/>
        <v>0</v>
      </c>
      <c r="O227" s="53">
        <f t="shared" si="66"/>
        <v>0</v>
      </c>
      <c r="P227" s="898">
        <f t="shared" si="67"/>
        <v>0.65512455263476121</v>
      </c>
      <c r="Q227" s="598">
        <f t="shared" si="68"/>
        <v>3.2756227631738062</v>
      </c>
      <c r="R227" s="53"/>
      <c r="S227" s="1442">
        <f t="shared" si="69"/>
        <v>0.19653736579042838</v>
      </c>
      <c r="T227" s="1429">
        <f t="shared" si="70"/>
        <v>2.2446095737645821</v>
      </c>
      <c r="U227" s="1430">
        <f t="shared" si="70"/>
        <v>11.22304786882291</v>
      </c>
      <c r="V227" s="1430">
        <f t="shared" si="70"/>
        <v>0</v>
      </c>
      <c r="W227" s="1431">
        <f t="shared" si="70"/>
        <v>0.67338287212937464</v>
      </c>
    </row>
    <row r="228" spans="1:23">
      <c r="A228" s="123">
        <f>'Input data'!A128</f>
        <v>2028</v>
      </c>
      <c r="B228" s="1439">
        <f>'Recycling - Case 3'!B107*'Recycling - Case 3'!AI107</f>
        <v>3721.8307341944769</v>
      </c>
      <c r="C228" s="1440">
        <f t="shared" si="75"/>
        <v>0.5</v>
      </c>
      <c r="D228" s="1440">
        <f t="shared" si="75"/>
        <v>0.5</v>
      </c>
      <c r="E228" s="53">
        <v>0</v>
      </c>
      <c r="F228" s="53">
        <v>0</v>
      </c>
      <c r="G228" s="898">
        <f t="shared" si="72"/>
        <v>1.4887322936777909</v>
      </c>
      <c r="H228" s="598">
        <f t="shared" si="73"/>
        <v>7.4436614683889539</v>
      </c>
      <c r="I228" s="53"/>
      <c r="J228" s="898">
        <f t="shared" si="74"/>
        <v>0.44661968810333724</v>
      </c>
      <c r="K228" s="1441">
        <f>'Recycling - Case 3'!W146*'Recycling - Case 3'!AG146*'Recycling - Case 3'!C146</f>
        <v>1674.5744944116339</v>
      </c>
      <c r="L228" s="1440">
        <f t="shared" si="76"/>
        <v>0.5</v>
      </c>
      <c r="M228" s="1440">
        <f t="shared" si="76"/>
        <v>0.5</v>
      </c>
      <c r="N228" s="53">
        <f t="shared" si="66"/>
        <v>0</v>
      </c>
      <c r="O228" s="53">
        <f t="shared" si="66"/>
        <v>0</v>
      </c>
      <c r="P228" s="898">
        <f t="shared" si="67"/>
        <v>0.66982979776465357</v>
      </c>
      <c r="Q228" s="598">
        <f t="shared" si="68"/>
        <v>3.3491489888232677</v>
      </c>
      <c r="R228" s="53"/>
      <c r="S228" s="1442">
        <f t="shared" si="69"/>
        <v>0.20094893932939603</v>
      </c>
      <c r="T228" s="1429">
        <f t="shared" si="70"/>
        <v>2.1585620914424446</v>
      </c>
      <c r="U228" s="1430">
        <f t="shared" si="70"/>
        <v>10.792810457212221</v>
      </c>
      <c r="V228" s="1430">
        <f t="shared" si="70"/>
        <v>0</v>
      </c>
      <c r="W228" s="1431">
        <f t="shared" si="70"/>
        <v>0.64756862743273325</v>
      </c>
    </row>
    <row r="229" spans="1:23">
      <c r="A229" s="123">
        <f>'Input data'!A129</f>
        <v>2029</v>
      </c>
      <c r="B229" s="1439">
        <f>'Recycling - Case 3'!B108*'Recycling - Case 3'!AI108</f>
        <v>3456.0403079453235</v>
      </c>
      <c r="C229" s="1440">
        <f t="shared" si="75"/>
        <v>0.5</v>
      </c>
      <c r="D229" s="1440">
        <f t="shared" si="75"/>
        <v>0.5</v>
      </c>
      <c r="E229" s="53">
        <v>0</v>
      </c>
      <c r="F229" s="53">
        <v>0</v>
      </c>
      <c r="G229" s="898">
        <f t="shared" si="72"/>
        <v>1.3824161231781296</v>
      </c>
      <c r="H229" s="598">
        <f t="shared" si="73"/>
        <v>6.9120806158906474</v>
      </c>
      <c r="I229" s="53"/>
      <c r="J229" s="898">
        <f t="shared" si="74"/>
        <v>0.41472483695343881</v>
      </c>
      <c r="K229" s="1441">
        <f>'Recycling - Case 3'!W147*'Recycling - Case 3'!AG147*'Recycling - Case 3'!C147</f>
        <v>1713.1022366519528</v>
      </c>
      <c r="L229" s="1440">
        <f t="shared" si="76"/>
        <v>0.5</v>
      </c>
      <c r="M229" s="1440">
        <f t="shared" si="76"/>
        <v>0.5</v>
      </c>
      <c r="N229" s="53">
        <f t="shared" si="66"/>
        <v>0</v>
      </c>
      <c r="O229" s="53">
        <f t="shared" si="66"/>
        <v>0</v>
      </c>
      <c r="P229" s="898">
        <f t="shared" si="67"/>
        <v>0.68524089466078109</v>
      </c>
      <c r="Q229" s="598">
        <f t="shared" si="68"/>
        <v>3.4262044733039057</v>
      </c>
      <c r="R229" s="53"/>
      <c r="S229" s="1442">
        <f t="shared" si="69"/>
        <v>0.20557226839823434</v>
      </c>
      <c r="T229" s="1429">
        <f t="shared" si="70"/>
        <v>2.0676570178389104</v>
      </c>
      <c r="U229" s="1430">
        <f t="shared" si="70"/>
        <v>10.338285089194553</v>
      </c>
      <c r="V229" s="1430">
        <f t="shared" si="70"/>
        <v>0</v>
      </c>
      <c r="W229" s="1431">
        <f t="shared" si="70"/>
        <v>0.62029710535167315</v>
      </c>
    </row>
    <row r="230" spans="1:23">
      <c r="A230" s="123">
        <f>'Input data'!A130</f>
        <v>2030</v>
      </c>
      <c r="B230" s="1439">
        <f>'Recycling - Case 3'!B109*'Recycling - Case 3'!AI109</f>
        <v>3175.5559501258704</v>
      </c>
      <c r="C230" s="1440">
        <f t="shared" si="75"/>
        <v>0.5</v>
      </c>
      <c r="D230" s="1440">
        <f t="shared" si="75"/>
        <v>0.5</v>
      </c>
      <c r="E230" s="53">
        <v>0</v>
      </c>
      <c r="F230" s="53">
        <v>0</v>
      </c>
      <c r="G230" s="898">
        <f t="shared" si="72"/>
        <v>1.2702223800503483</v>
      </c>
      <c r="H230" s="598">
        <f t="shared" si="73"/>
        <v>6.3511119002517411</v>
      </c>
      <c r="I230" s="53"/>
      <c r="J230" s="898">
        <f t="shared" si="74"/>
        <v>0.38106671401510445</v>
      </c>
      <c r="K230" s="1441">
        <f>'Recycling - Case 3'!W148*'Recycling - Case 3'!AG148*'Recycling - Case 3'!C148</f>
        <v>1752.9044334701946</v>
      </c>
      <c r="L230" s="1440">
        <f t="shared" si="76"/>
        <v>0.5</v>
      </c>
      <c r="M230" s="1440">
        <f t="shared" si="76"/>
        <v>0.5</v>
      </c>
      <c r="N230" s="53">
        <f t="shared" si="66"/>
        <v>0</v>
      </c>
      <c r="O230" s="53">
        <f t="shared" si="66"/>
        <v>0</v>
      </c>
      <c r="P230" s="898">
        <f t="shared" si="67"/>
        <v>0.70116177338807795</v>
      </c>
      <c r="Q230" s="598">
        <f t="shared" si="68"/>
        <v>3.5058088669403893</v>
      </c>
      <c r="R230" s="53"/>
      <c r="S230" s="1442">
        <f t="shared" si="69"/>
        <v>0.21034853201642334</v>
      </c>
      <c r="T230" s="1429">
        <f t="shared" si="70"/>
        <v>1.9713841534384262</v>
      </c>
      <c r="U230" s="1430">
        <f t="shared" si="70"/>
        <v>9.8569207671921308</v>
      </c>
      <c r="V230" s="1430">
        <f t="shared" si="70"/>
        <v>0</v>
      </c>
      <c r="W230" s="1431">
        <f t="shared" si="70"/>
        <v>0.59141524603152784</v>
      </c>
    </row>
    <row r="231" spans="1:23">
      <c r="A231" s="123">
        <f>'Input data'!A131</f>
        <v>2031</v>
      </c>
      <c r="B231" s="1439">
        <f>'Recycling - Case 3'!B110*'Recycling - Case 3'!AI110</f>
        <v>2833.1244977232623</v>
      </c>
      <c r="C231" s="1440">
        <f t="shared" si="75"/>
        <v>0.5</v>
      </c>
      <c r="D231" s="1440">
        <f t="shared" si="75"/>
        <v>0.5</v>
      </c>
      <c r="E231" s="53">
        <v>0</v>
      </c>
      <c r="F231" s="53">
        <v>0</v>
      </c>
      <c r="G231" s="898">
        <f t="shared" si="72"/>
        <v>1.1332497990893051</v>
      </c>
      <c r="H231" s="598">
        <f t="shared" si="73"/>
        <v>5.6662489954465247</v>
      </c>
      <c r="I231" s="53"/>
      <c r="J231" s="898">
        <f t="shared" si="74"/>
        <v>0.33997493972679144</v>
      </c>
      <c r="K231" s="1441">
        <f>'Recycling - Case 3'!W149*'Recycling - Case 3'!AG149*'Recycling - Case 3'!C149</f>
        <v>1794.0987268274005</v>
      </c>
      <c r="L231" s="1440">
        <f t="shared" si="76"/>
        <v>0.5</v>
      </c>
      <c r="M231" s="1440">
        <f t="shared" si="76"/>
        <v>0.5</v>
      </c>
      <c r="N231" s="53">
        <f t="shared" si="66"/>
        <v>0</v>
      </c>
      <c r="O231" s="53">
        <f t="shared" si="66"/>
        <v>0</v>
      </c>
      <c r="P231" s="898">
        <f t="shared" si="67"/>
        <v>0.71763949073096023</v>
      </c>
      <c r="Q231" s="598">
        <f t="shared" si="68"/>
        <v>3.5881974536548009</v>
      </c>
      <c r="R231" s="53"/>
      <c r="S231" s="1442">
        <f t="shared" si="69"/>
        <v>0.21529184721928807</v>
      </c>
      <c r="T231" s="1429">
        <f t="shared" si="70"/>
        <v>1.8508892898202653</v>
      </c>
      <c r="U231" s="1430">
        <f t="shared" si="70"/>
        <v>9.2544464491013265</v>
      </c>
      <c r="V231" s="1430">
        <f t="shared" si="70"/>
        <v>0</v>
      </c>
      <c r="W231" s="1431">
        <f t="shared" si="70"/>
        <v>0.55526678694607945</v>
      </c>
    </row>
    <row r="232" spans="1:23">
      <c r="A232" s="123">
        <f>'Input data'!A132</f>
        <v>2032</v>
      </c>
      <c r="B232" s="1439">
        <f>'Recycling - Case 3'!B111*'Recycling - Case 3'!AI111</f>
        <v>2484.6228724288708</v>
      </c>
      <c r="C232" s="1440">
        <f t="shared" si="75"/>
        <v>0.5</v>
      </c>
      <c r="D232" s="1440">
        <f t="shared" si="75"/>
        <v>0.5</v>
      </c>
      <c r="E232" s="53">
        <v>0</v>
      </c>
      <c r="F232" s="53">
        <v>0</v>
      </c>
      <c r="G232" s="898">
        <f t="shared" si="72"/>
        <v>0.99384914897154841</v>
      </c>
      <c r="H232" s="598">
        <f t="shared" si="73"/>
        <v>4.9692457448577416</v>
      </c>
      <c r="I232" s="53"/>
      <c r="J232" s="898">
        <f t="shared" si="74"/>
        <v>0.29815474469146447</v>
      </c>
      <c r="K232" s="1441">
        <f>'Recycling - Case 3'!W150*'Recycling - Case 3'!AG150*'Recycling - Case 3'!C150</f>
        <v>1843.5622696959817</v>
      </c>
      <c r="L232" s="1440">
        <f t="shared" si="76"/>
        <v>0.5</v>
      </c>
      <c r="M232" s="1440">
        <f t="shared" si="76"/>
        <v>0.5</v>
      </c>
      <c r="N232" s="53">
        <f t="shared" si="66"/>
        <v>0</v>
      </c>
      <c r="O232" s="53">
        <f t="shared" si="66"/>
        <v>0</v>
      </c>
      <c r="P232" s="898">
        <f t="shared" si="67"/>
        <v>0.73742490787839277</v>
      </c>
      <c r="Q232" s="598">
        <f t="shared" si="68"/>
        <v>3.6871245393919634</v>
      </c>
      <c r="R232" s="53"/>
      <c r="S232" s="1442">
        <f t="shared" si="69"/>
        <v>0.22122747236351778</v>
      </c>
      <c r="T232" s="1429">
        <f t="shared" si="70"/>
        <v>1.7312740568499412</v>
      </c>
      <c r="U232" s="1430">
        <f t="shared" si="70"/>
        <v>8.6563702842497054</v>
      </c>
      <c r="V232" s="1430">
        <f t="shared" si="70"/>
        <v>0</v>
      </c>
      <c r="W232" s="1431">
        <f t="shared" si="70"/>
        <v>0.51938221705498222</v>
      </c>
    </row>
    <row r="233" spans="1:23">
      <c r="A233" s="123">
        <f>'Input data'!A133</f>
        <v>2033</v>
      </c>
      <c r="B233" s="1439">
        <f>'Recycling - Case 3'!B112*'Recycling - Case 3'!AI112</f>
        <v>2505.8073684270425</v>
      </c>
      <c r="C233" s="1440">
        <f t="shared" si="75"/>
        <v>0.5</v>
      </c>
      <c r="D233" s="1440">
        <f t="shared" si="75"/>
        <v>0.5</v>
      </c>
      <c r="E233" s="53">
        <v>0</v>
      </c>
      <c r="F233" s="53">
        <v>0</v>
      </c>
      <c r="G233" s="898">
        <f t="shared" si="72"/>
        <v>1.0023229473708171</v>
      </c>
      <c r="H233" s="598">
        <f t="shared" si="73"/>
        <v>5.0116147368540851</v>
      </c>
      <c r="I233" s="53"/>
      <c r="J233" s="898">
        <f t="shared" si="74"/>
        <v>0.30069688421124513</v>
      </c>
      <c r="K233" s="1441">
        <f>'Recycling - Case 3'!W151*'Recycling - Case 3'!AG151*'Recycling - Case 3'!C151</f>
        <v>1890.7023838340403</v>
      </c>
      <c r="L233" s="1440">
        <f t="shared" si="76"/>
        <v>0.5</v>
      </c>
      <c r="M233" s="1440">
        <f t="shared" si="76"/>
        <v>0.5</v>
      </c>
      <c r="N233" s="53">
        <f t="shared" si="66"/>
        <v>0</v>
      </c>
      <c r="O233" s="53">
        <f t="shared" si="66"/>
        <v>0</v>
      </c>
      <c r="P233" s="898">
        <f t="shared" si="67"/>
        <v>0.75628095353361613</v>
      </c>
      <c r="Q233" s="598">
        <f t="shared" si="68"/>
        <v>3.7814047676680809</v>
      </c>
      <c r="R233" s="53"/>
      <c r="S233" s="1442">
        <f t="shared" si="69"/>
        <v>0.22688428606008484</v>
      </c>
      <c r="T233" s="1429">
        <f t="shared" si="70"/>
        <v>1.7586039009044332</v>
      </c>
      <c r="U233" s="1430">
        <f t="shared" si="70"/>
        <v>8.7930195045221655</v>
      </c>
      <c r="V233" s="1430">
        <f t="shared" si="70"/>
        <v>0</v>
      </c>
      <c r="W233" s="1431">
        <f t="shared" si="70"/>
        <v>0.52758117027133</v>
      </c>
    </row>
    <row r="234" spans="1:23">
      <c r="A234" s="123">
        <f>'Input data'!A134</f>
        <v>2034</v>
      </c>
      <c r="B234" s="1439">
        <f>'Recycling - Case 3'!B113*'Recycling - Case 3'!AI113</f>
        <v>2527.214079418201</v>
      </c>
      <c r="C234" s="1440">
        <f t="shared" si="75"/>
        <v>0.5</v>
      </c>
      <c r="D234" s="1440">
        <f t="shared" si="75"/>
        <v>0.5</v>
      </c>
      <c r="E234" s="53">
        <v>0</v>
      </c>
      <c r="F234" s="53">
        <v>0</v>
      </c>
      <c r="G234" s="898">
        <f t="shared" si="72"/>
        <v>1.0108856317672805</v>
      </c>
      <c r="H234" s="598">
        <f t="shared" si="73"/>
        <v>5.0544281588364024</v>
      </c>
      <c r="I234" s="53"/>
      <c r="J234" s="898">
        <f t="shared" si="74"/>
        <v>0.30326568953018407</v>
      </c>
      <c r="K234" s="1441">
        <f>'Recycling - Case 3'!W152*'Recycling - Case 3'!AG152*'Recycling - Case 3'!C152</f>
        <v>1943.0579582448343</v>
      </c>
      <c r="L234" s="1440">
        <f t="shared" si="76"/>
        <v>0.5</v>
      </c>
      <c r="M234" s="1440">
        <f t="shared" si="76"/>
        <v>0.5</v>
      </c>
      <c r="N234" s="53">
        <f t="shared" ref="N234:O249" si="77">N96</f>
        <v>0</v>
      </c>
      <c r="O234" s="53">
        <f t="shared" si="77"/>
        <v>0</v>
      </c>
      <c r="P234" s="898">
        <f t="shared" si="67"/>
        <v>0.77722318329793372</v>
      </c>
      <c r="Q234" s="598">
        <f t="shared" si="68"/>
        <v>3.8861159164896684</v>
      </c>
      <c r="R234" s="53"/>
      <c r="S234" s="1442">
        <f t="shared" si="69"/>
        <v>0.23316695498938009</v>
      </c>
      <c r="T234" s="1429">
        <f t="shared" si="70"/>
        <v>1.7881088150652142</v>
      </c>
      <c r="U234" s="1430">
        <f t="shared" si="70"/>
        <v>8.9405440753260699</v>
      </c>
      <c r="V234" s="1430">
        <f t="shared" si="70"/>
        <v>0</v>
      </c>
      <c r="W234" s="1431">
        <f t="shared" si="70"/>
        <v>0.53643264451956418</v>
      </c>
    </row>
    <row r="235" spans="1:23">
      <c r="A235" s="123">
        <f>'Input data'!A135</f>
        <v>2035</v>
      </c>
      <c r="B235" s="1439">
        <f>'Recycling - Case 3'!B114*'Recycling - Case 3'!AI114</f>
        <v>2548.7689337380189</v>
      </c>
      <c r="C235" s="1440">
        <f t="shared" si="75"/>
        <v>0.5</v>
      </c>
      <c r="D235" s="1440">
        <f t="shared" si="75"/>
        <v>0.5</v>
      </c>
      <c r="E235" s="53">
        <v>0</v>
      </c>
      <c r="F235" s="53">
        <v>0</v>
      </c>
      <c r="G235" s="898">
        <f t="shared" si="72"/>
        <v>1.0195075734952075</v>
      </c>
      <c r="H235" s="598">
        <f t="shared" si="73"/>
        <v>5.0975378674760377</v>
      </c>
      <c r="I235" s="53"/>
      <c r="J235" s="898">
        <f t="shared" si="74"/>
        <v>0.30585227204856225</v>
      </c>
      <c r="K235" s="1441">
        <f>'Recycling - Case 3'!W153*'Recycling - Case 3'!AG153*'Recycling - Case 3'!C153</f>
        <v>1999.0408264543346</v>
      </c>
      <c r="L235" s="1440">
        <f t="shared" si="76"/>
        <v>0.5</v>
      </c>
      <c r="M235" s="1440">
        <f t="shared" si="76"/>
        <v>0.5</v>
      </c>
      <c r="N235" s="53">
        <f t="shared" si="77"/>
        <v>0</v>
      </c>
      <c r="O235" s="53">
        <f t="shared" si="77"/>
        <v>0</v>
      </c>
      <c r="P235" s="898">
        <f t="shared" si="67"/>
        <v>0.79961633058173387</v>
      </c>
      <c r="Q235" s="598">
        <f t="shared" si="68"/>
        <v>3.9980816529086693</v>
      </c>
      <c r="R235" s="53"/>
      <c r="S235" s="1442">
        <f t="shared" si="69"/>
        <v>0.23988489917452013</v>
      </c>
      <c r="T235" s="1429">
        <f t="shared" si="70"/>
        <v>1.8191239040769414</v>
      </c>
      <c r="U235" s="1430">
        <f t="shared" si="70"/>
        <v>9.095619520384707</v>
      </c>
      <c r="V235" s="1430">
        <f t="shared" si="70"/>
        <v>0</v>
      </c>
      <c r="W235" s="1431">
        <f t="shared" si="70"/>
        <v>0.54573717122308241</v>
      </c>
    </row>
    <row r="236" spans="1:23">
      <c r="A236" s="123">
        <f>'Input data'!A136</f>
        <v>2036</v>
      </c>
      <c r="B236" s="1439">
        <f>'Recycling - Case 3'!B115*'Recycling - Case 3'!AI115</f>
        <v>2567.4349931489946</v>
      </c>
      <c r="C236" s="1440">
        <f t="shared" si="75"/>
        <v>0.5</v>
      </c>
      <c r="D236" s="1440">
        <f t="shared" si="75"/>
        <v>0.5</v>
      </c>
      <c r="E236" s="53">
        <v>0</v>
      </c>
      <c r="F236" s="53">
        <v>0</v>
      </c>
      <c r="G236" s="898">
        <f t="shared" si="72"/>
        <v>1.0269739972595977</v>
      </c>
      <c r="H236" s="598">
        <f t="shared" si="73"/>
        <v>5.1348699862979892</v>
      </c>
      <c r="I236" s="53"/>
      <c r="J236" s="898">
        <f t="shared" si="74"/>
        <v>0.30809219917787939</v>
      </c>
      <c r="K236" s="1441">
        <f>'Recycling - Case 3'!W154*'Recycling - Case 3'!AG154*'Recycling - Case 3'!C154</f>
        <v>2058.8764688878668</v>
      </c>
      <c r="L236" s="1440">
        <f t="shared" si="76"/>
        <v>0.5</v>
      </c>
      <c r="M236" s="1440">
        <f t="shared" si="76"/>
        <v>0.5</v>
      </c>
      <c r="N236" s="53">
        <f t="shared" si="77"/>
        <v>0</v>
      </c>
      <c r="O236" s="53">
        <f t="shared" si="77"/>
        <v>0</v>
      </c>
      <c r="P236" s="898">
        <f t="shared" si="67"/>
        <v>0.82355058755514676</v>
      </c>
      <c r="Q236" s="598">
        <f t="shared" si="68"/>
        <v>4.1177529377757338</v>
      </c>
      <c r="R236" s="53"/>
      <c r="S236" s="1442">
        <f t="shared" si="69"/>
        <v>0.24706517626654401</v>
      </c>
      <c r="T236" s="1429">
        <f t="shared" si="70"/>
        <v>1.8505245848147445</v>
      </c>
      <c r="U236" s="1430">
        <f t="shared" si="70"/>
        <v>9.252622924073723</v>
      </c>
      <c r="V236" s="1430">
        <f t="shared" si="70"/>
        <v>0</v>
      </c>
      <c r="W236" s="1431">
        <f t="shared" si="70"/>
        <v>0.55515737544442345</v>
      </c>
    </row>
    <row r="237" spans="1:23">
      <c r="A237" s="123">
        <f>'Input data'!A137</f>
        <v>2037</v>
      </c>
      <c r="B237" s="1439">
        <f>'Recycling - Case 3'!B116*'Recycling - Case 3'!AI116</f>
        <v>2586.2121600564647</v>
      </c>
      <c r="C237" s="1440">
        <f t="shared" si="75"/>
        <v>0.5</v>
      </c>
      <c r="D237" s="1440">
        <f t="shared" si="75"/>
        <v>0.5</v>
      </c>
      <c r="E237" s="53">
        <v>0</v>
      </c>
      <c r="F237" s="53">
        <v>0</v>
      </c>
      <c r="G237" s="898">
        <f t="shared" si="72"/>
        <v>1.0344848640225859</v>
      </c>
      <c r="H237" s="598">
        <f t="shared" si="73"/>
        <v>5.1724243201129294</v>
      </c>
      <c r="I237" s="53"/>
      <c r="J237" s="898">
        <f t="shared" si="74"/>
        <v>0.31034545920677575</v>
      </c>
      <c r="K237" s="1441">
        <f>'Recycling - Case 3'!W155*'Recycling - Case 3'!AG155*'Recycling - Case 3'!C155</f>
        <v>2120.481642485363</v>
      </c>
      <c r="L237" s="1440">
        <f t="shared" si="76"/>
        <v>0.5</v>
      </c>
      <c r="M237" s="1440">
        <f t="shared" si="76"/>
        <v>0.5</v>
      </c>
      <c r="N237" s="53">
        <f t="shared" si="77"/>
        <v>0</v>
      </c>
      <c r="O237" s="53">
        <f t="shared" si="77"/>
        <v>0</v>
      </c>
      <c r="P237" s="898">
        <f t="shared" si="67"/>
        <v>0.84819265699414514</v>
      </c>
      <c r="Q237" s="598">
        <f t="shared" si="68"/>
        <v>4.2409632849707259</v>
      </c>
      <c r="R237" s="53"/>
      <c r="S237" s="1442">
        <f t="shared" si="69"/>
        <v>0.25445779709824351</v>
      </c>
      <c r="T237" s="1429">
        <f t="shared" si="70"/>
        <v>1.882677521016731</v>
      </c>
      <c r="U237" s="1430">
        <f t="shared" si="70"/>
        <v>9.4133876050836562</v>
      </c>
      <c r="V237" s="1430">
        <f t="shared" si="70"/>
        <v>0</v>
      </c>
      <c r="W237" s="1431">
        <f t="shared" si="70"/>
        <v>0.56480325630501926</v>
      </c>
    </row>
    <row r="238" spans="1:23">
      <c r="A238" s="123">
        <f>'Input data'!A138</f>
        <v>2038</v>
      </c>
      <c r="B238" s="1439">
        <f>'Recycling - Case 3'!B117*'Recycling - Case 3'!AI117</f>
        <v>2605.174506124758</v>
      </c>
      <c r="C238" s="1440">
        <f t="shared" si="75"/>
        <v>0.5</v>
      </c>
      <c r="D238" s="1440">
        <f t="shared" si="75"/>
        <v>0.5</v>
      </c>
      <c r="E238" s="53">
        <v>0</v>
      </c>
      <c r="F238" s="53">
        <v>0</v>
      </c>
      <c r="G238" s="898">
        <f t="shared" si="72"/>
        <v>1.0420698024499031</v>
      </c>
      <c r="H238" s="598">
        <f t="shared" si="73"/>
        <v>5.210349012249516</v>
      </c>
      <c r="I238" s="53"/>
      <c r="J238" s="898">
        <f t="shared" si="74"/>
        <v>0.31262094073497093</v>
      </c>
      <c r="K238" s="1441">
        <f>'Recycling - Case 3'!W156*'Recycling - Case 3'!AG156*'Recycling - Case 3'!C156</f>
        <v>2184.7092514643577</v>
      </c>
      <c r="L238" s="1440">
        <f t="shared" si="76"/>
        <v>0.5</v>
      </c>
      <c r="M238" s="1440">
        <f t="shared" si="76"/>
        <v>0.5</v>
      </c>
      <c r="N238" s="53">
        <f t="shared" si="77"/>
        <v>0</v>
      </c>
      <c r="O238" s="53">
        <f t="shared" si="77"/>
        <v>0</v>
      </c>
      <c r="P238" s="898">
        <f t="shared" si="67"/>
        <v>0.87388370058574305</v>
      </c>
      <c r="Q238" s="598">
        <f t="shared" si="68"/>
        <v>4.3694185029287151</v>
      </c>
      <c r="R238" s="53"/>
      <c r="S238" s="1442">
        <f t="shared" si="69"/>
        <v>0.26216511017572292</v>
      </c>
      <c r="T238" s="1429">
        <f t="shared" si="70"/>
        <v>1.915953503035646</v>
      </c>
      <c r="U238" s="1430">
        <f t="shared" si="70"/>
        <v>9.5797675151782311</v>
      </c>
      <c r="V238" s="1430">
        <f t="shared" si="70"/>
        <v>0</v>
      </c>
      <c r="W238" s="1431">
        <f t="shared" si="70"/>
        <v>0.5747860509106939</v>
      </c>
    </row>
    <row r="239" spans="1:23">
      <c r="A239" s="123">
        <f>'Input data'!A139</f>
        <v>2039</v>
      </c>
      <c r="B239" s="1439">
        <f>'Recycling - Case 3'!B118*'Recycling - Case 3'!AI118</f>
        <v>2624.247959689545</v>
      </c>
      <c r="C239" s="1440">
        <f t="shared" si="75"/>
        <v>0.5</v>
      </c>
      <c r="D239" s="1440">
        <f t="shared" si="75"/>
        <v>0.5</v>
      </c>
      <c r="E239" s="53">
        <v>0</v>
      </c>
      <c r="F239" s="53">
        <v>0</v>
      </c>
      <c r="G239" s="898">
        <f t="shared" si="72"/>
        <v>1.0496991838758181</v>
      </c>
      <c r="H239" s="598">
        <f t="shared" si="73"/>
        <v>5.2484959193790903</v>
      </c>
      <c r="I239" s="53"/>
      <c r="J239" s="898">
        <f t="shared" si="74"/>
        <v>0.31490975516274539</v>
      </c>
      <c r="K239" s="1441">
        <f>'Recycling - Case 3'!W157*'Recycling - Case 3'!AG157*'Recycling - Case 3'!C157</f>
        <v>2556.4821270854186</v>
      </c>
      <c r="L239" s="1440">
        <f t="shared" si="76"/>
        <v>0.5</v>
      </c>
      <c r="M239" s="1440">
        <f t="shared" si="76"/>
        <v>0.5</v>
      </c>
      <c r="N239" s="53">
        <f t="shared" si="77"/>
        <v>0</v>
      </c>
      <c r="O239" s="53">
        <f t="shared" si="77"/>
        <v>0</v>
      </c>
      <c r="P239" s="898">
        <f t="shared" si="67"/>
        <v>1.0225928508341675</v>
      </c>
      <c r="Q239" s="598">
        <f t="shared" si="68"/>
        <v>5.1129642541708371</v>
      </c>
      <c r="R239" s="53"/>
      <c r="S239" s="1442">
        <f t="shared" si="69"/>
        <v>0.30677785525025025</v>
      </c>
      <c r="T239" s="1429">
        <f t="shared" si="70"/>
        <v>2.0722920347099856</v>
      </c>
      <c r="U239" s="1430">
        <f t="shared" si="70"/>
        <v>10.361460173549927</v>
      </c>
      <c r="V239" s="1430">
        <f t="shared" si="70"/>
        <v>0</v>
      </c>
      <c r="W239" s="1431">
        <f t="shared" si="70"/>
        <v>0.62168761041299558</v>
      </c>
    </row>
    <row r="240" spans="1:23">
      <c r="A240" s="123">
        <f>'Input data'!A140</f>
        <v>2040</v>
      </c>
      <c r="B240" s="1439">
        <f>'Recycling - Case 3'!B119*'Recycling - Case 3'!AI119</f>
        <v>2643.4325207508259</v>
      </c>
      <c r="C240" s="1440">
        <f t="shared" ref="C240:D250" si="78">C239</f>
        <v>0.5</v>
      </c>
      <c r="D240" s="1440">
        <f t="shared" si="78"/>
        <v>0.5</v>
      </c>
      <c r="E240" s="53">
        <v>0</v>
      </c>
      <c r="F240" s="53">
        <v>0</v>
      </c>
      <c r="G240" s="898">
        <f t="shared" si="72"/>
        <v>1.0573730083003303</v>
      </c>
      <c r="H240" s="598">
        <f t="shared" si="73"/>
        <v>5.2868650415016516</v>
      </c>
      <c r="I240" s="53"/>
      <c r="J240" s="898">
        <f t="shared" si="74"/>
        <v>0.31721190249009906</v>
      </c>
      <c r="K240" s="1441">
        <f>'Recycling - Case 3'!W158*'Recycling - Case 3'!AG158*'Recycling - Case 3'!C158</f>
        <v>3617.5286687971379</v>
      </c>
      <c r="L240" s="1440">
        <f t="shared" ref="L240:M250" si="79">L239</f>
        <v>0.5</v>
      </c>
      <c r="M240" s="1440">
        <f t="shared" si="79"/>
        <v>0.5</v>
      </c>
      <c r="N240" s="53">
        <f t="shared" si="77"/>
        <v>0</v>
      </c>
      <c r="O240" s="53">
        <f t="shared" si="77"/>
        <v>0</v>
      </c>
      <c r="P240" s="898">
        <f t="shared" si="67"/>
        <v>1.4470114675188552</v>
      </c>
      <c r="Q240" s="598">
        <f t="shared" si="68"/>
        <v>7.2350573375942755</v>
      </c>
      <c r="R240" s="53"/>
      <c r="S240" s="1442">
        <f t="shared" si="69"/>
        <v>0.43410344025565656</v>
      </c>
      <c r="T240" s="1429">
        <f t="shared" si="70"/>
        <v>2.5043844758191858</v>
      </c>
      <c r="U240" s="1430">
        <f t="shared" si="70"/>
        <v>12.521922379095926</v>
      </c>
      <c r="V240" s="1430">
        <f t="shared" si="70"/>
        <v>0</v>
      </c>
      <c r="W240" s="1431">
        <f t="shared" si="70"/>
        <v>0.75131534274575562</v>
      </c>
    </row>
    <row r="241" spans="1:23">
      <c r="A241" s="123">
        <f>'Input data'!A141</f>
        <v>2041</v>
      </c>
      <c r="B241" s="1439">
        <f>'Recycling - Case 3'!B120*'Recycling - Case 3'!AI120</f>
        <v>2659.8764302319241</v>
      </c>
      <c r="C241" s="1440">
        <f t="shared" si="78"/>
        <v>0.5</v>
      </c>
      <c r="D241" s="1440">
        <f t="shared" si="78"/>
        <v>0.5</v>
      </c>
      <c r="E241" s="53">
        <v>0</v>
      </c>
      <c r="F241" s="53">
        <v>0</v>
      </c>
      <c r="G241" s="898">
        <f t="shared" si="72"/>
        <v>1.0639505720927698</v>
      </c>
      <c r="H241" s="598">
        <f t="shared" si="73"/>
        <v>5.319752860463848</v>
      </c>
      <c r="I241" s="53"/>
      <c r="J241" s="898">
        <f t="shared" si="74"/>
        <v>0.31918517162783089</v>
      </c>
      <c r="K241" s="1441">
        <f>'Recycling - Case 3'!W159*'Recycling - Case 3'!AG159*'Recycling - Case 3'!C159</f>
        <v>4696.596792977406</v>
      </c>
      <c r="L241" s="1440">
        <f t="shared" si="79"/>
        <v>0.5</v>
      </c>
      <c r="M241" s="1440">
        <f t="shared" si="79"/>
        <v>0.5</v>
      </c>
      <c r="N241" s="53">
        <f t="shared" si="77"/>
        <v>0</v>
      </c>
      <c r="O241" s="53">
        <f t="shared" si="77"/>
        <v>0</v>
      </c>
      <c r="P241" s="898">
        <f t="shared" si="67"/>
        <v>1.8786387171909626</v>
      </c>
      <c r="Q241" s="598">
        <f t="shared" si="68"/>
        <v>9.3931935859548119</v>
      </c>
      <c r="R241" s="53"/>
      <c r="S241" s="1442">
        <f t="shared" si="69"/>
        <v>0.56359161515728873</v>
      </c>
      <c r="T241" s="1429">
        <f t="shared" si="70"/>
        <v>2.9425892892837324</v>
      </c>
      <c r="U241" s="1430">
        <f t="shared" si="70"/>
        <v>14.712946446418659</v>
      </c>
      <c r="V241" s="1430">
        <f t="shared" si="70"/>
        <v>0</v>
      </c>
      <c r="W241" s="1431">
        <f t="shared" si="70"/>
        <v>0.88277678678511962</v>
      </c>
    </row>
    <row r="242" spans="1:23">
      <c r="A242" s="123">
        <f>'Input data'!A142</f>
        <v>2042</v>
      </c>
      <c r="B242" s="1439">
        <f>'Recycling - Case 3'!B121*'Recycling - Case 3'!AI121</f>
        <v>2676.3944113773509</v>
      </c>
      <c r="C242" s="1440">
        <f t="shared" si="78"/>
        <v>0.5</v>
      </c>
      <c r="D242" s="1440">
        <f t="shared" si="78"/>
        <v>0.5</v>
      </c>
      <c r="E242" s="53">
        <v>0</v>
      </c>
      <c r="F242" s="53">
        <v>0</v>
      </c>
      <c r="G242" s="898">
        <f t="shared" si="72"/>
        <v>1.0705577645509403</v>
      </c>
      <c r="H242" s="598">
        <f t="shared" si="73"/>
        <v>5.352788822754702</v>
      </c>
      <c r="I242" s="53"/>
      <c r="J242" s="898">
        <f t="shared" si="74"/>
        <v>0.32116732936528214</v>
      </c>
      <c r="K242" s="1441">
        <f>'Recycling - Case 3'!W160*'Recycling - Case 3'!AG160*'Recycling - Case 3'!C160</f>
        <v>5368.256159484923</v>
      </c>
      <c r="L242" s="1440">
        <f t="shared" si="79"/>
        <v>0.5</v>
      </c>
      <c r="M242" s="1440">
        <f t="shared" si="79"/>
        <v>0.5</v>
      </c>
      <c r="N242" s="53">
        <f t="shared" si="77"/>
        <v>0</v>
      </c>
      <c r="O242" s="53">
        <f t="shared" si="77"/>
        <v>0</v>
      </c>
      <c r="P242" s="898">
        <f t="shared" si="67"/>
        <v>2.1473024637939693</v>
      </c>
      <c r="Q242" s="598">
        <f t="shared" si="68"/>
        <v>10.736512318969845</v>
      </c>
      <c r="R242" s="53"/>
      <c r="S242" s="1442">
        <f t="shared" si="69"/>
        <v>0.6441907391381908</v>
      </c>
      <c r="T242" s="1429">
        <f t="shared" si="70"/>
        <v>3.2178602283449096</v>
      </c>
      <c r="U242" s="1430">
        <f t="shared" si="70"/>
        <v>16.089301141724548</v>
      </c>
      <c r="V242" s="1430">
        <f t="shared" si="70"/>
        <v>0</v>
      </c>
      <c r="W242" s="1431">
        <f t="shared" si="70"/>
        <v>0.96535806850347294</v>
      </c>
    </row>
    <row r="243" spans="1:23">
      <c r="A243" s="123">
        <f>'Input data'!A143</f>
        <v>2043</v>
      </c>
      <c r="B243" s="1439">
        <f>'Recycling - Case 3'!B122*'Recycling - Case 3'!AI122</f>
        <v>2693.023500019272</v>
      </c>
      <c r="C243" s="1440">
        <f t="shared" si="78"/>
        <v>0.5</v>
      </c>
      <c r="D243" s="1440">
        <f t="shared" si="78"/>
        <v>0.5</v>
      </c>
      <c r="E243" s="53">
        <v>0</v>
      </c>
      <c r="F243" s="53">
        <v>0</v>
      </c>
      <c r="G243" s="898">
        <f t="shared" si="72"/>
        <v>1.0772094000077088</v>
      </c>
      <c r="H243" s="598">
        <f t="shared" si="73"/>
        <v>5.3860470000385439</v>
      </c>
      <c r="I243" s="53"/>
      <c r="J243" s="898">
        <f t="shared" si="74"/>
        <v>0.32316282000231261</v>
      </c>
      <c r="K243" s="1441">
        <f>'Recycling - Case 3'!W161*'Recycling - Case 3'!AG161*'Recycling - Case 3'!C161</f>
        <v>6053.7929945678707</v>
      </c>
      <c r="L243" s="1440">
        <f t="shared" si="79"/>
        <v>0.5</v>
      </c>
      <c r="M243" s="1440">
        <f t="shared" si="79"/>
        <v>0.5</v>
      </c>
      <c r="N243" s="53">
        <f t="shared" si="77"/>
        <v>0</v>
      </c>
      <c r="O243" s="53">
        <f t="shared" si="77"/>
        <v>0</v>
      </c>
      <c r="P243" s="898">
        <f t="shared" si="67"/>
        <v>2.4215171978271481</v>
      </c>
      <c r="Q243" s="598">
        <f t="shared" si="68"/>
        <v>12.107585989135741</v>
      </c>
      <c r="R243" s="53"/>
      <c r="S243" s="1442">
        <f t="shared" si="69"/>
        <v>0.72645515934814442</v>
      </c>
      <c r="T243" s="1429">
        <f t="shared" si="70"/>
        <v>3.4987265978348567</v>
      </c>
      <c r="U243" s="1430">
        <f t="shared" si="70"/>
        <v>17.493632989174284</v>
      </c>
      <c r="V243" s="1430">
        <f t="shared" si="70"/>
        <v>0</v>
      </c>
      <c r="W243" s="1431">
        <f t="shared" si="70"/>
        <v>1.049617979350457</v>
      </c>
    </row>
    <row r="244" spans="1:23">
      <c r="A244" s="123">
        <f>'Input data'!A144</f>
        <v>2044</v>
      </c>
      <c r="B244" s="1439">
        <f>'Recycling - Case 3'!B123*'Recycling - Case 3'!AI123</f>
        <v>2709.726660325523</v>
      </c>
      <c r="C244" s="1440">
        <f t="shared" si="78"/>
        <v>0.5</v>
      </c>
      <c r="D244" s="1440">
        <f t="shared" si="78"/>
        <v>0.5</v>
      </c>
      <c r="E244" s="53">
        <v>0</v>
      </c>
      <c r="F244" s="53">
        <v>0</v>
      </c>
      <c r="G244" s="898">
        <f t="shared" si="72"/>
        <v>1.0838906641302093</v>
      </c>
      <c r="H244" s="598">
        <f t="shared" si="73"/>
        <v>5.419453320651046</v>
      </c>
      <c r="I244" s="53"/>
      <c r="J244" s="898">
        <f t="shared" si="74"/>
        <v>0.32516719923906279</v>
      </c>
      <c r="K244" s="1441">
        <f>'Recycling - Case 3'!W162*'Recycling - Case 3'!AG162*'Recycling - Case 3'!C162</f>
        <v>6752.3572235815018</v>
      </c>
      <c r="L244" s="1440">
        <f t="shared" si="79"/>
        <v>0.5</v>
      </c>
      <c r="M244" s="1440">
        <f t="shared" si="79"/>
        <v>0.5</v>
      </c>
      <c r="N244" s="53">
        <f t="shared" si="77"/>
        <v>0</v>
      </c>
      <c r="O244" s="53">
        <f t="shared" si="77"/>
        <v>0</v>
      </c>
      <c r="P244" s="898">
        <f t="shared" si="67"/>
        <v>2.7009428894326009</v>
      </c>
      <c r="Q244" s="598">
        <f t="shared" si="68"/>
        <v>13.504714447163003</v>
      </c>
      <c r="R244" s="53"/>
      <c r="S244" s="1442">
        <f t="shared" si="69"/>
        <v>0.81028286682978024</v>
      </c>
      <c r="T244" s="1429">
        <f t="shared" si="70"/>
        <v>3.7848335535628101</v>
      </c>
      <c r="U244" s="1430">
        <f t="shared" si="70"/>
        <v>18.924167767814048</v>
      </c>
      <c r="V244" s="1430">
        <f t="shared" si="70"/>
        <v>0</v>
      </c>
      <c r="W244" s="1431">
        <f t="shared" si="70"/>
        <v>1.1354500660688429</v>
      </c>
    </row>
    <row r="245" spans="1:23">
      <c r="A245" s="123">
        <f>'Input data'!A145</f>
        <v>2045</v>
      </c>
      <c r="B245" s="1439">
        <f>'Recycling - Case 3'!B124*'Recycling - Case 3'!AI124</f>
        <v>2726.5779639604316</v>
      </c>
      <c r="C245" s="1440">
        <f t="shared" si="78"/>
        <v>0.5</v>
      </c>
      <c r="D245" s="1440">
        <f t="shared" si="78"/>
        <v>0.5</v>
      </c>
      <c r="E245" s="53">
        <v>0</v>
      </c>
      <c r="F245" s="53">
        <v>0</v>
      </c>
      <c r="G245" s="898">
        <f t="shared" si="72"/>
        <v>1.0906311855841728</v>
      </c>
      <c r="H245" s="598">
        <f t="shared" si="73"/>
        <v>5.4531559279208635</v>
      </c>
      <c r="I245" s="53"/>
      <c r="J245" s="898">
        <f t="shared" si="74"/>
        <v>0.32718935567525176</v>
      </c>
      <c r="K245" s="1441">
        <f>'Recycling - Case 3'!W163*'Recycling - Case 3'!AG163*'Recycling - Case 3'!C163</f>
        <v>7465.8402626103816</v>
      </c>
      <c r="L245" s="1440">
        <f t="shared" si="79"/>
        <v>0.5</v>
      </c>
      <c r="M245" s="1440">
        <f t="shared" si="79"/>
        <v>0.5</v>
      </c>
      <c r="N245" s="53">
        <f t="shared" si="77"/>
        <v>0</v>
      </c>
      <c r="O245" s="53">
        <f t="shared" si="77"/>
        <v>0</v>
      </c>
      <c r="P245" s="898">
        <f t="shared" si="67"/>
        <v>2.9863361050441526</v>
      </c>
      <c r="Q245" s="598">
        <f t="shared" si="68"/>
        <v>14.931680525220763</v>
      </c>
      <c r="R245" s="53"/>
      <c r="S245" s="1442">
        <f t="shared" si="69"/>
        <v>0.89590083151324573</v>
      </c>
      <c r="T245" s="1429">
        <f t="shared" si="70"/>
        <v>4.0769672906283256</v>
      </c>
      <c r="U245" s="1430">
        <f t="shared" si="70"/>
        <v>20.384836453141627</v>
      </c>
      <c r="V245" s="1430">
        <f t="shared" si="70"/>
        <v>0</v>
      </c>
      <c r="W245" s="1431">
        <f t="shared" si="70"/>
        <v>1.2230901871884976</v>
      </c>
    </row>
    <row r="246" spans="1:23">
      <c r="A246" s="123">
        <f>'Input data'!A146</f>
        <v>2046</v>
      </c>
      <c r="B246" s="1439">
        <f>'Recycling - Case 3'!B125*'Recycling - Case 3'!AI125</f>
        <v>2740.46640102217</v>
      </c>
      <c r="C246" s="1440">
        <f t="shared" si="78"/>
        <v>0.5</v>
      </c>
      <c r="D246" s="1440">
        <f t="shared" si="78"/>
        <v>0.5</v>
      </c>
      <c r="E246" s="53">
        <v>0</v>
      </c>
      <c r="F246" s="53">
        <v>0</v>
      </c>
      <c r="G246" s="898">
        <f t="shared" si="72"/>
        <v>1.0961865604088681</v>
      </c>
      <c r="H246" s="598">
        <f t="shared" si="73"/>
        <v>5.4809328020443395</v>
      </c>
      <c r="I246" s="53"/>
      <c r="J246" s="898">
        <f t="shared" si="74"/>
        <v>0.32885596812266038</v>
      </c>
      <c r="K246" s="1441">
        <f>'Recycling - Case 3'!W164*'Recycling - Case 3'!AG164*'Recycling - Case 3'!C164</f>
        <v>8202.1053021183725</v>
      </c>
      <c r="L246" s="1440">
        <f t="shared" si="79"/>
        <v>0.5</v>
      </c>
      <c r="M246" s="1440">
        <f t="shared" si="79"/>
        <v>0.5</v>
      </c>
      <c r="N246" s="53">
        <f t="shared" si="77"/>
        <v>0</v>
      </c>
      <c r="O246" s="53">
        <f t="shared" si="77"/>
        <v>0</v>
      </c>
      <c r="P246" s="898">
        <f t="shared" si="67"/>
        <v>3.2808421208473493</v>
      </c>
      <c r="Q246" s="598">
        <f t="shared" si="68"/>
        <v>16.404210604236745</v>
      </c>
      <c r="R246" s="53"/>
      <c r="S246" s="1442">
        <f t="shared" si="69"/>
        <v>0.98425263625420467</v>
      </c>
      <c r="T246" s="1429">
        <f t="shared" si="70"/>
        <v>4.3770286812562169</v>
      </c>
      <c r="U246" s="1430">
        <f t="shared" si="70"/>
        <v>21.885143406281085</v>
      </c>
      <c r="V246" s="1430">
        <f t="shared" si="70"/>
        <v>0</v>
      </c>
      <c r="W246" s="1431">
        <f t="shared" si="70"/>
        <v>1.3131086043768652</v>
      </c>
    </row>
    <row r="247" spans="1:23">
      <c r="A247" s="123">
        <f>'Input data'!A147</f>
        <v>2047</v>
      </c>
      <c r="B247" s="1439">
        <f>'Recycling - Case 3'!B126*'Recycling - Case 3'!AI126</f>
        <v>2754.4659455804021</v>
      </c>
      <c r="C247" s="1440">
        <f t="shared" si="78"/>
        <v>0.5</v>
      </c>
      <c r="D247" s="1440">
        <f t="shared" si="78"/>
        <v>0.5</v>
      </c>
      <c r="E247" s="53">
        <v>0</v>
      </c>
      <c r="F247" s="53">
        <v>0</v>
      </c>
      <c r="G247" s="898">
        <f t="shared" si="72"/>
        <v>1.1017863782321609</v>
      </c>
      <c r="H247" s="598">
        <f t="shared" si="73"/>
        <v>5.5089318911608043</v>
      </c>
      <c r="I247" s="53"/>
      <c r="J247" s="898">
        <f t="shared" si="74"/>
        <v>0.33053591346964822</v>
      </c>
      <c r="K247" s="1441">
        <f>'Recycling - Case 3'!W165*'Recycling - Case 3'!AG165*'Recycling - Case 3'!C165</f>
        <v>8957.6457841959054</v>
      </c>
      <c r="L247" s="1440">
        <f t="shared" si="79"/>
        <v>0.5</v>
      </c>
      <c r="M247" s="1440">
        <f t="shared" si="79"/>
        <v>0.5</v>
      </c>
      <c r="N247" s="53">
        <f t="shared" si="77"/>
        <v>0</v>
      </c>
      <c r="O247" s="53">
        <f t="shared" si="77"/>
        <v>0</v>
      </c>
      <c r="P247" s="898">
        <f t="shared" si="67"/>
        <v>3.5830583136783627</v>
      </c>
      <c r="Q247" s="598">
        <f t="shared" si="68"/>
        <v>17.915291568391812</v>
      </c>
      <c r="R247" s="53"/>
      <c r="S247" s="1442">
        <f t="shared" si="69"/>
        <v>1.0749174941035087</v>
      </c>
      <c r="T247" s="1429">
        <f t="shared" si="70"/>
        <v>4.6848446919105236</v>
      </c>
      <c r="U247" s="1430">
        <f t="shared" si="70"/>
        <v>23.424223459552614</v>
      </c>
      <c r="V247" s="1430">
        <f t="shared" si="70"/>
        <v>0</v>
      </c>
      <c r="W247" s="1431">
        <f t="shared" si="70"/>
        <v>1.4054534075731568</v>
      </c>
    </row>
    <row r="248" spans="1:23">
      <c r="A248" s="123">
        <f>'Input data'!A148</f>
        <v>2048</v>
      </c>
      <c r="B248" s="1439">
        <f>'Recycling - Case 3'!B127*'Recycling - Case 3'!AI127</f>
        <v>2768.5395618029629</v>
      </c>
      <c r="C248" s="1440">
        <f t="shared" si="78"/>
        <v>0.5</v>
      </c>
      <c r="D248" s="1440">
        <f t="shared" si="78"/>
        <v>0.5</v>
      </c>
      <c r="E248" s="53">
        <v>0</v>
      </c>
      <c r="F248" s="53">
        <v>0</v>
      </c>
      <c r="G248" s="898">
        <f t="shared" si="72"/>
        <v>1.1074158247211852</v>
      </c>
      <c r="H248" s="598">
        <f t="shared" si="73"/>
        <v>5.5370791236059258</v>
      </c>
      <c r="I248" s="53"/>
      <c r="J248" s="898">
        <f t="shared" si="74"/>
        <v>0.33222474741635549</v>
      </c>
      <c r="K248" s="1441">
        <f>'Recycling - Case 3'!W166*'Recycling - Case 3'!AG166*'Recycling - Case 3'!C166</f>
        <v>9732.7167312364109</v>
      </c>
      <c r="L248" s="1440">
        <f t="shared" si="79"/>
        <v>0.5</v>
      </c>
      <c r="M248" s="1440">
        <f t="shared" si="79"/>
        <v>0.5</v>
      </c>
      <c r="N248" s="53">
        <f t="shared" si="77"/>
        <v>0</v>
      </c>
      <c r="O248" s="53">
        <f t="shared" si="77"/>
        <v>0</v>
      </c>
      <c r="P248" s="898">
        <f t="shared" si="67"/>
        <v>3.8930866924945646</v>
      </c>
      <c r="Q248" s="598">
        <f t="shared" si="68"/>
        <v>19.46543346247282</v>
      </c>
      <c r="R248" s="53"/>
      <c r="S248" s="1442">
        <f t="shared" si="69"/>
        <v>1.1679260077483693</v>
      </c>
      <c r="T248" s="1429">
        <f t="shared" si="70"/>
        <v>5.0005025172157502</v>
      </c>
      <c r="U248" s="1430">
        <f t="shared" si="70"/>
        <v>25.002512586078744</v>
      </c>
      <c r="V248" s="1430">
        <f t="shared" si="70"/>
        <v>0</v>
      </c>
      <c r="W248" s="1431">
        <f t="shared" si="70"/>
        <v>1.5001507551647248</v>
      </c>
    </row>
    <row r="249" spans="1:23">
      <c r="A249" s="123">
        <f>'Input data'!A149</f>
        <v>2049</v>
      </c>
      <c r="B249" s="1439">
        <f>'Recycling - Case 3'!B128*'Recycling - Case 3'!AI128</f>
        <v>2782.6502138576889</v>
      </c>
      <c r="C249" s="1440">
        <f t="shared" si="78"/>
        <v>0.5</v>
      </c>
      <c r="D249" s="1440">
        <f t="shared" si="78"/>
        <v>0.5</v>
      </c>
      <c r="E249" s="53">
        <v>0</v>
      </c>
      <c r="F249" s="53">
        <v>0</v>
      </c>
      <c r="G249" s="898">
        <f t="shared" si="72"/>
        <v>1.1130600855430755</v>
      </c>
      <c r="H249" s="598">
        <f t="shared" si="73"/>
        <v>5.5653004277153775</v>
      </c>
      <c r="I249" s="53"/>
      <c r="J249" s="898">
        <f t="shared" si="74"/>
        <v>0.33391802566292267</v>
      </c>
      <c r="K249" s="1441">
        <f>'Recycling - Case 3'!W167*'Recycling - Case 3'!AG167*'Recycling - Case 3'!C167</f>
        <v>10512.718111216431</v>
      </c>
      <c r="L249" s="1440">
        <f t="shared" si="79"/>
        <v>0.5</v>
      </c>
      <c r="M249" s="1440">
        <f t="shared" si="79"/>
        <v>0.5</v>
      </c>
      <c r="N249" s="53">
        <f t="shared" si="77"/>
        <v>0</v>
      </c>
      <c r="O249" s="53">
        <f t="shared" si="77"/>
        <v>0</v>
      </c>
      <c r="P249" s="898">
        <f t="shared" si="67"/>
        <v>4.205087244486573</v>
      </c>
      <c r="Q249" s="598">
        <f t="shared" si="68"/>
        <v>21.025436222432862</v>
      </c>
      <c r="R249" s="53"/>
      <c r="S249" s="1442">
        <f t="shared" si="69"/>
        <v>1.2615261733459717</v>
      </c>
      <c r="T249" s="1429">
        <f t="shared" si="70"/>
        <v>5.3181473300296487</v>
      </c>
      <c r="U249" s="1430">
        <f t="shared" si="70"/>
        <v>26.590736650148241</v>
      </c>
      <c r="V249" s="1430">
        <f t="shared" si="70"/>
        <v>0</v>
      </c>
      <c r="W249" s="1431">
        <f t="shared" si="70"/>
        <v>1.5954441990088943</v>
      </c>
    </row>
    <row r="250" spans="1:23" ht="15" thickBot="1">
      <c r="A250" s="123">
        <f>'Input data'!A150</f>
        <v>2050</v>
      </c>
      <c r="B250" s="1439">
        <f>'Recycling - Case 3'!B129*'Recycling - Case 3'!AI129</f>
        <v>2796.8719734089091</v>
      </c>
      <c r="C250" s="657">
        <f t="shared" si="78"/>
        <v>0.5</v>
      </c>
      <c r="D250" s="657">
        <f t="shared" si="78"/>
        <v>0.5</v>
      </c>
      <c r="E250" s="58">
        <v>0</v>
      </c>
      <c r="F250" s="58">
        <v>0</v>
      </c>
      <c r="G250" s="1617">
        <f t="shared" si="72"/>
        <v>1.1187487893635637</v>
      </c>
      <c r="H250" s="1264">
        <f t="shared" si="73"/>
        <v>5.5937439468178178</v>
      </c>
      <c r="I250" s="58"/>
      <c r="J250" s="1617">
        <f t="shared" si="74"/>
        <v>0.33562463680906912</v>
      </c>
      <c r="K250" s="1441">
        <f>'Recycling - Case 3'!W168*'Recycling - Case 3'!AG168*'Recycling - Case 3'!C168</f>
        <v>11314.098868511739</v>
      </c>
      <c r="L250" s="659">
        <f t="shared" si="79"/>
        <v>0.5</v>
      </c>
      <c r="M250" s="659">
        <f t="shared" si="79"/>
        <v>0.5</v>
      </c>
      <c r="N250" s="1443">
        <f t="shared" ref="N250:O250" si="80">N112</f>
        <v>0</v>
      </c>
      <c r="O250" s="1443">
        <f t="shared" si="80"/>
        <v>0</v>
      </c>
      <c r="P250" s="1444">
        <f t="shared" si="67"/>
        <v>4.5256395474046958</v>
      </c>
      <c r="Q250" s="1333">
        <f t="shared" si="68"/>
        <v>22.628197737023477</v>
      </c>
      <c r="R250" s="1443"/>
      <c r="S250" s="1445">
        <f t="shared" si="69"/>
        <v>1.3576918642214086</v>
      </c>
      <c r="T250" s="1446">
        <f t="shared" si="70"/>
        <v>5.6443883367682597</v>
      </c>
      <c r="U250" s="1447">
        <f t="shared" si="70"/>
        <v>28.221941683841294</v>
      </c>
      <c r="V250" s="1447">
        <f t="shared" si="70"/>
        <v>0</v>
      </c>
      <c r="W250" s="1448">
        <f t="shared" si="70"/>
        <v>1.6933165010304778</v>
      </c>
    </row>
    <row r="251" spans="1:23">
      <c r="A251" s="1614" t="s">
        <v>765</v>
      </c>
      <c r="B251" s="1438"/>
      <c r="C251" s="1449"/>
      <c r="D251" s="1449"/>
      <c r="E251" s="1450"/>
      <c r="F251" s="1450"/>
      <c r="G251" s="1451"/>
      <c r="H251" s="1452"/>
      <c r="I251" s="1453"/>
      <c r="J251" s="1455"/>
      <c r="K251" s="1452"/>
      <c r="L251" s="1449"/>
      <c r="M251" s="1449"/>
      <c r="N251" s="1450"/>
      <c r="O251" s="1450"/>
      <c r="P251" s="1451"/>
      <c r="Q251" s="1452"/>
      <c r="R251" s="1450"/>
      <c r="S251" s="1455"/>
      <c r="T251" s="1425"/>
      <c r="U251" s="1426"/>
      <c r="V251" s="1426"/>
      <c r="W251" s="1427"/>
    </row>
    <row r="252" spans="1:23">
      <c r="A252" s="532">
        <f>'Input data'!A118</f>
        <v>2018</v>
      </c>
      <c r="B252" s="1618">
        <f>'Recycling - Case 3'!B97*'Recycling - Case 3'!AI97</f>
        <v>3621.0946455823168</v>
      </c>
      <c r="C252" s="657">
        <f>($C$256-$C$80)/($A$256-$A$80)+C80</f>
        <v>0.14000000000000001</v>
      </c>
      <c r="D252" s="657">
        <f>1-C252</f>
        <v>0.86</v>
      </c>
      <c r="E252" s="58">
        <v>0</v>
      </c>
      <c r="F252" s="58">
        <v>0</v>
      </c>
      <c r="G252" s="1617">
        <f>C252*$D$5*B252/1000-E252</f>
        <v>0.40556260030521951</v>
      </c>
      <c r="H252" s="1264">
        <f>D252*$D$4*B252/1000-F252</f>
        <v>12.45656558080317</v>
      </c>
      <c r="I252" s="58"/>
      <c r="J252" s="1442">
        <f>D252*$D$7*B252/1000</f>
        <v>0.74739393484819017</v>
      </c>
      <c r="K252" s="1616">
        <f>'Recycling - Case 3'!Z177*'Recycling - Case 3'!C177</f>
        <v>6033.9365292433795</v>
      </c>
      <c r="L252" s="1440">
        <f>($L$256-$L$80)/($A$256-$A$80)+L80</f>
        <v>0.18</v>
      </c>
      <c r="M252" s="1440">
        <f>1-L252</f>
        <v>0.82000000000000006</v>
      </c>
      <c r="N252" s="53">
        <f t="shared" ref="N252:O267" si="81">N114</f>
        <v>0</v>
      </c>
      <c r="O252" s="53">
        <f t="shared" si="81"/>
        <v>0</v>
      </c>
      <c r="P252" s="898">
        <f t="shared" ref="P252:P284" si="82">L252*$D$5*K252/1000-N252</f>
        <v>0.86888686021104666</v>
      </c>
      <c r="Q252" s="598">
        <f t="shared" ref="Q252:Q284" si="83">M252*$D$4*K252/1000-O252</f>
        <v>19.791311815918284</v>
      </c>
      <c r="R252" s="53"/>
      <c r="S252" s="1442">
        <f t="shared" ref="S252:S284" si="84">M252*$D$7*K252/1000</f>
        <v>1.1874787089550971</v>
      </c>
      <c r="T252" s="1429">
        <f t="shared" ref="T252:W284" si="85">G252+P252</f>
        <v>1.2744494605162662</v>
      </c>
      <c r="U252" s="1430">
        <f t="shared" si="85"/>
        <v>32.247877396721456</v>
      </c>
      <c r="V252" s="1430">
        <f t="shared" si="85"/>
        <v>0</v>
      </c>
      <c r="W252" s="1431">
        <f t="shared" si="85"/>
        <v>1.9348726438032873</v>
      </c>
    </row>
    <row r="253" spans="1:23">
      <c r="A253" s="532">
        <f>'Input data'!A119</f>
        <v>2019</v>
      </c>
      <c r="B253" s="1618">
        <f>'Recycling - Case 3'!B98*'Recycling - Case 3'!AI98</f>
        <v>3920.8675148070129</v>
      </c>
      <c r="C253" s="657">
        <f>($C$256-$C$80)/($A$256-$A$80)+C252</f>
        <v>0.23</v>
      </c>
      <c r="D253" s="657">
        <f t="shared" ref="D253:D284" si="86">1-C253</f>
        <v>0.77</v>
      </c>
      <c r="E253" s="58">
        <v>0</v>
      </c>
      <c r="F253" s="58">
        <v>0</v>
      </c>
      <c r="G253" s="1617">
        <f t="shared" ref="G253:G284" si="87">C253*$D$5*B253/1000-E253</f>
        <v>0.72143962272449047</v>
      </c>
      <c r="H253" s="1264">
        <f t="shared" ref="H253:H284" si="88">D253*$D$4*B253/1000-F253</f>
        <v>12.076271945605599</v>
      </c>
      <c r="I253" s="58"/>
      <c r="J253" s="1442">
        <f t="shared" ref="J253:J284" si="89">D253*$D$7*B253/1000</f>
        <v>0.72457631673633593</v>
      </c>
      <c r="K253" s="1616">
        <f>'Recycling - Case 3'!Z178*'Recycling - Case 3'!C178</f>
        <v>6005.0763723249975</v>
      </c>
      <c r="L253" s="1440">
        <f>($L$256-$L$80)/($A$256-$A$80)+L252</f>
        <v>0.26</v>
      </c>
      <c r="M253" s="1440">
        <f t="shared" ref="M253:M284" si="90">1-L253</f>
        <v>0.74</v>
      </c>
      <c r="N253" s="53">
        <f t="shared" si="81"/>
        <v>0</v>
      </c>
      <c r="O253" s="53">
        <f t="shared" si="81"/>
        <v>0</v>
      </c>
      <c r="P253" s="898">
        <f t="shared" si="82"/>
        <v>1.2490558854435996</v>
      </c>
      <c r="Q253" s="598">
        <f t="shared" si="83"/>
        <v>17.775026062081995</v>
      </c>
      <c r="R253" s="53"/>
      <c r="S253" s="1442">
        <f t="shared" si="84"/>
        <v>1.0665015637249193</v>
      </c>
      <c r="T253" s="1429">
        <f t="shared" si="85"/>
        <v>1.9704955081680899</v>
      </c>
      <c r="U253" s="1430">
        <f t="shared" si="85"/>
        <v>29.851298007687596</v>
      </c>
      <c r="V253" s="1430">
        <f t="shared" si="85"/>
        <v>0</v>
      </c>
      <c r="W253" s="1431">
        <f t="shared" si="85"/>
        <v>1.7910778804612553</v>
      </c>
    </row>
    <row r="254" spans="1:23">
      <c r="A254" s="532">
        <f>'Input data'!A120</f>
        <v>2020</v>
      </c>
      <c r="B254" s="1618">
        <f>'Recycling - Case 3'!B99*'Recycling - Case 3'!AI99</f>
        <v>4489.6146062493435</v>
      </c>
      <c r="C254" s="657">
        <f t="shared" ref="C254:C255" si="91">($C$256-$C$80)/($A$256-$A$80)+C253</f>
        <v>0.32</v>
      </c>
      <c r="D254" s="657">
        <f t="shared" si="86"/>
        <v>0.67999999999999994</v>
      </c>
      <c r="E254" s="58">
        <v>0</v>
      </c>
      <c r="F254" s="58">
        <v>0</v>
      </c>
      <c r="G254" s="1617">
        <f t="shared" si="87"/>
        <v>1.1493413391998319</v>
      </c>
      <c r="H254" s="1264">
        <f t="shared" si="88"/>
        <v>12.211751728998212</v>
      </c>
      <c r="I254" s="58"/>
      <c r="J254" s="1442">
        <f t="shared" si="89"/>
        <v>0.73270510373989284</v>
      </c>
      <c r="K254" s="1616">
        <f>'Recycling - Case 3'!Z179*'Recycling - Case 3'!C179</f>
        <v>4086.5640794035007</v>
      </c>
      <c r="L254" s="1440">
        <f t="shared" ref="L254:L255" si="92">($L$256-$L$80)/($A$256-$A$80)+L253</f>
        <v>0.34</v>
      </c>
      <c r="M254" s="1440">
        <f t="shared" si="90"/>
        <v>0.65999999999999992</v>
      </c>
      <c r="N254" s="53">
        <f t="shared" si="81"/>
        <v>0</v>
      </c>
      <c r="O254" s="53">
        <f t="shared" si="81"/>
        <v>0</v>
      </c>
      <c r="P254" s="898">
        <f t="shared" si="82"/>
        <v>1.1115454295977523</v>
      </c>
      <c r="Q254" s="598">
        <f t="shared" si="83"/>
        <v>10.788529169625241</v>
      </c>
      <c r="R254" s="53"/>
      <c r="S254" s="1442">
        <f t="shared" si="84"/>
        <v>0.64731175017751441</v>
      </c>
      <c r="T254" s="1429">
        <f t="shared" si="85"/>
        <v>2.260886768797584</v>
      </c>
      <c r="U254" s="1430">
        <f t="shared" si="85"/>
        <v>23.000280898623451</v>
      </c>
      <c r="V254" s="1430">
        <f t="shared" si="85"/>
        <v>0</v>
      </c>
      <c r="W254" s="1431">
        <f t="shared" si="85"/>
        <v>1.3800168539174074</v>
      </c>
    </row>
    <row r="255" spans="1:23">
      <c r="A255" s="532">
        <f>'Input data'!A121</f>
        <v>2021</v>
      </c>
      <c r="B255" s="1618">
        <f>'Recycling - Case 3'!B100*'Recycling - Case 3'!AI100</f>
        <v>5342.7306030456248</v>
      </c>
      <c r="C255" s="657">
        <f t="shared" si="91"/>
        <v>0.41000000000000003</v>
      </c>
      <c r="D255" s="657">
        <f t="shared" si="86"/>
        <v>0.59</v>
      </c>
      <c r="E255" s="58">
        <v>0</v>
      </c>
      <c r="F255" s="58">
        <v>0</v>
      </c>
      <c r="G255" s="1617">
        <f t="shared" si="87"/>
        <v>1.7524156377989653</v>
      </c>
      <c r="H255" s="1264">
        <f t="shared" si="88"/>
        <v>12.608844223187674</v>
      </c>
      <c r="I255" s="58"/>
      <c r="J255" s="1442">
        <f t="shared" si="89"/>
        <v>0.75653065339126035</v>
      </c>
      <c r="K255" s="1616">
        <f>'Recycling - Case 3'!Z180*'Recycling - Case 3'!C180</f>
        <v>1736.1120556114981</v>
      </c>
      <c r="L255" s="1440">
        <f t="shared" si="92"/>
        <v>0.42000000000000004</v>
      </c>
      <c r="M255" s="1440">
        <f t="shared" si="90"/>
        <v>0.57999999999999996</v>
      </c>
      <c r="N255" s="53">
        <f t="shared" si="81"/>
        <v>0</v>
      </c>
      <c r="O255" s="53">
        <f t="shared" si="81"/>
        <v>0</v>
      </c>
      <c r="P255" s="898">
        <f t="shared" si="82"/>
        <v>0.5833336506854635</v>
      </c>
      <c r="Q255" s="598">
        <f t="shared" si="83"/>
        <v>4.0277799690186749</v>
      </c>
      <c r="R255" s="53"/>
      <c r="S255" s="1442">
        <f t="shared" si="84"/>
        <v>0.24166679814112052</v>
      </c>
      <c r="T255" s="1429">
        <f t="shared" si="85"/>
        <v>2.3357492884844286</v>
      </c>
      <c r="U255" s="1430">
        <f t="shared" si="85"/>
        <v>16.636624192206348</v>
      </c>
      <c r="V255" s="1430">
        <f t="shared" si="85"/>
        <v>0</v>
      </c>
      <c r="W255" s="1431">
        <f t="shared" si="85"/>
        <v>0.99819745153238082</v>
      </c>
    </row>
    <row r="256" spans="1:23">
      <c r="A256" s="532">
        <f>'Input data'!A122</f>
        <v>2022</v>
      </c>
      <c r="B256" s="1618">
        <f>'Recycling - Case 3'!B101*'Recycling - Case 3'!AI101</f>
        <v>5021.1547579907265</v>
      </c>
      <c r="C256" s="657">
        <f>'Recycling - Case 3'!G31</f>
        <v>0.5</v>
      </c>
      <c r="D256" s="657">
        <f t="shared" si="86"/>
        <v>0.5</v>
      </c>
      <c r="E256" s="58">
        <v>0</v>
      </c>
      <c r="F256" s="58">
        <v>0</v>
      </c>
      <c r="G256" s="1617">
        <f t="shared" si="87"/>
        <v>2.0084619031962907</v>
      </c>
      <c r="H256" s="1264">
        <f t="shared" si="88"/>
        <v>10.042309515981453</v>
      </c>
      <c r="I256" s="58"/>
      <c r="J256" s="1442">
        <f t="shared" si="89"/>
        <v>0.60253857095888719</v>
      </c>
      <c r="K256" s="1616">
        <f>'Recycling - Case 3'!Z181*'Recycling - Case 3'!C181</f>
        <v>1508.3660104568362</v>
      </c>
      <c r="L256" s="1440">
        <f>'Recycling - Case 3'!G31</f>
        <v>0.5</v>
      </c>
      <c r="M256" s="1440">
        <f t="shared" si="90"/>
        <v>0.5</v>
      </c>
      <c r="N256" s="53">
        <f t="shared" si="81"/>
        <v>0</v>
      </c>
      <c r="O256" s="53">
        <f t="shared" si="81"/>
        <v>0</v>
      </c>
      <c r="P256" s="898">
        <f t="shared" si="82"/>
        <v>0.60334640418273455</v>
      </c>
      <c r="Q256" s="598">
        <f t="shared" si="83"/>
        <v>3.0167320209136723</v>
      </c>
      <c r="R256" s="53"/>
      <c r="S256" s="1442">
        <f t="shared" si="84"/>
        <v>0.18100392125482034</v>
      </c>
      <c r="T256" s="1429">
        <f t="shared" si="85"/>
        <v>2.6118083073790253</v>
      </c>
      <c r="U256" s="1430">
        <f t="shared" si="85"/>
        <v>13.059041536895124</v>
      </c>
      <c r="V256" s="1430">
        <f t="shared" si="85"/>
        <v>0</v>
      </c>
      <c r="W256" s="1431">
        <f t="shared" si="85"/>
        <v>0.78354249221370753</v>
      </c>
    </row>
    <row r="257" spans="1:23">
      <c r="A257" s="532">
        <f>'Input data'!A123</f>
        <v>2023</v>
      </c>
      <c r="B257" s="1618">
        <f>'Recycling - Case 3'!B102*'Recycling - Case 3'!AI102</f>
        <v>4838.5591386232072</v>
      </c>
      <c r="C257" s="657">
        <f>C256</f>
        <v>0.5</v>
      </c>
      <c r="D257" s="657">
        <f t="shared" si="86"/>
        <v>0.5</v>
      </c>
      <c r="E257" s="58">
        <v>0</v>
      </c>
      <c r="F257" s="58">
        <v>0</v>
      </c>
      <c r="G257" s="1617">
        <f t="shared" si="87"/>
        <v>1.935423655449283</v>
      </c>
      <c r="H257" s="1264">
        <f t="shared" si="88"/>
        <v>9.6771182772464144</v>
      </c>
      <c r="I257" s="58"/>
      <c r="J257" s="1442">
        <f t="shared" si="89"/>
        <v>0.58062709663478485</v>
      </c>
      <c r="K257" s="1616">
        <f>'Recycling - Case 3'!Z182*'Recycling - Case 3'!C182</f>
        <v>1539.4479969130523</v>
      </c>
      <c r="L257" s="1440">
        <f>L256</f>
        <v>0.5</v>
      </c>
      <c r="M257" s="1440">
        <f t="shared" si="90"/>
        <v>0.5</v>
      </c>
      <c r="N257" s="53">
        <f t="shared" si="81"/>
        <v>0</v>
      </c>
      <c r="O257" s="53">
        <f t="shared" si="81"/>
        <v>0</v>
      </c>
      <c r="P257" s="898">
        <f t="shared" si="82"/>
        <v>0.61577919876522091</v>
      </c>
      <c r="Q257" s="598">
        <f t="shared" si="83"/>
        <v>3.0788959938261047</v>
      </c>
      <c r="R257" s="53"/>
      <c r="S257" s="1442">
        <f t="shared" si="84"/>
        <v>0.18473375962956626</v>
      </c>
      <c r="T257" s="1429">
        <f t="shared" si="85"/>
        <v>2.551202854214504</v>
      </c>
      <c r="U257" s="1430">
        <f t="shared" si="85"/>
        <v>12.75601427107252</v>
      </c>
      <c r="V257" s="1430">
        <f t="shared" si="85"/>
        <v>0</v>
      </c>
      <c r="W257" s="1431">
        <f t="shared" si="85"/>
        <v>0.76536085626435113</v>
      </c>
    </row>
    <row r="258" spans="1:23">
      <c r="A258" s="532">
        <f>'Input data'!A124</f>
        <v>2024</v>
      </c>
      <c r="B258" s="1618">
        <f>'Recycling - Case 3'!B103*'Recycling - Case 3'!AI103</f>
        <v>4644.4457885792062</v>
      </c>
      <c r="C258" s="657">
        <f t="shared" ref="C258:C284" si="93">C257</f>
        <v>0.5</v>
      </c>
      <c r="D258" s="657">
        <f t="shared" si="86"/>
        <v>0.5</v>
      </c>
      <c r="E258" s="58">
        <v>0</v>
      </c>
      <c r="F258" s="58">
        <v>0</v>
      </c>
      <c r="G258" s="1617">
        <f t="shared" si="87"/>
        <v>1.8577783154316825</v>
      </c>
      <c r="H258" s="1264">
        <f t="shared" si="88"/>
        <v>9.2888915771584131</v>
      </c>
      <c r="I258" s="58"/>
      <c r="J258" s="1442">
        <f t="shared" si="89"/>
        <v>0.55733349462950466</v>
      </c>
      <c r="K258" s="1616">
        <f>'Recycling - Case 3'!Z183*'Recycling - Case 3'!C183</f>
        <v>1569.4270899845264</v>
      </c>
      <c r="L258" s="1440">
        <f t="shared" ref="L258:L284" si="94">L257</f>
        <v>0.5</v>
      </c>
      <c r="M258" s="1440">
        <f t="shared" si="90"/>
        <v>0.5</v>
      </c>
      <c r="N258" s="53">
        <f t="shared" si="81"/>
        <v>0</v>
      </c>
      <c r="O258" s="53">
        <f t="shared" si="81"/>
        <v>0</v>
      </c>
      <c r="P258" s="898">
        <f t="shared" si="82"/>
        <v>0.62777083599381056</v>
      </c>
      <c r="Q258" s="598">
        <f t="shared" si="83"/>
        <v>3.1388541799690528</v>
      </c>
      <c r="R258" s="53"/>
      <c r="S258" s="1442">
        <f t="shared" si="84"/>
        <v>0.18833125079814317</v>
      </c>
      <c r="T258" s="1429">
        <f t="shared" si="85"/>
        <v>2.4855491514254933</v>
      </c>
      <c r="U258" s="1430">
        <f t="shared" si="85"/>
        <v>12.427745757127466</v>
      </c>
      <c r="V258" s="1430">
        <f t="shared" si="85"/>
        <v>0</v>
      </c>
      <c r="W258" s="1431">
        <f t="shared" si="85"/>
        <v>0.74566474542764782</v>
      </c>
    </row>
    <row r="259" spans="1:23">
      <c r="A259" s="532">
        <f>'Input data'!A125</f>
        <v>2025</v>
      </c>
      <c r="B259" s="1618">
        <f>'Recycling - Case 3'!B104*'Recycling - Case 3'!AI104</f>
        <v>4438.2123213922823</v>
      </c>
      <c r="C259" s="657">
        <f t="shared" si="93"/>
        <v>0.5</v>
      </c>
      <c r="D259" s="657">
        <f t="shared" si="86"/>
        <v>0.5</v>
      </c>
      <c r="E259" s="58">
        <v>0</v>
      </c>
      <c r="F259" s="58">
        <v>0</v>
      </c>
      <c r="G259" s="1617">
        <f t="shared" si="87"/>
        <v>1.775284928556913</v>
      </c>
      <c r="H259" s="1264">
        <f t="shared" si="88"/>
        <v>8.8764246427845652</v>
      </c>
      <c r="I259" s="58"/>
      <c r="J259" s="1442">
        <f t="shared" si="89"/>
        <v>0.53258547856707394</v>
      </c>
      <c r="K259" s="1616">
        <f>'Recycling - Case 3'!Z184*'Recycling - Case 3'!C184</f>
        <v>1600.6855393823012</v>
      </c>
      <c r="L259" s="1440">
        <f t="shared" si="94"/>
        <v>0.5</v>
      </c>
      <c r="M259" s="1440">
        <f t="shared" si="90"/>
        <v>0.5</v>
      </c>
      <c r="N259" s="53">
        <f t="shared" si="81"/>
        <v>0</v>
      </c>
      <c r="O259" s="53">
        <f t="shared" si="81"/>
        <v>0</v>
      </c>
      <c r="P259" s="898">
        <f t="shared" si="82"/>
        <v>0.64027421575292054</v>
      </c>
      <c r="Q259" s="598">
        <f t="shared" si="83"/>
        <v>3.2013710787646024</v>
      </c>
      <c r="R259" s="53"/>
      <c r="S259" s="1442">
        <f t="shared" si="84"/>
        <v>0.19208226472587614</v>
      </c>
      <c r="T259" s="1429">
        <f t="shared" si="85"/>
        <v>2.4155591443098334</v>
      </c>
      <c r="U259" s="1430">
        <f t="shared" si="85"/>
        <v>12.077795721549167</v>
      </c>
      <c r="V259" s="1430">
        <f t="shared" si="85"/>
        <v>0</v>
      </c>
      <c r="W259" s="1431">
        <f t="shared" si="85"/>
        <v>0.72466774329295003</v>
      </c>
    </row>
    <row r="260" spans="1:23">
      <c r="A260" s="532">
        <f>'Input data'!A126</f>
        <v>2026</v>
      </c>
      <c r="B260" s="1618">
        <f>'Recycling - Case 3'!B105*'Recycling - Case 3'!AI105</f>
        <v>4212.2487177631583</v>
      </c>
      <c r="C260" s="657">
        <f t="shared" si="93"/>
        <v>0.5</v>
      </c>
      <c r="D260" s="657">
        <f t="shared" si="86"/>
        <v>0.5</v>
      </c>
      <c r="E260" s="58">
        <v>0</v>
      </c>
      <c r="F260" s="58">
        <v>0</v>
      </c>
      <c r="G260" s="1617">
        <f t="shared" si="87"/>
        <v>1.6848994871052634</v>
      </c>
      <c r="H260" s="1264">
        <f t="shared" si="88"/>
        <v>8.424497435526316</v>
      </c>
      <c r="I260" s="58"/>
      <c r="J260" s="1442">
        <f t="shared" si="89"/>
        <v>0.50546984613157897</v>
      </c>
      <c r="K260" s="1616">
        <f>'Recycling - Case 3'!Z185*'Recycling - Case 3'!C185</f>
        <v>1637.8113815869031</v>
      </c>
      <c r="L260" s="1440">
        <f t="shared" si="94"/>
        <v>0.5</v>
      </c>
      <c r="M260" s="1440">
        <f t="shared" si="90"/>
        <v>0.5</v>
      </c>
      <c r="N260" s="53">
        <f t="shared" si="81"/>
        <v>0</v>
      </c>
      <c r="O260" s="53">
        <f t="shared" si="81"/>
        <v>0</v>
      </c>
      <c r="P260" s="898">
        <f t="shared" si="82"/>
        <v>0.65512455263476121</v>
      </c>
      <c r="Q260" s="598">
        <f t="shared" si="83"/>
        <v>3.2756227631738062</v>
      </c>
      <c r="R260" s="53"/>
      <c r="S260" s="1442">
        <f t="shared" si="84"/>
        <v>0.19653736579042838</v>
      </c>
      <c r="T260" s="1429">
        <f t="shared" si="85"/>
        <v>2.3400240397400247</v>
      </c>
      <c r="U260" s="1430">
        <f t="shared" si="85"/>
        <v>11.700120198700123</v>
      </c>
      <c r="V260" s="1430">
        <f t="shared" si="85"/>
        <v>0</v>
      </c>
      <c r="W260" s="1431">
        <f t="shared" si="85"/>
        <v>0.70200721192200732</v>
      </c>
    </row>
    <row r="261" spans="1:23">
      <c r="A261" s="532">
        <f>'Input data'!A127</f>
        <v>2027</v>
      </c>
      <c r="B261" s="1618">
        <f>'Recycling - Case 3'!B106*'Recycling - Case 3'!AI106</f>
        <v>3973.7125528245519</v>
      </c>
      <c r="C261" s="657">
        <f t="shared" si="93"/>
        <v>0.5</v>
      </c>
      <c r="D261" s="657">
        <f t="shared" si="86"/>
        <v>0.5</v>
      </c>
      <c r="E261" s="58">
        <v>0</v>
      </c>
      <c r="F261" s="58">
        <v>0</v>
      </c>
      <c r="G261" s="1617">
        <f t="shared" si="87"/>
        <v>1.5894850211298208</v>
      </c>
      <c r="H261" s="1264">
        <f t="shared" si="88"/>
        <v>7.9474251056491036</v>
      </c>
      <c r="I261" s="58"/>
      <c r="J261" s="1442">
        <f t="shared" si="89"/>
        <v>0.47684550633894623</v>
      </c>
      <c r="K261" s="1616">
        <f>'Recycling - Case 3'!Z186*'Recycling - Case 3'!C186</f>
        <v>1674.5744944116341</v>
      </c>
      <c r="L261" s="1440">
        <f t="shared" si="94"/>
        <v>0.5</v>
      </c>
      <c r="M261" s="1440">
        <f t="shared" si="90"/>
        <v>0.5</v>
      </c>
      <c r="N261" s="53">
        <f t="shared" si="81"/>
        <v>0</v>
      </c>
      <c r="O261" s="53">
        <f t="shared" si="81"/>
        <v>0</v>
      </c>
      <c r="P261" s="898">
        <f t="shared" si="82"/>
        <v>0.66982979776465368</v>
      </c>
      <c r="Q261" s="598">
        <f t="shared" si="83"/>
        <v>3.3491489888232682</v>
      </c>
      <c r="R261" s="53"/>
      <c r="S261" s="1442">
        <f t="shared" si="84"/>
        <v>0.20094893932939606</v>
      </c>
      <c r="T261" s="1429">
        <f t="shared" si="85"/>
        <v>2.2593148188944747</v>
      </c>
      <c r="U261" s="1430">
        <f t="shared" si="85"/>
        <v>11.296574094472373</v>
      </c>
      <c r="V261" s="1430">
        <f t="shared" si="85"/>
        <v>0</v>
      </c>
      <c r="W261" s="1431">
        <f t="shared" si="85"/>
        <v>0.67779444566834224</v>
      </c>
    </row>
    <row r="262" spans="1:23">
      <c r="A262" s="532">
        <f>'Input data'!A128</f>
        <v>2028</v>
      </c>
      <c r="B262" s="1618">
        <f>'Recycling - Case 3'!B107*'Recycling - Case 3'!AI107</f>
        <v>3721.8307341944769</v>
      </c>
      <c r="C262" s="657">
        <f t="shared" si="93"/>
        <v>0.5</v>
      </c>
      <c r="D262" s="657">
        <f t="shared" si="86"/>
        <v>0.5</v>
      </c>
      <c r="E262" s="58">
        <v>0</v>
      </c>
      <c r="F262" s="58">
        <v>0</v>
      </c>
      <c r="G262" s="1617">
        <f t="shared" si="87"/>
        <v>1.4887322936777909</v>
      </c>
      <c r="H262" s="1264">
        <f t="shared" si="88"/>
        <v>7.4436614683889539</v>
      </c>
      <c r="I262" s="58"/>
      <c r="J262" s="1442">
        <f t="shared" si="89"/>
        <v>0.44661968810333724</v>
      </c>
      <c r="K262" s="1616">
        <f>'Recycling - Case 3'!Z187*'Recycling - Case 3'!C187</f>
        <v>1713.1022366519528</v>
      </c>
      <c r="L262" s="1440">
        <f t="shared" si="94"/>
        <v>0.5</v>
      </c>
      <c r="M262" s="1440">
        <f t="shared" si="90"/>
        <v>0.5</v>
      </c>
      <c r="N262" s="53">
        <f t="shared" si="81"/>
        <v>0</v>
      </c>
      <c r="O262" s="53">
        <f t="shared" si="81"/>
        <v>0</v>
      </c>
      <c r="P262" s="898">
        <f t="shared" si="82"/>
        <v>0.68524089466078109</v>
      </c>
      <c r="Q262" s="598">
        <f t="shared" si="83"/>
        <v>3.4262044733039057</v>
      </c>
      <c r="R262" s="53"/>
      <c r="S262" s="1442">
        <f t="shared" si="84"/>
        <v>0.20557226839823434</v>
      </c>
      <c r="T262" s="1429">
        <f t="shared" si="85"/>
        <v>2.173973188338572</v>
      </c>
      <c r="U262" s="1430">
        <f t="shared" si="85"/>
        <v>10.86986594169286</v>
      </c>
      <c r="V262" s="1430">
        <f t="shared" si="85"/>
        <v>0</v>
      </c>
      <c r="W262" s="1431">
        <f t="shared" si="85"/>
        <v>0.65219195650157158</v>
      </c>
    </row>
    <row r="263" spans="1:23">
      <c r="A263" s="532">
        <f>'Input data'!A129</f>
        <v>2029</v>
      </c>
      <c r="B263" s="1618">
        <f>'Recycling - Case 3'!B108*'Recycling - Case 3'!AI108</f>
        <v>3456.0403079453235</v>
      </c>
      <c r="C263" s="657">
        <f t="shared" si="93"/>
        <v>0.5</v>
      </c>
      <c r="D263" s="657">
        <f t="shared" si="86"/>
        <v>0.5</v>
      </c>
      <c r="E263" s="58">
        <v>0</v>
      </c>
      <c r="F263" s="58">
        <v>0</v>
      </c>
      <c r="G263" s="1617">
        <f t="shared" si="87"/>
        <v>1.3824161231781296</v>
      </c>
      <c r="H263" s="1264">
        <f t="shared" si="88"/>
        <v>6.9120806158906474</v>
      </c>
      <c r="I263" s="58"/>
      <c r="J263" s="1442">
        <f t="shared" si="89"/>
        <v>0.41472483695343881</v>
      </c>
      <c r="K263" s="1616">
        <f>'Recycling - Case 3'!Z188*'Recycling - Case 3'!C188</f>
        <v>1752.9044334701946</v>
      </c>
      <c r="L263" s="1440">
        <f t="shared" si="94"/>
        <v>0.5</v>
      </c>
      <c r="M263" s="1440">
        <f t="shared" si="90"/>
        <v>0.5</v>
      </c>
      <c r="N263" s="53">
        <f t="shared" si="81"/>
        <v>0</v>
      </c>
      <c r="O263" s="53">
        <f t="shared" si="81"/>
        <v>0</v>
      </c>
      <c r="P263" s="898">
        <f t="shared" si="82"/>
        <v>0.70116177338807795</v>
      </c>
      <c r="Q263" s="598">
        <f t="shared" si="83"/>
        <v>3.5058088669403893</v>
      </c>
      <c r="R263" s="53"/>
      <c r="S263" s="1442">
        <f t="shared" si="84"/>
        <v>0.21034853201642334</v>
      </c>
      <c r="T263" s="1429">
        <f t="shared" si="85"/>
        <v>2.0835778965662075</v>
      </c>
      <c r="U263" s="1430">
        <f t="shared" si="85"/>
        <v>10.417889482831036</v>
      </c>
      <c r="V263" s="1430">
        <f t="shared" si="85"/>
        <v>0</v>
      </c>
      <c r="W263" s="1431">
        <f t="shared" si="85"/>
        <v>0.62507336896986221</v>
      </c>
    </row>
    <row r="264" spans="1:23">
      <c r="A264" s="532">
        <f>'Input data'!A130</f>
        <v>2030</v>
      </c>
      <c r="B264" s="1618">
        <f>'Recycling - Case 3'!B109*'Recycling - Case 3'!AI109</f>
        <v>3175.5559501258704</v>
      </c>
      <c r="C264" s="657">
        <f t="shared" si="93"/>
        <v>0.5</v>
      </c>
      <c r="D264" s="657">
        <f t="shared" si="86"/>
        <v>0.5</v>
      </c>
      <c r="E264" s="58">
        <v>0</v>
      </c>
      <c r="F264" s="58">
        <v>0</v>
      </c>
      <c r="G264" s="1617">
        <f t="shared" si="87"/>
        <v>1.2702223800503483</v>
      </c>
      <c r="H264" s="1264">
        <f t="shared" si="88"/>
        <v>6.3511119002517411</v>
      </c>
      <c r="I264" s="58"/>
      <c r="J264" s="1442">
        <f t="shared" si="89"/>
        <v>0.38106671401510445</v>
      </c>
      <c r="K264" s="1616">
        <f>'Recycling - Case 3'!Z189*'Recycling - Case 3'!C189</f>
        <v>1794.0987268274</v>
      </c>
      <c r="L264" s="1440">
        <f t="shared" si="94"/>
        <v>0.5</v>
      </c>
      <c r="M264" s="1440">
        <f t="shared" si="90"/>
        <v>0.5</v>
      </c>
      <c r="N264" s="53">
        <f t="shared" si="81"/>
        <v>0</v>
      </c>
      <c r="O264" s="53">
        <f t="shared" si="81"/>
        <v>0</v>
      </c>
      <c r="P264" s="898">
        <f t="shared" si="82"/>
        <v>0.71763949073096001</v>
      </c>
      <c r="Q264" s="598">
        <f t="shared" si="83"/>
        <v>3.5881974536548</v>
      </c>
      <c r="R264" s="53"/>
      <c r="S264" s="1442">
        <f t="shared" si="84"/>
        <v>0.21529184721928801</v>
      </c>
      <c r="T264" s="1429">
        <f t="shared" si="85"/>
        <v>1.9878618707813083</v>
      </c>
      <c r="U264" s="1430">
        <f t="shared" si="85"/>
        <v>9.9393093539065411</v>
      </c>
      <c r="V264" s="1430">
        <f t="shared" si="85"/>
        <v>0</v>
      </c>
      <c r="W264" s="1431">
        <f t="shared" si="85"/>
        <v>0.59635856123439246</v>
      </c>
    </row>
    <row r="265" spans="1:23">
      <c r="A265" s="532">
        <f>'Input data'!A131</f>
        <v>2031</v>
      </c>
      <c r="B265" s="1618">
        <f>'Recycling - Case 3'!B110*'Recycling - Case 3'!AI110</f>
        <v>2833.1244977232623</v>
      </c>
      <c r="C265" s="657">
        <f t="shared" si="93"/>
        <v>0.5</v>
      </c>
      <c r="D265" s="657">
        <f t="shared" si="86"/>
        <v>0.5</v>
      </c>
      <c r="E265" s="58">
        <v>0</v>
      </c>
      <c r="F265" s="58">
        <v>0</v>
      </c>
      <c r="G265" s="1617">
        <f t="shared" si="87"/>
        <v>1.1332497990893051</v>
      </c>
      <c r="H265" s="1264">
        <f t="shared" si="88"/>
        <v>5.6662489954465247</v>
      </c>
      <c r="I265" s="58"/>
      <c r="J265" s="1442">
        <f t="shared" si="89"/>
        <v>0.33997493972679144</v>
      </c>
      <c r="K265" s="1616">
        <f>'Recycling - Case 3'!Z190*'Recycling - Case 3'!C190</f>
        <v>1843.5622696959817</v>
      </c>
      <c r="L265" s="1440">
        <f t="shared" si="94"/>
        <v>0.5</v>
      </c>
      <c r="M265" s="1440">
        <f t="shared" si="90"/>
        <v>0.5</v>
      </c>
      <c r="N265" s="53">
        <f t="shared" si="81"/>
        <v>0</v>
      </c>
      <c r="O265" s="53">
        <f t="shared" si="81"/>
        <v>0</v>
      </c>
      <c r="P265" s="898">
        <f t="shared" si="82"/>
        <v>0.73742490787839277</v>
      </c>
      <c r="Q265" s="598">
        <f t="shared" si="83"/>
        <v>3.6871245393919634</v>
      </c>
      <c r="R265" s="53"/>
      <c r="S265" s="1442">
        <f t="shared" si="84"/>
        <v>0.22122747236351778</v>
      </c>
      <c r="T265" s="1429">
        <f t="shared" si="85"/>
        <v>1.8706747069676979</v>
      </c>
      <c r="U265" s="1430">
        <f t="shared" si="85"/>
        <v>9.3533735348384877</v>
      </c>
      <c r="V265" s="1430">
        <f t="shared" si="85"/>
        <v>0</v>
      </c>
      <c r="W265" s="1431">
        <f t="shared" si="85"/>
        <v>0.56120241209030919</v>
      </c>
    </row>
    <row r="266" spans="1:23">
      <c r="A266" s="532">
        <f>'Input data'!A132</f>
        <v>2032</v>
      </c>
      <c r="B266" s="1618">
        <f>'Recycling - Case 3'!B111*'Recycling - Case 3'!AI111</f>
        <v>2484.6228724288708</v>
      </c>
      <c r="C266" s="657">
        <f t="shared" si="93"/>
        <v>0.5</v>
      </c>
      <c r="D266" s="657">
        <f t="shared" si="86"/>
        <v>0.5</v>
      </c>
      <c r="E266" s="58">
        <v>0</v>
      </c>
      <c r="F266" s="58">
        <v>0</v>
      </c>
      <c r="G266" s="1617">
        <f t="shared" si="87"/>
        <v>0.99384914897154841</v>
      </c>
      <c r="H266" s="1264">
        <f t="shared" si="88"/>
        <v>4.9692457448577416</v>
      </c>
      <c r="I266" s="58"/>
      <c r="J266" s="1442">
        <f t="shared" si="89"/>
        <v>0.29815474469146447</v>
      </c>
      <c r="K266" s="1616">
        <f>'Recycling - Case 3'!Z191*'Recycling - Case 3'!C191</f>
        <v>1890.7023838340403</v>
      </c>
      <c r="L266" s="1440">
        <f t="shared" si="94"/>
        <v>0.5</v>
      </c>
      <c r="M266" s="1440">
        <f t="shared" si="90"/>
        <v>0.5</v>
      </c>
      <c r="N266" s="53">
        <f t="shared" si="81"/>
        <v>0</v>
      </c>
      <c r="O266" s="53">
        <f t="shared" si="81"/>
        <v>0</v>
      </c>
      <c r="P266" s="898">
        <f t="shared" si="82"/>
        <v>0.75628095353361613</v>
      </c>
      <c r="Q266" s="598">
        <f t="shared" si="83"/>
        <v>3.7814047676680809</v>
      </c>
      <c r="R266" s="53"/>
      <c r="S266" s="1442">
        <f t="shared" si="84"/>
        <v>0.22688428606008484</v>
      </c>
      <c r="T266" s="1429">
        <f t="shared" si="85"/>
        <v>1.7501301025051645</v>
      </c>
      <c r="U266" s="1430">
        <f t="shared" si="85"/>
        <v>8.7506505125258229</v>
      </c>
      <c r="V266" s="1430">
        <f t="shared" si="85"/>
        <v>0</v>
      </c>
      <c r="W266" s="1431">
        <f t="shared" si="85"/>
        <v>0.52503903075154934</v>
      </c>
    </row>
    <row r="267" spans="1:23">
      <c r="A267" s="532">
        <f>'Input data'!A133</f>
        <v>2033</v>
      </c>
      <c r="B267" s="1618">
        <f>'Recycling - Case 3'!B112*'Recycling - Case 3'!AI112</f>
        <v>2505.8073684270425</v>
      </c>
      <c r="C267" s="657">
        <f t="shared" si="93"/>
        <v>0.5</v>
      </c>
      <c r="D267" s="657">
        <f t="shared" si="86"/>
        <v>0.5</v>
      </c>
      <c r="E267" s="58">
        <v>0</v>
      </c>
      <c r="F267" s="58">
        <v>0</v>
      </c>
      <c r="G267" s="1617">
        <f t="shared" si="87"/>
        <v>1.0023229473708171</v>
      </c>
      <c r="H267" s="1264">
        <f t="shared" si="88"/>
        <v>5.0116147368540851</v>
      </c>
      <c r="I267" s="58"/>
      <c r="J267" s="1442">
        <f t="shared" si="89"/>
        <v>0.30069688421124513</v>
      </c>
      <c r="K267" s="1616">
        <f>'Recycling - Case 3'!Z192*'Recycling - Case 3'!C192</f>
        <v>1943.0579582448343</v>
      </c>
      <c r="L267" s="1440">
        <f t="shared" si="94"/>
        <v>0.5</v>
      </c>
      <c r="M267" s="1440">
        <f t="shared" si="90"/>
        <v>0.5</v>
      </c>
      <c r="N267" s="53">
        <f t="shared" si="81"/>
        <v>0</v>
      </c>
      <c r="O267" s="53">
        <f t="shared" si="81"/>
        <v>0</v>
      </c>
      <c r="P267" s="898">
        <f t="shared" si="82"/>
        <v>0.77722318329793372</v>
      </c>
      <c r="Q267" s="598">
        <f t="shared" si="83"/>
        <v>3.8861159164896684</v>
      </c>
      <c r="R267" s="53"/>
      <c r="S267" s="1442">
        <f t="shared" si="84"/>
        <v>0.23316695498938009</v>
      </c>
      <c r="T267" s="1429">
        <f t="shared" si="85"/>
        <v>1.7795461306687508</v>
      </c>
      <c r="U267" s="1430">
        <f t="shared" si="85"/>
        <v>8.8977306533437535</v>
      </c>
      <c r="V267" s="1430">
        <f t="shared" si="85"/>
        <v>0</v>
      </c>
      <c r="W267" s="1431">
        <f t="shared" si="85"/>
        <v>0.53386383920062519</v>
      </c>
    </row>
    <row r="268" spans="1:23">
      <c r="A268" s="532">
        <f>'Input data'!A134</f>
        <v>2034</v>
      </c>
      <c r="B268" s="1618">
        <f>'Recycling - Case 3'!B113*'Recycling - Case 3'!AI113</f>
        <v>2527.214079418201</v>
      </c>
      <c r="C268" s="657">
        <f t="shared" si="93"/>
        <v>0.5</v>
      </c>
      <c r="D268" s="657">
        <f t="shared" si="86"/>
        <v>0.5</v>
      </c>
      <c r="E268" s="58">
        <v>0</v>
      </c>
      <c r="F268" s="58">
        <v>0</v>
      </c>
      <c r="G268" s="1617">
        <f t="shared" si="87"/>
        <v>1.0108856317672805</v>
      </c>
      <c r="H268" s="1264">
        <f t="shared" si="88"/>
        <v>5.0544281588364024</v>
      </c>
      <c r="I268" s="58"/>
      <c r="J268" s="1442">
        <f t="shared" si="89"/>
        <v>0.30326568953018407</v>
      </c>
      <c r="K268" s="1616">
        <f>'Recycling - Case 3'!Z193*'Recycling - Case 3'!C193</f>
        <v>1999.0408264543346</v>
      </c>
      <c r="L268" s="1440">
        <f t="shared" si="94"/>
        <v>0.5</v>
      </c>
      <c r="M268" s="1440">
        <f t="shared" si="90"/>
        <v>0.5</v>
      </c>
      <c r="N268" s="53">
        <f t="shared" ref="N268:O283" si="95">N130</f>
        <v>0</v>
      </c>
      <c r="O268" s="53">
        <f t="shared" si="95"/>
        <v>0</v>
      </c>
      <c r="P268" s="898">
        <f t="shared" si="82"/>
        <v>0.79961633058173387</v>
      </c>
      <c r="Q268" s="598">
        <f t="shared" si="83"/>
        <v>3.9980816529086693</v>
      </c>
      <c r="R268" s="53"/>
      <c r="S268" s="1442">
        <f t="shared" si="84"/>
        <v>0.23988489917452013</v>
      </c>
      <c r="T268" s="1429">
        <f t="shared" si="85"/>
        <v>1.8105019623490144</v>
      </c>
      <c r="U268" s="1430">
        <f t="shared" si="85"/>
        <v>9.0525098117450717</v>
      </c>
      <c r="V268" s="1430">
        <f t="shared" si="85"/>
        <v>0</v>
      </c>
      <c r="W268" s="1431">
        <f t="shared" si="85"/>
        <v>0.54315058870470423</v>
      </c>
    </row>
    <row r="269" spans="1:23">
      <c r="A269" s="532">
        <f>'Input data'!A135</f>
        <v>2035</v>
      </c>
      <c r="B269" s="1618">
        <f>'Recycling - Case 3'!B114*'Recycling - Case 3'!AI114</f>
        <v>2548.7689337380189</v>
      </c>
      <c r="C269" s="657">
        <f t="shared" si="93"/>
        <v>0.5</v>
      </c>
      <c r="D269" s="657">
        <f t="shared" si="86"/>
        <v>0.5</v>
      </c>
      <c r="E269" s="58">
        <v>0</v>
      </c>
      <c r="F269" s="58">
        <v>0</v>
      </c>
      <c r="G269" s="1617">
        <f t="shared" si="87"/>
        <v>1.0195075734952075</v>
      </c>
      <c r="H269" s="1264">
        <f t="shared" si="88"/>
        <v>5.0975378674760377</v>
      </c>
      <c r="I269" s="58"/>
      <c r="J269" s="1442">
        <f t="shared" si="89"/>
        <v>0.30585227204856225</v>
      </c>
      <c r="K269" s="1616">
        <f>'Recycling - Case 3'!Z194*'Recycling - Case 3'!C194</f>
        <v>2058.8764688878668</v>
      </c>
      <c r="L269" s="1440">
        <f t="shared" si="94"/>
        <v>0.5</v>
      </c>
      <c r="M269" s="1440">
        <f t="shared" si="90"/>
        <v>0.5</v>
      </c>
      <c r="N269" s="53">
        <f t="shared" si="95"/>
        <v>0</v>
      </c>
      <c r="O269" s="53">
        <f t="shared" si="95"/>
        <v>0</v>
      </c>
      <c r="P269" s="898">
        <f t="shared" si="82"/>
        <v>0.82355058755514676</v>
      </c>
      <c r="Q269" s="598">
        <f t="shared" si="83"/>
        <v>4.1177529377757338</v>
      </c>
      <c r="R269" s="53"/>
      <c r="S269" s="1442">
        <f t="shared" si="84"/>
        <v>0.24706517626654401</v>
      </c>
      <c r="T269" s="1429">
        <f t="shared" si="85"/>
        <v>1.8430581610503542</v>
      </c>
      <c r="U269" s="1430">
        <f t="shared" si="85"/>
        <v>9.2152908052517724</v>
      </c>
      <c r="V269" s="1430">
        <f t="shared" si="85"/>
        <v>0</v>
      </c>
      <c r="W269" s="1431">
        <f t="shared" si="85"/>
        <v>0.55291744831510625</v>
      </c>
    </row>
    <row r="270" spans="1:23">
      <c r="A270" s="532">
        <f>'Input data'!A136</f>
        <v>2036</v>
      </c>
      <c r="B270" s="1618">
        <f>'Recycling - Case 3'!B115*'Recycling - Case 3'!AI115</f>
        <v>2567.4349931489946</v>
      </c>
      <c r="C270" s="657">
        <f t="shared" si="93"/>
        <v>0.5</v>
      </c>
      <c r="D270" s="657">
        <f t="shared" si="86"/>
        <v>0.5</v>
      </c>
      <c r="E270" s="58">
        <v>0</v>
      </c>
      <c r="F270" s="58">
        <v>0</v>
      </c>
      <c r="G270" s="1617">
        <f t="shared" si="87"/>
        <v>1.0269739972595977</v>
      </c>
      <c r="H270" s="1264">
        <f t="shared" si="88"/>
        <v>5.1348699862979892</v>
      </c>
      <c r="I270" s="58"/>
      <c r="J270" s="1442">
        <f t="shared" si="89"/>
        <v>0.30809219917787939</v>
      </c>
      <c r="K270" s="1616">
        <f>'Recycling - Case 3'!Z195*'Recycling - Case 3'!C195</f>
        <v>2120.481642485363</v>
      </c>
      <c r="L270" s="1440">
        <f t="shared" si="94"/>
        <v>0.5</v>
      </c>
      <c r="M270" s="1440">
        <f t="shared" si="90"/>
        <v>0.5</v>
      </c>
      <c r="N270" s="53">
        <f t="shared" si="95"/>
        <v>0</v>
      </c>
      <c r="O270" s="53">
        <f t="shared" si="95"/>
        <v>0</v>
      </c>
      <c r="P270" s="898">
        <f t="shared" si="82"/>
        <v>0.84819265699414514</v>
      </c>
      <c r="Q270" s="598">
        <f t="shared" si="83"/>
        <v>4.2409632849707259</v>
      </c>
      <c r="R270" s="53"/>
      <c r="S270" s="1442">
        <f t="shared" si="84"/>
        <v>0.25445779709824351</v>
      </c>
      <c r="T270" s="1429">
        <f t="shared" si="85"/>
        <v>1.8751666542537428</v>
      </c>
      <c r="U270" s="1430">
        <f t="shared" si="85"/>
        <v>9.3758332712687142</v>
      </c>
      <c r="V270" s="1430">
        <f t="shared" si="85"/>
        <v>0</v>
      </c>
      <c r="W270" s="1431">
        <f t="shared" si="85"/>
        <v>0.5625499962761229</v>
      </c>
    </row>
    <row r="271" spans="1:23">
      <c r="A271" s="532">
        <f>'Input data'!A137</f>
        <v>2037</v>
      </c>
      <c r="B271" s="1618">
        <f>'Recycling - Case 3'!B116*'Recycling - Case 3'!AI116</f>
        <v>2586.2121600564647</v>
      </c>
      <c r="C271" s="657">
        <f t="shared" si="93"/>
        <v>0.5</v>
      </c>
      <c r="D271" s="657">
        <f t="shared" si="86"/>
        <v>0.5</v>
      </c>
      <c r="E271" s="58">
        <v>0</v>
      </c>
      <c r="F271" s="58">
        <v>0</v>
      </c>
      <c r="G271" s="1617">
        <f t="shared" si="87"/>
        <v>1.0344848640225859</v>
      </c>
      <c r="H271" s="1264">
        <f t="shared" si="88"/>
        <v>5.1724243201129294</v>
      </c>
      <c r="I271" s="58"/>
      <c r="J271" s="1442">
        <f t="shared" si="89"/>
        <v>0.31034545920677575</v>
      </c>
      <c r="K271" s="1616">
        <f>'Recycling - Case 3'!Z196*'Recycling - Case 3'!C196</f>
        <v>2184.7092514643577</v>
      </c>
      <c r="L271" s="1440">
        <f t="shared" si="94"/>
        <v>0.5</v>
      </c>
      <c r="M271" s="1440">
        <f t="shared" si="90"/>
        <v>0.5</v>
      </c>
      <c r="N271" s="53">
        <f t="shared" si="95"/>
        <v>0</v>
      </c>
      <c r="O271" s="53">
        <f t="shared" si="95"/>
        <v>0</v>
      </c>
      <c r="P271" s="898">
        <f t="shared" si="82"/>
        <v>0.87388370058574305</v>
      </c>
      <c r="Q271" s="598">
        <f t="shared" si="83"/>
        <v>4.3694185029287151</v>
      </c>
      <c r="R271" s="53"/>
      <c r="S271" s="1442">
        <f t="shared" si="84"/>
        <v>0.26216511017572292</v>
      </c>
      <c r="T271" s="1429">
        <f t="shared" si="85"/>
        <v>1.9083685646083288</v>
      </c>
      <c r="U271" s="1430">
        <f t="shared" si="85"/>
        <v>9.5418428230416446</v>
      </c>
      <c r="V271" s="1430">
        <f t="shared" si="85"/>
        <v>0</v>
      </c>
      <c r="W271" s="1431">
        <f t="shared" si="85"/>
        <v>0.57251056938249867</v>
      </c>
    </row>
    <row r="272" spans="1:23">
      <c r="A272" s="532">
        <f>'Input data'!A138</f>
        <v>2038</v>
      </c>
      <c r="B272" s="1618">
        <f>'Recycling - Case 3'!B117*'Recycling - Case 3'!AI117</f>
        <v>2605.174506124758</v>
      </c>
      <c r="C272" s="657">
        <f t="shared" si="93"/>
        <v>0.5</v>
      </c>
      <c r="D272" s="657">
        <f t="shared" si="86"/>
        <v>0.5</v>
      </c>
      <c r="E272" s="58">
        <v>0</v>
      </c>
      <c r="F272" s="58">
        <v>0</v>
      </c>
      <c r="G272" s="1617">
        <f t="shared" si="87"/>
        <v>1.0420698024499031</v>
      </c>
      <c r="H272" s="1264">
        <f t="shared" si="88"/>
        <v>5.210349012249516</v>
      </c>
      <c r="I272" s="58"/>
      <c r="J272" s="1442">
        <f t="shared" si="89"/>
        <v>0.31262094073497093</v>
      </c>
      <c r="K272" s="1616">
        <f>'Recycling - Case 3'!Z197*'Recycling - Case 3'!C197</f>
        <v>2249.9172101186768</v>
      </c>
      <c r="L272" s="1440">
        <f t="shared" si="94"/>
        <v>0.5</v>
      </c>
      <c r="M272" s="1440">
        <f t="shared" si="90"/>
        <v>0.5</v>
      </c>
      <c r="N272" s="53">
        <f t="shared" si="95"/>
        <v>0</v>
      </c>
      <c r="O272" s="53">
        <f t="shared" si="95"/>
        <v>0</v>
      </c>
      <c r="P272" s="898">
        <f t="shared" si="82"/>
        <v>0.89996688404747083</v>
      </c>
      <c r="Q272" s="598">
        <f t="shared" si="83"/>
        <v>4.4998344202373541</v>
      </c>
      <c r="R272" s="53"/>
      <c r="S272" s="1442">
        <f t="shared" si="84"/>
        <v>0.26999006521424124</v>
      </c>
      <c r="T272" s="1429">
        <f t="shared" si="85"/>
        <v>1.9420366864973739</v>
      </c>
      <c r="U272" s="1430">
        <f t="shared" si="85"/>
        <v>9.7101834324868701</v>
      </c>
      <c r="V272" s="1430">
        <f t="shared" si="85"/>
        <v>0</v>
      </c>
      <c r="W272" s="1431">
        <f t="shared" si="85"/>
        <v>0.58261100594921222</v>
      </c>
    </row>
    <row r="273" spans="1:23">
      <c r="A273" s="532">
        <f>'Input data'!A139</f>
        <v>2039</v>
      </c>
      <c r="B273" s="1618">
        <f>'Recycling - Case 3'!B118*'Recycling - Case 3'!AI118</f>
        <v>2624.247959689545</v>
      </c>
      <c r="C273" s="657">
        <f t="shared" si="93"/>
        <v>0.5</v>
      </c>
      <c r="D273" s="657">
        <f t="shared" si="86"/>
        <v>0.5</v>
      </c>
      <c r="E273" s="58">
        <v>0</v>
      </c>
      <c r="F273" s="58">
        <v>0</v>
      </c>
      <c r="G273" s="1617">
        <f t="shared" si="87"/>
        <v>1.0496991838758181</v>
      </c>
      <c r="H273" s="1264">
        <f t="shared" si="88"/>
        <v>5.2484959193790903</v>
      </c>
      <c r="I273" s="58"/>
      <c r="J273" s="1442">
        <f t="shared" si="89"/>
        <v>0.31490975516274539</v>
      </c>
      <c r="K273" s="1616">
        <f>'Recycling - Case 3'!Z198*'Recycling - Case 3'!C198</f>
        <v>2317.8064251350138</v>
      </c>
      <c r="L273" s="1440">
        <f t="shared" si="94"/>
        <v>0.5</v>
      </c>
      <c r="M273" s="1440">
        <f t="shared" si="90"/>
        <v>0.5</v>
      </c>
      <c r="N273" s="53">
        <f t="shared" si="95"/>
        <v>0</v>
      </c>
      <c r="O273" s="53">
        <f t="shared" si="95"/>
        <v>0</v>
      </c>
      <c r="P273" s="898">
        <f t="shared" si="82"/>
        <v>0.92712257005400556</v>
      </c>
      <c r="Q273" s="598">
        <f t="shared" si="83"/>
        <v>4.6356128502700278</v>
      </c>
      <c r="R273" s="53"/>
      <c r="S273" s="1442">
        <f t="shared" si="84"/>
        <v>0.27813677101620166</v>
      </c>
      <c r="T273" s="1429">
        <f t="shared" si="85"/>
        <v>1.9768217539298236</v>
      </c>
      <c r="U273" s="1430">
        <f t="shared" si="85"/>
        <v>9.8841087696491172</v>
      </c>
      <c r="V273" s="1430">
        <f t="shared" si="85"/>
        <v>0</v>
      </c>
      <c r="W273" s="1431">
        <f t="shared" si="85"/>
        <v>0.59304652617894704</v>
      </c>
    </row>
    <row r="274" spans="1:23">
      <c r="A274" s="532">
        <f>'Input data'!A140</f>
        <v>2040</v>
      </c>
      <c r="B274" s="1618">
        <f>'Recycling - Case 3'!B119*'Recycling - Case 3'!AI119</f>
        <v>2643.4325207508259</v>
      </c>
      <c r="C274" s="657">
        <f t="shared" si="93"/>
        <v>0.5</v>
      </c>
      <c r="D274" s="657">
        <f t="shared" si="86"/>
        <v>0.5</v>
      </c>
      <c r="E274" s="58">
        <v>0</v>
      </c>
      <c r="F274" s="58">
        <v>0</v>
      </c>
      <c r="G274" s="1617">
        <f t="shared" si="87"/>
        <v>1.0573730083003303</v>
      </c>
      <c r="H274" s="1264">
        <f t="shared" si="88"/>
        <v>5.2868650415016516</v>
      </c>
      <c r="I274" s="58"/>
      <c r="J274" s="1442">
        <f t="shared" si="89"/>
        <v>0.31721190249009906</v>
      </c>
      <c r="K274" s="1616">
        <f>'Recycling - Case 3'!Z199*'Recycling - Case 3'!C199</f>
        <v>2389.8523227747337</v>
      </c>
      <c r="L274" s="1440">
        <f t="shared" si="94"/>
        <v>0.5</v>
      </c>
      <c r="M274" s="1440">
        <f t="shared" si="90"/>
        <v>0.5</v>
      </c>
      <c r="N274" s="53">
        <f t="shared" si="95"/>
        <v>0</v>
      </c>
      <c r="O274" s="53">
        <f t="shared" si="95"/>
        <v>0</v>
      </c>
      <c r="P274" s="898">
        <f t="shared" si="82"/>
        <v>0.95594092910989359</v>
      </c>
      <c r="Q274" s="598">
        <f t="shared" si="83"/>
        <v>4.7797046455494669</v>
      </c>
      <c r="R274" s="53"/>
      <c r="S274" s="1442">
        <f t="shared" si="84"/>
        <v>0.28678227873296808</v>
      </c>
      <c r="T274" s="1429">
        <f t="shared" si="85"/>
        <v>2.0133139374102238</v>
      </c>
      <c r="U274" s="1430">
        <f t="shared" si="85"/>
        <v>10.066569687051118</v>
      </c>
      <c r="V274" s="1430">
        <f t="shared" si="85"/>
        <v>0</v>
      </c>
      <c r="W274" s="1431">
        <f t="shared" si="85"/>
        <v>0.60399418122306714</v>
      </c>
    </row>
    <row r="275" spans="1:23">
      <c r="A275" s="532">
        <f>'Input data'!A141</f>
        <v>2041</v>
      </c>
      <c r="B275" s="1618">
        <f>'Recycling - Case 3'!B120*'Recycling - Case 3'!AI120</f>
        <v>2659.8764302319241</v>
      </c>
      <c r="C275" s="657">
        <f t="shared" si="93"/>
        <v>0.5</v>
      </c>
      <c r="D275" s="657">
        <f t="shared" si="86"/>
        <v>0.5</v>
      </c>
      <c r="E275" s="58">
        <v>0</v>
      </c>
      <c r="F275" s="58">
        <v>0</v>
      </c>
      <c r="G275" s="1617">
        <f t="shared" si="87"/>
        <v>1.0639505720927698</v>
      </c>
      <c r="H275" s="1264">
        <f t="shared" si="88"/>
        <v>5.319752860463848</v>
      </c>
      <c r="I275" s="58"/>
      <c r="J275" s="1442">
        <f t="shared" si="89"/>
        <v>0.31918517162783089</v>
      </c>
      <c r="K275" s="1616">
        <f>'Recycling - Case 3'!Z200*'Recycling - Case 3'!C200</f>
        <v>2464.8637781823149</v>
      </c>
      <c r="L275" s="1440">
        <f t="shared" si="94"/>
        <v>0.5</v>
      </c>
      <c r="M275" s="1440">
        <f t="shared" si="90"/>
        <v>0.5</v>
      </c>
      <c r="N275" s="53">
        <f t="shared" si="95"/>
        <v>0</v>
      </c>
      <c r="O275" s="53">
        <f t="shared" si="95"/>
        <v>0</v>
      </c>
      <c r="P275" s="898">
        <f t="shared" si="82"/>
        <v>0.98594551127292607</v>
      </c>
      <c r="Q275" s="598">
        <f t="shared" si="83"/>
        <v>4.9297275563646297</v>
      </c>
      <c r="R275" s="53"/>
      <c r="S275" s="1442">
        <f t="shared" si="84"/>
        <v>0.29578365338187779</v>
      </c>
      <c r="T275" s="1429">
        <f t="shared" si="85"/>
        <v>2.0498960833656961</v>
      </c>
      <c r="U275" s="1430">
        <f t="shared" si="85"/>
        <v>10.249480416828478</v>
      </c>
      <c r="V275" s="1430">
        <f t="shared" si="85"/>
        <v>0</v>
      </c>
      <c r="W275" s="1431">
        <f t="shared" si="85"/>
        <v>0.61496882500970873</v>
      </c>
    </row>
    <row r="276" spans="1:23">
      <c r="A276" s="532">
        <f>'Input data'!A142</f>
        <v>2042</v>
      </c>
      <c r="B276" s="1618">
        <f>'Recycling - Case 3'!B121*'Recycling - Case 3'!AI121</f>
        <v>2676.3944113773509</v>
      </c>
      <c r="C276" s="657">
        <f t="shared" si="93"/>
        <v>0.5</v>
      </c>
      <c r="D276" s="657">
        <f t="shared" si="86"/>
        <v>0.5</v>
      </c>
      <c r="E276" s="58">
        <v>0</v>
      </c>
      <c r="F276" s="58">
        <v>0</v>
      </c>
      <c r="G276" s="1617">
        <f t="shared" si="87"/>
        <v>1.0705577645509403</v>
      </c>
      <c r="H276" s="1264">
        <f t="shared" si="88"/>
        <v>5.352788822754702</v>
      </c>
      <c r="I276" s="58"/>
      <c r="J276" s="1442">
        <f t="shared" si="89"/>
        <v>0.32116732936528214</v>
      </c>
      <c r="K276" s="1616">
        <f>'Recycling - Case 3'!Z201*'Recycling - Case 3'!C201</f>
        <v>2543.0760752798365</v>
      </c>
      <c r="L276" s="1440">
        <f t="shared" si="94"/>
        <v>0.5</v>
      </c>
      <c r="M276" s="1440">
        <f t="shared" si="90"/>
        <v>0.5</v>
      </c>
      <c r="N276" s="53">
        <f t="shared" si="95"/>
        <v>0</v>
      </c>
      <c r="O276" s="53">
        <f t="shared" si="95"/>
        <v>0</v>
      </c>
      <c r="P276" s="898">
        <f t="shared" si="82"/>
        <v>1.0172304301119346</v>
      </c>
      <c r="Q276" s="598">
        <f t="shared" si="83"/>
        <v>5.0861521505596725</v>
      </c>
      <c r="R276" s="53"/>
      <c r="S276" s="1442">
        <f t="shared" si="84"/>
        <v>0.30516912903358034</v>
      </c>
      <c r="T276" s="1429">
        <f t="shared" si="85"/>
        <v>2.0877881946628749</v>
      </c>
      <c r="U276" s="1430">
        <f t="shared" si="85"/>
        <v>10.438940973314374</v>
      </c>
      <c r="V276" s="1430">
        <f t="shared" si="85"/>
        <v>0</v>
      </c>
      <c r="W276" s="1431">
        <f t="shared" si="85"/>
        <v>0.62633645839886243</v>
      </c>
    </row>
    <row r="277" spans="1:23">
      <c r="A277" s="532">
        <f>'Input data'!A143</f>
        <v>2043</v>
      </c>
      <c r="B277" s="1618">
        <f>'Recycling - Case 3'!B122*'Recycling - Case 3'!AI122</f>
        <v>2693.023500019272</v>
      </c>
      <c r="C277" s="657">
        <f t="shared" si="93"/>
        <v>0.5</v>
      </c>
      <c r="D277" s="657">
        <f t="shared" si="86"/>
        <v>0.5</v>
      </c>
      <c r="E277" s="58">
        <v>0</v>
      </c>
      <c r="F277" s="58">
        <v>0</v>
      </c>
      <c r="G277" s="1617">
        <f t="shared" si="87"/>
        <v>1.0772094000077088</v>
      </c>
      <c r="H277" s="1264">
        <f t="shared" si="88"/>
        <v>5.3860470000385439</v>
      </c>
      <c r="I277" s="58"/>
      <c r="J277" s="1442">
        <f t="shared" si="89"/>
        <v>0.32316282000231261</v>
      </c>
      <c r="K277" s="1616">
        <f>'Recycling - Case 3'!Z202*'Recycling - Case 3'!C202</f>
        <v>2624.2931441322321</v>
      </c>
      <c r="L277" s="1440">
        <f t="shared" si="94"/>
        <v>0.5</v>
      </c>
      <c r="M277" s="1440">
        <f t="shared" si="90"/>
        <v>0.5</v>
      </c>
      <c r="N277" s="53">
        <f t="shared" si="95"/>
        <v>0</v>
      </c>
      <c r="O277" s="53">
        <f t="shared" si="95"/>
        <v>0</v>
      </c>
      <c r="P277" s="898">
        <f t="shared" si="82"/>
        <v>1.0497172576528928</v>
      </c>
      <c r="Q277" s="598">
        <f t="shared" si="83"/>
        <v>5.2485862882644643</v>
      </c>
      <c r="R277" s="53"/>
      <c r="S277" s="1442">
        <f t="shared" si="84"/>
        <v>0.31491517729586788</v>
      </c>
      <c r="T277" s="1429">
        <f t="shared" si="85"/>
        <v>2.1269266576606016</v>
      </c>
      <c r="U277" s="1430">
        <f t="shared" si="85"/>
        <v>10.634633288303007</v>
      </c>
      <c r="V277" s="1430">
        <f t="shared" si="85"/>
        <v>0</v>
      </c>
      <c r="W277" s="1431">
        <f t="shared" si="85"/>
        <v>0.63807799729818049</v>
      </c>
    </row>
    <row r="278" spans="1:23">
      <c r="A278" s="532">
        <f>'Input data'!A144</f>
        <v>2044</v>
      </c>
      <c r="B278" s="1618">
        <f>'Recycling - Case 3'!B123*'Recycling - Case 3'!AI123</f>
        <v>2709.726660325523</v>
      </c>
      <c r="C278" s="657">
        <f t="shared" si="93"/>
        <v>0.5</v>
      </c>
      <c r="D278" s="657">
        <f t="shared" si="86"/>
        <v>0.5</v>
      </c>
      <c r="E278" s="58">
        <v>0</v>
      </c>
      <c r="F278" s="58">
        <v>0</v>
      </c>
      <c r="G278" s="1617">
        <f t="shared" si="87"/>
        <v>1.0838906641302093</v>
      </c>
      <c r="H278" s="1264">
        <f t="shared" si="88"/>
        <v>5.419453320651046</v>
      </c>
      <c r="I278" s="58"/>
      <c r="J278" s="1442">
        <f t="shared" si="89"/>
        <v>0.32516719923906279</v>
      </c>
      <c r="K278" s="1616">
        <f>'Recycling - Case 3'!Z203*'Recycling - Case 3'!C203</f>
        <v>2708.9512403450244</v>
      </c>
      <c r="L278" s="1440">
        <f t="shared" si="94"/>
        <v>0.5</v>
      </c>
      <c r="M278" s="1440">
        <f t="shared" si="90"/>
        <v>0.5</v>
      </c>
      <c r="N278" s="53">
        <f t="shared" si="95"/>
        <v>0</v>
      </c>
      <c r="O278" s="53">
        <f t="shared" si="95"/>
        <v>0</v>
      </c>
      <c r="P278" s="898">
        <f t="shared" si="82"/>
        <v>1.0835804961380098</v>
      </c>
      <c r="Q278" s="598">
        <f t="shared" si="83"/>
        <v>5.4179024806900484</v>
      </c>
      <c r="R278" s="53"/>
      <c r="S278" s="1442">
        <f t="shared" si="84"/>
        <v>0.3250741488414029</v>
      </c>
      <c r="T278" s="1429">
        <f t="shared" si="85"/>
        <v>2.1674711602682191</v>
      </c>
      <c r="U278" s="1430">
        <f t="shared" si="85"/>
        <v>10.837355801341094</v>
      </c>
      <c r="V278" s="1430">
        <f t="shared" si="85"/>
        <v>0</v>
      </c>
      <c r="W278" s="1431">
        <f t="shared" si="85"/>
        <v>0.65024134808046563</v>
      </c>
    </row>
    <row r="279" spans="1:23">
      <c r="A279" s="532">
        <f>'Input data'!A145</f>
        <v>2045</v>
      </c>
      <c r="B279" s="1618">
        <f>'Recycling - Case 3'!B124*'Recycling - Case 3'!AI124</f>
        <v>2726.5779639604316</v>
      </c>
      <c r="C279" s="657">
        <f t="shared" si="93"/>
        <v>0.5</v>
      </c>
      <c r="D279" s="657">
        <f t="shared" si="86"/>
        <v>0.5</v>
      </c>
      <c r="E279" s="58">
        <v>0</v>
      </c>
      <c r="F279" s="58">
        <v>0</v>
      </c>
      <c r="G279" s="1617">
        <f t="shared" si="87"/>
        <v>1.0906311855841728</v>
      </c>
      <c r="H279" s="1264">
        <f t="shared" si="88"/>
        <v>5.4531559279208635</v>
      </c>
      <c r="I279" s="58"/>
      <c r="J279" s="1442">
        <f t="shared" si="89"/>
        <v>0.32718935567525176</v>
      </c>
      <c r="K279" s="1616">
        <f>'Recycling - Case 3'!Z204*'Recycling - Case 3'!C204</f>
        <v>2798.8640108175628</v>
      </c>
      <c r="L279" s="1440">
        <f t="shared" si="94"/>
        <v>0.5</v>
      </c>
      <c r="M279" s="1440">
        <f t="shared" si="90"/>
        <v>0.5</v>
      </c>
      <c r="N279" s="53">
        <f t="shared" si="95"/>
        <v>0</v>
      </c>
      <c r="O279" s="53">
        <f t="shared" si="95"/>
        <v>0</v>
      </c>
      <c r="P279" s="898">
        <f t="shared" si="82"/>
        <v>1.1195456043270251</v>
      </c>
      <c r="Q279" s="598">
        <f t="shared" si="83"/>
        <v>5.5977280216351257</v>
      </c>
      <c r="R279" s="53"/>
      <c r="S279" s="1442">
        <f t="shared" si="84"/>
        <v>0.33586368129810751</v>
      </c>
      <c r="T279" s="1429">
        <f t="shared" si="85"/>
        <v>2.2101767899111979</v>
      </c>
      <c r="U279" s="1430">
        <f t="shared" si="85"/>
        <v>11.050883949555988</v>
      </c>
      <c r="V279" s="1430">
        <f t="shared" si="85"/>
        <v>0</v>
      </c>
      <c r="W279" s="1431">
        <f t="shared" si="85"/>
        <v>0.66305303697335927</v>
      </c>
    </row>
    <row r="280" spans="1:23">
      <c r="A280" s="532">
        <f>'Input data'!A146</f>
        <v>2046</v>
      </c>
      <c r="B280" s="1618">
        <f>'Recycling - Case 3'!B125*'Recycling - Case 3'!AI125</f>
        <v>2740.46640102217</v>
      </c>
      <c r="C280" s="657">
        <f t="shared" si="93"/>
        <v>0.5</v>
      </c>
      <c r="D280" s="657">
        <f t="shared" si="86"/>
        <v>0.5</v>
      </c>
      <c r="E280" s="58">
        <v>0</v>
      </c>
      <c r="F280" s="58">
        <v>0</v>
      </c>
      <c r="G280" s="1617">
        <f t="shared" si="87"/>
        <v>1.0961865604088681</v>
      </c>
      <c r="H280" s="1264">
        <f t="shared" si="88"/>
        <v>5.4809328020443395</v>
      </c>
      <c r="I280" s="58"/>
      <c r="J280" s="1442">
        <f t="shared" si="89"/>
        <v>0.32885596812266038</v>
      </c>
      <c r="K280" s="1616">
        <f>'Recycling - Case 3'!Z205*'Recycling - Case 3'!C205</f>
        <v>2893.222667067706</v>
      </c>
      <c r="L280" s="1440">
        <f t="shared" si="94"/>
        <v>0.5</v>
      </c>
      <c r="M280" s="1440">
        <f t="shared" si="90"/>
        <v>0.5</v>
      </c>
      <c r="N280" s="53">
        <f t="shared" si="95"/>
        <v>0</v>
      </c>
      <c r="O280" s="53">
        <f t="shared" si="95"/>
        <v>0</v>
      </c>
      <c r="P280" s="898">
        <f t="shared" si="82"/>
        <v>1.1572890668270825</v>
      </c>
      <c r="Q280" s="598">
        <f t="shared" si="83"/>
        <v>5.7864453341354123</v>
      </c>
      <c r="R280" s="53"/>
      <c r="S280" s="1442">
        <f t="shared" si="84"/>
        <v>0.34718672004812468</v>
      </c>
      <c r="T280" s="1429">
        <f t="shared" si="85"/>
        <v>2.2534756272359506</v>
      </c>
      <c r="U280" s="1430">
        <f t="shared" si="85"/>
        <v>11.267378136179751</v>
      </c>
      <c r="V280" s="1430">
        <f t="shared" si="85"/>
        <v>0</v>
      </c>
      <c r="W280" s="1431">
        <f t="shared" si="85"/>
        <v>0.67604268817078506</v>
      </c>
    </row>
    <row r="281" spans="1:23">
      <c r="A281" s="532">
        <f>'Input data'!A147</f>
        <v>2047</v>
      </c>
      <c r="B281" s="1618">
        <f>'Recycling - Case 3'!B126*'Recycling - Case 3'!AI126</f>
        <v>2754.4659455804021</v>
      </c>
      <c r="C281" s="657">
        <f t="shared" si="93"/>
        <v>0.5</v>
      </c>
      <c r="D281" s="657">
        <f t="shared" si="86"/>
        <v>0.5</v>
      </c>
      <c r="E281" s="58">
        <v>0</v>
      </c>
      <c r="F281" s="58">
        <v>0</v>
      </c>
      <c r="G281" s="1617">
        <f t="shared" si="87"/>
        <v>1.1017863782321609</v>
      </c>
      <c r="H281" s="1264">
        <f t="shared" si="88"/>
        <v>5.5089318911608043</v>
      </c>
      <c r="I281" s="58"/>
      <c r="J281" s="1442">
        <f t="shared" si="89"/>
        <v>0.33053591346964822</v>
      </c>
      <c r="K281" s="1616">
        <f>'Recycling - Case 3'!Z206*'Recycling - Case 3'!C206</f>
        <v>2992.0860300759723</v>
      </c>
      <c r="L281" s="1440">
        <f t="shared" si="94"/>
        <v>0.5</v>
      </c>
      <c r="M281" s="1440">
        <f t="shared" si="90"/>
        <v>0.5</v>
      </c>
      <c r="N281" s="53">
        <f t="shared" si="95"/>
        <v>0</v>
      </c>
      <c r="O281" s="53">
        <f t="shared" si="95"/>
        <v>0</v>
      </c>
      <c r="P281" s="898">
        <f t="shared" si="82"/>
        <v>1.1968344120303889</v>
      </c>
      <c r="Q281" s="598">
        <f t="shared" si="83"/>
        <v>5.9841720601519448</v>
      </c>
      <c r="R281" s="53"/>
      <c r="S281" s="1442">
        <f t="shared" si="84"/>
        <v>0.35905032360911665</v>
      </c>
      <c r="T281" s="1429">
        <f t="shared" si="85"/>
        <v>2.2986207902625497</v>
      </c>
      <c r="U281" s="1430">
        <f t="shared" si="85"/>
        <v>11.493103951312749</v>
      </c>
      <c r="V281" s="1430">
        <f t="shared" si="85"/>
        <v>0</v>
      </c>
      <c r="W281" s="1431">
        <f t="shared" si="85"/>
        <v>0.68958623707876487</v>
      </c>
    </row>
    <row r="282" spans="1:23">
      <c r="A282" s="532">
        <f>'Input data'!A148</f>
        <v>2048</v>
      </c>
      <c r="B282" s="1618">
        <f>'Recycling - Case 3'!B127*'Recycling - Case 3'!AI127</f>
        <v>2768.5395618029629</v>
      </c>
      <c r="C282" s="657">
        <f t="shared" si="93"/>
        <v>0.5</v>
      </c>
      <c r="D282" s="657">
        <f t="shared" si="86"/>
        <v>0.5</v>
      </c>
      <c r="E282" s="58">
        <v>0</v>
      </c>
      <c r="F282" s="58">
        <v>0</v>
      </c>
      <c r="G282" s="1617">
        <f t="shared" si="87"/>
        <v>1.1074158247211852</v>
      </c>
      <c r="H282" s="1264">
        <f t="shared" si="88"/>
        <v>5.5370791236059258</v>
      </c>
      <c r="I282" s="58"/>
      <c r="J282" s="1442">
        <f t="shared" si="89"/>
        <v>0.33222474741635549</v>
      </c>
      <c r="K282" s="1616">
        <f>'Recycling - Case 3'!Z207*'Recycling - Case 3'!C207</f>
        <v>3092.0865987076181</v>
      </c>
      <c r="L282" s="1440">
        <f t="shared" si="94"/>
        <v>0.5</v>
      </c>
      <c r="M282" s="1440">
        <f t="shared" si="90"/>
        <v>0.5</v>
      </c>
      <c r="N282" s="53">
        <f t="shared" si="95"/>
        <v>0</v>
      </c>
      <c r="O282" s="53">
        <f t="shared" si="95"/>
        <v>0</v>
      </c>
      <c r="P282" s="898">
        <f t="shared" si="82"/>
        <v>1.2368346394830474</v>
      </c>
      <c r="Q282" s="598">
        <f t="shared" si="83"/>
        <v>6.1841731974152365</v>
      </c>
      <c r="R282" s="53"/>
      <c r="S282" s="1442">
        <f t="shared" si="84"/>
        <v>0.37105039184491412</v>
      </c>
      <c r="T282" s="1429">
        <f t="shared" si="85"/>
        <v>2.3442504642042326</v>
      </c>
      <c r="U282" s="1430">
        <f t="shared" si="85"/>
        <v>11.721252321021161</v>
      </c>
      <c r="V282" s="1430">
        <f t="shared" si="85"/>
        <v>0</v>
      </c>
      <c r="W282" s="1431">
        <f t="shared" si="85"/>
        <v>0.70327513926126961</v>
      </c>
    </row>
    <row r="283" spans="1:23">
      <c r="A283" s="532">
        <f>'Input data'!A149</f>
        <v>2049</v>
      </c>
      <c r="B283" s="1618">
        <f>'Recycling - Case 3'!B128*'Recycling - Case 3'!AI128</f>
        <v>2782.6502138576889</v>
      </c>
      <c r="C283" s="657">
        <f t="shared" si="93"/>
        <v>0.5</v>
      </c>
      <c r="D283" s="657">
        <f t="shared" si="86"/>
        <v>0.5</v>
      </c>
      <c r="E283" s="58">
        <v>0</v>
      </c>
      <c r="F283" s="58">
        <v>0</v>
      </c>
      <c r="G283" s="1617">
        <f t="shared" si="87"/>
        <v>1.1130600855430755</v>
      </c>
      <c r="H283" s="1264">
        <f t="shared" si="88"/>
        <v>5.5653004277153775</v>
      </c>
      <c r="I283" s="58"/>
      <c r="J283" s="1442">
        <f t="shared" si="89"/>
        <v>0.33391802566292267</v>
      </c>
      <c r="K283" s="1616">
        <f>'Recycling - Case 3'!Z208*'Recycling - Case 3'!C208</f>
        <v>3197.0183262061546</v>
      </c>
      <c r="L283" s="1440">
        <f t="shared" si="94"/>
        <v>0.5</v>
      </c>
      <c r="M283" s="1440">
        <f t="shared" si="90"/>
        <v>0.5</v>
      </c>
      <c r="N283" s="53">
        <f t="shared" si="95"/>
        <v>0</v>
      </c>
      <c r="O283" s="53">
        <f t="shared" si="95"/>
        <v>0</v>
      </c>
      <c r="P283" s="898">
        <f t="shared" si="82"/>
        <v>1.2788073304824621</v>
      </c>
      <c r="Q283" s="598">
        <f t="shared" si="83"/>
        <v>6.3940366524123089</v>
      </c>
      <c r="R283" s="53"/>
      <c r="S283" s="1442">
        <f t="shared" si="84"/>
        <v>0.38364219914473852</v>
      </c>
      <c r="T283" s="1429">
        <f t="shared" si="85"/>
        <v>2.3918674160255375</v>
      </c>
      <c r="U283" s="1430">
        <f t="shared" si="85"/>
        <v>11.959337080127685</v>
      </c>
      <c r="V283" s="1430">
        <f t="shared" si="85"/>
        <v>0</v>
      </c>
      <c r="W283" s="1431">
        <f t="shared" si="85"/>
        <v>0.71756022480766113</v>
      </c>
    </row>
    <row r="284" spans="1:23" ht="15" thickBot="1">
      <c r="A284" s="1615">
        <f>'Input data'!A150</f>
        <v>2050</v>
      </c>
      <c r="B284" s="1619">
        <f>'Recycling - Case 3'!B129*'Recycling - Case 3'!AI129</f>
        <v>2796.8719734089091</v>
      </c>
      <c r="C284" s="659">
        <f t="shared" si="93"/>
        <v>0.5</v>
      </c>
      <c r="D284" s="659">
        <f t="shared" si="86"/>
        <v>0.5</v>
      </c>
      <c r="E284" s="1443">
        <v>0</v>
      </c>
      <c r="F284" s="1443">
        <v>0</v>
      </c>
      <c r="G284" s="1444">
        <f t="shared" si="87"/>
        <v>1.1187487893635637</v>
      </c>
      <c r="H284" s="1333">
        <f t="shared" si="88"/>
        <v>5.5937439468178178</v>
      </c>
      <c r="I284" s="1443"/>
      <c r="J284" s="1445">
        <f t="shared" si="89"/>
        <v>0.33562463680906912</v>
      </c>
      <c r="K284" s="1616">
        <f>'Recycling - Case 3'!Z209*'Recycling - Case 3'!C209</f>
        <v>3307.2733524417122</v>
      </c>
      <c r="L284" s="659">
        <f t="shared" si="94"/>
        <v>0.5</v>
      </c>
      <c r="M284" s="659">
        <f t="shared" si="90"/>
        <v>0.5</v>
      </c>
      <c r="N284" s="1443">
        <f t="shared" ref="N284:O284" si="96">N146</f>
        <v>0</v>
      </c>
      <c r="O284" s="1443">
        <f t="shared" si="96"/>
        <v>0</v>
      </c>
      <c r="P284" s="1444">
        <f t="shared" si="82"/>
        <v>1.322909340976685</v>
      </c>
      <c r="Q284" s="1333">
        <f t="shared" si="83"/>
        <v>6.6145467048834243</v>
      </c>
      <c r="R284" s="1443"/>
      <c r="S284" s="1445">
        <f t="shared" si="84"/>
        <v>0.39687280229300548</v>
      </c>
      <c r="T284" s="1446">
        <f t="shared" si="85"/>
        <v>2.4416581303402487</v>
      </c>
      <c r="U284" s="1447">
        <f t="shared" si="85"/>
        <v>12.208290651701242</v>
      </c>
      <c r="V284" s="1447">
        <f t="shared" si="85"/>
        <v>0</v>
      </c>
      <c r="W284" s="1448">
        <f t="shared" si="85"/>
        <v>0.73249743910207465</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topLeftCell="B1" zoomScale="59" zoomScaleNormal="55" workbookViewId="0">
      <pane ySplit="19" topLeftCell="A122" activePane="bottomLeft" state="frozen"/>
      <selection activeCell="B1" sqref="B1"/>
      <selection pane="bottomLeft" activeCell="C14" sqref="C14"/>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645" customWidth="1"/>
  </cols>
  <sheetData>
    <row r="1" spans="1:37">
      <c r="A1" s="2" t="s">
        <v>38</v>
      </c>
    </row>
    <row r="2" spans="1:37">
      <c r="Q2" s="4"/>
      <c r="R2" s="530"/>
      <c r="S2" s="4"/>
      <c r="T2" s="4"/>
      <c r="U2" s="4"/>
      <c r="V2" s="4"/>
      <c r="W2" s="4"/>
      <c r="X2" s="4"/>
      <c r="Y2" s="4"/>
      <c r="Z2" s="530"/>
      <c r="AA2" s="4"/>
      <c r="AB2" s="4"/>
    </row>
    <row r="3" spans="1:37" ht="15" thickBot="1">
      <c r="A3" s="1" t="s">
        <v>162</v>
      </c>
      <c r="Q3" s="4"/>
      <c r="R3" s="530"/>
      <c r="S3" s="4"/>
      <c r="T3" s="4"/>
      <c r="U3" s="4"/>
      <c r="V3" s="4"/>
      <c r="W3" s="4"/>
      <c r="X3" s="4"/>
      <c r="Y3" s="4"/>
      <c r="Z3" s="530"/>
      <c r="AA3" s="4"/>
      <c r="AB3" s="4"/>
    </row>
    <row r="4" spans="1:37">
      <c r="A4" s="124" t="s">
        <v>164</v>
      </c>
      <c r="B4" s="125" t="s">
        <v>25</v>
      </c>
      <c r="C4" s="126">
        <f>Parameters!D56</f>
        <v>0.09</v>
      </c>
      <c r="D4" s="580" t="s">
        <v>358</v>
      </c>
      <c r="E4" s="115"/>
      <c r="F4" s="115"/>
      <c r="G4" s="115"/>
      <c r="H4" s="115"/>
      <c r="I4" s="116"/>
      <c r="Q4" s="4"/>
      <c r="R4" s="530"/>
      <c r="S4" s="531"/>
      <c r="T4" s="4"/>
      <c r="U4" s="4"/>
      <c r="V4" s="4"/>
      <c r="W4" s="4"/>
      <c r="X4" s="4"/>
      <c r="Y4" s="4"/>
      <c r="Z4" s="530"/>
      <c r="AA4" s="4"/>
      <c r="AB4" s="4"/>
    </row>
    <row r="5" spans="1:37">
      <c r="A5" s="127" t="s">
        <v>163</v>
      </c>
      <c r="B5" s="128" t="s">
        <v>25</v>
      </c>
      <c r="C5" s="129">
        <f>Parameters!D57</f>
        <v>0.6</v>
      </c>
      <c r="D5" s="104"/>
      <c r="E5" s="104"/>
      <c r="F5" s="104"/>
      <c r="G5" s="104"/>
      <c r="H5" s="104"/>
      <c r="I5" s="130"/>
      <c r="Q5" s="4"/>
      <c r="R5" s="530"/>
      <c r="S5" s="531"/>
      <c r="T5" s="4"/>
      <c r="U5" s="4"/>
      <c r="V5" s="4"/>
      <c r="W5" s="4"/>
      <c r="X5" s="4"/>
      <c r="Y5" s="4"/>
      <c r="Z5" s="530"/>
      <c r="AA5" s="4"/>
      <c r="AB5" s="4"/>
    </row>
    <row r="6" spans="1:37">
      <c r="A6" s="127" t="s">
        <v>195</v>
      </c>
      <c r="B6" s="128" t="s">
        <v>196</v>
      </c>
      <c r="C6" s="129">
        <f>Parameters!D58</f>
        <v>3.6666666666666665</v>
      </c>
      <c r="D6" s="104"/>
      <c r="E6" s="104"/>
      <c r="F6" s="104"/>
      <c r="G6" s="104"/>
      <c r="H6" s="104"/>
      <c r="I6" s="130"/>
      <c r="Q6" s="4"/>
      <c r="R6" s="530"/>
      <c r="S6" s="531"/>
      <c r="T6" s="4"/>
      <c r="U6" s="4"/>
      <c r="V6" s="4"/>
      <c r="W6" s="4"/>
      <c r="X6" s="4"/>
      <c r="Y6" s="4"/>
      <c r="Z6" s="530"/>
      <c r="AA6" s="4"/>
      <c r="AB6" s="4"/>
    </row>
    <row r="7" spans="1:37">
      <c r="A7" s="127" t="s">
        <v>173</v>
      </c>
      <c r="B7" s="128" t="s">
        <v>25</v>
      </c>
      <c r="C7" s="129">
        <f>Parameters!D59</f>
        <v>0.57999999999999996</v>
      </c>
      <c r="D7" s="104"/>
      <c r="E7" s="104"/>
      <c r="F7" s="104"/>
      <c r="G7" s="104"/>
      <c r="H7" s="104"/>
      <c r="I7" s="130"/>
      <c r="Q7" s="4"/>
      <c r="R7" s="530"/>
      <c r="S7" s="531"/>
      <c r="T7" s="4"/>
      <c r="U7" s="4"/>
      <c r="V7" s="4"/>
      <c r="W7" s="4"/>
      <c r="X7" s="4"/>
      <c r="Y7" s="4"/>
      <c r="Z7" s="530"/>
      <c r="AA7" s="4"/>
      <c r="AB7" s="4"/>
    </row>
    <row r="8" spans="1:37">
      <c r="A8" s="127"/>
      <c r="B8" s="128"/>
      <c r="C8" s="99"/>
      <c r="D8" s="104"/>
      <c r="E8" s="104"/>
      <c r="F8" s="104"/>
      <c r="G8" s="104"/>
      <c r="H8" s="104"/>
      <c r="I8" s="130"/>
      <c r="Q8" s="4"/>
      <c r="R8" s="530"/>
      <c r="S8" s="531"/>
      <c r="T8" s="4"/>
      <c r="U8" s="4"/>
      <c r="V8" s="4"/>
      <c r="W8" s="4"/>
      <c r="X8" s="4"/>
      <c r="Y8" s="4"/>
      <c r="Z8" s="530"/>
      <c r="AA8" s="4"/>
      <c r="AB8" s="4"/>
    </row>
    <row r="9" spans="1:37">
      <c r="A9" s="127" t="s">
        <v>170</v>
      </c>
      <c r="B9" s="131" t="s">
        <v>169</v>
      </c>
      <c r="C9" s="129">
        <f>Parameters!D61</f>
        <v>6500</v>
      </c>
      <c r="D9" s="104"/>
      <c r="E9" s="104"/>
      <c r="F9" s="104"/>
      <c r="G9" s="104"/>
      <c r="H9" s="104"/>
      <c r="I9" s="130"/>
      <c r="Q9" s="4"/>
      <c r="R9" s="530"/>
      <c r="S9" s="531"/>
      <c r="T9" s="4"/>
      <c r="U9" s="4"/>
      <c r="V9" s="4"/>
      <c r="W9" s="4"/>
      <c r="X9" s="4"/>
      <c r="Y9" s="4"/>
      <c r="Z9" s="530"/>
      <c r="AA9" s="4"/>
      <c r="AB9" s="4"/>
    </row>
    <row r="10" spans="1:37">
      <c r="A10" s="127" t="s">
        <v>171</v>
      </c>
      <c r="B10" s="131" t="s">
        <v>172</v>
      </c>
      <c r="C10" s="129">
        <f>Parameters!D62</f>
        <v>150</v>
      </c>
      <c r="D10" s="104"/>
      <c r="E10" s="104"/>
      <c r="F10" s="104"/>
      <c r="G10" s="104"/>
      <c r="H10" s="104"/>
      <c r="I10" s="130"/>
      <c r="Q10" s="4"/>
      <c r="R10" s="530"/>
      <c r="S10" s="531"/>
      <c r="T10" s="4"/>
      <c r="U10" s="4"/>
      <c r="V10" s="4"/>
      <c r="W10" s="4"/>
      <c r="X10" s="4"/>
      <c r="Y10" s="4"/>
      <c r="Z10" s="530"/>
      <c r="AA10" s="4"/>
      <c r="AB10" s="4"/>
    </row>
    <row r="11" spans="1:37">
      <c r="A11" s="127" t="s">
        <v>197</v>
      </c>
      <c r="B11" s="128" t="s">
        <v>196</v>
      </c>
      <c r="C11" s="132">
        <f>Parameters!D63</f>
        <v>9.9999999999999995E-7</v>
      </c>
      <c r="D11" s="104"/>
      <c r="E11" s="104"/>
      <c r="F11" s="104"/>
      <c r="G11" s="104"/>
      <c r="H11" s="104"/>
      <c r="I11" s="130"/>
      <c r="Q11" s="4"/>
      <c r="R11" s="530"/>
      <c r="S11" s="4"/>
      <c r="T11" s="4"/>
      <c r="U11" s="4"/>
      <c r="V11" s="4"/>
      <c r="W11" s="4"/>
      <c r="X11" s="4"/>
      <c r="Y11" s="4"/>
      <c r="Z11" s="530"/>
      <c r="AA11" s="4"/>
      <c r="AB11" s="4"/>
    </row>
    <row r="12" spans="1:37">
      <c r="A12" s="127"/>
      <c r="B12" s="131"/>
      <c r="C12" s="133"/>
      <c r="D12" s="104"/>
      <c r="E12" s="104"/>
      <c r="F12" s="104"/>
      <c r="G12" s="104"/>
      <c r="H12" s="104"/>
      <c r="I12" s="130"/>
      <c r="Q12" s="4"/>
      <c r="R12" s="530"/>
      <c r="S12" s="4"/>
      <c r="T12" s="4"/>
      <c r="U12" s="4"/>
      <c r="V12" s="4"/>
      <c r="W12" s="4"/>
      <c r="X12" s="4"/>
      <c r="Y12" s="4"/>
      <c r="Z12" s="530"/>
      <c r="AA12" s="4"/>
      <c r="AB12" s="99"/>
      <c r="AC12" s="99"/>
      <c r="AD12" s="99"/>
      <c r="AE12" s="99"/>
      <c r="AF12" s="99"/>
      <c r="AG12" s="99"/>
      <c r="AH12" s="99"/>
      <c r="AI12" s="1646"/>
      <c r="AJ12" s="1646"/>
      <c r="AK12" s="1646"/>
    </row>
    <row r="13" spans="1:37" ht="28.8">
      <c r="A13" s="134" t="s">
        <v>186</v>
      </c>
      <c r="B13" s="8"/>
      <c r="C13" s="528" t="s">
        <v>221</v>
      </c>
      <c r="D13" s="528" t="s">
        <v>85</v>
      </c>
      <c r="E13" s="528" t="s">
        <v>87</v>
      </c>
      <c r="F13" s="528" t="s">
        <v>222</v>
      </c>
      <c r="G13" s="528" t="s">
        <v>115</v>
      </c>
      <c r="H13" s="528" t="s">
        <v>223</v>
      </c>
      <c r="I13" s="529" t="s">
        <v>224</v>
      </c>
      <c r="Q13" s="4"/>
      <c r="R13" s="530"/>
      <c r="S13" s="4"/>
      <c r="T13" s="4"/>
      <c r="U13" s="4"/>
      <c r="V13" s="4"/>
      <c r="W13" s="4"/>
      <c r="X13" s="4"/>
      <c r="Y13" s="4"/>
      <c r="Z13" s="530"/>
      <c r="AA13" s="4"/>
      <c r="AB13" s="99"/>
      <c r="AC13" s="99"/>
      <c r="AD13" s="99"/>
      <c r="AE13" s="99"/>
      <c r="AF13" s="99"/>
      <c r="AG13" s="99"/>
      <c r="AH13" s="99"/>
      <c r="AI13" s="1646"/>
      <c r="AJ13" s="1646"/>
      <c r="AK13" s="1646"/>
    </row>
    <row r="14" spans="1:37">
      <c r="A14" s="526"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7">
        <f>Parameters!J66</f>
        <v>2.7E-2</v>
      </c>
      <c r="Q14" s="4"/>
      <c r="R14" s="530"/>
      <c r="S14" s="4"/>
      <c r="T14" s="4"/>
      <c r="U14" s="4"/>
      <c r="V14" s="4"/>
      <c r="W14" s="4"/>
      <c r="X14" s="4"/>
      <c r="Y14" s="4"/>
      <c r="Z14" s="530"/>
      <c r="AA14" s="4"/>
      <c r="AB14" s="99"/>
      <c r="AC14" s="99"/>
      <c r="AD14" s="99"/>
      <c r="AE14" s="99"/>
      <c r="AF14" s="99"/>
      <c r="AG14" s="99"/>
      <c r="AH14" s="99"/>
      <c r="AI14" s="1646"/>
      <c r="AJ14" s="1646"/>
      <c r="AK14" s="1646"/>
    </row>
    <row r="15" spans="1:37" ht="15" thickBot="1">
      <c r="A15" s="137" t="s">
        <v>579</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3">
        <f>'MSW characteristics'!H44</f>
        <v>0.9</v>
      </c>
      <c r="Q15" s="4"/>
      <c r="R15" s="530"/>
      <c r="S15" s="4"/>
      <c r="T15" s="531"/>
      <c r="U15" s="531"/>
      <c r="V15" s="531"/>
      <c r="W15" s="531"/>
      <c r="X15" s="531"/>
      <c r="Y15" s="531"/>
      <c r="Z15" s="531"/>
      <c r="AA15" s="4"/>
      <c r="AB15" s="99"/>
      <c r="AC15" s="99"/>
      <c r="AD15" s="99"/>
      <c r="AE15" s="99"/>
      <c r="AF15" s="99"/>
      <c r="AG15" s="99"/>
      <c r="AH15" s="99"/>
      <c r="AI15" s="1646"/>
      <c r="AJ15" s="1646"/>
      <c r="AK15" s="1646"/>
    </row>
    <row r="16" spans="1:37">
      <c r="AB16" s="99"/>
      <c r="AC16" s="99"/>
      <c r="AD16" s="99"/>
      <c r="AE16" s="99"/>
      <c r="AF16" s="99"/>
      <c r="AG16" s="99"/>
      <c r="AH16" s="99"/>
      <c r="AI16" s="1646"/>
      <c r="AJ16" s="1646"/>
      <c r="AK16" s="1646"/>
    </row>
    <row r="17" spans="1:171" ht="15" thickBot="1">
      <c r="C17" s="1" t="s">
        <v>267</v>
      </c>
      <c r="AH17" s="1"/>
      <c r="AI17" s="1646"/>
      <c r="AJ17" s="1646"/>
      <c r="AK17" s="1646"/>
    </row>
    <row r="18" spans="1:171">
      <c r="A18" s="1947" t="s">
        <v>217</v>
      </c>
      <c r="B18" s="1945" t="str">
        <f>A4</f>
        <v>Fraction of the population  burning waste (Pfrac)</v>
      </c>
      <c r="C18" s="852" t="s">
        <v>712</v>
      </c>
      <c r="D18" s="115"/>
      <c r="E18" s="115"/>
      <c r="F18" s="115"/>
      <c r="G18" s="115"/>
      <c r="H18" s="115"/>
      <c r="I18" s="115"/>
      <c r="J18" s="1058"/>
      <c r="K18" s="1942" t="s">
        <v>286</v>
      </c>
      <c r="L18" s="1943"/>
      <c r="M18" s="1943"/>
      <c r="N18" s="1943"/>
      <c r="O18" s="1943"/>
      <c r="P18" s="1943"/>
      <c r="Q18" s="1943"/>
      <c r="R18" s="1944"/>
      <c r="S18" s="573" t="s">
        <v>291</v>
      </c>
      <c r="T18" s="574"/>
      <c r="U18" s="574"/>
      <c r="V18" s="575" t="s">
        <v>285</v>
      </c>
      <c r="W18" s="574"/>
      <c r="X18" s="574"/>
      <c r="Y18" s="574"/>
      <c r="Z18" s="576"/>
      <c r="AA18" s="1942" t="s">
        <v>287</v>
      </c>
      <c r="AB18" s="1943"/>
      <c r="AC18" s="1943"/>
      <c r="AD18" s="1943"/>
      <c r="AE18" s="1943"/>
      <c r="AF18" s="1943"/>
      <c r="AG18" s="1943"/>
      <c r="AH18" s="1944"/>
      <c r="AI18" s="1646"/>
      <c r="AJ18" s="1646"/>
      <c r="AK18" s="1646"/>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1948"/>
      <c r="B19" s="1946"/>
      <c r="C19" s="577" t="s">
        <v>221</v>
      </c>
      <c r="D19" s="578" t="s">
        <v>85</v>
      </c>
      <c r="E19" s="578" t="s">
        <v>87</v>
      </c>
      <c r="F19" s="578" t="s">
        <v>222</v>
      </c>
      <c r="G19" s="578" t="s">
        <v>115</v>
      </c>
      <c r="H19" s="578" t="s">
        <v>223</v>
      </c>
      <c r="I19" s="578" t="s">
        <v>224</v>
      </c>
      <c r="J19" s="579" t="s">
        <v>225</v>
      </c>
      <c r="K19" s="577" t="s">
        <v>221</v>
      </c>
      <c r="L19" s="578" t="s">
        <v>85</v>
      </c>
      <c r="M19" s="578" t="s">
        <v>87</v>
      </c>
      <c r="N19" s="578" t="s">
        <v>222</v>
      </c>
      <c r="O19" s="578" t="s">
        <v>115</v>
      </c>
      <c r="P19" s="578" t="s">
        <v>223</v>
      </c>
      <c r="Q19" s="578" t="s">
        <v>224</v>
      </c>
      <c r="R19" s="579" t="s">
        <v>225</v>
      </c>
      <c r="S19" s="577" t="s">
        <v>221</v>
      </c>
      <c r="T19" s="578" t="s">
        <v>85</v>
      </c>
      <c r="U19" s="578" t="s">
        <v>87</v>
      </c>
      <c r="V19" s="578" t="s">
        <v>222</v>
      </c>
      <c r="W19" s="578" t="s">
        <v>115</v>
      </c>
      <c r="X19" s="578" t="s">
        <v>223</v>
      </c>
      <c r="Y19" s="578" t="s">
        <v>224</v>
      </c>
      <c r="Z19" s="579" t="s">
        <v>225</v>
      </c>
      <c r="AA19" s="577" t="s">
        <v>221</v>
      </c>
      <c r="AB19" s="578" t="s">
        <v>85</v>
      </c>
      <c r="AC19" s="578" t="s">
        <v>87</v>
      </c>
      <c r="AD19" s="578" t="s">
        <v>222</v>
      </c>
      <c r="AE19" s="578" t="s">
        <v>115</v>
      </c>
      <c r="AF19" s="578" t="s">
        <v>223</v>
      </c>
      <c r="AG19" s="578" t="s">
        <v>224</v>
      </c>
      <c r="AH19" s="579" t="s">
        <v>225</v>
      </c>
      <c r="AI19" s="1646"/>
      <c r="AJ19" s="1646"/>
      <c r="AK19" s="1646"/>
    </row>
    <row r="20" spans="1:171" ht="15" hidden="1" customHeight="1" thickBot="1">
      <c r="A20" s="532">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646"/>
      <c r="AJ20" s="1646"/>
      <c r="AK20" s="1646"/>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2">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646"/>
      <c r="AJ21" s="1646"/>
      <c r="AK21" s="1646"/>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2">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646"/>
      <c r="AJ22" s="1646"/>
      <c r="AK22" s="1646"/>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2">
        <f>'Input data'!A53</f>
        <v>1953</v>
      </c>
      <c r="B23" s="122">
        <f>'Baseline data (from input)'!G9</f>
        <v>0</v>
      </c>
      <c r="C23" s="127"/>
      <c r="D23" s="104"/>
      <c r="E23" s="104"/>
      <c r="F23" s="104"/>
      <c r="G23" s="104"/>
      <c r="H23" s="104"/>
      <c r="I23" s="104"/>
      <c r="J23" s="1059">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646"/>
      <c r="AJ23" s="1646"/>
      <c r="AK23" s="1646"/>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2">
        <f>'Input data'!A54</f>
        <v>1954</v>
      </c>
      <c r="B24" s="122">
        <f>'Baseline data (from input)'!G10</f>
        <v>0</v>
      </c>
      <c r="C24" s="127"/>
      <c r="D24" s="104"/>
      <c r="E24" s="104"/>
      <c r="F24" s="104"/>
      <c r="G24" s="104"/>
      <c r="H24" s="104"/>
      <c r="I24" s="104"/>
      <c r="J24" s="1059">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646"/>
      <c r="AJ24" s="1646"/>
      <c r="AK24" s="1646"/>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2">
        <f>'Input data'!A55</f>
        <v>1955</v>
      </c>
      <c r="B25" s="122">
        <f>'Baseline data (from input)'!G11</f>
        <v>0</v>
      </c>
      <c r="C25" s="602">
        <f>'Baseline data (from input)'!C11*'Baseline data (from input)'!D11</f>
        <v>722.12143588743754</v>
      </c>
      <c r="D25" s="608">
        <f>'Baseline data (from input)'!C11*'Baseline data (from input)'!E11</f>
        <v>965.10052830093684</v>
      </c>
      <c r="E25" s="608">
        <f>'Baseline data (from input)'!C11*'Baseline data (from input)'!F11</f>
        <v>323.90885274349603</v>
      </c>
      <c r="F25" s="608">
        <f>'Baseline data (from input)'!C11*'Baseline data (from input)'!G11</f>
        <v>0</v>
      </c>
      <c r="G25" s="608">
        <f>'Baseline data (from input)'!C11*'Baseline data (from input)'!H11</f>
        <v>0</v>
      </c>
      <c r="H25" s="608">
        <f>'Baseline data (from input)'!H11*'Baseline data (from input)'!I11</f>
        <v>0</v>
      </c>
      <c r="I25" s="608">
        <f>'Baseline data (from input)'!C11*'Baseline data (from input)'!J11</f>
        <v>1618.9904245785297</v>
      </c>
      <c r="J25" s="1059">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646"/>
      <c r="AJ25" s="1646"/>
      <c r="AK25" s="1646"/>
    </row>
    <row r="26" spans="1:171" ht="15" hidden="1" customHeight="1" thickBot="1">
      <c r="A26" s="532">
        <f>'Input data'!A56</f>
        <v>1956</v>
      </c>
      <c r="B26" s="122">
        <f>'Baseline data (from input)'!G12</f>
        <v>0</v>
      </c>
      <c r="C26" s="602">
        <f>'Baseline data (from input)'!C12*'Baseline data (from input)'!D12</f>
        <v>744.29675653160587</v>
      </c>
      <c r="D26" s="608">
        <f>'Baseline data (from input)'!C12*'Baseline data (from input)'!E12</f>
        <v>994.73739075278843</v>
      </c>
      <c r="E26" s="608">
        <f>'Baseline data (from input)'!C12*'Baseline data (from input)'!F12</f>
        <v>333.85563220759627</v>
      </c>
      <c r="F26" s="608">
        <f>'Baseline data (from input)'!C12*'Baseline data (from input)'!G12</f>
        <v>0</v>
      </c>
      <c r="G26" s="608">
        <f>'Baseline data (from input)'!C12*'Baseline data (from input)'!H12</f>
        <v>0</v>
      </c>
      <c r="H26" s="608">
        <f>'Baseline data (from input)'!H12*'Baseline data (from input)'!I12</f>
        <v>0</v>
      </c>
      <c r="I26" s="608">
        <f>'Baseline data (from input)'!C12*'Baseline data (from input)'!J12</f>
        <v>1668.7073142880097</v>
      </c>
      <c r="J26" s="1059">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646"/>
      <c r="AJ26" s="1646"/>
      <c r="AK26" s="1646"/>
    </row>
    <row r="27" spans="1:171" ht="15" hidden="1" customHeight="1" thickBot="1">
      <c r="A27" s="532">
        <f>'Input data'!A57</f>
        <v>1957</v>
      </c>
      <c r="B27" s="122">
        <f>'Baseline data (from input)'!G13</f>
        <v>0</v>
      </c>
      <c r="C27" s="602">
        <f>'Baseline data (from input)'!C13*'Baseline data (from input)'!D13</f>
        <v>766.64053552452037</v>
      </c>
      <c r="D27" s="608">
        <f>'Baseline data (from input)'!C13*'Baseline data (from input)'!E13</f>
        <v>1024.5993943419776</v>
      </c>
      <c r="E27" s="608">
        <f>'Baseline data (from input)'!C13*'Baseline data (from input)'!F13</f>
        <v>343.8779739632526</v>
      </c>
      <c r="F27" s="608">
        <f>'Baseline data (from input)'!C13*'Baseline data (from input)'!G13</f>
        <v>0</v>
      </c>
      <c r="G27" s="608">
        <f>'Baseline data (from input)'!C13*'Baseline data (from input)'!H13</f>
        <v>0</v>
      </c>
      <c r="H27" s="608">
        <f>'Baseline data (from input)'!H13*'Baseline data (from input)'!I13</f>
        <v>0</v>
      </c>
      <c r="I27" s="608">
        <f>'Baseline data (from input)'!C13*'Baseline data (from input)'!J13</f>
        <v>1718.8018862542492</v>
      </c>
      <c r="J27" s="1059">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646"/>
      <c r="AJ27" s="1646"/>
      <c r="AK27" s="1646"/>
    </row>
    <row r="28" spans="1:171" ht="15" hidden="1" customHeight="1" thickBot="1">
      <c r="A28" s="532">
        <f>'Input data'!A58</f>
        <v>1958</v>
      </c>
      <c r="B28" s="122">
        <f>'Baseline data (from input)'!G14</f>
        <v>0</v>
      </c>
      <c r="C28" s="602">
        <f>'Baseline data (from input)'!C14*'Baseline data (from input)'!D14</f>
        <v>790.8909948328469</v>
      </c>
      <c r="D28" s="608">
        <f>'Baseline data (from input)'!C14*'Baseline data (from input)'!E14</f>
        <v>1057.00963717218</v>
      </c>
      <c r="E28" s="608">
        <f>'Baseline data (from input)'!C14*'Baseline data (from input)'!F14</f>
        <v>354.75556056114897</v>
      </c>
      <c r="F28" s="608">
        <f>'Baseline data (from input)'!C14*'Baseline data (from input)'!G14</f>
        <v>0</v>
      </c>
      <c r="G28" s="608">
        <f>'Baseline data (from input)'!C14*'Baseline data (from input)'!H14</f>
        <v>0</v>
      </c>
      <c r="H28" s="608">
        <f>'Baseline data (from input)'!H14*'Baseline data (from input)'!I14</f>
        <v>0</v>
      </c>
      <c r="I28" s="608">
        <f>'Baseline data (from input)'!C14*'Baseline data (from input)'!J14</f>
        <v>1773.1712200818242</v>
      </c>
      <c r="J28" s="1059">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646"/>
      <c r="AJ28" s="1646"/>
      <c r="AK28" s="1646"/>
    </row>
    <row r="29" spans="1:171" ht="15" hidden="1" customHeight="1" thickBot="1">
      <c r="A29" s="532">
        <f>'Input data'!A59</f>
        <v>1959</v>
      </c>
      <c r="B29" s="122">
        <f>'Baseline data (from input)'!G15</f>
        <v>0</v>
      </c>
      <c r="C29" s="602">
        <f>'Baseline data (from input)'!C15*'Baseline data (from input)'!D15</f>
        <v>815.39414166429276</v>
      </c>
      <c r="D29" s="608">
        <f>'Baseline data (from input)'!C15*'Baseline data (from input)'!E15</f>
        <v>1089.7575917083891</v>
      </c>
      <c r="E29" s="608">
        <f>'Baseline data (from input)'!C15*'Baseline data (from input)'!F15</f>
        <v>365.74649059637949</v>
      </c>
      <c r="F29" s="608">
        <f>'Baseline data (from input)'!C15*'Baseline data (from input)'!G15</f>
        <v>0</v>
      </c>
      <c r="G29" s="608">
        <f>'Baseline data (from input)'!C15*'Baseline data (from input)'!H15</f>
        <v>0</v>
      </c>
      <c r="H29" s="608">
        <f>'Baseline data (from input)'!H15*'Baseline data (from input)'!I15</f>
        <v>0</v>
      </c>
      <c r="I29" s="608">
        <f>'Baseline data (from input)'!C15*'Baseline data (from input)'!J15</f>
        <v>1828.1070772945386</v>
      </c>
      <c r="J29" s="1059">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646"/>
      <c r="AJ29" s="1646"/>
      <c r="AK29" s="1646"/>
    </row>
    <row r="30" spans="1:171" ht="15" hidden="1" customHeight="1" thickBot="1">
      <c r="A30" s="532">
        <f>'Input data'!A60</f>
        <v>1960</v>
      </c>
      <c r="B30" s="122">
        <f>'Baseline data (from input)'!G16</f>
        <v>0</v>
      </c>
      <c r="C30" s="602">
        <f>'Baseline data (from input)'!C16*'Baseline data (from input)'!D16</f>
        <v>838.32752487781931</v>
      </c>
      <c r="D30" s="608">
        <f>'Baseline data (from input)'!C16*'Baseline data (from input)'!E16</f>
        <v>1120.407589278261</v>
      </c>
      <c r="E30" s="608">
        <f>'Baseline data (from input)'!C16*'Baseline data (from input)'!F16</f>
        <v>376.03330037248242</v>
      </c>
      <c r="F30" s="608">
        <f>'Baseline data (from input)'!C16*'Baseline data (from input)'!G16</f>
        <v>0</v>
      </c>
      <c r="G30" s="608">
        <f>'Baseline data (from input)'!C16*'Baseline data (from input)'!H16</f>
        <v>0</v>
      </c>
      <c r="H30" s="608">
        <f>'Baseline data (from input)'!H16*'Baseline data (from input)'!I16</f>
        <v>0</v>
      </c>
      <c r="I30" s="608">
        <f>'Baseline data (from input)'!C16*'Baseline data (from input)'!J16</f>
        <v>1879.5235371594374</v>
      </c>
      <c r="J30" s="1059">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646"/>
      <c r="AJ30" s="1646"/>
      <c r="AK30" s="1646"/>
    </row>
    <row r="31" spans="1:171" ht="15" hidden="1" customHeight="1" thickBot="1">
      <c r="A31" s="532">
        <f>'Input data'!A61</f>
        <v>1961</v>
      </c>
      <c r="B31" s="122">
        <f>'Baseline data (from input)'!G17</f>
        <v>0</v>
      </c>
      <c r="C31" s="602">
        <f>'Baseline data (from input)'!C17*'Baseline data (from input)'!D17</f>
        <v>880.67887566399543</v>
      </c>
      <c r="D31" s="608">
        <f>'Baseline data (from input)'!C17*'Baseline data (from input)'!E17</f>
        <v>1177.0093033206733</v>
      </c>
      <c r="E31" s="608">
        <f>'Baseline data (from input)'!C17*'Baseline data (from input)'!F17</f>
        <v>395.03007399467685</v>
      </c>
      <c r="F31" s="608">
        <f>'Baseline data (from input)'!C17*'Baseline data (from input)'!G17</f>
        <v>0</v>
      </c>
      <c r="G31" s="608">
        <f>'Baseline data (from input)'!C17*'Baseline data (from input)'!H17</f>
        <v>0</v>
      </c>
      <c r="H31" s="608">
        <f>'Baseline data (from input)'!H17*'Baseline data (from input)'!I17</f>
        <v>0</v>
      </c>
      <c r="I31" s="608">
        <f>'Baseline data (from input)'!C17*'Baseline data (from input)'!J17</f>
        <v>1974.4749234266544</v>
      </c>
      <c r="J31" s="1059">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646"/>
      <c r="AJ31" s="1646"/>
      <c r="AK31" s="1646"/>
    </row>
    <row r="32" spans="1:171" ht="15" hidden="1" customHeight="1" thickBot="1">
      <c r="A32" s="532">
        <f>'Input data'!A62</f>
        <v>1962</v>
      </c>
      <c r="B32" s="122">
        <f>'Baseline data (from input)'!G18</f>
        <v>0</v>
      </c>
      <c r="C32" s="602">
        <f>'Baseline data (from input)'!C18*'Baseline data (from input)'!D18</f>
        <v>904.41180745813881</v>
      </c>
      <c r="D32" s="608">
        <f>'Baseline data (from input)'!C18*'Baseline data (from input)'!E18</f>
        <v>1208.7278812140294</v>
      </c>
      <c r="E32" s="608">
        <f>'Baseline data (from input)'!C18*'Baseline data (from input)'!F18</f>
        <v>405.67552270682239</v>
      </c>
      <c r="F32" s="608">
        <f>'Baseline data (from input)'!C18*'Baseline data (from input)'!G18</f>
        <v>0</v>
      </c>
      <c r="G32" s="608">
        <f>'Baseline data (from input)'!C18*'Baseline data (from input)'!H18</f>
        <v>0</v>
      </c>
      <c r="H32" s="608">
        <f>'Baseline data (from input)'!H18*'Baseline data (from input)'!I18</f>
        <v>0</v>
      </c>
      <c r="I32" s="608">
        <f>'Baseline data (from input)'!C18*'Baseline data (from input)'!J18</f>
        <v>2027.6839647490101</v>
      </c>
      <c r="J32" s="1059">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646"/>
      <c r="AJ32" s="1646"/>
      <c r="AK32" s="1646"/>
    </row>
    <row r="33" spans="1:37" ht="15" hidden="1" customHeight="1" thickBot="1">
      <c r="A33" s="532">
        <f>'Input data'!A63</f>
        <v>1963</v>
      </c>
      <c r="B33" s="122">
        <f>'Baseline data (from input)'!G19</f>
        <v>0</v>
      </c>
      <c r="C33" s="602">
        <f>'Baseline data (from input)'!C19*'Baseline data (from input)'!D19</f>
        <v>928.14473925228197</v>
      </c>
      <c r="D33" s="608">
        <f>'Baseline data (from input)'!C19*'Baseline data (from input)'!E19</f>
        <v>1240.4464591073852</v>
      </c>
      <c r="E33" s="608">
        <f>'Baseline data (from input)'!C19*'Baseline data (from input)'!F19</f>
        <v>416.32097141896787</v>
      </c>
      <c r="F33" s="608">
        <f>'Baseline data (from input)'!C19*'Baseline data (from input)'!G19</f>
        <v>0</v>
      </c>
      <c r="G33" s="608">
        <f>'Baseline data (from input)'!C19*'Baseline data (from input)'!H19</f>
        <v>0</v>
      </c>
      <c r="H33" s="608">
        <f>'Baseline data (from input)'!H19*'Baseline data (from input)'!I19</f>
        <v>0</v>
      </c>
      <c r="I33" s="608">
        <f>'Baseline data (from input)'!C19*'Baseline data (from input)'!J19</f>
        <v>2080.8930060713656</v>
      </c>
      <c r="J33" s="1059">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646"/>
      <c r="AJ33" s="1646"/>
      <c r="AK33" s="1646"/>
    </row>
    <row r="34" spans="1:37" ht="15" hidden="1" customHeight="1" thickBot="1">
      <c r="A34" s="532">
        <f>'Input data'!A64</f>
        <v>1964</v>
      </c>
      <c r="B34" s="122">
        <f>'Baseline data (from input)'!G20</f>
        <v>0</v>
      </c>
      <c r="C34" s="602">
        <f>'Baseline data (from input)'!C20*'Baseline data (from input)'!D20</f>
        <v>951.87767104642512</v>
      </c>
      <c r="D34" s="608">
        <f>'Baseline data (from input)'!C20*'Baseline data (from input)'!E20</f>
        <v>1272.1650370007412</v>
      </c>
      <c r="E34" s="608">
        <f>'Baseline data (from input)'!C20*'Baseline data (from input)'!F20</f>
        <v>426.96642013111335</v>
      </c>
      <c r="F34" s="608">
        <f>'Baseline data (from input)'!C20*'Baseline data (from input)'!G20</f>
        <v>0</v>
      </c>
      <c r="G34" s="608">
        <f>'Baseline data (from input)'!C20*'Baseline data (from input)'!H20</f>
        <v>0</v>
      </c>
      <c r="H34" s="608">
        <f>'Baseline data (from input)'!H20*'Baseline data (from input)'!I20</f>
        <v>0</v>
      </c>
      <c r="I34" s="608">
        <f>'Baseline data (from input)'!C20*'Baseline data (from input)'!J20</f>
        <v>2134.1020473937206</v>
      </c>
      <c r="J34" s="1059">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646"/>
      <c r="AJ34" s="1646"/>
      <c r="AK34" s="1646"/>
    </row>
    <row r="35" spans="1:37" ht="15" hidden="1" customHeight="1" thickBot="1">
      <c r="A35" s="532">
        <f>'Input data'!A65</f>
        <v>1965</v>
      </c>
      <c r="B35" s="122">
        <f>'Baseline data (from input)'!G21</f>
        <v>0</v>
      </c>
      <c r="C35" s="602">
        <f>'Baseline data (from input)'!C21*'Baseline data (from input)'!D21</f>
        <v>975.61060284056839</v>
      </c>
      <c r="D35" s="608">
        <f>'Baseline data (from input)'!C21*'Baseline data (from input)'!E21</f>
        <v>1303.883614894097</v>
      </c>
      <c r="E35" s="608">
        <f>'Baseline data (from input)'!C21*'Baseline data (from input)'!F21</f>
        <v>437.61186884325883</v>
      </c>
      <c r="F35" s="608">
        <f>'Baseline data (from input)'!C21*'Baseline data (from input)'!G21</f>
        <v>0</v>
      </c>
      <c r="G35" s="608">
        <f>'Baseline data (from input)'!C21*'Baseline data (from input)'!H21</f>
        <v>0</v>
      </c>
      <c r="H35" s="608">
        <f>'Baseline data (from input)'!H21*'Baseline data (from input)'!I21</f>
        <v>0</v>
      </c>
      <c r="I35" s="608">
        <f>'Baseline data (from input)'!C21*'Baseline data (from input)'!J21</f>
        <v>2187.311088716076</v>
      </c>
      <c r="J35" s="1059">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646"/>
      <c r="AJ35" s="1646"/>
      <c r="AK35" s="1646"/>
    </row>
    <row r="36" spans="1:37" ht="15" hidden="1" customHeight="1" thickBot="1">
      <c r="A36" s="532">
        <f>'Input data'!A66</f>
        <v>1966</v>
      </c>
      <c r="B36" s="122">
        <f>'Baseline data (from input)'!G22</f>
        <v>0</v>
      </c>
      <c r="C36" s="602">
        <f>'Baseline data (from input)'!C22*'Baseline data (from input)'!D22</f>
        <v>1006.2662508568224</v>
      </c>
      <c r="D36" s="608">
        <f>'Baseline data (from input)'!C22*'Baseline data (from input)'!E22</f>
        <v>1344.8542614163616</v>
      </c>
      <c r="E36" s="608">
        <f>'Baseline data (from input)'!C22*'Baseline data (from input)'!F22</f>
        <v>451.36251421338335</v>
      </c>
      <c r="F36" s="608">
        <f>'Baseline data (from input)'!C22*'Baseline data (from input)'!G22</f>
        <v>0</v>
      </c>
      <c r="G36" s="608">
        <f>'Baseline data (from input)'!C22*'Baseline data (from input)'!H22</f>
        <v>0</v>
      </c>
      <c r="H36" s="608">
        <f>'Baseline data (from input)'!H22*'Baseline data (from input)'!I22</f>
        <v>0</v>
      </c>
      <c r="I36" s="608">
        <f>'Baseline data (from input)'!C22*'Baseline data (from input)'!J22</f>
        <v>2256.0408038734327</v>
      </c>
      <c r="J36" s="1059">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646"/>
      <c r="AJ36" s="1646"/>
      <c r="AK36" s="1646"/>
    </row>
    <row r="37" spans="1:37" ht="15" hidden="1" customHeight="1" thickBot="1">
      <c r="A37" s="532">
        <f>'Input data'!A67</f>
        <v>1967</v>
      </c>
      <c r="B37" s="122">
        <f>'Baseline data (from input)'!G23</f>
        <v>0</v>
      </c>
      <c r="C37" s="602">
        <f>'Baseline data (from input)'!C23*'Baseline data (from input)'!D23</f>
        <v>1037.2458250013872</v>
      </c>
      <c r="D37" s="608">
        <f>'Baseline data (from input)'!C23*'Baseline data (from input)'!E23</f>
        <v>1386.2578285833081</v>
      </c>
      <c r="E37" s="608">
        <f>'Baseline data (from input)'!C23*'Baseline data (from input)'!F23</f>
        <v>465.25845722373901</v>
      </c>
      <c r="F37" s="608">
        <f>'Baseline data (from input)'!C23*'Baseline data (from input)'!G23</f>
        <v>0</v>
      </c>
      <c r="G37" s="608">
        <f>'Baseline data (from input)'!C23*'Baseline data (from input)'!H23</f>
        <v>0</v>
      </c>
      <c r="H37" s="608">
        <f>'Baseline data (from input)'!H23*'Baseline data (from input)'!I23</f>
        <v>0</v>
      </c>
      <c r="I37" s="608">
        <f>'Baseline data (from input)'!C23*'Baseline data (from input)'!J23</f>
        <v>2325.4967587931656</v>
      </c>
      <c r="J37" s="1059">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646"/>
      <c r="AJ37" s="1646"/>
      <c r="AK37" s="1646"/>
    </row>
    <row r="38" spans="1:37" ht="15" hidden="1" customHeight="1" thickBot="1">
      <c r="A38" s="532">
        <f>'Input data'!A68</f>
        <v>1968</v>
      </c>
      <c r="B38" s="122">
        <f>'Baseline data (from input)'!G24</f>
        <v>0</v>
      </c>
      <c r="C38" s="602">
        <f>'Baseline data (from input)'!C24*'Baseline data (from input)'!D24</f>
        <v>1068.4508483788513</v>
      </c>
      <c r="D38" s="608">
        <f>'Baseline data (from input)'!C24*'Baseline data (from input)'!E24</f>
        <v>1427.962704038533</v>
      </c>
      <c r="E38" s="608">
        <f>'Baseline data (from input)'!C24*'Baseline data (from input)'!F24</f>
        <v>479.25552588796842</v>
      </c>
      <c r="F38" s="608">
        <f>'Baseline data (from input)'!C24*'Baseline data (from input)'!G24</f>
        <v>0</v>
      </c>
      <c r="G38" s="608">
        <f>'Baseline data (from input)'!C24*'Baseline data (from input)'!H24</f>
        <v>0</v>
      </c>
      <c r="H38" s="608">
        <f>'Baseline data (from input)'!H24*'Baseline data (from input)'!I24</f>
        <v>0</v>
      </c>
      <c r="I38" s="608">
        <f>'Baseline data (from input)'!C24*'Baseline data (from input)'!J24</f>
        <v>2395.4581690714485</v>
      </c>
      <c r="J38" s="1059">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646"/>
      <c r="AJ38" s="1646"/>
      <c r="AK38" s="1646"/>
    </row>
    <row r="39" spans="1:37" ht="15" hidden="1" customHeight="1" thickBot="1">
      <c r="A39" s="532">
        <f>'Input data'!A69</f>
        <v>1969</v>
      </c>
      <c r="B39" s="122">
        <f>'Baseline data (from input)'!G25</f>
        <v>0</v>
      </c>
      <c r="C39" s="602">
        <f>'Baseline data (from input)'!C25*'Baseline data (from input)'!D25</f>
        <v>1099.8813209892141</v>
      </c>
      <c r="D39" s="608">
        <f>'Baseline data (from input)'!C25*'Baseline data (from input)'!E25</f>
        <v>1469.9688877820354</v>
      </c>
      <c r="E39" s="608">
        <f>'Baseline data (from input)'!C25*'Baseline data (from input)'!F25</f>
        <v>493.35372020607122</v>
      </c>
      <c r="F39" s="608">
        <f>'Baseline data (from input)'!C25*'Baseline data (from input)'!G25</f>
        <v>0</v>
      </c>
      <c r="G39" s="608">
        <f>'Baseline data (from input)'!C25*'Baseline data (from input)'!H25</f>
        <v>0</v>
      </c>
      <c r="H39" s="608">
        <f>'Baseline data (from input)'!H25*'Baseline data (from input)'!I25</f>
        <v>0</v>
      </c>
      <c r="I39" s="608">
        <f>'Baseline data (from input)'!C25*'Baseline data (from input)'!J25</f>
        <v>2465.9250347082793</v>
      </c>
      <c r="J39" s="1059">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646"/>
      <c r="AJ39" s="1646"/>
      <c r="AK39" s="1646"/>
    </row>
    <row r="40" spans="1:37" ht="15" hidden="1" customHeight="1" thickBot="1">
      <c r="A40" s="532">
        <f>'Input data'!A70</f>
        <v>1970</v>
      </c>
      <c r="B40" s="122">
        <f>'Baseline data (from input)'!G26</f>
        <v>0</v>
      </c>
      <c r="C40" s="602">
        <f>'Baseline data (from input)'!C26*'Baseline data (from input)'!D26</f>
        <v>1131.5372428324765</v>
      </c>
      <c r="D40" s="608">
        <f>'Baseline data (from input)'!C26*'Baseline data (from input)'!E26</f>
        <v>1512.2763798138158</v>
      </c>
      <c r="E40" s="608">
        <f>'Baseline data (from input)'!C26*'Baseline data (from input)'!F26</f>
        <v>507.55304017804781</v>
      </c>
      <c r="F40" s="608">
        <f>'Baseline data (from input)'!C26*'Baseline data (from input)'!G26</f>
        <v>0</v>
      </c>
      <c r="G40" s="608">
        <f>'Baseline data (from input)'!C26*'Baseline data (from input)'!H26</f>
        <v>0</v>
      </c>
      <c r="H40" s="608">
        <f>'Baseline data (from input)'!H26*'Baseline data (from input)'!I26</f>
        <v>0</v>
      </c>
      <c r="I40" s="608">
        <f>'Baseline data (from input)'!C26*'Baseline data (from input)'!J26</f>
        <v>2536.8973557036593</v>
      </c>
      <c r="J40" s="1059">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646"/>
      <c r="AJ40" s="1646"/>
      <c r="AK40" s="1646"/>
    </row>
    <row r="41" spans="1:37" ht="15" hidden="1" customHeight="1" thickBot="1">
      <c r="A41" s="532">
        <f>'Input data'!A71</f>
        <v>1971</v>
      </c>
      <c r="B41" s="122">
        <f>'Baseline data (from input)'!G27</f>
        <v>0</v>
      </c>
      <c r="C41" s="602">
        <f>'Baseline data (from input)'!C27*'Baseline data (from input)'!D27</f>
        <v>2367.8455213702891</v>
      </c>
      <c r="D41" s="608">
        <f>'Baseline data (from input)'!C27*'Baseline data (from input)'!E27</f>
        <v>3164.5771057898437</v>
      </c>
      <c r="E41" s="608">
        <f>'Baseline data (from input)'!C27*'Baseline data (from input)'!F27</f>
        <v>1062.1013145224349</v>
      </c>
      <c r="F41" s="608">
        <f>'Baseline data (from input)'!C27*'Baseline data (from input)'!G27</f>
        <v>0</v>
      </c>
      <c r="G41" s="608">
        <f>'Baseline data (from input)'!C27*'Baseline data (from input)'!H27</f>
        <v>0</v>
      </c>
      <c r="H41" s="608">
        <f>'Baseline data (from input)'!H27*'Baseline data (from input)'!I27</f>
        <v>0</v>
      </c>
      <c r="I41" s="608">
        <f>'Baseline data (from input)'!C27*'Baseline data (from input)'!J27</f>
        <v>5308.6905269174331</v>
      </c>
      <c r="J41" s="1059">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646"/>
      <c r="AJ41" s="1646"/>
      <c r="AK41" s="1646"/>
    </row>
    <row r="42" spans="1:37" ht="15" hidden="1" customHeight="1" thickBot="1">
      <c r="A42" s="532">
        <f>'Input data'!A72</f>
        <v>1972</v>
      </c>
      <c r="B42" s="122">
        <f>'Baseline data (from input)'!G28</f>
        <v>0</v>
      </c>
      <c r="C42" s="602">
        <f>'Baseline data (from input)'!C28*'Baseline data (from input)'!D28</f>
        <v>2422.7411524294002</v>
      </c>
      <c r="D42" s="608">
        <f>'Baseline data (from input)'!C28*'Baseline data (from input)'!E28</f>
        <v>3237.9439938277992</v>
      </c>
      <c r="E42" s="608">
        <f>'Baseline data (from input)'!C28*'Baseline data (from input)'!F28</f>
        <v>1086.7248473429709</v>
      </c>
      <c r="F42" s="608">
        <f>'Baseline data (from input)'!C28*'Baseline data (from input)'!G28</f>
        <v>0</v>
      </c>
      <c r="G42" s="608">
        <f>'Baseline data (from input)'!C28*'Baseline data (from input)'!H28</f>
        <v>0</v>
      </c>
      <c r="H42" s="608">
        <f>'Baseline data (from input)'!H28*'Baseline data (from input)'!I28</f>
        <v>0</v>
      </c>
      <c r="I42" s="608">
        <f>'Baseline data (from input)'!C28*'Baseline data (from input)'!J28</f>
        <v>5431.7660881998299</v>
      </c>
      <c r="J42" s="1059">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646"/>
      <c r="AJ42" s="1646"/>
      <c r="AK42" s="1646"/>
    </row>
    <row r="43" spans="1:37" ht="15" hidden="1" customHeight="1" thickBot="1">
      <c r="A43" s="532">
        <f>'Input data'!A73</f>
        <v>1973</v>
      </c>
      <c r="B43" s="122">
        <f>'Baseline data (from input)'!G29</f>
        <v>0</v>
      </c>
      <c r="C43" s="602">
        <f>'Baseline data (from input)'!C29*'Baseline data (from input)'!D29</f>
        <v>2478.2653594166691</v>
      </c>
      <c r="D43" s="608">
        <f>'Baseline data (from input)'!C29*'Baseline data (from input)'!E29</f>
        <v>3312.1509607364187</v>
      </c>
      <c r="E43" s="608">
        <f>'Baseline data (from input)'!C29*'Baseline data (from input)'!F29</f>
        <v>1111.630329012597</v>
      </c>
      <c r="F43" s="608">
        <f>'Baseline data (from input)'!C29*'Baseline data (from input)'!G29</f>
        <v>0</v>
      </c>
      <c r="G43" s="608">
        <f>'Baseline data (from input)'!C29*'Baseline data (from input)'!H29</f>
        <v>0</v>
      </c>
      <c r="H43" s="608">
        <f>'Baseline data (from input)'!H29*'Baseline data (from input)'!I29</f>
        <v>0</v>
      </c>
      <c r="I43" s="608">
        <f>'Baseline data (from input)'!C29*'Baseline data (from input)'!J29</f>
        <v>5556.2509116343144</v>
      </c>
      <c r="J43" s="1059">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646"/>
      <c r="AJ43" s="1646"/>
      <c r="AK43" s="1646"/>
    </row>
    <row r="44" spans="1:37" ht="15" hidden="1" customHeight="1" thickBot="1">
      <c r="A44" s="532">
        <f>'Input data'!A74</f>
        <v>1974</v>
      </c>
      <c r="B44" s="122">
        <f>'Baseline data (from input)'!G30</f>
        <v>0</v>
      </c>
      <c r="C44" s="602">
        <f>'Baseline data (from input)'!C30*'Baseline data (from input)'!D30</f>
        <v>2534.2086170227103</v>
      </c>
      <c r="D44" s="608">
        <f>'Baseline data (from input)'!C30*'Baseline data (from input)'!E30</f>
        <v>3386.9179802254812</v>
      </c>
      <c r="E44" s="608">
        <f>'Baseline data (from input)'!C30*'Baseline data (from input)'!F30</f>
        <v>1136.7237765816167</v>
      </c>
      <c r="F44" s="608">
        <f>'Baseline data (from input)'!C30*'Baseline data (from input)'!G30</f>
        <v>0</v>
      </c>
      <c r="G44" s="608">
        <f>'Baseline data (from input)'!C30*'Baseline data (from input)'!H30</f>
        <v>0</v>
      </c>
      <c r="H44" s="608">
        <f>'Baseline data (from input)'!H30*'Baseline data (from input)'!I30</f>
        <v>0</v>
      </c>
      <c r="I44" s="608">
        <f>'Baseline data (from input)'!C30*'Baseline data (from input)'!J30</f>
        <v>5681.6752431701934</v>
      </c>
      <c r="J44" s="1059">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646"/>
      <c r="AJ44" s="1646"/>
      <c r="AK44" s="1646"/>
    </row>
    <row r="45" spans="1:37" ht="15" hidden="1" customHeight="1" thickBot="1">
      <c r="A45" s="532">
        <f>'Input data'!A75</f>
        <v>1975</v>
      </c>
      <c r="B45" s="122">
        <f>'Baseline data (from input)'!G31</f>
        <v>0</v>
      </c>
      <c r="C45" s="602">
        <f>'Baseline data (from input)'!C31*'Baseline data (from input)'!D31</f>
        <v>2590.5709252475226</v>
      </c>
      <c r="D45" s="608">
        <f>'Baseline data (from input)'!C31*'Baseline data (from input)'!E31</f>
        <v>3462.2450522949853</v>
      </c>
      <c r="E45" s="608">
        <f>'Baseline data (from input)'!C31*'Baseline data (from input)'!F31</f>
        <v>1162.0051900500296</v>
      </c>
      <c r="F45" s="608">
        <f>'Baseline data (from input)'!C31*'Baseline data (from input)'!G31</f>
        <v>0</v>
      </c>
      <c r="G45" s="608">
        <f>'Baseline data (from input)'!C31*'Baseline data (from input)'!H31</f>
        <v>0</v>
      </c>
      <c r="H45" s="608">
        <f>'Baseline data (from input)'!H31*'Baseline data (from input)'!I31</f>
        <v>0</v>
      </c>
      <c r="I45" s="608">
        <f>'Baseline data (from input)'!C31*'Baseline data (from input)'!J31</f>
        <v>5808.0390828074633</v>
      </c>
      <c r="J45" s="1059">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646"/>
      <c r="AJ45" s="1646"/>
      <c r="AK45" s="1646"/>
    </row>
    <row r="46" spans="1:37" ht="15" hidden="1" customHeight="1" thickBot="1">
      <c r="A46" s="532">
        <f>'Input data'!A76</f>
        <v>1976</v>
      </c>
      <c r="B46" s="122">
        <f>'Baseline data (from input)'!G32</f>
        <v>0</v>
      </c>
      <c r="C46" s="602">
        <f>'Baseline data (from input)'!C32*'Baseline data (from input)'!D32</f>
        <v>2647.1427587817211</v>
      </c>
      <c r="D46" s="608">
        <f>'Baseline data (from input)'!C32*'Baseline data (from input)'!E32</f>
        <v>3537.8521506547108</v>
      </c>
      <c r="E46" s="608">
        <f>'Baseline data (from input)'!C32*'Baseline data (from input)'!F32</f>
        <v>1187.3805864681392</v>
      </c>
      <c r="F46" s="608">
        <f>'Baseline data (from input)'!C32*'Baseline data (from input)'!G32</f>
        <v>0</v>
      </c>
      <c r="G46" s="608">
        <f>'Baseline data (from input)'!C32*'Baseline data (from input)'!H32</f>
        <v>0</v>
      </c>
      <c r="H46" s="608">
        <f>'Baseline data (from input)'!H32*'Baseline data (from input)'!I32</f>
        <v>0</v>
      </c>
      <c r="I46" s="608">
        <f>'Baseline data (from input)'!C32*'Baseline data (from input)'!J32</f>
        <v>5934.872676495429</v>
      </c>
      <c r="J46" s="1059">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646"/>
      <c r="AJ46" s="1646"/>
      <c r="AK46" s="1646"/>
    </row>
    <row r="47" spans="1:37" ht="15" hidden="1" customHeight="1" thickBot="1">
      <c r="A47" s="532">
        <f>'Input data'!A77</f>
        <v>1977</v>
      </c>
      <c r="B47" s="122">
        <f>'Baseline data (from input)'!G33</f>
        <v>0</v>
      </c>
      <c r="C47" s="602">
        <f>'Baseline data (from input)'!C33*'Baseline data (from input)'!D33</f>
        <v>2703.5050670065339</v>
      </c>
      <c r="D47" s="608">
        <f>'Baseline data (from input)'!C33*'Baseline data (from input)'!E33</f>
        <v>3613.1792227242149</v>
      </c>
      <c r="E47" s="608">
        <f>'Baseline data (from input)'!C33*'Baseline data (from input)'!F33</f>
        <v>1212.6619999365523</v>
      </c>
      <c r="F47" s="608">
        <f>'Baseline data (from input)'!C33*'Baseline data (from input)'!G33</f>
        <v>0</v>
      </c>
      <c r="G47" s="608">
        <f>'Baseline data (from input)'!C33*'Baseline data (from input)'!H33</f>
        <v>0</v>
      </c>
      <c r="H47" s="608">
        <f>'Baseline data (from input)'!H33*'Baseline data (from input)'!I33</f>
        <v>0</v>
      </c>
      <c r="I47" s="608">
        <f>'Baseline data (from input)'!C33*'Baseline data (from input)'!J33</f>
        <v>6061.2365161326998</v>
      </c>
      <c r="J47" s="1059">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646"/>
      <c r="AJ47" s="1646"/>
      <c r="AK47" s="1646"/>
    </row>
    <row r="48" spans="1:37" ht="15" hidden="1" customHeight="1" thickBot="1">
      <c r="A48" s="532">
        <f>'Input data'!A78</f>
        <v>1978</v>
      </c>
      <c r="B48" s="122">
        <f>'Baseline data (from input)'!G34</f>
        <v>0</v>
      </c>
      <c r="C48" s="602">
        <f>'Baseline data (from input)'!C34*'Baseline data (from input)'!D34</f>
        <v>2761.0197644329687</v>
      </c>
      <c r="D48" s="608">
        <f>'Baseline data (from input)'!C34*'Baseline data (from input)'!E34</f>
        <v>3690.0464393899356</v>
      </c>
      <c r="E48" s="608">
        <f>'Baseline data (from input)'!C34*'Baseline data (from input)'!F34</f>
        <v>1238.4603196282969</v>
      </c>
      <c r="F48" s="608">
        <f>'Baseline data (from input)'!C34*'Baseline data (from input)'!G34</f>
        <v>0</v>
      </c>
      <c r="G48" s="608">
        <f>'Baseline data (from input)'!C34*'Baseline data (from input)'!H34</f>
        <v>0</v>
      </c>
      <c r="H48" s="608">
        <f>'Baseline data (from input)'!H34*'Baseline data (from input)'!I34</f>
        <v>0</v>
      </c>
      <c r="I48" s="608">
        <f>'Baseline data (from input)'!C34*'Baseline data (from input)'!J34</f>
        <v>6190.1840030487974</v>
      </c>
      <c r="J48" s="1059">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646"/>
      <c r="AJ48" s="1646"/>
      <c r="AK48" s="1646"/>
    </row>
    <row r="49" spans="1:37" ht="15" hidden="1" customHeight="1" thickBot="1">
      <c r="A49" s="532">
        <f>'Input data'!A79</f>
        <v>1979</v>
      </c>
      <c r="B49" s="122">
        <f>'Baseline data (from input)'!G35</f>
        <v>0</v>
      </c>
      <c r="C49" s="602">
        <f>'Baseline data (from input)'!C35*'Baseline data (from input)'!D35</f>
        <v>2822.4106800830436</v>
      </c>
      <c r="D49" s="608">
        <f>'Baseline data (from input)'!C35*'Baseline data (from input)'!E35</f>
        <v>3772.0941424247485</v>
      </c>
      <c r="E49" s="608">
        <f>'Baseline data (from input)'!C35*'Baseline data (from input)'!F35</f>
        <v>1265.9973238894308</v>
      </c>
      <c r="F49" s="608">
        <f>'Baseline data (from input)'!C35*'Baseline data (from input)'!G35</f>
        <v>0</v>
      </c>
      <c r="G49" s="608">
        <f>'Baseline data (from input)'!C35*'Baseline data (from input)'!H35</f>
        <v>0</v>
      </c>
      <c r="H49" s="608">
        <f>'Baseline data (from input)'!H35*'Baseline data (from input)'!I35</f>
        <v>0</v>
      </c>
      <c r="I49" s="608">
        <f>'Baseline data (from input)'!C35*'Baseline data (from input)'!J35</f>
        <v>6327.8219399027757</v>
      </c>
      <c r="J49" s="1059">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646"/>
      <c r="AJ49" s="1646"/>
      <c r="AK49" s="1646"/>
    </row>
    <row r="50" spans="1:37" ht="15" hidden="1" customHeight="1" thickBot="1">
      <c r="A50" s="532">
        <f>'Input data'!A80</f>
        <v>1980</v>
      </c>
      <c r="B50" s="122">
        <f>'Baseline data (from input)'!G36</f>
        <v>0</v>
      </c>
      <c r="C50" s="602">
        <f>'Baseline data (from input)'!C36*'Baseline data (from input)'!D36</f>
        <v>2888.9349658130736</v>
      </c>
      <c r="D50" s="608">
        <f>'Baseline data (from input)'!C36*'Baseline data (from input)'!E36</f>
        <v>3861.0024895699821</v>
      </c>
      <c r="E50" s="608">
        <f>'Baseline data (from input)'!C36*'Baseline data (from input)'!F36</f>
        <v>1295.836910418134</v>
      </c>
      <c r="F50" s="608">
        <f>'Baseline data (from input)'!C36*'Baseline data (from input)'!G36</f>
        <v>0</v>
      </c>
      <c r="G50" s="608">
        <f>'Baseline data (from input)'!C36*'Baseline data (from input)'!H36</f>
        <v>0</v>
      </c>
      <c r="H50" s="608">
        <f>'Baseline data (from input)'!H36*'Baseline data (from input)'!I36</f>
        <v>0</v>
      </c>
      <c r="I50" s="608">
        <f>'Baseline data (from input)'!C36*'Baseline data (from input)'!J36</f>
        <v>6476.9688509988118</v>
      </c>
      <c r="J50" s="1059">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646"/>
      <c r="AJ50" s="1646"/>
      <c r="AK50" s="1646"/>
    </row>
    <row r="51" spans="1:37" ht="15" hidden="1" customHeight="1" thickBot="1">
      <c r="A51" s="532">
        <f>'Input data'!A81</f>
        <v>1981</v>
      </c>
      <c r="B51" s="122">
        <f>'Baseline data (from input)'!G37</f>
        <v>0</v>
      </c>
      <c r="C51" s="602">
        <f>'Baseline data (from input)'!C37*'Baseline data (from input)'!D37</f>
        <v>2960.0688083495934</v>
      </c>
      <c r="D51" s="608">
        <f>'Baseline data (from input)'!C37*'Baseline data (from input)'!E37</f>
        <v>3956.0714151000807</v>
      </c>
      <c r="E51" s="608">
        <f>'Baseline data (from input)'!C37*'Baseline data (from input)'!F37</f>
        <v>1327.7441218401643</v>
      </c>
      <c r="F51" s="608">
        <f>'Baseline data (from input)'!C37*'Baseline data (from input)'!G37</f>
        <v>0</v>
      </c>
      <c r="G51" s="608">
        <f>'Baseline data (from input)'!C37*'Baseline data (from input)'!H37</f>
        <v>0</v>
      </c>
      <c r="H51" s="608">
        <f>'Baseline data (from input)'!H37*'Baseline data (from input)'!I37</f>
        <v>0</v>
      </c>
      <c r="I51" s="608">
        <f>'Baseline data (from input)'!C37*'Baseline data (from input)'!J37</f>
        <v>6636.450351210161</v>
      </c>
      <c r="J51" s="1059">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646"/>
      <c r="AJ51" s="1646"/>
      <c r="AK51" s="1646"/>
    </row>
    <row r="52" spans="1:37" ht="15" hidden="1" customHeight="1" thickBot="1">
      <c r="A52" s="532">
        <f>'Input data'!A82</f>
        <v>1982</v>
      </c>
      <c r="B52" s="122">
        <f>'Baseline data (from input)'!G38</f>
        <v>0</v>
      </c>
      <c r="C52" s="602">
        <f>'Baseline data (from input)'!C38*'Baseline data (from input)'!D38</f>
        <v>3035.1836317644465</v>
      </c>
      <c r="D52" s="608">
        <f>'Baseline data (from input)'!C38*'Baseline data (from input)'!E38</f>
        <v>4056.4608401443838</v>
      </c>
      <c r="E52" s="608">
        <f>'Baseline data (from input)'!C38*'Baseline data (from input)'!F38</f>
        <v>1361.4370093064324</v>
      </c>
      <c r="F52" s="608">
        <f>'Baseline data (from input)'!C38*'Baseline data (from input)'!G38</f>
        <v>0</v>
      </c>
      <c r="G52" s="608">
        <f>'Baseline data (from input)'!C38*'Baseline data (from input)'!H38</f>
        <v>0</v>
      </c>
      <c r="H52" s="608">
        <f>'Baseline data (from input)'!H38*'Baseline data (from input)'!I38</f>
        <v>0</v>
      </c>
      <c r="I52" s="608">
        <f>'Baseline data (from input)'!C38*'Baseline data (from input)'!J38</f>
        <v>6804.8571783847392</v>
      </c>
      <c r="J52" s="1059">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646"/>
      <c r="AJ52" s="1646"/>
      <c r="AK52" s="1646"/>
    </row>
    <row r="53" spans="1:37" ht="15" hidden="1" customHeight="1" thickBot="1">
      <c r="A53" s="532">
        <f>'Input data'!A83</f>
        <v>1983</v>
      </c>
      <c r="B53" s="122">
        <f>'Baseline data (from input)'!G39</f>
        <v>0</v>
      </c>
      <c r="C53" s="602">
        <f>'Baseline data (from input)'!C39*'Baseline data (from input)'!D39</f>
        <v>3113.9651480935522</v>
      </c>
      <c r="D53" s="608">
        <f>'Baseline data (from input)'!C39*'Baseline data (from input)'!E39</f>
        <v>4161.7507252675568</v>
      </c>
      <c r="E53" s="608">
        <f>'Baseline data (from input)'!C39*'Baseline data (from input)'!F39</f>
        <v>1396.7745983923924</v>
      </c>
      <c r="F53" s="608">
        <f>'Baseline data (from input)'!C39*'Baseline data (from input)'!G39</f>
        <v>0</v>
      </c>
      <c r="G53" s="608">
        <f>'Baseline data (from input)'!C39*'Baseline data (from input)'!H39</f>
        <v>0</v>
      </c>
      <c r="H53" s="608">
        <f>'Baseline data (from input)'!H39*'Baseline data (from input)'!I39</f>
        <v>0</v>
      </c>
      <c r="I53" s="608">
        <f>'Baseline data (from input)'!C39*'Baseline data (from input)'!J39</f>
        <v>6981.4847014464995</v>
      </c>
      <c r="J53" s="1059">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646"/>
      <c r="AJ53" s="1646"/>
      <c r="AK53" s="1646"/>
    </row>
    <row r="54" spans="1:37" ht="15" hidden="1" customHeight="1" thickBot="1">
      <c r="A54" s="532">
        <f>'Input data'!A84</f>
        <v>1984</v>
      </c>
      <c r="B54" s="122">
        <f>'Baseline data (from input)'!G40</f>
        <v>0</v>
      </c>
      <c r="C54" s="602">
        <f>'Baseline data (from input)'!C40*'Baseline data (from input)'!D40</f>
        <v>3195.784781408754</v>
      </c>
      <c r="D54" s="608">
        <f>'Baseline data (from input)'!C40*'Baseline data (from input)'!E40</f>
        <v>4271.1009915989362</v>
      </c>
      <c r="E54" s="608">
        <f>'Baseline data (from input)'!C40*'Baseline data (from input)'!F40</f>
        <v>1433.4749402489545</v>
      </c>
      <c r="F54" s="608">
        <f>'Baseline data (from input)'!C40*'Baseline data (from input)'!G40</f>
        <v>0</v>
      </c>
      <c r="G54" s="608">
        <f>'Baseline data (from input)'!C40*'Baseline data (from input)'!H40</f>
        <v>0</v>
      </c>
      <c r="H54" s="608">
        <f>'Baseline data (from input)'!H40*'Baseline data (from input)'!I40</f>
        <v>0</v>
      </c>
      <c r="I54" s="608">
        <f>'Baseline data (from input)'!C40*'Baseline data (from input)'!J40</f>
        <v>7164.9236582433532</v>
      </c>
      <c r="J54" s="1059">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646"/>
      <c r="AJ54" s="1646"/>
      <c r="AK54" s="1646"/>
    </row>
    <row r="55" spans="1:37" ht="15" hidden="1" customHeight="1" thickBot="1">
      <c r="A55" s="532">
        <f>'Input data'!A85</f>
        <v>1985</v>
      </c>
      <c r="B55" s="122">
        <f>'Baseline data (from input)'!G41</f>
        <v>0</v>
      </c>
      <c r="C55" s="602">
        <f>'Baseline data (from input)'!C41*'Baseline data (from input)'!D41</f>
        <v>3279.9091931272014</v>
      </c>
      <c r="D55" s="608">
        <f>'Baseline data (from input)'!C41*'Baseline data (from input)'!E41</f>
        <v>4383.5315471227514</v>
      </c>
      <c r="E55" s="608">
        <f>'Baseline data (from input)'!C41*'Baseline data (from input)'!F41</f>
        <v>1471.2090945521807</v>
      </c>
      <c r="F55" s="608">
        <f>'Baseline data (from input)'!C41*'Baseline data (from input)'!G41</f>
        <v>0</v>
      </c>
      <c r="G55" s="608">
        <f>'Baseline data (from input)'!C41*'Baseline data (from input)'!H41</f>
        <v>0</v>
      </c>
      <c r="H55" s="608">
        <f>'Baseline data (from input)'!H41*'Baseline data (from input)'!I41</f>
        <v>0</v>
      </c>
      <c r="I55" s="608">
        <f>'Baseline data (from input)'!C41*'Baseline data (from input)'!J41</f>
        <v>7353.5299095978671</v>
      </c>
      <c r="J55" s="1059">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646"/>
      <c r="AJ55" s="1646"/>
      <c r="AK55" s="1646"/>
    </row>
    <row r="56" spans="1:37" ht="15" hidden="1" customHeight="1" thickBot="1">
      <c r="A56" s="532">
        <f>'Input data'!A86</f>
        <v>1986</v>
      </c>
      <c r="B56" s="122">
        <f>'Baseline data (from input)'!G42</f>
        <v>0</v>
      </c>
      <c r="C56" s="602">
        <f>'Baseline data (from input)'!C42*'Baseline data (from input)'!D42</f>
        <v>3365.081231392579</v>
      </c>
      <c r="D56" s="608">
        <f>'Baseline data (from input)'!C42*'Baseline data (from input)'!E42</f>
        <v>4497.3622340976717</v>
      </c>
      <c r="E56" s="608">
        <f>'Baseline data (from input)'!C42*'Baseline data (from input)'!F42</f>
        <v>1509.4131636038906</v>
      </c>
      <c r="F56" s="608">
        <f>'Baseline data (from input)'!C42*'Baseline data (from input)'!G42</f>
        <v>0</v>
      </c>
      <c r="G56" s="608">
        <f>'Baseline data (from input)'!C42*'Baseline data (from input)'!H42</f>
        <v>0</v>
      </c>
      <c r="H56" s="608">
        <f>'Baseline data (from input)'!H42*'Baseline data (from input)'!I42</f>
        <v>0</v>
      </c>
      <c r="I56" s="608">
        <f>'Baseline data (from input)'!C42*'Baseline data (from input)'!J42</f>
        <v>7544.4849312058614</v>
      </c>
      <c r="J56" s="1059">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646"/>
      <c r="AJ56" s="1646"/>
      <c r="AK56" s="1646"/>
    </row>
    <row r="57" spans="1:37" ht="15" hidden="1" customHeight="1" thickBot="1">
      <c r="A57" s="532">
        <f>'Input data'!A87</f>
        <v>1987</v>
      </c>
      <c r="B57" s="122">
        <f>'Baseline data (from input)'!G43</f>
        <v>0</v>
      </c>
      <c r="C57" s="602">
        <f>'Baseline data (from input)'!C43*'Baseline data (from input)'!D43</f>
        <v>3450.1485070032622</v>
      </c>
      <c r="D57" s="608">
        <f>'Baseline data (from input)'!C43*'Baseline data (from input)'!E43</f>
        <v>4611.0529079274811</v>
      </c>
      <c r="E57" s="608">
        <f>'Baseline data (from input)'!C43*'Baseline data (from input)'!F43</f>
        <v>1547.5702411807517</v>
      </c>
      <c r="F57" s="608">
        <f>'Baseline data (from input)'!C43*'Baseline data (from input)'!G43</f>
        <v>0</v>
      </c>
      <c r="G57" s="608">
        <f>'Baseline data (from input)'!C43*'Baseline data (from input)'!H43</f>
        <v>0</v>
      </c>
      <c r="H57" s="608">
        <f>'Baseline data (from input)'!H43*'Baseline data (from input)'!I43</f>
        <v>0</v>
      </c>
      <c r="I57" s="608">
        <f>'Baseline data (from input)'!C43*'Baseline data (from input)'!J43</f>
        <v>7735.2050757885063</v>
      </c>
      <c r="J57" s="1059">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646"/>
      <c r="AJ57" s="1646"/>
      <c r="AK57" s="1646"/>
    </row>
    <row r="58" spans="1:37" ht="15" hidden="1" customHeight="1" thickBot="1">
      <c r="A58" s="532">
        <f>'Input data'!A88</f>
        <v>1988</v>
      </c>
      <c r="B58" s="122">
        <f>'Baseline data (from input)'!G44</f>
        <v>0</v>
      </c>
      <c r="C58" s="602">
        <f>'Baseline data (from input)'!C44*'Baseline data (from input)'!D44</f>
        <v>3533.4348174841662</v>
      </c>
      <c r="D58" s="608">
        <f>'Baseline data (from input)'!C44*'Baseline data (from input)'!E44</f>
        <v>4722.3633582904104</v>
      </c>
      <c r="E58" s="608">
        <f>'Baseline data (from input)'!C44*'Baseline data (from input)'!F44</f>
        <v>1584.928463685191</v>
      </c>
      <c r="F58" s="608">
        <f>'Baseline data (from input)'!C44*'Baseline data (from input)'!G44</f>
        <v>0</v>
      </c>
      <c r="G58" s="608">
        <f>'Baseline data (from input)'!C44*'Baseline data (from input)'!H44</f>
        <v>0</v>
      </c>
      <c r="H58" s="608">
        <f>'Baseline data (from input)'!H44*'Baseline data (from input)'!I44</f>
        <v>0</v>
      </c>
      <c r="I58" s="608">
        <f>'Baseline data (from input)'!C44*'Baseline data (from input)'!J44</f>
        <v>7921.9323109402358</v>
      </c>
      <c r="J58" s="1059">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646"/>
      <c r="AJ58" s="1646"/>
      <c r="AK58" s="1646"/>
    </row>
    <row r="59" spans="1:37" ht="15" hidden="1" customHeight="1" thickBot="1">
      <c r="A59" s="532">
        <f>'Input data'!A89</f>
        <v>1989</v>
      </c>
      <c r="B59" s="122">
        <f>'Baseline data (from input)'!G45</f>
        <v>0</v>
      </c>
      <c r="C59" s="602">
        <f>'Baseline data (from input)'!C45*'Baseline data (from input)'!D45</f>
        <v>3613.3687230148944</v>
      </c>
      <c r="D59" s="608">
        <f>'Baseline data (from input)'!C45*'Baseline data (from input)'!E45</f>
        <v>4829.1933880097995</v>
      </c>
      <c r="E59" s="608">
        <f>'Baseline data (from input)'!C45*'Baseline data (from input)'!F45</f>
        <v>1620.7829589944829</v>
      </c>
      <c r="F59" s="608">
        <f>'Baseline data (from input)'!C45*'Baseline data (from input)'!G45</f>
        <v>0</v>
      </c>
      <c r="G59" s="608">
        <f>'Baseline data (from input)'!C45*'Baseline data (from input)'!H45</f>
        <v>0</v>
      </c>
      <c r="H59" s="608">
        <f>'Baseline data (from input)'!H45*'Baseline data (from input)'!I45</f>
        <v>0</v>
      </c>
      <c r="I59" s="608">
        <f>'Baseline data (from input)'!C45*'Baseline data (from input)'!J45</f>
        <v>8101.1434812808238</v>
      </c>
      <c r="J59" s="1059">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646"/>
      <c r="AJ59" s="1646"/>
      <c r="AK59" s="1646"/>
    </row>
    <row r="60" spans="1:37" ht="15" hidden="1" customHeight="1" thickBot="1">
      <c r="A60" s="532">
        <f>'Input data'!A90</f>
        <v>1990</v>
      </c>
      <c r="B60" s="122">
        <f>'Baseline data (from input)'!G46</f>
        <v>0</v>
      </c>
      <c r="C60" s="602">
        <f>'Baseline data (from input)'!C46*'Baseline data (from input)'!D46</f>
        <v>3687.6454451922036</v>
      </c>
      <c r="D60" s="608">
        <f>'Baseline data (from input)'!C46*'Baseline data (from input)'!E46</f>
        <v>4928.4627078932181</v>
      </c>
      <c r="E60" s="608">
        <f>'Baseline data (from input)'!C46*'Baseline data (from input)'!F46</f>
        <v>1654.099914661964</v>
      </c>
      <c r="F60" s="608">
        <f>'Baseline data (from input)'!C46*'Baseline data (from input)'!G46</f>
        <v>0</v>
      </c>
      <c r="G60" s="608">
        <f>'Baseline data (from input)'!C46*'Baseline data (from input)'!H46</f>
        <v>0</v>
      </c>
      <c r="H60" s="608">
        <f>'Baseline data (from input)'!H46*'Baseline data (from input)'!I46</f>
        <v>0</v>
      </c>
      <c r="I60" s="608">
        <f>'Baseline data (from input)'!C46*'Baseline data (from input)'!J46</f>
        <v>8267.6712922526167</v>
      </c>
      <c r="J60" s="1059">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646"/>
      <c r="AJ60" s="1646"/>
      <c r="AK60" s="1646"/>
    </row>
    <row r="61" spans="1:37" ht="15" hidden="1" customHeight="1" thickBot="1">
      <c r="A61" s="532">
        <f>'Input data'!A91</f>
        <v>1991</v>
      </c>
      <c r="B61" s="122">
        <f>'Baseline data (from input)'!G47</f>
        <v>0</v>
      </c>
      <c r="C61" s="602">
        <f>'Baseline data (from input)'!C47*'Baseline data (from input)'!D47</f>
        <v>3764.4364710821433</v>
      </c>
      <c r="D61" s="608">
        <f>'Baseline data (from input)'!C47*'Baseline data (from input)'!E47</f>
        <v>5031.092343259289</v>
      </c>
      <c r="E61" s="608">
        <f>'Baseline data (from input)'!C47*'Baseline data (from input)'!F47</f>
        <v>1688.5446657258053</v>
      </c>
      <c r="F61" s="608">
        <f>'Baseline data (from input)'!C47*'Baseline data (from input)'!G47</f>
        <v>0</v>
      </c>
      <c r="G61" s="608">
        <f>'Baseline data (from input)'!C47*'Baseline data (from input)'!H47</f>
        <v>0</v>
      </c>
      <c r="H61" s="608">
        <f>'Baseline data (from input)'!H47*'Baseline data (from input)'!I47</f>
        <v>0</v>
      </c>
      <c r="I61" s="608">
        <f>'Baseline data (from input)'!C47*'Baseline data (from input)'!J47</f>
        <v>8439.8361518327638</v>
      </c>
      <c r="J61" s="1059">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646"/>
      <c r="AJ61" s="1646"/>
      <c r="AK61" s="1646"/>
    </row>
    <row r="62" spans="1:37" ht="15" hidden="1" customHeight="1" thickBot="1">
      <c r="A62" s="532">
        <f>'Input data'!A92</f>
        <v>1992</v>
      </c>
      <c r="B62" s="122">
        <f>'Baseline data (from input)'!G48</f>
        <v>0</v>
      </c>
      <c r="C62" s="602">
        <f>'Baseline data (from input)'!C48*'Baseline data (from input)'!D48</f>
        <v>3843.8465633394067</v>
      </c>
      <c r="D62" s="608">
        <f>'Baseline data (from input)'!C48*'Baseline data (from input)'!E48</f>
        <v>5137.2223072531251</v>
      </c>
      <c r="E62" s="608">
        <f>'Baseline data (from input)'!C48*'Baseline data (from input)'!F48</f>
        <v>1724.1642036608553</v>
      </c>
      <c r="F62" s="608">
        <f>'Baseline data (from input)'!C48*'Baseline data (from input)'!G48</f>
        <v>0</v>
      </c>
      <c r="G62" s="608">
        <f>'Baseline data (from input)'!C48*'Baseline data (from input)'!H48</f>
        <v>0</v>
      </c>
      <c r="H62" s="608">
        <f>'Baseline data (from input)'!H48*'Baseline data (from input)'!I48</f>
        <v>0</v>
      </c>
      <c r="I62" s="608">
        <f>'Baseline data (from input)'!C48*'Baseline data (from input)'!J48</f>
        <v>8617.8729370466117</v>
      </c>
      <c r="J62" s="1059">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646"/>
      <c r="AJ62" s="1646"/>
      <c r="AK62" s="1646"/>
    </row>
    <row r="63" spans="1:37" ht="15" hidden="1" customHeight="1" thickBot="1">
      <c r="A63" s="532">
        <f>'Input data'!A93</f>
        <v>1993</v>
      </c>
      <c r="B63" s="122">
        <f>'Baseline data (from input)'!G49</f>
        <v>0</v>
      </c>
      <c r="C63" s="602">
        <f>'Baseline data (from input)'!C49*'Baseline data (from input)'!D49</f>
        <v>3925.8757219639938</v>
      </c>
      <c r="D63" s="608">
        <f>'Baseline data (from input)'!C49*'Baseline data (from input)'!E49</f>
        <v>5246.8525998747264</v>
      </c>
      <c r="E63" s="608">
        <f>'Baseline data (from input)'!C49*'Baseline data (from input)'!F49</f>
        <v>1760.9585284671141</v>
      </c>
      <c r="F63" s="608">
        <f>'Baseline data (from input)'!C49*'Baseline data (from input)'!G49</f>
        <v>0</v>
      </c>
      <c r="G63" s="608">
        <f>'Baseline data (from input)'!C49*'Baseline data (from input)'!H49</f>
        <v>0</v>
      </c>
      <c r="H63" s="608">
        <f>'Baseline data (from input)'!H49*'Baseline data (from input)'!I49</f>
        <v>0</v>
      </c>
      <c r="I63" s="608">
        <f>'Baseline data (from input)'!C49*'Baseline data (from input)'!J49</f>
        <v>8801.7816478941604</v>
      </c>
      <c r="J63" s="1059">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646"/>
      <c r="AJ63" s="1646"/>
      <c r="AK63" s="1646"/>
    </row>
    <row r="64" spans="1:37" ht="15" hidden="1" customHeight="1" thickBot="1">
      <c r="A64" s="532">
        <f>'Input data'!A94</f>
        <v>1994</v>
      </c>
      <c r="B64" s="122">
        <f>'Baseline data (from input)'!G50</f>
        <v>0</v>
      </c>
      <c r="C64" s="602">
        <f>'Baseline data (from input)'!C50*'Baseline data (from input)'!D50</f>
        <v>4010.6287096106003</v>
      </c>
      <c r="D64" s="608">
        <f>'Baseline data (from input)'!C50*'Baseline data (from input)'!E50</f>
        <v>5360.1232342692056</v>
      </c>
      <c r="E64" s="608">
        <f>'Baseline data (from input)'!C50*'Baseline data (from input)'!F50</f>
        <v>1798.974631619431</v>
      </c>
      <c r="F64" s="608">
        <f>'Baseline data (from input)'!C50*'Baseline data (from input)'!G50</f>
        <v>0</v>
      </c>
      <c r="G64" s="608">
        <f>'Baseline data (from input)'!C50*'Baseline data (from input)'!H50</f>
        <v>0</v>
      </c>
      <c r="H64" s="608">
        <f>'Baseline data (from input)'!H50*'Baseline data (from input)'!I50</f>
        <v>0</v>
      </c>
      <c r="I64" s="608">
        <f>'Baseline data (from input)'!C50*'Baseline data (from input)'!J50</f>
        <v>8991.7971614007656</v>
      </c>
      <c r="J64" s="1059">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646"/>
      <c r="AJ64" s="1646"/>
      <c r="AK64" s="1646"/>
    </row>
    <row r="65" spans="1:37" ht="15" hidden="1" customHeight="1" thickBot="1">
      <c r="A65" s="532">
        <f>'Input data'!A95</f>
        <v>1995</v>
      </c>
      <c r="B65" s="122">
        <f>'Baseline data (from input)'!G51</f>
        <v>0</v>
      </c>
      <c r="C65" s="602">
        <f>'Baseline data (from input)'!C51*'Baseline data (from input)'!D51</f>
        <v>4098.3150515886073</v>
      </c>
      <c r="D65" s="608">
        <f>'Baseline data (from input)'!C51*'Baseline data (from input)'!E51</f>
        <v>5477.3142367267792</v>
      </c>
      <c r="E65" s="608">
        <f>'Baseline data (from input)'!C51*'Baseline data (from input)'!F51</f>
        <v>1838.3064960675006</v>
      </c>
      <c r="F65" s="608">
        <f>'Baseline data (from input)'!C51*'Baseline data (from input)'!G51</f>
        <v>0</v>
      </c>
      <c r="G65" s="608">
        <f>'Baseline data (from input)'!C51*'Baseline data (from input)'!H51</f>
        <v>0</v>
      </c>
      <c r="H65" s="608">
        <f>'Baseline data (from input)'!H51*'Baseline data (from input)'!I51</f>
        <v>0</v>
      </c>
      <c r="I65" s="608">
        <f>'Baseline data (from input)'!C51*'Baseline data (from input)'!J51</f>
        <v>9188.3892316171114</v>
      </c>
      <c r="J65" s="1059">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646"/>
      <c r="AJ65" s="1646"/>
      <c r="AK65" s="1646"/>
    </row>
    <row r="66" spans="1:37" ht="15" hidden="1" customHeight="1" thickBot="1">
      <c r="A66" s="532">
        <f>'Input data'!A96</f>
        <v>1996</v>
      </c>
      <c r="B66" s="122">
        <f>'Baseline data (from input)'!G52</f>
        <v>0</v>
      </c>
      <c r="C66" s="602">
        <f>'Baseline data (from input)'!C52*'Baseline data (from input)'!D52</f>
        <v>4190.5061877184125</v>
      </c>
      <c r="D66" s="608">
        <f>'Baseline data (from input)'!C52*'Baseline data (from input)'!E52</f>
        <v>5600.5258044241109</v>
      </c>
      <c r="E66" s="608">
        <f>'Baseline data (from input)'!C52*'Baseline data (from input)'!F52</f>
        <v>1879.6589939340497</v>
      </c>
      <c r="F66" s="608">
        <f>'Baseline data (from input)'!C52*'Baseline data (from input)'!G52</f>
        <v>0</v>
      </c>
      <c r="G66" s="608">
        <f>'Baseline data (from input)'!C52*'Baseline data (from input)'!H52</f>
        <v>0</v>
      </c>
      <c r="H66" s="608">
        <f>'Baseline data (from input)'!H52*'Baseline data (from input)'!I52</f>
        <v>0</v>
      </c>
      <c r="I66" s="608">
        <f>'Baseline data (from input)'!C52*'Baseline data (from input)'!J52</f>
        <v>9395.0810139234272</v>
      </c>
      <c r="J66" s="1059">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646"/>
      <c r="AJ66" s="1646"/>
      <c r="AK66" s="1646"/>
    </row>
    <row r="67" spans="1:37" ht="15" hidden="1" customHeight="1" thickBot="1">
      <c r="A67" s="532">
        <f>'Input data'!A97</f>
        <v>1997</v>
      </c>
      <c r="B67" s="122">
        <f>'Baseline data (from input)'!G53</f>
        <v>0</v>
      </c>
      <c r="C67" s="602">
        <f>'Baseline data (from input)'!C53*'Baseline data (from input)'!D53</f>
        <v>4287.5164059640938</v>
      </c>
      <c r="D67" s="608">
        <f>'Baseline data (from input)'!C53*'Baseline data (from input)'!E53</f>
        <v>5730.177976796529</v>
      </c>
      <c r="E67" s="608">
        <f>'Baseline data (from input)'!C53*'Baseline data (from input)'!F53</f>
        <v>1923.1730996436231</v>
      </c>
      <c r="F67" s="608">
        <f>'Baseline data (from input)'!C53*'Baseline data (from input)'!G53</f>
        <v>0</v>
      </c>
      <c r="G67" s="608">
        <f>'Baseline data (from input)'!C53*'Baseline data (from input)'!H53</f>
        <v>0</v>
      </c>
      <c r="H67" s="608">
        <f>'Baseline data (from input)'!H53*'Baseline data (from input)'!I53</f>
        <v>0</v>
      </c>
      <c r="I67" s="608">
        <f>'Baseline data (from input)'!C53*'Baseline data (from input)'!J53</f>
        <v>9612.5771393957548</v>
      </c>
      <c r="J67" s="1059">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646"/>
      <c r="AJ67" s="1646"/>
      <c r="AK67" s="1646"/>
    </row>
    <row r="68" spans="1:37" ht="15" hidden="1" customHeight="1" thickBot="1">
      <c r="A68" s="532">
        <f>'Input data'!A98</f>
        <v>1998</v>
      </c>
      <c r="B68" s="122">
        <f>'Baseline data (from input)'!G54</f>
        <v>0</v>
      </c>
      <c r="C68" s="602">
        <f>'Baseline data (from input)'!C54*'Baseline data (from input)'!D54</f>
        <v>4389.5552316350368</v>
      </c>
      <c r="D68" s="608">
        <f>'Baseline data (from input)'!C54*'Baseline data (from input)'!E54</f>
        <v>5866.5507801342555</v>
      </c>
      <c r="E68" s="608">
        <f>'Baseline data (from input)'!C54*'Baseline data (from input)'!F54</f>
        <v>1968.9427961459171</v>
      </c>
      <c r="F68" s="608">
        <f>'Baseline data (from input)'!C54*'Baseline data (from input)'!G54</f>
        <v>0</v>
      </c>
      <c r="G68" s="608">
        <f>'Baseline data (from input)'!C54*'Baseline data (from input)'!H54</f>
        <v>0</v>
      </c>
      <c r="H68" s="608">
        <f>'Baseline data (from input)'!H54*'Baseline data (from input)'!I54</f>
        <v>0</v>
      </c>
      <c r="I68" s="608">
        <f>'Baseline data (from input)'!C54*'Baseline data (from input)'!J54</f>
        <v>9841.3473620847908</v>
      </c>
      <c r="J68" s="1059">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646"/>
      <c r="AJ68" s="1646"/>
      <c r="AK68" s="1646"/>
    </row>
    <row r="69" spans="1:37" ht="15" hidden="1" customHeight="1" thickBot="1">
      <c r="A69" s="532">
        <f>'Input data'!A99</f>
        <v>1999</v>
      </c>
      <c r="B69" s="122">
        <f>'Baseline data (from input)'!G55</f>
        <v>0</v>
      </c>
      <c r="C69" s="602">
        <f>'Baseline data (from input)'!C55*'Baseline data (from input)'!D55</f>
        <v>4496.7274273859357</v>
      </c>
      <c r="D69" s="608">
        <f>'Baseline data (from input)'!C55*'Baseline data (from input)'!E55</f>
        <v>6009.7842275824023</v>
      </c>
      <c r="E69" s="608">
        <f>'Baseline data (from input)'!C55*'Baseline data (from input)'!F55</f>
        <v>2017.0150749157806</v>
      </c>
      <c r="F69" s="608">
        <f>'Baseline data (from input)'!C55*'Baseline data (from input)'!G55</f>
        <v>0</v>
      </c>
      <c r="G69" s="608">
        <f>'Baseline data (from input)'!C55*'Baseline data (from input)'!H55</f>
        <v>0</v>
      </c>
      <c r="H69" s="608">
        <f>'Baseline data (from input)'!H55*'Baseline data (from input)'!I55</f>
        <v>0</v>
      </c>
      <c r="I69" s="608">
        <f>'Baseline data (from input)'!C55*'Baseline data (from input)'!J55</f>
        <v>10081.626559015882</v>
      </c>
      <c r="J69" s="1059">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646"/>
      <c r="AJ69" s="1646"/>
      <c r="AK69" s="1646"/>
    </row>
    <row r="70" spans="1:37">
      <c r="A70" s="562">
        <f>'Input data'!A100</f>
        <v>2000</v>
      </c>
      <c r="B70" s="1620">
        <f>'Baseline data (from input)'!V56</f>
        <v>0.09</v>
      </c>
      <c r="C70" s="1080">
        <f>$B70*'Baseline data (from input)'!L56*'Baseline data (from input)'!$C56</f>
        <v>665.25945793500637</v>
      </c>
      <c r="D70" s="1081">
        <f>$B70*'Baseline data (from input)'!M56*'Baseline data (from input)'!$C56</f>
        <v>694.80045543716722</v>
      </c>
      <c r="E70" s="1081">
        <f>$B70*'Baseline data (from input)'!N56*'Baseline data (from input)'!$C56</f>
        <v>189.77109690547644</v>
      </c>
      <c r="F70" s="1081">
        <f>$B70*'Baseline data (from input)'!O56*'Baseline data (from input)'!$C56</f>
        <v>0</v>
      </c>
      <c r="G70" s="1081">
        <f>$B70*'Baseline data (from input)'!P56*'Baseline data (from input)'!$C56</f>
        <v>0</v>
      </c>
      <c r="H70" s="1081">
        <f>$B70*'Baseline data (from input)'!Q56*'Baseline data (from input)'!$C56</f>
        <v>0</v>
      </c>
      <c r="I70" s="1081">
        <f>$B70*'Baseline data (from input)'!R56*'Baseline data (from input)'!$C56</f>
        <v>741.93978972234993</v>
      </c>
      <c r="J70" s="1621">
        <f>SUM(C70:I70)</f>
        <v>2291.7707999999998</v>
      </c>
      <c r="K70" s="1055">
        <f>'4C2 Open-burning '!C$14*'4C2 Open-burning '!$C$5*'4C2 Open-burning '!$C$6*'4C2 Open-burning '!$C$7*C70</f>
        <v>0</v>
      </c>
      <c r="L70" s="1056">
        <f>'4C2 Open-burning '!D$14*'4C2 Open-burning '!$C$5*'4C2 Open-burning '!$C$6*'4C2 Open-burning '!$C$7*D70</f>
        <v>0</v>
      </c>
      <c r="M70" s="1056">
        <f>'4C2 Open-burning '!E$14*'4C2 Open-burning '!$C$5*'4C2 Open-burning '!$C$6*'4C2 Open-burning '!$C$7*E70</f>
        <v>1.002492387356746</v>
      </c>
      <c r="N70" s="1056">
        <f>'4C2 Open-burning '!F$14*'4C2 Open-burning '!$C$5*'4C2 Open-burning '!$C$6*'4C2 Open-burning '!$C$7*F70</f>
        <v>0</v>
      </c>
      <c r="O70" s="1056">
        <f>'4C2 Open-burning '!G$14*'4C2 Open-burning '!$C$5*'4C2 Open-burning '!$C$6*'4C2 Open-burning '!$C$7*G70</f>
        <v>0</v>
      </c>
      <c r="P70" s="1056">
        <f>'4C2 Open-burning '!H$14*'4C2 Open-burning '!$C$5*'4C2 Open-burning '!$C$6*'4C2 Open-burning '!$C$7*H70</f>
        <v>0</v>
      </c>
      <c r="Q70" s="1056">
        <f>'4C2 Open-burning '!I$14*'4C2 Open-burning '!$C$5*'4C2 Open-burning '!$C$6*'4C2 Open-burning '!$C$7*I70</f>
        <v>25.561309635514398</v>
      </c>
      <c r="R70" s="1628">
        <f t="shared" si="0"/>
        <v>26.563802022871144</v>
      </c>
      <c r="S70" s="1055">
        <f>C70*'4C2 Open-burning '!$C$9*'4C2 Open-burning '!$C$11*$C$5</f>
        <v>2.5945118859465253</v>
      </c>
      <c r="T70" s="1056">
        <f>D70*'4C2 Open-burning '!$C$9*'4C2 Open-burning '!$C$11*$C$5</f>
        <v>2.7097217762049519</v>
      </c>
      <c r="U70" s="1056">
        <f>E70*'4C2 Open-burning '!$C$9*'4C2 Open-burning '!$C$11*$C$5</f>
        <v>0.74010727793135811</v>
      </c>
      <c r="V70" s="1056">
        <f>F70*'4C2 Open-burning '!$C$9*'4C2 Open-burning '!$C$11*$C$5</f>
        <v>0</v>
      </c>
      <c r="W70" s="1056">
        <f>G70*'4C2 Open-burning '!$C$9*'4C2 Open-burning '!$C$11*$C$5</f>
        <v>0</v>
      </c>
      <c r="X70" s="1056">
        <f>H70*'4C2 Open-burning '!$C$9*'4C2 Open-burning '!$C$11*$C$5</f>
        <v>0</v>
      </c>
      <c r="Y70" s="1056">
        <f>I70*'4C2 Open-burning '!$C$9*'4C2 Open-burning '!$C$11*$C$5</f>
        <v>2.8935651799171649</v>
      </c>
      <c r="Z70" s="1057">
        <f>SUM(S70:Y70)</f>
        <v>8.9379061199999992</v>
      </c>
      <c r="AA70" s="566">
        <f>C70*'4C2 Open-burning '!$C$10*'4C2 Open-burning '!$C$11*$C$5*C$15</f>
        <v>2.3949340485660227E-2</v>
      </c>
      <c r="AB70" s="566">
        <f>D70*'4C2 Open-burning '!$C$10*'4C2 Open-burning '!$C$11*$C$5*D$15</f>
        <v>2.5012816395738019E-2</v>
      </c>
      <c r="AC70" s="566">
        <f>E70*'4C2 Open-burning '!$C$10*'4C2 Open-burning '!$C$11*$C$5*E$15</f>
        <v>1.5371458849343591E-2</v>
      </c>
      <c r="AD70" s="566">
        <f>F70*'4C2 Open-burning '!$C$10*'4C2 Open-burning '!$C$11*$C$5*F$15</f>
        <v>0</v>
      </c>
      <c r="AE70" s="566">
        <f>G70*'4C2 Open-burning '!$C$10*'4C2 Open-burning '!$C$11*$C$5*G$15</f>
        <v>0</v>
      </c>
      <c r="AF70" s="566">
        <f>H70*'4C2 Open-burning '!$C$10*'4C2 Open-burning '!$C$11*$C$5*H$15</f>
        <v>0</v>
      </c>
      <c r="AG70" s="566">
        <f>I70*'4C2 Open-burning '!$C$10*'4C2 Open-burning '!$C$11*$C$5*I$15</f>
        <v>6.0097122967510339E-2</v>
      </c>
      <c r="AH70" s="567">
        <f t="shared" si="2"/>
        <v>0.12443073869825218</v>
      </c>
      <c r="AI70" s="1646"/>
      <c r="AJ70" s="1646"/>
      <c r="AK70" s="1646"/>
    </row>
    <row r="71" spans="1:37">
      <c r="A71" s="568">
        <f>'Input data'!A101</f>
        <v>2001</v>
      </c>
      <c r="B71" s="1620">
        <f>'Baseline data (from input)'!V57</f>
        <v>0.09</v>
      </c>
      <c r="C71" s="606">
        <f>$B71*'Baseline data (from input)'!L57*'Baseline data (from input)'!$C57</f>
        <v>679.01823308775306</v>
      </c>
      <c r="D71" s="607">
        <f>$B71*'Baseline data (from input)'!M57*'Baseline data (from input)'!$C57</f>
        <v>709.17019212916307</v>
      </c>
      <c r="E71" s="607">
        <f>$B71*'Baseline data (from input)'!N57*'Baseline data (from input)'!$C57</f>
        <v>193.69590822783968</v>
      </c>
      <c r="F71" s="607">
        <f>$B71*'Baseline data (from input)'!O57*'Baseline data (from input)'!$C57</f>
        <v>0</v>
      </c>
      <c r="G71" s="607">
        <f>$B71*'Baseline data (from input)'!P57*'Baseline data (from input)'!$C57</f>
        <v>0</v>
      </c>
      <c r="H71" s="607">
        <f>$B71*'Baseline data (from input)'!Q57*'Baseline data (from input)'!$C57</f>
        <v>0</v>
      </c>
      <c r="I71" s="607">
        <f>$B71*'Baseline data (from input)'!R57*'Baseline data (from input)'!$C57</f>
        <v>757.28445355524389</v>
      </c>
      <c r="J71" s="770">
        <f t="shared" si="3"/>
        <v>2339.1687869999996</v>
      </c>
      <c r="K71" s="563">
        <f>'4C2 Open-burning '!C$14*'4C2 Open-burning '!$C$5*'4C2 Open-burning '!$C$6*'4C2 Open-burning '!$C$7*C71</f>
        <v>0</v>
      </c>
      <c r="L71" s="564">
        <f>'4C2 Open-burning '!D$14*'4C2 Open-burning '!$C$5*'4C2 Open-burning '!$C$6*'4C2 Open-burning '!$C$7*D71</f>
        <v>0</v>
      </c>
      <c r="M71" s="564">
        <f>'4C2 Open-burning '!E$14*'4C2 Open-burning '!$C$5*'4C2 Open-burning '!$C$6*'4C2 Open-burning '!$C$7*E71</f>
        <v>1.0232257526407149</v>
      </c>
      <c r="N71" s="564">
        <f>'4C2 Open-burning '!F$14*'4C2 Open-burning '!$C$5*'4C2 Open-burning '!$C$6*'4C2 Open-burning '!$C$7*F71</f>
        <v>0</v>
      </c>
      <c r="O71" s="564">
        <f>'4C2 Open-burning '!G$14*'4C2 Open-burning '!$C$5*'4C2 Open-burning '!$C$6*'4C2 Open-burning '!$C$7*G71</f>
        <v>0</v>
      </c>
      <c r="P71" s="564">
        <f>'4C2 Open-burning '!H$14*'4C2 Open-burning '!$C$5*'4C2 Open-burning '!$C$6*'4C2 Open-burning '!$C$7*H71</f>
        <v>0</v>
      </c>
      <c r="Q71" s="564">
        <f>'4C2 Open-burning '!I$14*'4C2 Open-burning '!$C$5*'4C2 Open-burning '!$C$6*'4C2 Open-burning '!$C$7*I71</f>
        <v>26.089963993885259</v>
      </c>
      <c r="R71" s="1625">
        <f t="shared" si="0"/>
        <v>27.113189746525975</v>
      </c>
      <c r="S71" s="563">
        <f>C71*'4C2 Open-burning '!$C$9*'4C2 Open-burning '!$C$11*$C$5</f>
        <v>2.6481711090422366</v>
      </c>
      <c r="T71" s="564">
        <f>D71*'4C2 Open-burning '!$C$9*'4C2 Open-burning '!$C$11*$C$5</f>
        <v>2.7657637493037357</v>
      </c>
      <c r="U71" s="564">
        <f>E71*'4C2 Open-burning '!$C$9*'4C2 Open-burning '!$C$11*$C$5</f>
        <v>0.75541404208857477</v>
      </c>
      <c r="V71" s="564">
        <f>F71*'4C2 Open-burning '!$C$9*'4C2 Open-burning '!$C$11*$C$5</f>
        <v>0</v>
      </c>
      <c r="W71" s="564">
        <f>G71*'4C2 Open-burning '!$C$9*'4C2 Open-burning '!$C$11*$C$5</f>
        <v>0</v>
      </c>
      <c r="X71" s="564">
        <f>H71*'4C2 Open-burning '!$C$9*'4C2 Open-burning '!$C$11*$C$5</f>
        <v>0</v>
      </c>
      <c r="Y71" s="564">
        <f>I71*'4C2 Open-burning '!$C$9*'4C2 Open-burning '!$C$11*$C$5</f>
        <v>2.9534093688654512</v>
      </c>
      <c r="Z71" s="565">
        <f t="shared" ref="Z71:Z87" si="4">SUM(S71:Y71)</f>
        <v>9.1227582692999984</v>
      </c>
      <c r="AA71" s="566">
        <f>C71*'4C2 Open-burning '!$C$10*'4C2 Open-burning '!$C$11*$C$5*C$15</f>
        <v>2.4444656391159111E-2</v>
      </c>
      <c r="AB71" s="566">
        <f>D71*'4C2 Open-burning '!$C$10*'4C2 Open-burning '!$C$11*$C$5*D$15</f>
        <v>2.5530126916649871E-2</v>
      </c>
      <c r="AC71" s="566">
        <f>E71*'4C2 Open-burning '!$C$10*'4C2 Open-burning '!$C$11*$C$5*E$15</f>
        <v>1.5689368566455014E-2</v>
      </c>
      <c r="AD71" s="566">
        <f>F71*'4C2 Open-burning '!$C$10*'4C2 Open-burning '!$C$11*$C$5*F$15</f>
        <v>0</v>
      </c>
      <c r="AE71" s="566">
        <f>G71*'4C2 Open-burning '!$C$10*'4C2 Open-burning '!$C$11*$C$5*G$15</f>
        <v>0</v>
      </c>
      <c r="AF71" s="566">
        <f>H71*'4C2 Open-burning '!$C$10*'4C2 Open-burning '!$C$11*$C$5*H$15</f>
        <v>0</v>
      </c>
      <c r="AG71" s="566">
        <f>I71*'4C2 Open-burning '!$C$10*'4C2 Open-burning '!$C$11*$C$5*I$15</f>
        <v>6.1340040737974756E-2</v>
      </c>
      <c r="AH71" s="567">
        <f t="shared" si="2"/>
        <v>0.12700419261223875</v>
      </c>
      <c r="AI71" s="1646"/>
      <c r="AJ71" s="1646"/>
      <c r="AK71" s="1646"/>
    </row>
    <row r="72" spans="1:37">
      <c r="A72" s="568">
        <f>'Input data'!A102</f>
        <v>2002</v>
      </c>
      <c r="B72" s="1620">
        <f>'Baseline data (from input)'!V58</f>
        <v>0.09</v>
      </c>
      <c r="C72" s="606">
        <f>$B72*'Baseline data (from input)'!L58*'Baseline data (from input)'!$C58</f>
        <v>688.43770223078741</v>
      </c>
      <c r="D72" s="607">
        <f>$B72*'Baseline data (from input)'!M58*'Baseline data (from input)'!$C58</f>
        <v>719.00793494137577</v>
      </c>
      <c r="E72" s="607">
        <f>$B72*'Baseline data (from input)'!N58*'Baseline data (from input)'!$C58</f>
        <v>196.38289444084225</v>
      </c>
      <c r="F72" s="607">
        <f>$B72*'Baseline data (from input)'!O58*'Baseline data (from input)'!$C58</f>
        <v>0</v>
      </c>
      <c r="G72" s="607">
        <f>$B72*'Baseline data (from input)'!P58*'Baseline data (from input)'!$C58</f>
        <v>0</v>
      </c>
      <c r="H72" s="607">
        <f>$B72*'Baseline data (from input)'!Q58*'Baseline data (from input)'!$C58</f>
        <v>0</v>
      </c>
      <c r="I72" s="607">
        <f>$B72*'Baseline data (from input)'!R58*'Baseline data (from input)'!$C58</f>
        <v>767.78964648699457</v>
      </c>
      <c r="J72" s="770">
        <f t="shared" si="3"/>
        <v>2371.6181780999996</v>
      </c>
      <c r="K72" s="563">
        <f>'4C2 Open-burning '!C$14*'4C2 Open-burning '!$C$5*'4C2 Open-burning '!$C$6*'4C2 Open-burning '!$C$7*C72</f>
        <v>0</v>
      </c>
      <c r="L72" s="564">
        <f>'4C2 Open-burning '!D$14*'4C2 Open-burning '!$C$5*'4C2 Open-burning '!$C$6*'4C2 Open-burning '!$C$7*D72</f>
        <v>0</v>
      </c>
      <c r="M72" s="564">
        <f>'4C2 Open-burning '!E$14*'4C2 Open-burning '!$C$5*'4C2 Open-burning '!$C$6*'4C2 Open-burning '!$C$7*E72</f>
        <v>1.0374201334889708</v>
      </c>
      <c r="N72" s="564">
        <f>'4C2 Open-burning '!F$14*'4C2 Open-burning '!$C$5*'4C2 Open-burning '!$C$6*'4C2 Open-burning '!$C$7*F72</f>
        <v>0</v>
      </c>
      <c r="O72" s="564">
        <f>'4C2 Open-burning '!G$14*'4C2 Open-burning '!$C$5*'4C2 Open-burning '!$C$6*'4C2 Open-burning '!$C$7*G72</f>
        <v>0</v>
      </c>
      <c r="P72" s="564">
        <f>'4C2 Open-burning '!H$14*'4C2 Open-burning '!$C$5*'4C2 Open-burning '!$C$6*'4C2 Open-burning '!$C$7*H72</f>
        <v>0</v>
      </c>
      <c r="Q72" s="564">
        <f>'4C2 Open-burning '!I$14*'4C2 Open-burning '!$C$5*'4C2 Open-burning '!$C$6*'4C2 Open-burning '!$C$7*I72</f>
        <v>26.451888900769934</v>
      </c>
      <c r="R72" s="1625">
        <f t="shared" si="0"/>
        <v>27.489309034258905</v>
      </c>
      <c r="S72" s="563">
        <f>C72*'4C2 Open-burning '!$C$9*'4C2 Open-burning '!$C$11*$C$5</f>
        <v>2.6849070387000711</v>
      </c>
      <c r="T72" s="564">
        <f>D72*'4C2 Open-burning '!$C$9*'4C2 Open-burning '!$C$11*$C$5</f>
        <v>2.8041309462713655</v>
      </c>
      <c r="U72" s="564">
        <f>E72*'4C2 Open-burning '!$C$9*'4C2 Open-burning '!$C$11*$C$5</f>
        <v>0.76589328831928472</v>
      </c>
      <c r="V72" s="564">
        <f>F72*'4C2 Open-burning '!$C$9*'4C2 Open-burning '!$C$11*$C$5</f>
        <v>0</v>
      </c>
      <c r="W72" s="564">
        <f>G72*'4C2 Open-burning '!$C$9*'4C2 Open-burning '!$C$11*$C$5</f>
        <v>0</v>
      </c>
      <c r="X72" s="564">
        <f>H72*'4C2 Open-burning '!$C$9*'4C2 Open-burning '!$C$11*$C$5</f>
        <v>0</v>
      </c>
      <c r="Y72" s="564">
        <f>I72*'4C2 Open-burning '!$C$9*'4C2 Open-burning '!$C$11*$C$5</f>
        <v>2.994379621299279</v>
      </c>
      <c r="Z72" s="565">
        <f t="shared" si="4"/>
        <v>9.2493108945899998</v>
      </c>
      <c r="AA72" s="566">
        <f>C72*'4C2 Open-burning '!$C$10*'4C2 Open-burning '!$C$11*$C$5*C$15</f>
        <v>2.4783757280308346E-2</v>
      </c>
      <c r="AB72" s="566">
        <f>D72*'4C2 Open-burning '!$C$10*'4C2 Open-burning '!$C$11*$C$5*D$15</f>
        <v>2.5884285657889528E-2</v>
      </c>
      <c r="AC72" s="566">
        <f>E72*'4C2 Open-burning '!$C$10*'4C2 Open-burning '!$C$11*$C$5*E$15</f>
        <v>1.5907014449708219E-2</v>
      </c>
      <c r="AD72" s="566">
        <f>F72*'4C2 Open-burning '!$C$10*'4C2 Open-burning '!$C$11*$C$5*F$15</f>
        <v>0</v>
      </c>
      <c r="AE72" s="566">
        <f>G72*'4C2 Open-burning '!$C$10*'4C2 Open-burning '!$C$11*$C$5*G$15</f>
        <v>0</v>
      </c>
      <c r="AF72" s="566">
        <f>H72*'4C2 Open-burning '!$C$10*'4C2 Open-burning '!$C$11*$C$5*H$15</f>
        <v>0</v>
      </c>
      <c r="AG72" s="566">
        <f>I72*'4C2 Open-burning '!$C$10*'4C2 Open-burning '!$C$11*$C$5*I$15</f>
        <v>6.2190961365446558E-2</v>
      </c>
      <c r="AH72" s="567">
        <f t="shared" si="2"/>
        <v>0.12876601875335264</v>
      </c>
      <c r="AI72" s="1646"/>
      <c r="AJ72" s="1646"/>
      <c r="AK72" s="1646"/>
    </row>
    <row r="73" spans="1:37">
      <c r="A73" s="568">
        <f>'Input data'!A103</f>
        <v>2003</v>
      </c>
      <c r="B73" s="1620">
        <f>'Baseline data (from input)'!V59</f>
        <v>0.09</v>
      </c>
      <c r="C73" s="606">
        <f>$B73*'Baseline data (from input)'!L59*'Baseline data (from input)'!$C59</f>
        <v>697.25239004842615</v>
      </c>
      <c r="D73" s="607">
        <f>$B73*'Baseline data (from input)'!M59*'Baseline data (from input)'!$C59</f>
        <v>728.21404097591824</v>
      </c>
      <c r="E73" s="607">
        <f>$B73*'Baseline data (from input)'!N59*'Baseline data (from input)'!$C59</f>
        <v>198.89736147483978</v>
      </c>
      <c r="F73" s="607">
        <f>$B73*'Baseline data (from input)'!O59*'Baseline data (from input)'!$C59</f>
        <v>0</v>
      </c>
      <c r="G73" s="607">
        <f>$B73*'Baseline data (from input)'!P59*'Baseline data (from input)'!$C59</f>
        <v>0</v>
      </c>
      <c r="H73" s="607">
        <f>$B73*'Baseline data (from input)'!Q59*'Baseline data (from input)'!$C59</f>
        <v>0</v>
      </c>
      <c r="I73" s="607">
        <f>$B73*'Baseline data (from input)'!R59*'Baseline data (from input)'!$C59</f>
        <v>777.62034870081561</v>
      </c>
      <c r="J73" s="770">
        <f t="shared" si="3"/>
        <v>2401.9841411999996</v>
      </c>
      <c r="K73" s="563">
        <f>'4C2 Open-burning '!C$14*'4C2 Open-burning '!$C$5*'4C2 Open-burning '!$C$6*'4C2 Open-burning '!$C$7*C73</f>
        <v>0</v>
      </c>
      <c r="L73" s="564">
        <f>'4C2 Open-burning '!D$14*'4C2 Open-burning '!$C$5*'4C2 Open-burning '!$C$6*'4C2 Open-burning '!$C$7*D73</f>
        <v>0</v>
      </c>
      <c r="M73" s="564">
        <f>'4C2 Open-burning '!E$14*'4C2 Open-burning '!$C$5*'4C2 Open-burning '!$C$6*'4C2 Open-burning '!$C$7*E73</f>
        <v>1.0507031576214476</v>
      </c>
      <c r="N73" s="564">
        <f>'4C2 Open-burning '!F$14*'4C2 Open-burning '!$C$5*'4C2 Open-burning '!$C$6*'4C2 Open-burning '!$C$7*F73</f>
        <v>0</v>
      </c>
      <c r="O73" s="564">
        <f>'4C2 Open-burning '!G$14*'4C2 Open-burning '!$C$5*'4C2 Open-burning '!$C$6*'4C2 Open-burning '!$C$7*G73</f>
        <v>0</v>
      </c>
      <c r="P73" s="564">
        <f>'4C2 Open-burning '!H$14*'4C2 Open-burning '!$C$5*'4C2 Open-burning '!$C$6*'4C2 Open-burning '!$C$7*H73</f>
        <v>0</v>
      </c>
      <c r="Q73" s="564">
        <f>'4C2 Open-burning '!I$14*'4C2 Open-burning '!$C$5*'4C2 Open-burning '!$C$6*'4C2 Open-burning '!$C$7*I73</f>
        <v>26.790576253440495</v>
      </c>
      <c r="R73" s="1625">
        <f t="shared" si="0"/>
        <v>27.841279411061944</v>
      </c>
      <c r="S73" s="563">
        <f>C73*'4C2 Open-burning '!$C$9*'4C2 Open-burning '!$C$11*$C$5</f>
        <v>2.7192843211888622</v>
      </c>
      <c r="T73" s="564">
        <f>D73*'4C2 Open-burning '!$C$9*'4C2 Open-burning '!$C$11*$C$5</f>
        <v>2.8400347598060809</v>
      </c>
      <c r="U73" s="564">
        <f>E73*'4C2 Open-burning '!$C$9*'4C2 Open-burning '!$C$11*$C$5</f>
        <v>0.77569970975187508</v>
      </c>
      <c r="V73" s="564">
        <f>F73*'4C2 Open-burning '!$C$9*'4C2 Open-burning '!$C$11*$C$5</f>
        <v>0</v>
      </c>
      <c r="W73" s="564">
        <f>G73*'4C2 Open-burning '!$C$9*'4C2 Open-burning '!$C$11*$C$5</f>
        <v>0</v>
      </c>
      <c r="X73" s="564">
        <f>H73*'4C2 Open-burning '!$C$9*'4C2 Open-burning '!$C$11*$C$5</f>
        <v>0</v>
      </c>
      <c r="Y73" s="564">
        <f>I73*'4C2 Open-burning '!$C$9*'4C2 Open-burning '!$C$11*$C$5</f>
        <v>3.0327193599331808</v>
      </c>
      <c r="Z73" s="565">
        <f t="shared" si="4"/>
        <v>9.3677381506799993</v>
      </c>
      <c r="AA73" s="566">
        <f>C73*'4C2 Open-burning '!$C$10*'4C2 Open-burning '!$C$11*$C$5*C$15</f>
        <v>2.510108604174334E-2</v>
      </c>
      <c r="AB73" s="566">
        <f>D73*'4C2 Open-burning '!$C$10*'4C2 Open-burning '!$C$11*$C$5*D$15</f>
        <v>2.6215705475133057E-2</v>
      </c>
      <c r="AC73" s="566">
        <f>E73*'4C2 Open-burning '!$C$10*'4C2 Open-burning '!$C$11*$C$5*E$15</f>
        <v>1.6110686279462022E-2</v>
      </c>
      <c r="AD73" s="566">
        <f>F73*'4C2 Open-burning '!$C$10*'4C2 Open-burning '!$C$11*$C$5*F$15</f>
        <v>0</v>
      </c>
      <c r="AE73" s="566">
        <f>G73*'4C2 Open-burning '!$C$10*'4C2 Open-burning '!$C$11*$C$5*G$15</f>
        <v>0</v>
      </c>
      <c r="AF73" s="566">
        <f>H73*'4C2 Open-burning '!$C$10*'4C2 Open-burning '!$C$11*$C$5*H$15</f>
        <v>0</v>
      </c>
      <c r="AG73" s="566">
        <f>I73*'4C2 Open-burning '!$C$10*'4C2 Open-burning '!$C$11*$C$5*I$15</f>
        <v>6.2987248244766064E-2</v>
      </c>
      <c r="AH73" s="567">
        <f t="shared" si="2"/>
        <v>0.13041472604110449</v>
      </c>
      <c r="AI73" s="1646"/>
      <c r="AJ73" s="1646"/>
      <c r="AK73" s="1646"/>
    </row>
    <row r="74" spans="1:37">
      <c r="A74" s="568">
        <f>'Input data'!A104</f>
        <v>2004</v>
      </c>
      <c r="B74" s="1620">
        <f>'Baseline data (from input)'!V60</f>
        <v>0.09</v>
      </c>
      <c r="C74" s="606">
        <f>$B74*'Baseline data (from input)'!L60*'Baseline data (from input)'!$C60</f>
        <v>705.55301373947884</v>
      </c>
      <c r="D74" s="607">
        <f>$B74*'Baseline data (from input)'!M60*'Baseline data (from input)'!$C60</f>
        <v>736.8832557494411</v>
      </c>
      <c r="E74" s="607">
        <f>$B74*'Baseline data (from input)'!N60*'Baseline data (from input)'!$C60</f>
        <v>201.26518720668312</v>
      </c>
      <c r="F74" s="607">
        <f>$B74*'Baseline data (from input)'!O60*'Baseline data (from input)'!$C60</f>
        <v>0</v>
      </c>
      <c r="G74" s="607">
        <f>$B74*'Baseline data (from input)'!P60*'Baseline data (from input)'!$C60</f>
        <v>0</v>
      </c>
      <c r="H74" s="607">
        <f>$B74*'Baseline data (from input)'!Q60*'Baseline data (from input)'!$C60</f>
        <v>0</v>
      </c>
      <c r="I74" s="607">
        <f>$B74*'Baseline data (from input)'!R60*'Baseline data (from input)'!$C60</f>
        <v>786.87773380439671</v>
      </c>
      <c r="J74" s="770">
        <f t="shared" si="3"/>
        <v>2430.5791904999996</v>
      </c>
      <c r="K74" s="563">
        <f>'4C2 Open-burning '!C$14*'4C2 Open-burning '!$C$5*'4C2 Open-burning '!$C$6*'4C2 Open-burning '!$C$7*C74</f>
        <v>0</v>
      </c>
      <c r="L74" s="564">
        <f>'4C2 Open-burning '!D$14*'4C2 Open-burning '!$C$5*'4C2 Open-burning '!$C$6*'4C2 Open-burning '!$C$7*D74</f>
        <v>0</v>
      </c>
      <c r="M74" s="564">
        <f>'4C2 Open-burning '!E$14*'4C2 Open-burning '!$C$5*'4C2 Open-burning '!$C$6*'4C2 Open-burning '!$C$7*E74</f>
        <v>1.0632115285455126</v>
      </c>
      <c r="N74" s="564">
        <f>'4C2 Open-burning '!F$14*'4C2 Open-burning '!$C$5*'4C2 Open-burning '!$C$6*'4C2 Open-burning '!$C$7*F74</f>
        <v>0</v>
      </c>
      <c r="O74" s="564">
        <f>'4C2 Open-burning '!G$14*'4C2 Open-burning '!$C$5*'4C2 Open-burning '!$C$6*'4C2 Open-burning '!$C$7*G74</f>
        <v>0</v>
      </c>
      <c r="P74" s="564">
        <f>'4C2 Open-burning '!H$14*'4C2 Open-burning '!$C$5*'4C2 Open-burning '!$C$6*'4C2 Open-burning '!$C$7*H74</f>
        <v>0</v>
      </c>
      <c r="Q74" s="564">
        <f>'4C2 Open-burning '!I$14*'4C2 Open-burning '!$C$5*'4C2 Open-burning '!$C$6*'4C2 Open-burning '!$C$7*I74</f>
        <v>27.109511685029073</v>
      </c>
      <c r="R74" s="1625">
        <f t="shared" si="0"/>
        <v>28.172723213574585</v>
      </c>
      <c r="S74" s="563">
        <f>C74*'4C2 Open-burning '!$C$9*'4C2 Open-burning '!$C$11*$C$5</f>
        <v>2.7516567535839673</v>
      </c>
      <c r="T74" s="564">
        <f>D74*'4C2 Open-burning '!$C$9*'4C2 Open-burning '!$C$11*$C$5</f>
        <v>2.8738446974228204</v>
      </c>
      <c r="U74" s="564">
        <f>E74*'4C2 Open-burning '!$C$9*'4C2 Open-burning '!$C$11*$C$5</f>
        <v>0.784934230106064</v>
      </c>
      <c r="V74" s="564">
        <f>F74*'4C2 Open-burning '!$C$9*'4C2 Open-burning '!$C$11*$C$5</f>
        <v>0</v>
      </c>
      <c r="W74" s="564">
        <f>G74*'4C2 Open-burning '!$C$9*'4C2 Open-burning '!$C$11*$C$5</f>
        <v>0</v>
      </c>
      <c r="X74" s="564">
        <f>H74*'4C2 Open-burning '!$C$9*'4C2 Open-burning '!$C$11*$C$5</f>
        <v>0</v>
      </c>
      <c r="Y74" s="564">
        <f>I74*'4C2 Open-burning '!$C$9*'4C2 Open-burning '!$C$11*$C$5</f>
        <v>3.0688231618371469</v>
      </c>
      <c r="Z74" s="565">
        <f t="shared" si="4"/>
        <v>9.4792588429499975</v>
      </c>
      <c r="AA74" s="566">
        <f>C74*'4C2 Open-burning '!$C$10*'4C2 Open-burning '!$C$11*$C$5*C$15</f>
        <v>2.5399908494621239E-2</v>
      </c>
      <c r="AB74" s="566">
        <f>D74*'4C2 Open-burning '!$C$10*'4C2 Open-burning '!$C$11*$C$5*D$15</f>
        <v>2.6527797206979876E-2</v>
      </c>
      <c r="AC74" s="566">
        <f>E74*'4C2 Open-burning '!$C$10*'4C2 Open-burning '!$C$11*$C$5*E$15</f>
        <v>1.6302480163741334E-2</v>
      </c>
      <c r="AD74" s="566">
        <f>F74*'4C2 Open-burning '!$C$10*'4C2 Open-burning '!$C$11*$C$5*F$15</f>
        <v>0</v>
      </c>
      <c r="AE74" s="566">
        <f>G74*'4C2 Open-burning '!$C$10*'4C2 Open-burning '!$C$11*$C$5*G$15</f>
        <v>0</v>
      </c>
      <c r="AF74" s="566">
        <f>H74*'4C2 Open-burning '!$C$10*'4C2 Open-burning '!$C$11*$C$5*H$15</f>
        <v>0</v>
      </c>
      <c r="AG74" s="566">
        <f>I74*'4C2 Open-burning '!$C$10*'4C2 Open-burning '!$C$11*$C$5*I$15</f>
        <v>6.3737096438156129E-2</v>
      </c>
      <c r="AH74" s="567">
        <f t="shared" si="2"/>
        <v>0.13196728230349858</v>
      </c>
      <c r="AI74" s="1646"/>
      <c r="AJ74" s="1646"/>
      <c r="AK74" s="1646"/>
    </row>
    <row r="75" spans="1:37">
      <c r="A75" s="568">
        <f>'Input data'!A105</f>
        <v>2005</v>
      </c>
      <c r="B75" s="1620">
        <f>'Baseline data (from input)'!V61</f>
        <v>0.09</v>
      </c>
      <c r="C75" s="606">
        <f>$B75*'Baseline data (from input)'!L61*'Baseline data (from input)'!$C61</f>
        <v>713.61172490037347</v>
      </c>
      <c r="D75" s="607">
        <f>$B75*'Baseline data (from input)'!M61*'Baseline data (from input)'!$C61</f>
        <v>745.29981581189588</v>
      </c>
      <c r="E75" s="607">
        <f>$B75*'Baseline data (from input)'!N61*'Baseline data (from input)'!$C61</f>
        <v>203.56400526692448</v>
      </c>
      <c r="F75" s="607">
        <f>$B75*'Baseline data (from input)'!O61*'Baseline data (from input)'!$C61</f>
        <v>0</v>
      </c>
      <c r="G75" s="607">
        <f>$B75*'Baseline data (from input)'!P61*'Baseline data (from input)'!$C61</f>
        <v>0</v>
      </c>
      <c r="H75" s="607">
        <f>$B75*'Baseline data (from input)'!Q61*'Baseline data (from input)'!$C61</f>
        <v>0</v>
      </c>
      <c r="I75" s="607">
        <f>$B75*'Baseline data (from input)'!R61*'Baseline data (from input)'!$C61</f>
        <v>795.86532262080618</v>
      </c>
      <c r="J75" s="770">
        <f t="shared" si="3"/>
        <v>2458.3408686000002</v>
      </c>
      <c r="K75" s="563">
        <f>'4C2 Open-burning '!C$14*'4C2 Open-burning '!$C$5*'4C2 Open-burning '!$C$6*'4C2 Open-burning '!$C$7*C75</f>
        <v>0</v>
      </c>
      <c r="L75" s="564">
        <f>'4C2 Open-burning '!D$14*'4C2 Open-burning '!$C$5*'4C2 Open-burning '!$C$6*'4C2 Open-burning '!$C$7*D75</f>
        <v>0</v>
      </c>
      <c r="M75" s="564">
        <f>'4C2 Open-burning '!E$14*'4C2 Open-burning '!$C$5*'4C2 Open-burning '!$C$6*'4C2 Open-burning '!$C$7*E75</f>
        <v>1.0753553567832659</v>
      </c>
      <c r="N75" s="564">
        <f>'4C2 Open-burning '!F$14*'4C2 Open-burning '!$C$5*'4C2 Open-burning '!$C$6*'4C2 Open-burning '!$C$7*F75</f>
        <v>0</v>
      </c>
      <c r="O75" s="564">
        <f>'4C2 Open-burning '!G$14*'4C2 Open-burning '!$C$5*'4C2 Open-burning '!$C$6*'4C2 Open-burning '!$C$7*G75</f>
        <v>0</v>
      </c>
      <c r="P75" s="564">
        <f>'4C2 Open-burning '!H$14*'4C2 Open-burning '!$C$5*'4C2 Open-burning '!$C$6*'4C2 Open-burning '!$C$7*H75</f>
        <v>0</v>
      </c>
      <c r="Q75" s="564">
        <f>'4C2 Open-burning '!I$14*'4C2 Open-burning '!$C$5*'4C2 Open-burning '!$C$6*'4C2 Open-burning '!$C$7*I75</f>
        <v>27.419152094932013</v>
      </c>
      <c r="R75" s="1625">
        <f t="shared" si="0"/>
        <v>28.494507451715279</v>
      </c>
      <c r="S75" s="563">
        <f>C75*'4C2 Open-burning '!$C$9*'4C2 Open-burning '!$C$11*$C$5</f>
        <v>2.7830857271114562</v>
      </c>
      <c r="T75" s="564">
        <f>D75*'4C2 Open-burning '!$C$9*'4C2 Open-burning '!$C$11*$C$5</f>
        <v>2.9066692816663937</v>
      </c>
      <c r="U75" s="564">
        <f>E75*'4C2 Open-burning '!$C$9*'4C2 Open-burning '!$C$11*$C$5</f>
        <v>0.79389962054100549</v>
      </c>
      <c r="V75" s="564">
        <f>F75*'4C2 Open-burning '!$C$9*'4C2 Open-burning '!$C$11*$C$5</f>
        <v>0</v>
      </c>
      <c r="W75" s="564">
        <f>G75*'4C2 Open-burning '!$C$9*'4C2 Open-burning '!$C$11*$C$5</f>
        <v>0</v>
      </c>
      <c r="X75" s="564">
        <f>H75*'4C2 Open-burning '!$C$9*'4C2 Open-burning '!$C$11*$C$5</f>
        <v>0</v>
      </c>
      <c r="Y75" s="564">
        <f>I75*'4C2 Open-burning '!$C$9*'4C2 Open-burning '!$C$11*$C$5</f>
        <v>3.1038747582211443</v>
      </c>
      <c r="Z75" s="565">
        <f t="shared" si="4"/>
        <v>9.5875293875400001</v>
      </c>
      <c r="AA75" s="566">
        <f>C75*'4C2 Open-burning '!$C$10*'4C2 Open-burning '!$C$11*$C$5*C$15</f>
        <v>2.5690022096413447E-2</v>
      </c>
      <c r="AB75" s="566">
        <f>D75*'4C2 Open-burning '!$C$10*'4C2 Open-burning '!$C$11*$C$5*D$15</f>
        <v>2.6830793369228251E-2</v>
      </c>
      <c r="AC75" s="566">
        <f>E75*'4C2 Open-burning '!$C$10*'4C2 Open-burning '!$C$11*$C$5*E$15</f>
        <v>1.6488684426620881E-2</v>
      </c>
      <c r="AD75" s="566">
        <f>F75*'4C2 Open-burning '!$C$10*'4C2 Open-burning '!$C$11*$C$5*F$15</f>
        <v>0</v>
      </c>
      <c r="AE75" s="566">
        <f>G75*'4C2 Open-burning '!$C$10*'4C2 Open-burning '!$C$11*$C$5*G$15</f>
        <v>0</v>
      </c>
      <c r="AF75" s="566">
        <f>H75*'4C2 Open-burning '!$C$10*'4C2 Open-burning '!$C$11*$C$5*H$15</f>
        <v>0</v>
      </c>
      <c r="AG75" s="566">
        <f>I75*'4C2 Open-burning '!$C$10*'4C2 Open-burning '!$C$11*$C$5*I$15</f>
        <v>6.4465091132285296E-2</v>
      </c>
      <c r="AH75" s="567">
        <f t="shared" si="2"/>
        <v>0.13347459102454787</v>
      </c>
      <c r="AI75" s="1646"/>
      <c r="AJ75" s="1646"/>
      <c r="AK75" s="1646"/>
    </row>
    <row r="76" spans="1:37">
      <c r="A76" s="568">
        <f>'Input data'!A106</f>
        <v>2006</v>
      </c>
      <c r="B76" s="1620">
        <f>'Baseline data (from input)'!V62</f>
        <v>0.09</v>
      </c>
      <c r="C76" s="606">
        <f>$B76*'Baseline data (from input)'!L62*'Baseline data (from input)'!$C62</f>
        <v>721.67043606126799</v>
      </c>
      <c r="D76" s="607">
        <f>$B76*'Baseline data (from input)'!M62*'Baseline data (from input)'!$C62</f>
        <v>753.71637587435066</v>
      </c>
      <c r="E76" s="607">
        <f>$B76*'Baseline data (from input)'!N62*'Baseline data (from input)'!$C62</f>
        <v>205.86282332716581</v>
      </c>
      <c r="F76" s="607">
        <f>$B76*'Baseline data (from input)'!O62*'Baseline data (from input)'!$C62</f>
        <v>0</v>
      </c>
      <c r="G76" s="607">
        <f>$B76*'Baseline data (from input)'!P62*'Baseline data (from input)'!$C62</f>
        <v>0</v>
      </c>
      <c r="H76" s="607">
        <f>$B76*'Baseline data (from input)'!Q62*'Baseline data (from input)'!$C62</f>
        <v>0</v>
      </c>
      <c r="I76" s="607">
        <f>$B76*'Baseline data (from input)'!R62*'Baseline data (from input)'!$C62</f>
        <v>804.85291143721554</v>
      </c>
      <c r="J76" s="770">
        <f t="shared" si="3"/>
        <v>2486.1025466999999</v>
      </c>
      <c r="K76" s="563">
        <f>'4C2 Open-burning '!C$14*'4C2 Open-burning '!$C$5*'4C2 Open-burning '!$C$6*'4C2 Open-burning '!$C$7*C76</f>
        <v>0</v>
      </c>
      <c r="L76" s="564">
        <f>'4C2 Open-burning '!D$14*'4C2 Open-burning '!$C$5*'4C2 Open-burning '!$C$6*'4C2 Open-burning '!$C$7*D76</f>
        <v>0</v>
      </c>
      <c r="M76" s="564">
        <f>'4C2 Open-burning '!E$14*'4C2 Open-burning '!$C$5*'4C2 Open-burning '!$C$6*'4C2 Open-burning '!$C$7*E76</f>
        <v>1.0874991850210192</v>
      </c>
      <c r="N76" s="564">
        <f>'4C2 Open-burning '!F$14*'4C2 Open-burning '!$C$5*'4C2 Open-burning '!$C$6*'4C2 Open-burning '!$C$7*F76</f>
        <v>0</v>
      </c>
      <c r="O76" s="564">
        <f>'4C2 Open-burning '!G$14*'4C2 Open-burning '!$C$5*'4C2 Open-burning '!$C$6*'4C2 Open-burning '!$C$7*G76</f>
        <v>0</v>
      </c>
      <c r="P76" s="564">
        <f>'4C2 Open-burning '!H$14*'4C2 Open-burning '!$C$5*'4C2 Open-burning '!$C$6*'4C2 Open-burning '!$C$7*H76</f>
        <v>0</v>
      </c>
      <c r="Q76" s="564">
        <f>'4C2 Open-burning '!I$14*'4C2 Open-burning '!$C$5*'4C2 Open-burning '!$C$6*'4C2 Open-burning '!$C$7*I76</f>
        <v>27.728792504834946</v>
      </c>
      <c r="R76" s="1625">
        <f t="shared" si="0"/>
        <v>28.816291689855966</v>
      </c>
      <c r="S76" s="563">
        <f>C76*'4C2 Open-burning '!$C$9*'4C2 Open-burning '!$C$11*$C$5</f>
        <v>2.8145147006389446</v>
      </c>
      <c r="T76" s="564">
        <f>D76*'4C2 Open-burning '!$C$9*'4C2 Open-burning '!$C$11*$C$5</f>
        <v>2.9394938659099674</v>
      </c>
      <c r="U76" s="564">
        <f>E76*'4C2 Open-burning '!$C$9*'4C2 Open-burning '!$C$11*$C$5</f>
        <v>0.80286501097594665</v>
      </c>
      <c r="V76" s="564">
        <f>F76*'4C2 Open-burning '!$C$9*'4C2 Open-burning '!$C$11*$C$5</f>
        <v>0</v>
      </c>
      <c r="W76" s="564">
        <f>G76*'4C2 Open-burning '!$C$9*'4C2 Open-burning '!$C$11*$C$5</f>
        <v>0</v>
      </c>
      <c r="X76" s="564">
        <f>H76*'4C2 Open-burning '!$C$9*'4C2 Open-burning '!$C$11*$C$5</f>
        <v>0</v>
      </c>
      <c r="Y76" s="564">
        <f>I76*'4C2 Open-burning '!$C$9*'4C2 Open-burning '!$C$11*$C$5</f>
        <v>3.1389263546051405</v>
      </c>
      <c r="Z76" s="565">
        <f t="shared" si="4"/>
        <v>9.695799932129999</v>
      </c>
      <c r="AA76" s="566">
        <f>C76*'4C2 Open-burning '!$C$10*'4C2 Open-burning '!$C$11*$C$5*C$15</f>
        <v>2.5980135698205644E-2</v>
      </c>
      <c r="AB76" s="566">
        <f>D76*'4C2 Open-burning '!$C$10*'4C2 Open-burning '!$C$11*$C$5*D$15</f>
        <v>2.7133789531476622E-2</v>
      </c>
      <c r="AC76" s="566">
        <f>E76*'4C2 Open-burning '!$C$10*'4C2 Open-burning '!$C$11*$C$5*E$15</f>
        <v>1.6674888689500431E-2</v>
      </c>
      <c r="AD76" s="566">
        <f>F76*'4C2 Open-burning '!$C$10*'4C2 Open-burning '!$C$11*$C$5*F$15</f>
        <v>0</v>
      </c>
      <c r="AE76" s="566">
        <f>G76*'4C2 Open-burning '!$C$10*'4C2 Open-burning '!$C$11*$C$5*G$15</f>
        <v>0</v>
      </c>
      <c r="AF76" s="566">
        <f>H76*'4C2 Open-burning '!$C$10*'4C2 Open-burning '!$C$11*$C$5*H$15</f>
        <v>0</v>
      </c>
      <c r="AG76" s="566">
        <f>I76*'4C2 Open-burning '!$C$10*'4C2 Open-burning '!$C$11*$C$5*I$15</f>
        <v>6.5193085826414449E-2</v>
      </c>
      <c r="AH76" s="567">
        <f t="shared" si="2"/>
        <v>0.13498189974559716</v>
      </c>
      <c r="AI76" s="1646"/>
      <c r="AJ76" s="1646"/>
      <c r="AK76" s="1646"/>
    </row>
    <row r="77" spans="1:37">
      <c r="A77" s="568">
        <f>'Input data'!A107</f>
        <v>2007</v>
      </c>
      <c r="B77" s="1620">
        <f>'Baseline data (from input)'!V63</f>
        <v>0.09</v>
      </c>
      <c r="C77" s="606">
        <f>$B77*'Baseline data (from input)'!L63*'Baseline data (from input)'!$C63</f>
        <v>729.62331049021816</v>
      </c>
      <c r="D77" s="607">
        <f>$B77*'Baseline data (from input)'!M63*'Baseline data (from input)'!$C63</f>
        <v>762.02239950071305</v>
      </c>
      <c r="E77" s="607">
        <f>$B77*'Baseline data (from input)'!N63*'Baseline data (from input)'!$C63</f>
        <v>208.13145053108127</v>
      </c>
      <c r="F77" s="607">
        <f>$B77*'Baseline data (from input)'!O63*'Baseline data (from input)'!$C63</f>
        <v>0</v>
      </c>
      <c r="G77" s="607">
        <f>$B77*'Baseline data (from input)'!P63*'Baseline data (from input)'!$C63</f>
        <v>0</v>
      </c>
      <c r="H77" s="607">
        <f>$B77*'Baseline data (from input)'!Q63*'Baseline data (from input)'!$C63</f>
        <v>0</v>
      </c>
      <c r="I77" s="607">
        <f>$B77*'Baseline data (from input)'!R63*'Baseline data (from input)'!$C63</f>
        <v>813.72246437798719</v>
      </c>
      <c r="J77" s="770">
        <f t="shared" si="3"/>
        <v>2513.4996248999996</v>
      </c>
      <c r="K77" s="563">
        <f>'4C2 Open-burning '!C$14*'4C2 Open-burning '!$C$5*'4C2 Open-burning '!$C$6*'4C2 Open-burning '!$C$7*C77</f>
        <v>0</v>
      </c>
      <c r="L77" s="564">
        <f>'4C2 Open-burning '!D$14*'4C2 Open-burning '!$C$5*'4C2 Open-burning '!$C$6*'4C2 Open-burning '!$C$7*D77</f>
        <v>0</v>
      </c>
      <c r="M77" s="564">
        <f>'4C2 Open-burning '!E$14*'4C2 Open-burning '!$C$5*'4C2 Open-burning '!$C$6*'4C2 Open-burning '!$C$7*E77</f>
        <v>1.0994835258335112</v>
      </c>
      <c r="N77" s="564">
        <f>'4C2 Open-burning '!F$14*'4C2 Open-burning '!$C$5*'4C2 Open-burning '!$C$6*'4C2 Open-burning '!$C$7*F77</f>
        <v>0</v>
      </c>
      <c r="O77" s="564">
        <f>'4C2 Open-burning '!G$14*'4C2 Open-burning '!$C$5*'4C2 Open-burning '!$C$6*'4C2 Open-burning '!$C$7*G77</f>
        <v>0</v>
      </c>
      <c r="P77" s="564">
        <f>'4C2 Open-burning '!H$14*'4C2 Open-burning '!$C$5*'4C2 Open-burning '!$C$6*'4C2 Open-burning '!$C$7*H77</f>
        <v>0</v>
      </c>
      <c r="Q77" s="564">
        <f>'4C2 Open-burning '!I$14*'4C2 Open-burning '!$C$5*'4C2 Open-burning '!$C$6*'4C2 Open-burning '!$C$7*I77</f>
        <v>28.034366342750413</v>
      </c>
      <c r="R77" s="1625">
        <f t="shared" si="0"/>
        <v>29.133849868583923</v>
      </c>
      <c r="S77" s="563">
        <f>C77*'4C2 Open-burning '!$C$9*'4C2 Open-burning '!$C$11*$C$5</f>
        <v>2.8455309109118505</v>
      </c>
      <c r="T77" s="564">
        <f>D77*'4C2 Open-burning '!$C$9*'4C2 Open-burning '!$C$11*$C$5</f>
        <v>2.9718873580527805</v>
      </c>
      <c r="U77" s="564">
        <f>E77*'4C2 Open-burning '!$C$9*'4C2 Open-burning '!$C$11*$C$5</f>
        <v>0.81171265707121687</v>
      </c>
      <c r="V77" s="564">
        <f>F77*'4C2 Open-burning '!$C$9*'4C2 Open-burning '!$C$11*$C$5</f>
        <v>0</v>
      </c>
      <c r="W77" s="564">
        <f>G77*'4C2 Open-burning '!$C$9*'4C2 Open-burning '!$C$11*$C$5</f>
        <v>0</v>
      </c>
      <c r="X77" s="564">
        <f>H77*'4C2 Open-burning '!$C$9*'4C2 Open-burning '!$C$11*$C$5</f>
        <v>0</v>
      </c>
      <c r="Y77" s="564">
        <f>I77*'4C2 Open-burning '!$C$9*'4C2 Open-burning '!$C$11*$C$5</f>
        <v>3.1735176110741499</v>
      </c>
      <c r="Z77" s="565">
        <f t="shared" si="4"/>
        <v>9.8026485371099987</v>
      </c>
      <c r="AA77" s="566">
        <f>C77*'4C2 Open-burning '!$C$10*'4C2 Open-burning '!$C$11*$C$5*C$15</f>
        <v>2.6266439177647857E-2</v>
      </c>
      <c r="AB77" s="566">
        <f>D77*'4C2 Open-burning '!$C$10*'4C2 Open-burning '!$C$11*$C$5*D$15</f>
        <v>2.7432806382025665E-2</v>
      </c>
      <c r="AC77" s="566">
        <f>E77*'4C2 Open-burning '!$C$10*'4C2 Open-burning '!$C$11*$C$5*E$15</f>
        <v>1.6858647493017583E-2</v>
      </c>
      <c r="AD77" s="566">
        <f>F77*'4C2 Open-burning '!$C$10*'4C2 Open-burning '!$C$11*$C$5*F$15</f>
        <v>0</v>
      </c>
      <c r="AE77" s="566">
        <f>G77*'4C2 Open-burning '!$C$10*'4C2 Open-burning '!$C$11*$C$5*G$15</f>
        <v>0</v>
      </c>
      <c r="AF77" s="566">
        <f>H77*'4C2 Open-burning '!$C$10*'4C2 Open-burning '!$C$11*$C$5*H$15</f>
        <v>0</v>
      </c>
      <c r="AG77" s="566">
        <f>I77*'4C2 Open-burning '!$C$10*'4C2 Open-burning '!$C$11*$C$5*I$15</f>
        <v>6.5911519614616956E-2</v>
      </c>
      <c r="AH77" s="567">
        <f t="shared" si="2"/>
        <v>0.13646941266730805</v>
      </c>
      <c r="AI77" s="1646"/>
      <c r="AJ77" s="1646"/>
      <c r="AK77" s="1646"/>
    </row>
    <row r="78" spans="1:37">
      <c r="A78" s="568">
        <f>'Input data'!A108</f>
        <v>2008</v>
      </c>
      <c r="B78" s="1620">
        <f>'Baseline data (from input)'!V64</f>
        <v>0.09</v>
      </c>
      <c r="C78" s="606">
        <f>$B78*'Baseline data (from input)'!L64*'Baseline data (from input)'!$C64</f>
        <v>737.7273802505174</v>
      </c>
      <c r="D78" s="607">
        <f>$B78*'Baseline data (from input)'!M64*'Baseline data (from input)'!$C64</f>
        <v>770.48633232149314</v>
      </c>
      <c r="E78" s="607">
        <f>$B78*'Baseline data (from input)'!N64*'Baseline data (from input)'!$C64</f>
        <v>210.44320752974798</v>
      </c>
      <c r="F78" s="607">
        <f>$B78*'Baseline data (from input)'!O64*'Baseline data (from input)'!$C64</f>
        <v>0</v>
      </c>
      <c r="G78" s="607">
        <f>$B78*'Baseline data (from input)'!P64*'Baseline data (from input)'!$C64</f>
        <v>0</v>
      </c>
      <c r="H78" s="607">
        <f>$B78*'Baseline data (from input)'!Q64*'Baseline data (from input)'!$C64</f>
        <v>0</v>
      </c>
      <c r="I78" s="607">
        <f>$B78*'Baseline data (from input)'!R64*'Baseline data (from input)'!$C64</f>
        <v>822.76063999824134</v>
      </c>
      <c r="J78" s="770">
        <f t="shared" si="3"/>
        <v>2541.4175600999997</v>
      </c>
      <c r="K78" s="563">
        <f>'4C2 Open-burning '!C$14*'4C2 Open-burning '!$C$5*'4C2 Open-burning '!$C$6*'4C2 Open-burning '!$C$7*C78</f>
        <v>0</v>
      </c>
      <c r="L78" s="564">
        <f>'4C2 Open-burning '!D$14*'4C2 Open-burning '!$C$5*'4C2 Open-burning '!$C$6*'4C2 Open-burning '!$C$7*D78</f>
        <v>0</v>
      </c>
      <c r="M78" s="564">
        <f>'4C2 Open-burning '!E$14*'4C2 Open-burning '!$C$5*'4C2 Open-burning '!$C$6*'4C2 Open-burning '!$C$7*E78</f>
        <v>1.1116957058249479</v>
      </c>
      <c r="N78" s="564">
        <f>'4C2 Open-burning '!F$14*'4C2 Open-burning '!$C$5*'4C2 Open-burning '!$C$6*'4C2 Open-burning '!$C$7*F78</f>
        <v>0</v>
      </c>
      <c r="O78" s="564">
        <f>'4C2 Open-burning '!G$14*'4C2 Open-burning '!$C$5*'4C2 Open-burning '!$C$6*'4C2 Open-burning '!$C$7*G78</f>
        <v>0</v>
      </c>
      <c r="P78" s="564">
        <f>'4C2 Open-burning '!H$14*'4C2 Open-burning '!$C$5*'4C2 Open-burning '!$C$6*'4C2 Open-burning '!$C$7*H78</f>
        <v>0</v>
      </c>
      <c r="Q78" s="564">
        <f>'4C2 Open-burning '!I$14*'4C2 Open-burning '!$C$5*'4C2 Open-burning '!$C$6*'4C2 Open-burning '!$C$7*I78</f>
        <v>28.345749569219407</v>
      </c>
      <c r="R78" s="1625">
        <f t="shared" si="0"/>
        <v>29.457445275044357</v>
      </c>
      <c r="S78" s="563">
        <f>C78*'4C2 Open-burning '!$C$9*'4C2 Open-burning '!$C$11*$C$5</f>
        <v>2.877136782977018</v>
      </c>
      <c r="T78" s="564">
        <f>D78*'4C2 Open-burning '!$C$9*'4C2 Open-burning '!$C$11*$C$5</f>
        <v>3.004896696053823</v>
      </c>
      <c r="U78" s="564">
        <f>E78*'4C2 Open-burning '!$C$9*'4C2 Open-burning '!$C$11*$C$5</f>
        <v>0.82072850936601704</v>
      </c>
      <c r="V78" s="564">
        <f>F78*'4C2 Open-burning '!$C$9*'4C2 Open-burning '!$C$11*$C$5</f>
        <v>0</v>
      </c>
      <c r="W78" s="564">
        <f>G78*'4C2 Open-burning '!$C$9*'4C2 Open-burning '!$C$11*$C$5</f>
        <v>0</v>
      </c>
      <c r="X78" s="564">
        <f>H78*'4C2 Open-burning '!$C$9*'4C2 Open-burning '!$C$11*$C$5</f>
        <v>0</v>
      </c>
      <c r="Y78" s="564">
        <f>I78*'4C2 Open-burning '!$C$9*'4C2 Open-burning '!$C$11*$C$5</f>
        <v>3.2087664959931415</v>
      </c>
      <c r="Z78" s="565">
        <f t="shared" si="4"/>
        <v>9.9115284843900007</v>
      </c>
      <c r="AA78" s="566">
        <f>C78*'4C2 Open-burning '!$C$10*'4C2 Open-burning '!$C$11*$C$5*C$15</f>
        <v>2.6558185689018621E-2</v>
      </c>
      <c r="AB78" s="566">
        <f>D78*'4C2 Open-burning '!$C$10*'4C2 Open-burning '!$C$11*$C$5*D$15</f>
        <v>2.7737507963573757E-2</v>
      </c>
      <c r="AC78" s="566">
        <f>E78*'4C2 Open-burning '!$C$10*'4C2 Open-burning '!$C$11*$C$5*E$15</f>
        <v>1.7045899809909587E-2</v>
      </c>
      <c r="AD78" s="566">
        <f>F78*'4C2 Open-burning '!$C$10*'4C2 Open-burning '!$C$11*$C$5*F$15</f>
        <v>0</v>
      </c>
      <c r="AE78" s="566">
        <f>G78*'4C2 Open-burning '!$C$10*'4C2 Open-burning '!$C$11*$C$5*G$15</f>
        <v>0</v>
      </c>
      <c r="AF78" s="566">
        <f>H78*'4C2 Open-burning '!$C$10*'4C2 Open-burning '!$C$11*$C$5*H$15</f>
        <v>0</v>
      </c>
      <c r="AG78" s="566">
        <f>I78*'4C2 Open-burning '!$C$10*'4C2 Open-burning '!$C$11*$C$5*I$15</f>
        <v>6.664361183985755E-2</v>
      </c>
      <c r="AH78" s="567">
        <f t="shared" si="2"/>
        <v>0.13798520530235953</v>
      </c>
      <c r="AI78" s="1646"/>
      <c r="AJ78" s="1646"/>
      <c r="AK78" s="1646"/>
    </row>
    <row r="79" spans="1:37">
      <c r="A79" s="568">
        <f>'Input data'!A109</f>
        <v>2009</v>
      </c>
      <c r="B79" s="1620">
        <f>'Baseline data (from input)'!V65</f>
        <v>0.09</v>
      </c>
      <c r="C79" s="606">
        <f>$B79*'Baseline data (from input)'!L65*'Baseline data (from input)'!$C65</f>
        <v>745.69537421260259</v>
      </c>
      <c r="D79" s="607">
        <f>$B79*'Baseline data (from input)'!M65*'Baseline data (from input)'!$C65</f>
        <v>778.80814686729741</v>
      </c>
      <c r="E79" s="607">
        <f>$B79*'Baseline data (from input)'!N65*'Baseline data (from input)'!$C65</f>
        <v>212.71614771313858</v>
      </c>
      <c r="F79" s="607">
        <f>$B79*'Baseline data (from input)'!O65*'Baseline data (from input)'!$C65</f>
        <v>0</v>
      </c>
      <c r="G79" s="607">
        <f>$B79*'Baseline data (from input)'!P65*'Baseline data (from input)'!$C65</f>
        <v>0</v>
      </c>
      <c r="H79" s="607">
        <f>$B79*'Baseline data (from input)'!Q65*'Baseline data (from input)'!$C65</f>
        <v>0</v>
      </c>
      <c r="I79" s="607">
        <f>$B79*'Baseline data (from input)'!R65*'Baseline data (from input)'!$C65</f>
        <v>831.64705520696134</v>
      </c>
      <c r="J79" s="770">
        <f t="shared" si="3"/>
        <v>2568.866724</v>
      </c>
      <c r="K79" s="563">
        <f>'4C2 Open-burning '!C$14*'4C2 Open-burning '!$C$5*'4C2 Open-burning '!$C$6*'4C2 Open-burning '!$C$7*C79</f>
        <v>0</v>
      </c>
      <c r="L79" s="564">
        <f>'4C2 Open-burning '!D$14*'4C2 Open-burning '!$C$5*'4C2 Open-burning '!$C$6*'4C2 Open-burning '!$C$7*D79</f>
        <v>0</v>
      </c>
      <c r="M79" s="564">
        <f>'4C2 Open-burning '!E$14*'4C2 Open-burning '!$C$5*'4C2 Open-burning '!$C$6*'4C2 Open-burning '!$C$7*E79</f>
        <v>1.1237028305553345</v>
      </c>
      <c r="N79" s="564">
        <f>'4C2 Open-burning '!F$14*'4C2 Open-burning '!$C$5*'4C2 Open-burning '!$C$6*'4C2 Open-burning '!$C$7*F79</f>
        <v>0</v>
      </c>
      <c r="O79" s="564">
        <f>'4C2 Open-burning '!G$14*'4C2 Open-burning '!$C$5*'4C2 Open-burning '!$C$6*'4C2 Open-burning '!$C$7*G79</f>
        <v>0</v>
      </c>
      <c r="P79" s="564">
        <f>'4C2 Open-burning '!H$14*'4C2 Open-burning '!$C$5*'4C2 Open-burning '!$C$6*'4C2 Open-burning '!$C$7*H79</f>
        <v>0</v>
      </c>
      <c r="Q79" s="564">
        <f>'4C2 Open-burning '!I$14*'4C2 Open-burning '!$C$5*'4C2 Open-burning '!$C$6*'4C2 Open-burning '!$C$7*I79</f>
        <v>28.651904345990229</v>
      </c>
      <c r="R79" s="1625">
        <f t="shared" si="0"/>
        <v>29.775607176545563</v>
      </c>
      <c r="S79" s="563">
        <f>C79*'4C2 Open-burning '!$C$9*'4C2 Open-burning '!$C$11*$C$5</f>
        <v>2.90821195942915</v>
      </c>
      <c r="T79" s="564">
        <f>D79*'4C2 Open-burning '!$C$9*'4C2 Open-burning '!$C$11*$C$5</f>
        <v>3.0373517727824599</v>
      </c>
      <c r="U79" s="564">
        <f>E79*'4C2 Open-burning '!$C$9*'4C2 Open-burning '!$C$11*$C$5</f>
        <v>0.8295929760812405</v>
      </c>
      <c r="V79" s="564">
        <f>F79*'4C2 Open-burning '!$C$9*'4C2 Open-burning '!$C$11*$C$5</f>
        <v>0</v>
      </c>
      <c r="W79" s="564">
        <f>G79*'4C2 Open-burning '!$C$9*'4C2 Open-burning '!$C$11*$C$5</f>
        <v>0</v>
      </c>
      <c r="X79" s="564">
        <f>H79*'4C2 Open-burning '!$C$9*'4C2 Open-burning '!$C$11*$C$5</f>
        <v>0</v>
      </c>
      <c r="Y79" s="564">
        <f>I79*'4C2 Open-burning '!$C$9*'4C2 Open-burning '!$C$11*$C$5</f>
        <v>3.2434235153071489</v>
      </c>
      <c r="Z79" s="565">
        <f t="shared" si="4"/>
        <v>10.018580223600001</v>
      </c>
      <c r="AA79" s="566">
        <f>C79*'4C2 Open-burning '!$C$10*'4C2 Open-burning '!$C$11*$C$5*C$15</f>
        <v>2.6845033471653693E-2</v>
      </c>
      <c r="AB79" s="566">
        <f>D79*'4C2 Open-burning '!$C$10*'4C2 Open-burning '!$C$11*$C$5*D$15</f>
        <v>2.8037093287222703E-2</v>
      </c>
      <c r="AC79" s="566">
        <f>E79*'4C2 Open-burning '!$C$10*'4C2 Open-burning '!$C$11*$C$5*E$15</f>
        <v>1.7230007964764225E-2</v>
      </c>
      <c r="AD79" s="566">
        <f>F79*'4C2 Open-burning '!$C$10*'4C2 Open-burning '!$C$11*$C$5*F$15</f>
        <v>0</v>
      </c>
      <c r="AE79" s="566">
        <f>G79*'4C2 Open-burning '!$C$10*'4C2 Open-burning '!$C$11*$C$5*G$15</f>
        <v>0</v>
      </c>
      <c r="AF79" s="566">
        <f>H79*'4C2 Open-burning '!$C$10*'4C2 Open-burning '!$C$11*$C$5*H$15</f>
        <v>0</v>
      </c>
      <c r="AG79" s="566">
        <f>I79*'4C2 Open-burning '!$C$10*'4C2 Open-burning '!$C$11*$C$5*I$15</f>
        <v>6.7363411471763862E-2</v>
      </c>
      <c r="AH79" s="567">
        <f t="shared" si="2"/>
        <v>0.13947554619540448</v>
      </c>
      <c r="AI79" s="1646"/>
      <c r="AJ79" s="1646"/>
      <c r="AK79" s="1646"/>
    </row>
    <row r="80" spans="1:37">
      <c r="A80" s="568">
        <f>'Input data'!A110</f>
        <v>2010</v>
      </c>
      <c r="B80" s="1620">
        <f>'Baseline data (from input)'!V66</f>
        <v>9.3933535107009608E-2</v>
      </c>
      <c r="C80" s="606">
        <f>$B80*'Baseline data (from input)'!L66*'Baseline data (from input)'!$C66</f>
        <v>760.71008609977446</v>
      </c>
      <c r="D80" s="607">
        <f>$B80*'Baseline data (from input)'!M66*'Baseline data (from input)'!$C66</f>
        <v>794.48959044999663</v>
      </c>
      <c r="E80" s="607">
        <f>$B80*'Baseline data (from input)'!N66*'Baseline data (from input)'!$C66</f>
        <v>216.99922600772283</v>
      </c>
      <c r="F80" s="607">
        <f>$B80*'Baseline data (from input)'!O66*'Baseline data (from input)'!$C66</f>
        <v>0</v>
      </c>
      <c r="G80" s="607">
        <f>$B80*'Baseline data (from input)'!P66*'Baseline data (from input)'!$C66</f>
        <v>0</v>
      </c>
      <c r="H80" s="607">
        <f>$B80*'Baseline data (from input)'!Q66*'Baseline data (from input)'!$C66</f>
        <v>0</v>
      </c>
      <c r="I80" s="607">
        <f>$B80*'Baseline data (from input)'!R66*'Baseline data (from input)'!$C66</f>
        <v>848.3924198123575</v>
      </c>
      <c r="J80" s="770">
        <f>SUM(C80:I80)</f>
        <v>2620.5913223698517</v>
      </c>
      <c r="K80" s="563">
        <f>'4C2 Open-burning '!C$14*'4C2 Open-burning '!$C$5*'4C2 Open-burning '!$C$6*'4C2 Open-burning '!$C$7*C80</f>
        <v>0</v>
      </c>
      <c r="L80" s="564">
        <f>'4C2 Open-burning '!D$14*'4C2 Open-burning '!$C$5*'4C2 Open-burning '!$C$6*'4C2 Open-burning '!$C$7*D80</f>
        <v>0</v>
      </c>
      <c r="M80" s="564">
        <f>'4C2 Open-burning '!E$14*'4C2 Open-burning '!$C$5*'4C2 Open-burning '!$C$6*'4C2 Open-burning '!$C$7*E80</f>
        <v>1.1463287912774369</v>
      </c>
      <c r="N80" s="564">
        <f>'4C2 Open-burning '!F$14*'4C2 Open-burning '!$C$5*'4C2 Open-burning '!$C$6*'4C2 Open-burning '!$C$7*F80</f>
        <v>0</v>
      </c>
      <c r="O80" s="564">
        <f>'4C2 Open-burning '!G$14*'4C2 Open-burning '!$C$5*'4C2 Open-burning '!$C$6*'4C2 Open-burning '!$C$7*G80</f>
        <v>0</v>
      </c>
      <c r="P80" s="564">
        <f>'4C2 Open-burning '!H$14*'4C2 Open-burning '!$C$5*'4C2 Open-burning '!$C$6*'4C2 Open-burning '!$C$7*H80</f>
        <v>0</v>
      </c>
      <c r="Q80" s="564">
        <f>'4C2 Open-burning '!I$14*'4C2 Open-burning '!$C$5*'4C2 Open-burning '!$C$6*'4C2 Open-burning '!$C$7*I80</f>
        <v>29.228815647375338</v>
      </c>
      <c r="R80" s="1625">
        <f t="shared" si="0"/>
        <v>30.375144438652775</v>
      </c>
      <c r="S80" s="563">
        <f>C80*'4C2 Open-burning '!$C$9*'4C2 Open-burning '!$C$11*$C$5</f>
        <v>2.9667693357891207</v>
      </c>
      <c r="T80" s="564">
        <f>D80*'4C2 Open-burning '!$C$9*'4C2 Open-burning '!$C$11*$C$5</f>
        <v>3.0985094027549862</v>
      </c>
      <c r="U80" s="564">
        <f>E80*'4C2 Open-burning '!$C$9*'4C2 Open-burning '!$C$11*$C$5</f>
        <v>0.84629698143011889</v>
      </c>
      <c r="V80" s="564">
        <f>F80*'4C2 Open-burning '!$C$9*'4C2 Open-burning '!$C$11*$C$5</f>
        <v>0</v>
      </c>
      <c r="W80" s="564">
        <f>G80*'4C2 Open-burning '!$C$9*'4C2 Open-burning '!$C$11*$C$5</f>
        <v>0</v>
      </c>
      <c r="X80" s="564">
        <f>H80*'4C2 Open-burning '!$C$9*'4C2 Open-burning '!$C$11*$C$5</f>
        <v>0</v>
      </c>
      <c r="Y80" s="564">
        <f>I80*'4C2 Open-burning '!$C$9*'4C2 Open-burning '!$C$11*$C$5</f>
        <v>3.3087304372681938</v>
      </c>
      <c r="Z80" s="565">
        <f t="shared" si="4"/>
        <v>10.220306157242419</v>
      </c>
      <c r="AA80" s="566">
        <f>C80*'4C2 Open-burning '!$C$10*'4C2 Open-burning '!$C$11*$C$5*C$15</f>
        <v>2.7385563099591882E-2</v>
      </c>
      <c r="AB80" s="566">
        <f>D80*'4C2 Open-burning '!$C$10*'4C2 Open-burning '!$C$11*$C$5*D$15</f>
        <v>2.8601625256199883E-2</v>
      </c>
      <c r="AC80" s="566">
        <f>E80*'4C2 Open-burning '!$C$10*'4C2 Open-burning '!$C$11*$C$5*E$15</f>
        <v>1.7576937306625549E-2</v>
      </c>
      <c r="AD80" s="566">
        <f>F80*'4C2 Open-burning '!$C$10*'4C2 Open-burning '!$C$11*$C$5*F$15</f>
        <v>0</v>
      </c>
      <c r="AE80" s="566">
        <f>G80*'4C2 Open-burning '!$C$10*'4C2 Open-burning '!$C$11*$C$5*G$15</f>
        <v>0</v>
      </c>
      <c r="AF80" s="566">
        <f>H80*'4C2 Open-burning '!$C$10*'4C2 Open-burning '!$C$11*$C$5*H$15</f>
        <v>0</v>
      </c>
      <c r="AG80" s="566">
        <f>I80*'4C2 Open-burning '!$C$10*'4C2 Open-burning '!$C$11*$C$5*I$15</f>
        <v>6.8719786004800956E-2</v>
      </c>
      <c r="AH80" s="567">
        <f t="shared" si="2"/>
        <v>0.14228391166721827</v>
      </c>
      <c r="AI80" s="1646"/>
      <c r="AJ80" s="1646"/>
      <c r="AK80" s="1646"/>
    </row>
    <row r="81" spans="1:37">
      <c r="A81" s="568">
        <f>'Input data'!A111</f>
        <v>2011</v>
      </c>
      <c r="B81" s="1620">
        <f>'Baseline data (from input)'!V67</f>
        <v>9.7867070214019219E-2</v>
      </c>
      <c r="C81" s="606">
        <f>$B81*'Baseline data (from input)'!L67*'Baseline data (from input)'!$C67</f>
        <v>794.37922077568578</v>
      </c>
      <c r="D81" s="607">
        <f>$B81*'Baseline data (from input)'!M67*'Baseline data (from input)'!$C67</f>
        <v>829.65381070717615</v>
      </c>
      <c r="E81" s="607">
        <f>$B81*'Baseline data (from input)'!N67*'Baseline data (from input)'!$C67</f>
        <v>226.60364206388675</v>
      </c>
      <c r="F81" s="607">
        <f>$B81*'Baseline data (from input)'!O67*'Baseline data (from input)'!$C67</f>
        <v>0</v>
      </c>
      <c r="G81" s="607">
        <f>$B81*'Baseline data (from input)'!P67*'Baseline data (from input)'!$C67</f>
        <v>0</v>
      </c>
      <c r="H81" s="607">
        <f>$B81*'Baseline data (from input)'!Q67*'Baseline data (from input)'!$C67</f>
        <v>0</v>
      </c>
      <c r="I81" s="607">
        <f>$B81*'Baseline data (from input)'!R67*'Baseline data (from input)'!$C67</f>
        <v>885.94238682691093</v>
      </c>
      <c r="J81" s="770">
        <f t="shared" si="3"/>
        <v>2736.5790603736596</v>
      </c>
      <c r="K81" s="563">
        <f>'4C2 Open-burning '!C$14*'4C2 Open-burning '!$C$5*'4C2 Open-burning '!$C$6*'4C2 Open-burning '!$C$7*C81</f>
        <v>0</v>
      </c>
      <c r="L81" s="564">
        <f>'4C2 Open-burning '!D$14*'4C2 Open-burning '!$C$5*'4C2 Open-burning '!$C$6*'4C2 Open-burning '!$C$7*D81</f>
        <v>0</v>
      </c>
      <c r="M81" s="564">
        <f>'4C2 Open-burning '!E$14*'4C2 Open-burning '!$C$5*'4C2 Open-burning '!$C$6*'4C2 Open-burning '!$C$7*E81</f>
        <v>1.1970654637123708</v>
      </c>
      <c r="N81" s="564">
        <f>'4C2 Open-burning '!F$14*'4C2 Open-burning '!$C$5*'4C2 Open-burning '!$C$6*'4C2 Open-burning '!$C$7*F81</f>
        <v>0</v>
      </c>
      <c r="O81" s="564">
        <f>'4C2 Open-burning '!G$14*'4C2 Open-burning '!$C$5*'4C2 Open-burning '!$C$6*'4C2 Open-burning '!$C$7*G81</f>
        <v>0</v>
      </c>
      <c r="P81" s="564">
        <f>'4C2 Open-burning '!H$14*'4C2 Open-burning '!$C$5*'4C2 Open-burning '!$C$6*'4C2 Open-burning '!$C$7*H81</f>
        <v>0</v>
      </c>
      <c r="Q81" s="564">
        <f>'4C2 Open-burning '!I$14*'4C2 Open-burning '!$C$5*'4C2 Open-burning '!$C$6*'4C2 Open-burning '!$C$7*I81</f>
        <v>30.522487110960732</v>
      </c>
      <c r="R81" s="1625">
        <f t="shared" si="0"/>
        <v>31.719552574673102</v>
      </c>
      <c r="S81" s="563">
        <f>C81*'4C2 Open-burning '!$C$9*'4C2 Open-burning '!$C$11*$C$5</f>
        <v>3.0980789610251742</v>
      </c>
      <c r="T81" s="564">
        <f>D81*'4C2 Open-burning '!$C$9*'4C2 Open-burning '!$C$11*$C$5</f>
        <v>3.2356498617579867</v>
      </c>
      <c r="U81" s="564">
        <f>E81*'4C2 Open-burning '!$C$9*'4C2 Open-burning '!$C$11*$C$5</f>
        <v>0.88375420404915828</v>
      </c>
      <c r="V81" s="564">
        <f>F81*'4C2 Open-burning '!$C$9*'4C2 Open-burning '!$C$11*$C$5</f>
        <v>0</v>
      </c>
      <c r="W81" s="564">
        <f>G81*'4C2 Open-burning '!$C$9*'4C2 Open-burning '!$C$11*$C$5</f>
        <v>0</v>
      </c>
      <c r="X81" s="564">
        <f>H81*'4C2 Open-burning '!$C$9*'4C2 Open-burning '!$C$11*$C$5</f>
        <v>0</v>
      </c>
      <c r="Y81" s="564">
        <f>I81*'4C2 Open-burning '!$C$9*'4C2 Open-burning '!$C$11*$C$5</f>
        <v>3.4551753086249524</v>
      </c>
      <c r="Z81" s="565">
        <f t="shared" si="4"/>
        <v>10.672658335457273</v>
      </c>
      <c r="AA81" s="566">
        <f>C81*'4C2 Open-burning '!$C$10*'4C2 Open-burning '!$C$11*$C$5*C$15</f>
        <v>2.8597651947924685E-2</v>
      </c>
      <c r="AB81" s="566">
        <f>D81*'4C2 Open-burning '!$C$10*'4C2 Open-burning '!$C$11*$C$5*D$15</f>
        <v>2.9867537185458339E-2</v>
      </c>
      <c r="AC81" s="566">
        <f>E81*'4C2 Open-burning '!$C$10*'4C2 Open-burning '!$C$11*$C$5*E$15</f>
        <v>1.8354895007174826E-2</v>
      </c>
      <c r="AD81" s="566">
        <f>F81*'4C2 Open-burning '!$C$10*'4C2 Open-burning '!$C$11*$C$5*F$15</f>
        <v>0</v>
      </c>
      <c r="AE81" s="566">
        <f>G81*'4C2 Open-burning '!$C$10*'4C2 Open-burning '!$C$11*$C$5*G$15</f>
        <v>0</v>
      </c>
      <c r="AF81" s="566">
        <f>H81*'4C2 Open-burning '!$C$10*'4C2 Open-burning '!$C$11*$C$5*H$15</f>
        <v>0</v>
      </c>
      <c r="AG81" s="566">
        <f>I81*'4C2 Open-burning '!$C$10*'4C2 Open-burning '!$C$11*$C$5*I$15</f>
        <v>7.1761333332979779E-2</v>
      </c>
      <c r="AH81" s="567">
        <f t="shared" si="2"/>
        <v>0.14858141747353765</v>
      </c>
      <c r="AI81" s="1646"/>
      <c r="AJ81" s="1646"/>
      <c r="AK81" s="1646"/>
    </row>
    <row r="82" spans="1:37">
      <c r="A82" s="568">
        <f>'Input data'!A112</f>
        <v>2012</v>
      </c>
      <c r="B82" s="1620">
        <f>'Baseline data (from input)'!V68</f>
        <v>0.10180060532102883</v>
      </c>
      <c r="C82" s="606">
        <f>$B82*'Baseline data (from input)'!L68*'Baseline data (from input)'!$C68</f>
        <v>805.29417184034583</v>
      </c>
      <c r="D82" s="607">
        <f>$B82*'Baseline data (from input)'!M68*'Baseline data (from input)'!$C68</f>
        <v>841.0534426558005</v>
      </c>
      <c r="E82" s="607">
        <f>$B82*'Baseline data (from input)'!N68*'Baseline data (from input)'!$C68</f>
        <v>229.71722761536424</v>
      </c>
      <c r="F82" s="607">
        <f>$B82*'Baseline data (from input)'!O68*'Baseline data (from input)'!$C68</f>
        <v>0</v>
      </c>
      <c r="G82" s="607">
        <f>$B82*'Baseline data (from input)'!P68*'Baseline data (from input)'!$C68</f>
        <v>0</v>
      </c>
      <c r="H82" s="607">
        <f>$B82*'Baseline data (from input)'!Q68*'Baseline data (from input)'!$C68</f>
        <v>0</v>
      </c>
      <c r="I82" s="607">
        <f>$B82*'Baseline data (from input)'!R68*'Baseline data (from input)'!$C68</f>
        <v>898.11543660643758</v>
      </c>
      <c r="J82" s="770">
        <f t="shared" si="3"/>
        <v>2774.1802787179481</v>
      </c>
      <c r="K82" s="563">
        <f>'4C2 Open-burning '!C$14*'4C2 Open-burning '!$C$5*'4C2 Open-burning '!$C$6*'4C2 Open-burning '!$C$7*C82</f>
        <v>0</v>
      </c>
      <c r="L82" s="564">
        <f>'4C2 Open-burning '!D$14*'4C2 Open-burning '!$C$5*'4C2 Open-burning '!$C$6*'4C2 Open-burning '!$C$7*D82</f>
        <v>0</v>
      </c>
      <c r="M82" s="564">
        <f>'4C2 Open-burning '!E$14*'4C2 Open-burning '!$C$5*'4C2 Open-burning '!$C$6*'4C2 Open-burning '!$C$7*E82</f>
        <v>1.2135134152900278</v>
      </c>
      <c r="N82" s="564">
        <f>'4C2 Open-burning '!F$14*'4C2 Open-burning '!$C$5*'4C2 Open-burning '!$C$6*'4C2 Open-burning '!$C$7*F82</f>
        <v>0</v>
      </c>
      <c r="O82" s="564">
        <f>'4C2 Open-burning '!G$14*'4C2 Open-burning '!$C$5*'4C2 Open-burning '!$C$6*'4C2 Open-burning '!$C$7*G82</f>
        <v>0</v>
      </c>
      <c r="P82" s="564">
        <f>'4C2 Open-burning '!H$14*'4C2 Open-burning '!$C$5*'4C2 Open-burning '!$C$6*'4C2 Open-burning '!$C$7*H82</f>
        <v>0</v>
      </c>
      <c r="Q82" s="564">
        <f>'4C2 Open-burning '!I$14*'4C2 Open-burning '!$C$5*'4C2 Open-burning '!$C$6*'4C2 Open-burning '!$C$7*I82</f>
        <v>30.941873021964984</v>
      </c>
      <c r="R82" s="1625">
        <f t="shared" si="0"/>
        <v>32.155386437255011</v>
      </c>
      <c r="S82" s="563">
        <f>C82*'4C2 Open-burning '!$C$9*'4C2 Open-burning '!$C$11*$C$5</f>
        <v>3.1406472701773485</v>
      </c>
      <c r="T82" s="564">
        <f>D82*'4C2 Open-burning '!$C$9*'4C2 Open-burning '!$C$11*$C$5</f>
        <v>3.2801084263576219</v>
      </c>
      <c r="U82" s="564">
        <f>E82*'4C2 Open-burning '!$C$9*'4C2 Open-burning '!$C$11*$C$5</f>
        <v>0.89589718769992055</v>
      </c>
      <c r="V82" s="564">
        <f>F82*'4C2 Open-burning '!$C$9*'4C2 Open-burning '!$C$11*$C$5</f>
        <v>0</v>
      </c>
      <c r="W82" s="564">
        <f>G82*'4C2 Open-burning '!$C$9*'4C2 Open-burning '!$C$11*$C$5</f>
        <v>0</v>
      </c>
      <c r="X82" s="564">
        <f>H82*'4C2 Open-burning '!$C$9*'4C2 Open-burning '!$C$11*$C$5</f>
        <v>0</v>
      </c>
      <c r="Y82" s="564">
        <f>I82*'4C2 Open-burning '!$C$9*'4C2 Open-burning '!$C$11*$C$5</f>
        <v>3.5026502027651065</v>
      </c>
      <c r="Z82" s="565">
        <f t="shared" si="4"/>
        <v>10.819303086999996</v>
      </c>
      <c r="AA82" s="566">
        <f>C82*'4C2 Open-burning '!$C$10*'4C2 Open-burning '!$C$11*$C$5*C$15</f>
        <v>2.8990590186252455E-2</v>
      </c>
      <c r="AB82" s="566">
        <f>D82*'4C2 Open-burning '!$C$10*'4C2 Open-burning '!$C$11*$C$5*D$15</f>
        <v>3.0277923935608814E-2</v>
      </c>
      <c r="AC82" s="566">
        <f>E82*'4C2 Open-burning '!$C$10*'4C2 Open-burning '!$C$11*$C$5*E$15</f>
        <v>1.8607095436844502E-2</v>
      </c>
      <c r="AD82" s="566">
        <f>F82*'4C2 Open-burning '!$C$10*'4C2 Open-burning '!$C$11*$C$5*F$15</f>
        <v>0</v>
      </c>
      <c r="AE82" s="566">
        <f>G82*'4C2 Open-burning '!$C$10*'4C2 Open-burning '!$C$11*$C$5*G$15</f>
        <v>0</v>
      </c>
      <c r="AF82" s="566">
        <f>H82*'4C2 Open-burning '!$C$10*'4C2 Open-burning '!$C$11*$C$5*H$15</f>
        <v>0</v>
      </c>
      <c r="AG82" s="566">
        <f>I82*'4C2 Open-burning '!$C$10*'4C2 Open-burning '!$C$11*$C$5*I$15</f>
        <v>7.2747350365121435E-2</v>
      </c>
      <c r="AH82" s="567">
        <f t="shared" si="2"/>
        <v>0.15062295992382718</v>
      </c>
      <c r="AI82" s="1646"/>
      <c r="AJ82" s="1646"/>
      <c r="AK82" s="1646"/>
    </row>
    <row r="83" spans="1:37">
      <c r="A83" s="568">
        <f>'Input data'!A113</f>
        <v>2013</v>
      </c>
      <c r="B83" s="1620">
        <f>'Baseline data (from input)'!V69</f>
        <v>0.10573414042803844</v>
      </c>
      <c r="C83" s="606">
        <f>$B83*'Baseline data (from input)'!L69*'Baseline data (from input)'!$C69</f>
        <v>817.39187106158624</v>
      </c>
      <c r="D83" s="607">
        <f>$B83*'Baseline data (from input)'!M69*'Baseline data (from input)'!$C69</f>
        <v>853.68834296184139</v>
      </c>
      <c r="E83" s="607">
        <f>$B83*'Baseline data (from input)'!N69*'Baseline data (from input)'!$C69</f>
        <v>233.16820245512611</v>
      </c>
      <c r="F83" s="607">
        <f>$B83*'Baseline data (from input)'!O69*'Baseline data (from input)'!$C69</f>
        <v>0</v>
      </c>
      <c r="G83" s="607">
        <f>$B83*'Baseline data (from input)'!P69*'Baseline data (from input)'!$C69</f>
        <v>0</v>
      </c>
      <c r="H83" s="607">
        <f>$B83*'Baseline data (from input)'!Q69*'Baseline data (from input)'!$C69</f>
        <v>0</v>
      </c>
      <c r="I83" s="607">
        <f>$B83*'Baseline data (from input)'!R69*'Baseline data (from input)'!$C69</f>
        <v>911.60756258716765</v>
      </c>
      <c r="J83" s="770">
        <f t="shared" si="3"/>
        <v>2815.8559790657214</v>
      </c>
      <c r="K83" s="563">
        <f>'4C2 Open-burning '!C$14*'4C2 Open-burning '!$C$5*'4C2 Open-burning '!$C$6*'4C2 Open-burning '!$C$7*C83</f>
        <v>0</v>
      </c>
      <c r="L83" s="564">
        <f>'4C2 Open-burning '!D$14*'4C2 Open-burning '!$C$5*'4C2 Open-burning '!$C$6*'4C2 Open-burning '!$C$7*D83</f>
        <v>0</v>
      </c>
      <c r="M83" s="564">
        <f>'4C2 Open-burning '!E$14*'4C2 Open-burning '!$C$5*'4C2 Open-burning '!$C$6*'4C2 Open-burning '!$C$7*E83</f>
        <v>1.2317436730175473</v>
      </c>
      <c r="N83" s="564">
        <f>'4C2 Open-burning '!F$14*'4C2 Open-burning '!$C$5*'4C2 Open-burning '!$C$6*'4C2 Open-burning '!$C$7*F83</f>
        <v>0</v>
      </c>
      <c r="O83" s="564">
        <f>'4C2 Open-burning '!G$14*'4C2 Open-burning '!$C$5*'4C2 Open-burning '!$C$6*'4C2 Open-burning '!$C$7*G83</f>
        <v>0</v>
      </c>
      <c r="P83" s="564">
        <f>'4C2 Open-burning '!H$14*'4C2 Open-burning '!$C$5*'4C2 Open-burning '!$C$6*'4C2 Open-burning '!$C$7*H83</f>
        <v>0</v>
      </c>
      <c r="Q83" s="564">
        <f>'4C2 Open-burning '!I$14*'4C2 Open-burning '!$C$5*'4C2 Open-burning '!$C$6*'4C2 Open-burning '!$C$7*I83</f>
        <v>31.406703746253097</v>
      </c>
      <c r="R83" s="1625">
        <f t="shared" si="0"/>
        <v>32.638447419270648</v>
      </c>
      <c r="S83" s="563">
        <f>C83*'4C2 Open-burning '!$C$9*'4C2 Open-burning '!$C$11*$C$5</f>
        <v>3.1878282971401859</v>
      </c>
      <c r="T83" s="564">
        <f>D83*'4C2 Open-burning '!$C$9*'4C2 Open-burning '!$C$11*$C$5</f>
        <v>3.329384537551181</v>
      </c>
      <c r="U83" s="564">
        <f>E83*'4C2 Open-burning '!$C$9*'4C2 Open-burning '!$C$11*$C$5</f>
        <v>0.90935598957499175</v>
      </c>
      <c r="V83" s="564">
        <f>F83*'4C2 Open-burning '!$C$9*'4C2 Open-burning '!$C$11*$C$5</f>
        <v>0</v>
      </c>
      <c r="W83" s="564">
        <f>G83*'4C2 Open-burning '!$C$9*'4C2 Open-burning '!$C$11*$C$5</f>
        <v>0</v>
      </c>
      <c r="X83" s="564">
        <f>H83*'4C2 Open-burning '!$C$9*'4C2 Open-burning '!$C$11*$C$5</f>
        <v>0</v>
      </c>
      <c r="Y83" s="564">
        <f>I83*'4C2 Open-burning '!$C$9*'4C2 Open-burning '!$C$11*$C$5</f>
        <v>3.5552694940899534</v>
      </c>
      <c r="Z83" s="565">
        <f t="shared" si="4"/>
        <v>10.981838318356312</v>
      </c>
      <c r="AA83" s="566">
        <f>C83*'4C2 Open-burning '!$C$10*'4C2 Open-burning '!$C$11*$C$5*C$15</f>
        <v>2.9426107358217102E-2</v>
      </c>
      <c r="AB83" s="566">
        <f>D83*'4C2 Open-burning '!$C$10*'4C2 Open-burning '!$C$11*$C$5*D$15</f>
        <v>3.0732780346626288E-2</v>
      </c>
      <c r="AC83" s="566">
        <f>E83*'4C2 Open-burning '!$C$10*'4C2 Open-burning '!$C$11*$C$5*E$15</f>
        <v>1.8886624398865213E-2</v>
      </c>
      <c r="AD83" s="566">
        <f>F83*'4C2 Open-burning '!$C$10*'4C2 Open-burning '!$C$11*$C$5*F$15</f>
        <v>0</v>
      </c>
      <c r="AE83" s="566">
        <f>G83*'4C2 Open-burning '!$C$10*'4C2 Open-burning '!$C$11*$C$5*G$15</f>
        <v>0</v>
      </c>
      <c r="AF83" s="566">
        <f>H83*'4C2 Open-burning '!$C$10*'4C2 Open-burning '!$C$11*$C$5*H$15</f>
        <v>0</v>
      </c>
      <c r="AG83" s="566">
        <f>I83*'4C2 Open-burning '!$C$10*'4C2 Open-burning '!$C$11*$C$5*I$15</f>
        <v>7.3840212569560568E-2</v>
      </c>
      <c r="AH83" s="567">
        <f t="shared" si="2"/>
        <v>0.15288572467326916</v>
      </c>
      <c r="AI83" s="1646"/>
      <c r="AJ83" s="1646"/>
      <c r="AK83" s="1646"/>
    </row>
    <row r="84" spans="1:37">
      <c r="A84" s="568">
        <f>'Input data'!A114</f>
        <v>2014</v>
      </c>
      <c r="B84" s="1620">
        <f>'Baseline data (from input)'!V70</f>
        <v>0.10966767553504805</v>
      </c>
      <c r="C84" s="606">
        <f>$B84*'Baseline data (from input)'!L70*'Baseline data (from input)'!$C70</f>
        <v>827.56200622965423</v>
      </c>
      <c r="D84" s="607">
        <f>$B84*'Baseline data (from input)'!M70*'Baseline data (from input)'!$C70</f>
        <v>864.31008529462224</v>
      </c>
      <c r="E84" s="607">
        <f>$B84*'Baseline data (from input)'!N70*'Baseline data (from input)'!$C70</f>
        <v>236.06932273759756</v>
      </c>
      <c r="F84" s="607">
        <f>$B84*'Baseline data (from input)'!O70*'Baseline data (from input)'!$C70</f>
        <v>0</v>
      </c>
      <c r="G84" s="607">
        <f>$B84*'Baseline data (from input)'!P70*'Baseline data (from input)'!$C70</f>
        <v>0</v>
      </c>
      <c r="H84" s="607">
        <f>$B84*'Baseline data (from input)'!Q70*'Baseline data (from input)'!$C70</f>
        <v>0</v>
      </c>
      <c r="I84" s="607">
        <f>$B84*'Baseline data (from input)'!R70*'Baseline data (from input)'!$C70</f>
        <v>922.9499461610385</v>
      </c>
      <c r="J84" s="770">
        <f t="shared" si="3"/>
        <v>2850.8913604229128</v>
      </c>
      <c r="K84" s="563">
        <f>'4C2 Open-burning '!C$14*'4C2 Open-burning '!$C$5*'4C2 Open-burning '!$C$6*'4C2 Open-burning '!$C$7*C84</f>
        <v>0</v>
      </c>
      <c r="L84" s="564">
        <f>'4C2 Open-burning '!D$14*'4C2 Open-burning '!$C$5*'4C2 Open-burning '!$C$6*'4C2 Open-burning '!$C$7*D84</f>
        <v>0</v>
      </c>
      <c r="M84" s="564">
        <f>'4C2 Open-burning '!E$14*'4C2 Open-burning '!$C$5*'4C2 Open-burning '!$C$6*'4C2 Open-burning '!$C$7*E84</f>
        <v>1.2470692470665423</v>
      </c>
      <c r="N84" s="564">
        <f>'4C2 Open-burning '!F$14*'4C2 Open-burning '!$C$5*'4C2 Open-burning '!$C$6*'4C2 Open-burning '!$C$7*F84</f>
        <v>0</v>
      </c>
      <c r="O84" s="564">
        <f>'4C2 Open-burning '!G$14*'4C2 Open-burning '!$C$5*'4C2 Open-burning '!$C$6*'4C2 Open-burning '!$C$7*G84</f>
        <v>0</v>
      </c>
      <c r="P84" s="564">
        <f>'4C2 Open-burning '!H$14*'4C2 Open-burning '!$C$5*'4C2 Open-burning '!$C$6*'4C2 Open-burning '!$C$7*H84</f>
        <v>0</v>
      </c>
      <c r="Q84" s="564">
        <f>'4C2 Open-burning '!I$14*'4C2 Open-burning '!$C$5*'4C2 Open-burning '!$C$6*'4C2 Open-burning '!$C$7*I84</f>
        <v>31.797471545140095</v>
      </c>
      <c r="R84" s="1625">
        <f t="shared" si="0"/>
        <v>33.044540792206639</v>
      </c>
      <c r="S84" s="563">
        <f>C84*'4C2 Open-burning '!$C$9*'4C2 Open-burning '!$C$11*$C$5</f>
        <v>3.227491824295651</v>
      </c>
      <c r="T84" s="564">
        <f>D84*'4C2 Open-burning '!$C$9*'4C2 Open-burning '!$C$11*$C$5</f>
        <v>3.3708093326490265</v>
      </c>
      <c r="U84" s="564">
        <f>E84*'4C2 Open-burning '!$C$9*'4C2 Open-burning '!$C$11*$C$5</f>
        <v>0.92067035867663038</v>
      </c>
      <c r="V84" s="564">
        <f>F84*'4C2 Open-burning '!$C$9*'4C2 Open-burning '!$C$11*$C$5</f>
        <v>0</v>
      </c>
      <c r="W84" s="564">
        <f>G84*'4C2 Open-burning '!$C$9*'4C2 Open-burning '!$C$11*$C$5</f>
        <v>0</v>
      </c>
      <c r="X84" s="564">
        <f>H84*'4C2 Open-burning '!$C$9*'4C2 Open-burning '!$C$11*$C$5</f>
        <v>0</v>
      </c>
      <c r="Y84" s="564">
        <f>I84*'4C2 Open-burning '!$C$9*'4C2 Open-burning '!$C$11*$C$5</f>
        <v>3.5995047900280497</v>
      </c>
      <c r="Z84" s="565">
        <f t="shared" si="4"/>
        <v>11.118476305649356</v>
      </c>
      <c r="AA84" s="566">
        <f>C84*'4C2 Open-burning '!$C$10*'4C2 Open-burning '!$C$11*$C$5*C$15</f>
        <v>2.9792232224267551E-2</v>
      </c>
      <c r="AB84" s="566">
        <f>D84*'4C2 Open-burning '!$C$10*'4C2 Open-burning '!$C$11*$C$5*D$15</f>
        <v>3.1115163070606397E-2</v>
      </c>
      <c r="AC84" s="566">
        <f>E84*'4C2 Open-burning '!$C$10*'4C2 Open-burning '!$C$11*$C$5*E$15</f>
        <v>1.9121615141745398E-2</v>
      </c>
      <c r="AD84" s="566">
        <f>F84*'4C2 Open-burning '!$C$10*'4C2 Open-burning '!$C$11*$C$5*F$15</f>
        <v>0</v>
      </c>
      <c r="AE84" s="566">
        <f>G84*'4C2 Open-burning '!$C$10*'4C2 Open-burning '!$C$11*$C$5*G$15</f>
        <v>0</v>
      </c>
      <c r="AF84" s="566">
        <f>H84*'4C2 Open-burning '!$C$10*'4C2 Open-burning '!$C$11*$C$5*H$15</f>
        <v>0</v>
      </c>
      <c r="AG84" s="566">
        <f>I84*'4C2 Open-burning '!$C$10*'4C2 Open-burning '!$C$11*$C$5*I$15</f>
        <v>7.4758945639044103E-2</v>
      </c>
      <c r="AH84" s="567">
        <f t="shared" si="2"/>
        <v>0.15478795607566345</v>
      </c>
      <c r="AI84" s="1646"/>
      <c r="AJ84" s="1646"/>
      <c r="AK84" s="1646"/>
    </row>
    <row r="85" spans="1:37">
      <c r="A85" s="568">
        <f>'Input data'!A115</f>
        <v>2015</v>
      </c>
      <c r="B85" s="1620">
        <f>'Baseline data (from input)'!V71</f>
        <v>0.11360121064205767</v>
      </c>
      <c r="C85" s="606">
        <f>$B85*'Baseline data (from input)'!L71*'Baseline data (from input)'!$C71</f>
        <v>835.70929981493816</v>
      </c>
      <c r="D85" s="607">
        <f>$B85*'Baseline data (from input)'!M71*'Baseline data (from input)'!$C71</f>
        <v>872.81916130416414</v>
      </c>
      <c r="E85" s="607">
        <f>$B85*'Baseline data (from input)'!N71*'Baseline data (from input)'!$C71</f>
        <v>238.3934097115573</v>
      </c>
      <c r="F85" s="607">
        <f>$B85*'Baseline data (from input)'!O71*'Baseline data (from input)'!$C71</f>
        <v>0</v>
      </c>
      <c r="G85" s="607">
        <f>$B85*'Baseline data (from input)'!P71*'Baseline data (from input)'!$C71</f>
        <v>0</v>
      </c>
      <c r="H85" s="607">
        <f>$B85*'Baseline data (from input)'!Q71*'Baseline data (from input)'!$C71</f>
        <v>0</v>
      </c>
      <c r="I85" s="607">
        <f>$B85*'Baseline data (from input)'!R71*'Baseline data (from input)'!$C71</f>
        <v>932.03632774850973</v>
      </c>
      <c r="J85" s="770">
        <f t="shared" si="3"/>
        <v>2878.9581985791692</v>
      </c>
      <c r="K85" s="563">
        <f>'4C2 Open-burning '!C$14*'4C2 Open-burning '!$C$5*'4C2 Open-burning '!$C$6*'4C2 Open-burning '!$C$7*C85</f>
        <v>0</v>
      </c>
      <c r="L85" s="564">
        <f>'4C2 Open-burning '!D$14*'4C2 Open-burning '!$C$5*'4C2 Open-burning '!$C$6*'4C2 Open-burning '!$C$7*D85</f>
        <v>0</v>
      </c>
      <c r="M85" s="564">
        <f>'4C2 Open-burning '!E$14*'4C2 Open-burning '!$C$5*'4C2 Open-burning '!$C$6*'4C2 Open-burning '!$C$7*E85</f>
        <v>1.259346561878661</v>
      </c>
      <c r="N85" s="564">
        <f>'4C2 Open-burning '!F$14*'4C2 Open-burning '!$C$5*'4C2 Open-burning '!$C$6*'4C2 Open-burning '!$C$7*F85</f>
        <v>0</v>
      </c>
      <c r="O85" s="564">
        <f>'4C2 Open-burning '!G$14*'4C2 Open-burning '!$C$5*'4C2 Open-burning '!$C$6*'4C2 Open-burning '!$C$7*G85</f>
        <v>0</v>
      </c>
      <c r="P85" s="564">
        <f>'4C2 Open-burning '!H$14*'4C2 Open-burning '!$C$5*'4C2 Open-burning '!$C$6*'4C2 Open-burning '!$C$7*H85</f>
        <v>0</v>
      </c>
      <c r="Q85" s="564">
        <f>'4C2 Open-burning '!I$14*'4C2 Open-burning '!$C$5*'4C2 Open-burning '!$C$6*'4C2 Open-burning '!$C$7*I85</f>
        <v>32.110515563591655</v>
      </c>
      <c r="R85" s="1625">
        <f t="shared" ref="R85:R87" si="5">SUM(K85:Q85)</f>
        <v>33.369862125470313</v>
      </c>
      <c r="S85" s="563">
        <f>C85*'4C2 Open-burning '!$C$9*'4C2 Open-burning '!$C$11*$C$5</f>
        <v>3.2592662692782586</v>
      </c>
      <c r="T85" s="564">
        <f>D85*'4C2 Open-burning '!$C$9*'4C2 Open-burning '!$C$11*$C$5</f>
        <v>3.4039947290862398</v>
      </c>
      <c r="U85" s="564">
        <f>E85*'4C2 Open-burning '!$C$9*'4C2 Open-burning '!$C$11*$C$5</f>
        <v>0.92973429787507333</v>
      </c>
      <c r="V85" s="564">
        <f>F85*'4C2 Open-burning '!$C$9*'4C2 Open-burning '!$C$11*$C$5</f>
        <v>0</v>
      </c>
      <c r="W85" s="564">
        <f>G85*'4C2 Open-burning '!$C$9*'4C2 Open-burning '!$C$11*$C$5</f>
        <v>0</v>
      </c>
      <c r="X85" s="564">
        <f>H85*'4C2 Open-burning '!$C$9*'4C2 Open-burning '!$C$11*$C$5</f>
        <v>0</v>
      </c>
      <c r="Y85" s="564">
        <f>I85*'4C2 Open-burning '!$C$9*'4C2 Open-burning '!$C$11*$C$5</f>
        <v>3.6349416782191879</v>
      </c>
      <c r="Z85" s="565">
        <f t="shared" si="4"/>
        <v>11.22793697445876</v>
      </c>
      <c r="AA85" s="566">
        <f>C85*'4C2 Open-burning '!$C$10*'4C2 Open-burning '!$C$11*$C$5*C$15</f>
        <v>3.0085534793337771E-2</v>
      </c>
      <c r="AB85" s="566">
        <f>D85*'4C2 Open-burning '!$C$10*'4C2 Open-burning '!$C$11*$C$5*D$15</f>
        <v>3.1421489806949914E-2</v>
      </c>
      <c r="AC85" s="566">
        <f>E85*'4C2 Open-burning '!$C$10*'4C2 Open-burning '!$C$11*$C$5*E$15</f>
        <v>1.9309866186636139E-2</v>
      </c>
      <c r="AD85" s="566">
        <f>F85*'4C2 Open-burning '!$C$10*'4C2 Open-burning '!$C$11*$C$5*F$15</f>
        <v>0</v>
      </c>
      <c r="AE85" s="566">
        <f>G85*'4C2 Open-burning '!$C$10*'4C2 Open-burning '!$C$11*$C$5*G$15</f>
        <v>0</v>
      </c>
      <c r="AF85" s="566">
        <f>H85*'4C2 Open-burning '!$C$10*'4C2 Open-burning '!$C$11*$C$5*H$15</f>
        <v>0</v>
      </c>
      <c r="AG85" s="566">
        <f>I85*'4C2 Open-burning '!$C$10*'4C2 Open-burning '!$C$11*$C$5*I$15</f>
        <v>7.5494942547629298E-2</v>
      </c>
      <c r="AH85" s="567">
        <f t="shared" ref="AH85:AH87" si="6">SUM(AA85:AG85)</f>
        <v>0.15631183333455312</v>
      </c>
      <c r="AI85" s="1646"/>
      <c r="AJ85" s="1646"/>
      <c r="AK85" s="1646"/>
    </row>
    <row r="86" spans="1:37">
      <c r="A86" s="568">
        <f>'Input data'!A116</f>
        <v>2016</v>
      </c>
      <c r="B86" s="1620">
        <f>'Baseline data (from input)'!V72</f>
        <v>0.11753474574906728</v>
      </c>
      <c r="C86" s="606">
        <f>$B86*'Baseline data (from input)'!L72*'Baseline data (from input)'!$C72</f>
        <v>841.74541487759461</v>
      </c>
      <c r="D86" s="607">
        <f>$B86*'Baseline data (from input)'!M72*'Baseline data (from input)'!$C72</f>
        <v>879.12331142872279</v>
      </c>
      <c r="E86" s="607">
        <f>$B86*'Baseline data (from input)'!N72*'Baseline data (from input)'!$C72</f>
        <v>240.11526448990736</v>
      </c>
      <c r="F86" s="607">
        <f>$B86*'Baseline data (from input)'!O72*'Baseline data (from input)'!$C72</f>
        <v>0</v>
      </c>
      <c r="G86" s="607">
        <f>$B86*'Baseline data (from input)'!P72*'Baseline data (from input)'!$C72</f>
        <v>0</v>
      </c>
      <c r="H86" s="607">
        <f>$B86*'Baseline data (from input)'!Q72*'Baseline data (from input)'!$C72</f>
        <v>0</v>
      </c>
      <c r="I86" s="607">
        <f>$B86*'Baseline data (from input)'!R72*'Baseline data (from input)'!$C72</f>
        <v>938.76818835854669</v>
      </c>
      <c r="J86" s="770">
        <f t="shared" si="3"/>
        <v>2899.7521791547715</v>
      </c>
      <c r="K86" s="563">
        <f>'4C2 Open-burning '!C$14*'4C2 Open-burning '!$C$5*'4C2 Open-burning '!$C$6*'4C2 Open-burning '!$C$7*C86</f>
        <v>0</v>
      </c>
      <c r="L86" s="564">
        <f>'4C2 Open-burning '!D$14*'4C2 Open-burning '!$C$5*'4C2 Open-burning '!$C$6*'4C2 Open-burning '!$C$7*D86</f>
        <v>0</v>
      </c>
      <c r="M86" s="564">
        <f>'4C2 Open-burning '!E$14*'4C2 Open-burning '!$C$5*'4C2 Open-burning '!$C$6*'4C2 Open-burning '!$C$7*E86</f>
        <v>1.2684425008049642</v>
      </c>
      <c r="N86" s="564">
        <f>'4C2 Open-burning '!F$14*'4C2 Open-burning '!$C$5*'4C2 Open-burning '!$C$6*'4C2 Open-burning '!$C$7*F86</f>
        <v>0</v>
      </c>
      <c r="O86" s="564">
        <f>'4C2 Open-burning '!G$14*'4C2 Open-burning '!$C$5*'4C2 Open-burning '!$C$6*'4C2 Open-burning '!$C$7*G86</f>
        <v>0</v>
      </c>
      <c r="P86" s="564">
        <f>'4C2 Open-burning '!H$14*'4C2 Open-burning '!$C$5*'4C2 Open-burning '!$C$6*'4C2 Open-burning '!$C$7*H86</f>
        <v>0</v>
      </c>
      <c r="Q86" s="564">
        <f>'4C2 Open-burning '!I$14*'4C2 Open-burning '!$C$5*'4C2 Open-burning '!$C$6*'4C2 Open-burning '!$C$7*I86</f>
        <v>32.342441625328647</v>
      </c>
      <c r="R86" s="1625">
        <f t="shared" si="5"/>
        <v>33.610884126133612</v>
      </c>
      <c r="S86" s="563">
        <f>C86*'4C2 Open-burning '!$C$9*'4C2 Open-burning '!$C$11*$C$5</f>
        <v>3.2828071180226188</v>
      </c>
      <c r="T86" s="564">
        <f>D86*'4C2 Open-burning '!$C$9*'4C2 Open-burning '!$C$11*$C$5</f>
        <v>3.4285809145720187</v>
      </c>
      <c r="U86" s="564">
        <f>E86*'4C2 Open-burning '!$C$9*'4C2 Open-burning '!$C$11*$C$5</f>
        <v>0.9364495315106387</v>
      </c>
      <c r="V86" s="564">
        <f>F86*'4C2 Open-burning '!$C$9*'4C2 Open-burning '!$C$11*$C$5</f>
        <v>0</v>
      </c>
      <c r="W86" s="564">
        <f>G86*'4C2 Open-burning '!$C$9*'4C2 Open-burning '!$C$11*$C$5</f>
        <v>0</v>
      </c>
      <c r="X86" s="564">
        <f>H86*'4C2 Open-burning '!$C$9*'4C2 Open-burning '!$C$11*$C$5</f>
        <v>0</v>
      </c>
      <c r="Y86" s="564">
        <f>I86*'4C2 Open-burning '!$C$9*'4C2 Open-burning '!$C$11*$C$5</f>
        <v>3.6611959345983318</v>
      </c>
      <c r="Z86" s="565">
        <f t="shared" si="4"/>
        <v>11.309033498703608</v>
      </c>
      <c r="AA86" s="566">
        <f>C86*'4C2 Open-burning '!$C$10*'4C2 Open-burning '!$C$11*$C$5*C$15</f>
        <v>3.0302834935593406E-2</v>
      </c>
      <c r="AB86" s="566">
        <f>D86*'4C2 Open-burning '!$C$10*'4C2 Open-burning '!$C$11*$C$5*D$15</f>
        <v>3.1648439211434023E-2</v>
      </c>
      <c r="AC86" s="566">
        <f>E86*'4C2 Open-burning '!$C$10*'4C2 Open-burning '!$C$11*$C$5*E$15</f>
        <v>1.9449336423682493E-2</v>
      </c>
      <c r="AD86" s="566">
        <f>F86*'4C2 Open-burning '!$C$10*'4C2 Open-burning '!$C$11*$C$5*F$15</f>
        <v>0</v>
      </c>
      <c r="AE86" s="566">
        <f>G86*'4C2 Open-burning '!$C$10*'4C2 Open-burning '!$C$11*$C$5*G$15</f>
        <v>0</v>
      </c>
      <c r="AF86" s="566">
        <f>H86*'4C2 Open-burning '!$C$10*'4C2 Open-burning '!$C$11*$C$5*H$15</f>
        <v>0</v>
      </c>
      <c r="AG86" s="566">
        <f>I86*'4C2 Open-burning '!$C$10*'4C2 Open-burning '!$C$11*$C$5*I$15</f>
        <v>7.6040223257042266E-2</v>
      </c>
      <c r="AH86" s="567">
        <f t="shared" si="6"/>
        <v>0.1574408338277522</v>
      </c>
      <c r="AI86" s="1646"/>
      <c r="AJ86" s="1646"/>
      <c r="AK86" s="1646"/>
    </row>
    <row r="87" spans="1:37" ht="15" thickBot="1">
      <c r="A87" s="568">
        <f>'Input data'!A117</f>
        <v>2017</v>
      </c>
      <c r="B87" s="1620">
        <f>'Baseline data (from input)'!V73</f>
        <v>0.12146828085607692</v>
      </c>
      <c r="C87" s="757">
        <f>$B87*'Baseline data (from input)'!L73*'Baseline data (from input)'!$C73</f>
        <v>845.54276388528001</v>
      </c>
      <c r="D87" s="754">
        <f>$B87*'Baseline data (from input)'!M73*'Baseline data (from input)'!$C73</f>
        <v>883.08928258256924</v>
      </c>
      <c r="E87" s="754">
        <f>$B87*'Baseline data (from input)'!N73*'Baseline data (from input)'!$C73</f>
        <v>241.19849160968144</v>
      </c>
      <c r="F87" s="754">
        <f>$B87*'Baseline data (from input)'!O73*'Baseline data (from input)'!$C73</f>
        <v>0</v>
      </c>
      <c r="G87" s="754">
        <f>$B87*'Baseline data (from input)'!P73*'Baseline data (from input)'!$C73</f>
        <v>0</v>
      </c>
      <c r="H87" s="754">
        <f>$B87*'Baseline data (from input)'!Q73*'Baseline data (from input)'!$C73</f>
        <v>0</v>
      </c>
      <c r="I87" s="754">
        <f>$B87*'Baseline data (from input)'!R73*'Baseline data (from input)'!$C73</f>
        <v>943.00323423524844</v>
      </c>
      <c r="J87" s="1622">
        <f t="shared" ref="J87" si="7">SUM(C87:I87)</f>
        <v>2912.8337723127793</v>
      </c>
      <c r="K87" s="569">
        <f>'4C2 Open-burning '!C$14*'4C2 Open-burning '!$C$5*'4C2 Open-burning '!$C$6*'4C2 Open-burning '!$C$7*C87</f>
        <v>0</v>
      </c>
      <c r="L87" s="570">
        <f>'4C2 Open-burning '!D$14*'4C2 Open-burning '!$C$5*'4C2 Open-burning '!$C$6*'4C2 Open-burning '!$C$7*D87</f>
        <v>0</v>
      </c>
      <c r="M87" s="570">
        <f>'4C2 Open-burning '!E$14*'4C2 Open-burning '!$C$5*'4C2 Open-burning '!$C$6*'4C2 Open-burning '!$C$7*E87</f>
        <v>1.2741647997169676</v>
      </c>
      <c r="N87" s="570">
        <f>'4C2 Open-burning '!F$14*'4C2 Open-burning '!$C$5*'4C2 Open-burning '!$C$6*'4C2 Open-burning '!$C$7*F87</f>
        <v>0</v>
      </c>
      <c r="O87" s="570">
        <f>'4C2 Open-burning '!G$14*'4C2 Open-burning '!$C$5*'4C2 Open-burning '!$C$6*'4C2 Open-burning '!$C$7*G87</f>
        <v>0</v>
      </c>
      <c r="P87" s="570">
        <f>'4C2 Open-burning '!H$14*'4C2 Open-burning '!$C$5*'4C2 Open-burning '!$C$6*'4C2 Open-burning '!$C$7*H87</f>
        <v>0</v>
      </c>
      <c r="Q87" s="570">
        <f>'4C2 Open-burning '!I$14*'4C2 Open-burning '!$C$5*'4C2 Open-burning '!$C$6*'4C2 Open-burning '!$C$7*I87</f>
        <v>32.488347425872774</v>
      </c>
      <c r="R87" s="1629">
        <f t="shared" si="5"/>
        <v>33.762512225589745</v>
      </c>
      <c r="S87" s="569">
        <f>C87*'4C2 Open-burning '!$C$9*'4C2 Open-burning '!$C$11*$C$5</f>
        <v>3.2976167791525919</v>
      </c>
      <c r="T87" s="570">
        <f>D87*'4C2 Open-burning '!$C$9*'4C2 Open-burning '!$C$11*$C$5</f>
        <v>3.4440482020720196</v>
      </c>
      <c r="U87" s="570">
        <f>E87*'4C2 Open-burning '!$C$9*'4C2 Open-burning '!$C$11*$C$5</f>
        <v>0.94067411727775752</v>
      </c>
      <c r="V87" s="570">
        <f>F87*'4C2 Open-burning '!$C$9*'4C2 Open-burning '!$C$11*$C$5</f>
        <v>0</v>
      </c>
      <c r="W87" s="570">
        <f>G87*'4C2 Open-burning '!$C$9*'4C2 Open-burning '!$C$11*$C$5</f>
        <v>0</v>
      </c>
      <c r="X87" s="570">
        <f>H87*'4C2 Open-burning '!$C$9*'4C2 Open-burning '!$C$11*$C$5</f>
        <v>0</v>
      </c>
      <c r="Y87" s="570">
        <f>I87*'4C2 Open-burning '!$C$9*'4C2 Open-burning '!$C$11*$C$5</f>
        <v>3.6777126135174689</v>
      </c>
      <c r="Z87" s="571">
        <f t="shared" si="4"/>
        <v>11.360051712019837</v>
      </c>
      <c r="AA87" s="566">
        <f>C87*'4C2 Open-burning '!$C$10*'4C2 Open-burning '!$C$11*$C$5*C$15</f>
        <v>3.0439539499870077E-2</v>
      </c>
      <c r="AB87" s="566">
        <f>D87*'4C2 Open-burning '!$C$10*'4C2 Open-burning '!$C$11*$C$5*D$15</f>
        <v>3.1791214172972496E-2</v>
      </c>
      <c r="AC87" s="566">
        <f>E87*'4C2 Open-burning '!$C$10*'4C2 Open-burning '!$C$11*$C$5*E$15</f>
        <v>1.9537077820384195E-2</v>
      </c>
      <c r="AD87" s="566">
        <f>F87*'4C2 Open-burning '!$C$10*'4C2 Open-burning '!$C$11*$C$5*F$15</f>
        <v>0</v>
      </c>
      <c r="AE87" s="566">
        <f>G87*'4C2 Open-burning '!$C$10*'4C2 Open-burning '!$C$11*$C$5*G$15</f>
        <v>0</v>
      </c>
      <c r="AF87" s="566">
        <f>H87*'4C2 Open-burning '!$C$10*'4C2 Open-burning '!$C$11*$C$5*H$15</f>
        <v>0</v>
      </c>
      <c r="AG87" s="566">
        <f>I87*'4C2 Open-burning '!$C$10*'4C2 Open-burning '!$C$11*$C$5*I$15</f>
        <v>7.638326197305513E-2</v>
      </c>
      <c r="AH87" s="567">
        <f t="shared" si="6"/>
        <v>0.15815109346628189</v>
      </c>
      <c r="AI87" s="1646"/>
      <c r="AJ87" s="1646"/>
      <c r="AK87" s="1646"/>
    </row>
    <row r="88" spans="1:37" ht="15" thickBot="1">
      <c r="A88" s="1072" t="s">
        <v>647</v>
      </c>
      <c r="B88" s="936"/>
      <c r="C88" s="607"/>
      <c r="D88" s="1062"/>
      <c r="E88" s="1062"/>
      <c r="F88" s="1062"/>
      <c r="G88" s="1062"/>
      <c r="H88" s="1062"/>
      <c r="I88" s="1062"/>
      <c r="J88" s="1063"/>
      <c r="K88" s="158"/>
      <c r="L88" s="158"/>
      <c r="M88" s="158"/>
      <c r="N88" s="158"/>
      <c r="O88" s="158"/>
      <c r="P88" s="158"/>
      <c r="Q88" s="158"/>
      <c r="R88" s="1064"/>
      <c r="S88" s="1623"/>
      <c r="T88" s="1623"/>
      <c r="U88" s="1623"/>
      <c r="V88" s="1623"/>
      <c r="W88" s="1623"/>
      <c r="X88" s="1623"/>
      <c r="Y88" s="1623"/>
      <c r="Z88" s="1624"/>
      <c r="AA88" s="1070"/>
      <c r="AB88" s="1070"/>
      <c r="AC88" s="1070"/>
      <c r="AD88" s="1070"/>
      <c r="AE88" s="1070"/>
      <c r="AF88" s="1070"/>
      <c r="AG88" s="1070"/>
      <c r="AH88" s="1071"/>
      <c r="AI88" s="1646"/>
      <c r="AJ88" s="1646"/>
      <c r="AK88" s="1646"/>
    </row>
    <row r="89" spans="1:37">
      <c r="A89" s="562">
        <f>'Input data'!A118</f>
        <v>2018</v>
      </c>
      <c r="B89" s="825">
        <f>'Recycling - Case 1'!AP98</f>
        <v>0.1214682808560769</v>
      </c>
      <c r="C89" s="1080">
        <f>$B89*'Recycling - Case 1'!$AK98*'Recycling - Case 1'!BM98*'Recycling - Case 1'!$B98</f>
        <v>837.39772681959073</v>
      </c>
      <c r="D89" s="1081">
        <f>$B89*'Recycling - Case 1'!$AK98*'Recycling - Case 1'!BN98*'Recycling - Case 1'!$B98</f>
        <v>874.5825632938878</v>
      </c>
      <c r="E89" s="1081">
        <f>$B89*'Recycling - Case 1'!$AK98*'Recycling - Case 1'!BO98*'Recycling - Case 1'!$B98</f>
        <v>238.87504832773323</v>
      </c>
      <c r="F89" s="1081">
        <f>$B89*'Recycling - Case 1'!$AK98*'Recycling - Case 1'!BP98*'Recycling - Case 1'!$B98</f>
        <v>0</v>
      </c>
      <c r="G89" s="1081">
        <f>$B89*'Recycling - Case 1'!$AK98*'Recycling - Case 1'!BQ98*'Recycling - Case 1'!$B98</f>
        <v>0</v>
      </c>
      <c r="H89" s="1081">
        <f>$B89*'Recycling - Case 1'!$AK98*'Recycling - Case 1'!BR98*'Recycling - Case 1'!$B98</f>
        <v>0</v>
      </c>
      <c r="I89" s="1081">
        <f>$B89*'Recycling - Case 1'!$AK98*'Recycling - Case 1'!BS98*'Recycling - Case 1'!$B98</f>
        <v>933.91936926239055</v>
      </c>
      <c r="J89" s="1621">
        <f>SUM(C89:I89)</f>
        <v>2884.774707703602</v>
      </c>
      <c r="K89" s="1630">
        <f>'4C2 Open-burning '!C$14*'4C2 Open-burning '!$C$5*'4C2 Open-burning '!$C$6*'4C2 Open-burning '!$C$7*C89</f>
        <v>0</v>
      </c>
      <c r="L89" s="1631">
        <f>'4C2 Open-burning '!D$14*'4C2 Open-burning '!$C$5*'4C2 Open-burning '!$C$6*'4C2 Open-burning '!$C$7*D89</f>
        <v>0</v>
      </c>
      <c r="M89" s="1631">
        <f>'4C2 Open-burning '!E$14*'4C2 Open-burning '!$C$5*'4C2 Open-burning '!$C$6*'4C2 Open-burning '!$C$7*E89</f>
        <v>1.2618908852980166</v>
      </c>
      <c r="N89" s="1631">
        <f>'4C2 Open-burning '!F$14*'4C2 Open-burning '!$C$5*'4C2 Open-burning '!$C$6*'4C2 Open-burning '!$C$7*F89</f>
        <v>0</v>
      </c>
      <c r="O89" s="1631">
        <f>'4C2 Open-burning '!G$14*'4C2 Open-burning '!$C$5*'4C2 Open-burning '!$C$6*'4C2 Open-burning '!$C$7*G89</f>
        <v>0</v>
      </c>
      <c r="P89" s="1631">
        <f>'4C2 Open-burning '!H$14*'4C2 Open-burning '!$C$5*'4C2 Open-burning '!$C$6*'4C2 Open-burning '!$C$7*H89</f>
        <v>0</v>
      </c>
      <c r="Q89" s="1631">
        <f>'4C2 Open-burning '!I$14*'4C2 Open-burning '!$C$5*'4C2 Open-burning '!$C$6*'4C2 Open-burning '!$C$7*I89</f>
        <v>32.175390109827873</v>
      </c>
      <c r="R89" s="1632">
        <f t="shared" ref="R89:R152" si="8">SUM(K89:Q89)</f>
        <v>33.437280995125889</v>
      </c>
      <c r="S89" s="564">
        <f>C89*'4C2 Open-burning '!$C$9*'4C2 Open-burning '!$C$11*$C$5</f>
        <v>3.2658511345964039</v>
      </c>
      <c r="T89" s="564">
        <f>D89*'4C2 Open-burning '!$C$9*'4C2 Open-burning '!$C$11*$C$5</f>
        <v>3.4108719968461618</v>
      </c>
      <c r="U89" s="564">
        <f>E89*'4C2 Open-burning '!$C$9*'4C2 Open-burning '!$C$11*$C$5</f>
        <v>0.93161268847815948</v>
      </c>
      <c r="V89" s="564">
        <f>F89*'4C2 Open-burning '!$C$9*'4C2 Open-burning '!$C$11*$C$5</f>
        <v>0</v>
      </c>
      <c r="W89" s="564">
        <f>G89*'4C2 Open-burning '!$C$9*'4C2 Open-burning '!$C$11*$C$5</f>
        <v>0</v>
      </c>
      <c r="X89" s="564">
        <f>H89*'4C2 Open-burning '!$C$9*'4C2 Open-burning '!$C$11*$C$5</f>
        <v>0</v>
      </c>
      <c r="Y89" s="564">
        <f>I89*'4C2 Open-burning '!$C$9*'4C2 Open-burning '!$C$11*$C$5</f>
        <v>3.6422855401233232</v>
      </c>
      <c r="Z89" s="565">
        <f t="shared" ref="Z89:Z152" si="9">SUM(S89:Y89)</f>
        <v>11.250621360044049</v>
      </c>
      <c r="AA89" s="566">
        <f>C89*'4C2 Open-burning '!$C$10*'4C2 Open-burning '!$C$11*$C$5*C$15</f>
        <v>3.0146318165505268E-2</v>
      </c>
      <c r="AB89" s="566">
        <f>D89*'4C2 Open-burning '!$C$10*'4C2 Open-burning '!$C$11*$C$5*D$15</f>
        <v>3.1484972278579965E-2</v>
      </c>
      <c r="AC89" s="566">
        <f>E89*'4C2 Open-burning '!$C$10*'4C2 Open-burning '!$C$11*$C$5*E$15</f>
        <v>1.934887891454639E-2</v>
      </c>
      <c r="AD89" s="566">
        <f>F89*'4C2 Open-burning '!$C$10*'4C2 Open-burning '!$C$11*$C$5*F$15</f>
        <v>0</v>
      </c>
      <c r="AE89" s="566">
        <f>G89*'4C2 Open-burning '!$C$10*'4C2 Open-burning '!$C$11*$C$5*G$15</f>
        <v>0</v>
      </c>
      <c r="AF89" s="566">
        <f>H89*'4C2 Open-burning '!$C$10*'4C2 Open-burning '!$C$11*$C$5*H$15</f>
        <v>0</v>
      </c>
      <c r="AG89" s="566">
        <f>I89*'4C2 Open-burning '!$C$10*'4C2 Open-burning '!$C$11*$C$5*I$15</f>
        <v>7.5647468910253646E-2</v>
      </c>
      <c r="AH89" s="567">
        <f t="shared" ref="AH89:AH152" si="10">SUM(AA89:AG89)</f>
        <v>0.15662763826888526</v>
      </c>
      <c r="AI89" s="1646"/>
      <c r="AJ89" s="1646"/>
      <c r="AK89" s="1646"/>
    </row>
    <row r="90" spans="1:37">
      <c r="A90" s="568">
        <f>'Input data'!A119</f>
        <v>2019</v>
      </c>
      <c r="B90" s="604">
        <f>'Recycling - Case 1'!AP99</f>
        <v>0.12146828085607692</v>
      </c>
      <c r="C90" s="606">
        <f>$B90*'Recycling - Case 1'!$AK99*'Recycling - Case 1'!BM99*'Recycling - Case 1'!$B99</f>
        <v>829.98416678484887</v>
      </c>
      <c r="D90" s="607">
        <f>$B90*'Recycling - Case 1'!$AK99*'Recycling - Case 1'!BN99*'Recycling - Case 1'!$B99</f>
        <v>866.8398024400426</v>
      </c>
      <c r="E90" s="607">
        <f>$B90*'Recycling - Case 1'!$AK99*'Recycling - Case 1'!BO99*'Recycling - Case 1'!$B99</f>
        <v>236.76026528633972</v>
      </c>
      <c r="F90" s="607">
        <f>$B90*'Recycling - Case 1'!$AK99*'Recycling - Case 1'!BP99*'Recycling - Case 1'!$B99</f>
        <v>0</v>
      </c>
      <c r="G90" s="607">
        <f>$B90*'Recycling - Case 1'!$AK99*'Recycling - Case 1'!BQ99*'Recycling - Case 1'!$B99</f>
        <v>0</v>
      </c>
      <c r="H90" s="607">
        <f>$B90*'Recycling - Case 1'!$AK99*'Recycling - Case 1'!BR99*'Recycling - Case 1'!$B99</f>
        <v>0</v>
      </c>
      <c r="I90" s="607">
        <f>$B90*'Recycling - Case 1'!$AK99*'Recycling - Case 1'!BS99*'Recycling - Case 1'!$B99</f>
        <v>925.65129414122816</v>
      </c>
      <c r="J90" s="770">
        <f t="shared" ref="J90:J152" si="11">SUM(C90:I90)</f>
        <v>2859.2355286524594</v>
      </c>
      <c r="K90" s="1633">
        <f>'4C2 Open-burning '!C$14*'4C2 Open-burning '!$C$5*'4C2 Open-burning '!$C$6*'4C2 Open-burning '!$C$7*C90</f>
        <v>0</v>
      </c>
      <c r="L90" s="158">
        <f>'4C2 Open-burning '!D$14*'4C2 Open-burning '!$C$5*'4C2 Open-burning '!$C$6*'4C2 Open-burning '!$C$7*D90</f>
        <v>0</v>
      </c>
      <c r="M90" s="158">
        <f>'4C2 Open-burning '!E$14*'4C2 Open-burning '!$C$5*'4C2 Open-burning '!$C$6*'4C2 Open-burning '!$C$7*E90</f>
        <v>1.2507192478122295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31.89053838575359</v>
      </c>
      <c r="R90" s="1634">
        <f t="shared" si="8"/>
        <v>33.141257633565822</v>
      </c>
      <c r="S90" s="564">
        <f>C90*'4C2 Open-burning '!$C$9*'4C2 Open-burning '!$C$11*$C$5</f>
        <v>3.2369382504609101</v>
      </c>
      <c r="T90" s="564">
        <f>D90*'4C2 Open-burning '!$C$9*'4C2 Open-burning '!$C$11*$C$5</f>
        <v>3.3806752295161657</v>
      </c>
      <c r="U90" s="564">
        <f>E90*'4C2 Open-burning '!$C$9*'4C2 Open-burning '!$C$11*$C$5</f>
        <v>0.92336503461672492</v>
      </c>
      <c r="V90" s="564">
        <f>F90*'4C2 Open-burning '!$C$9*'4C2 Open-burning '!$C$11*$C$5</f>
        <v>0</v>
      </c>
      <c r="W90" s="564">
        <f>G90*'4C2 Open-burning '!$C$9*'4C2 Open-burning '!$C$11*$C$5</f>
        <v>0</v>
      </c>
      <c r="X90" s="564">
        <f>H90*'4C2 Open-burning '!$C$9*'4C2 Open-burning '!$C$11*$C$5</f>
        <v>0</v>
      </c>
      <c r="Y90" s="564">
        <f>I90*'4C2 Open-burning '!$C$9*'4C2 Open-burning '!$C$11*$C$5</f>
        <v>3.6100400471507896</v>
      </c>
      <c r="Z90" s="565">
        <f t="shared" si="9"/>
        <v>11.151018561744589</v>
      </c>
      <c r="AA90" s="566">
        <f>C90*'4C2 Open-burning '!$C$10*'4C2 Open-burning '!$C$11*$C$5*C$15</f>
        <v>2.9879430004254554E-2</v>
      </c>
      <c r="AB90" s="566">
        <f>D90*'4C2 Open-burning '!$C$10*'4C2 Open-burning '!$C$11*$C$5*D$15</f>
        <v>3.120623288784153E-2</v>
      </c>
      <c r="AC90" s="566">
        <f>E90*'4C2 Open-burning '!$C$10*'4C2 Open-burning '!$C$11*$C$5*E$15</f>
        <v>1.9177581488193512E-2</v>
      </c>
      <c r="AD90" s="566">
        <f>F90*'4C2 Open-burning '!$C$10*'4C2 Open-burning '!$C$11*$C$5*F$15</f>
        <v>0</v>
      </c>
      <c r="AE90" s="566">
        <f>G90*'4C2 Open-burning '!$C$10*'4C2 Open-burning '!$C$11*$C$5*G$15</f>
        <v>0</v>
      </c>
      <c r="AF90" s="566">
        <f>H90*'4C2 Open-burning '!$C$10*'4C2 Open-burning '!$C$11*$C$5*H$15</f>
        <v>0</v>
      </c>
      <c r="AG90" s="566">
        <f>I90*'4C2 Open-burning '!$C$10*'4C2 Open-burning '!$C$11*$C$5*I$15</f>
        <v>7.4977754825439474E-2</v>
      </c>
      <c r="AH90" s="567">
        <f t="shared" si="10"/>
        <v>0.15524099920572906</v>
      </c>
      <c r="AI90" s="1646"/>
      <c r="AJ90" s="1646"/>
      <c r="AK90" s="1646"/>
    </row>
    <row r="91" spans="1:37">
      <c r="A91" s="568">
        <f>'Input data'!A120</f>
        <v>2020</v>
      </c>
      <c r="B91" s="604">
        <f>'Recycling - Case 1'!AP100</f>
        <v>0.1214682808560769</v>
      </c>
      <c r="C91" s="606">
        <f>$B91*'Recycling - Case 1'!$AK100*'Recycling - Case 1'!BM100*'Recycling - Case 1'!$B100</f>
        <v>823.31820023806256</v>
      </c>
      <c r="D91" s="607">
        <f>$B91*'Recycling - Case 1'!$AK100*'Recycling - Case 1'!BN100*'Recycling - Case 1'!$B100</f>
        <v>859.87783213298007</v>
      </c>
      <c r="E91" s="607">
        <f>$B91*'Recycling - Case 1'!$AK100*'Recycling - Case 1'!BO100*'Recycling - Case 1'!$B100</f>
        <v>234.85873984625735</v>
      </c>
      <c r="F91" s="607">
        <f>$B91*'Recycling - Case 1'!$AK100*'Recycling - Case 1'!BP100*'Recycling - Case 1'!$B100</f>
        <v>0</v>
      </c>
      <c r="G91" s="607">
        <f>$B91*'Recycling - Case 1'!$AK100*'Recycling - Case 1'!BQ100*'Recycling - Case 1'!$B100</f>
        <v>0</v>
      </c>
      <c r="H91" s="607">
        <f>$B91*'Recycling - Case 1'!$AK100*'Recycling - Case 1'!BR100*'Recycling - Case 1'!$B100</f>
        <v>0</v>
      </c>
      <c r="I91" s="607">
        <f>$B91*'Recycling - Case 1'!$AK100*'Recycling - Case 1'!BS100*'Recycling - Case 1'!$B100</f>
        <v>918.21698297281489</v>
      </c>
      <c r="J91" s="770">
        <f t="shared" si="11"/>
        <v>2836.2717551901151</v>
      </c>
      <c r="K91" s="1633">
        <f>'4C2 Open-burning '!C$14*'4C2 Open-burning '!$C$5*'4C2 Open-burning '!$C$6*'4C2 Open-burning '!$C$7*C91</f>
        <v>0</v>
      </c>
      <c r="L91" s="158">
        <f>'4C2 Open-burning '!D$14*'4C2 Open-burning '!$C$5*'4C2 Open-burning '!$C$6*'4C2 Open-burning '!$C$7*D91</f>
        <v>0</v>
      </c>
      <c r="M91" s="158">
        <f>'4C2 Open-burning '!E$14*'4C2 Open-burning '!$C$5*'4C2 Open-burning '!$C$6*'4C2 Open-burning '!$C$7*E91</f>
        <v>1.2406741734614328</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31.634411497379414</v>
      </c>
      <c r="R91" s="1634">
        <f t="shared" si="8"/>
        <v>32.875085670840846</v>
      </c>
      <c r="S91" s="564">
        <f>C91*'4C2 Open-burning '!$C$9*'4C2 Open-burning '!$C$11*$C$5</f>
        <v>3.2109409809284437</v>
      </c>
      <c r="T91" s="564">
        <f>D91*'4C2 Open-burning '!$C$9*'4C2 Open-burning '!$C$11*$C$5</f>
        <v>3.3535235453186218</v>
      </c>
      <c r="U91" s="564">
        <f>E91*'4C2 Open-burning '!$C$9*'4C2 Open-burning '!$C$11*$C$5</f>
        <v>0.91594908540040354</v>
      </c>
      <c r="V91" s="564">
        <f>F91*'4C2 Open-burning '!$C$9*'4C2 Open-burning '!$C$11*$C$5</f>
        <v>0</v>
      </c>
      <c r="W91" s="564">
        <f>G91*'4C2 Open-burning '!$C$9*'4C2 Open-burning '!$C$11*$C$5</f>
        <v>0</v>
      </c>
      <c r="X91" s="564">
        <f>H91*'4C2 Open-burning '!$C$9*'4C2 Open-burning '!$C$11*$C$5</f>
        <v>0</v>
      </c>
      <c r="Y91" s="564">
        <f>I91*'4C2 Open-burning '!$C$9*'4C2 Open-burning '!$C$11*$C$5</f>
        <v>3.5810462335939781</v>
      </c>
      <c r="Z91" s="565">
        <f t="shared" si="9"/>
        <v>11.061459845241448</v>
      </c>
      <c r="AA91" s="566">
        <f>C91*'4C2 Open-burning '!$C$10*'4C2 Open-burning '!$C$11*$C$5*C$15</f>
        <v>2.963945520857025E-2</v>
      </c>
      <c r="AB91" s="566">
        <f>D91*'4C2 Open-burning '!$C$10*'4C2 Open-burning '!$C$11*$C$5*D$15</f>
        <v>3.0955601956787284E-2</v>
      </c>
      <c r="AC91" s="566">
        <f>E91*'4C2 Open-burning '!$C$10*'4C2 Open-burning '!$C$11*$C$5*E$15</f>
        <v>1.9023557927546841E-2</v>
      </c>
      <c r="AD91" s="566">
        <f>F91*'4C2 Open-burning '!$C$10*'4C2 Open-burning '!$C$11*$C$5*F$15</f>
        <v>0</v>
      </c>
      <c r="AE91" s="566">
        <f>G91*'4C2 Open-burning '!$C$10*'4C2 Open-burning '!$C$11*$C$5*G$15</f>
        <v>0</v>
      </c>
      <c r="AF91" s="566">
        <f>H91*'4C2 Open-burning '!$C$10*'4C2 Open-burning '!$C$11*$C$5*H$15</f>
        <v>0</v>
      </c>
      <c r="AG91" s="566">
        <f>I91*'4C2 Open-burning '!$C$10*'4C2 Open-burning '!$C$11*$C$5*I$15</f>
        <v>7.4375575620797996E-2</v>
      </c>
      <c r="AH91" s="567">
        <f t="shared" si="10"/>
        <v>0.15399419071370238</v>
      </c>
      <c r="AI91" s="1646"/>
      <c r="AJ91" s="1646"/>
      <c r="AK91" s="1646"/>
    </row>
    <row r="92" spans="1:37">
      <c r="A92" s="568">
        <f>'Input data'!A121</f>
        <v>2021</v>
      </c>
      <c r="B92" s="604">
        <f>'Recycling - Case 1'!AP101</f>
        <v>0.1214682808560769</v>
      </c>
      <c r="C92" s="606">
        <f>$B92*'Recycling - Case 1'!$AK101*'Recycling - Case 1'!BM101*'Recycling - Case 1'!$B101</f>
        <v>813.67691238814791</v>
      </c>
      <c r="D92" s="607">
        <f>$B92*'Recycling - Case 1'!$AK101*'Recycling - Case 1'!BN101*'Recycling - Case 1'!$B101</f>
        <v>849.808420703769</v>
      </c>
      <c r="E92" s="607">
        <f>$B92*'Recycling - Case 1'!$AK101*'Recycling - Case 1'!BO101*'Recycling - Case 1'!$B101</f>
        <v>232.10847790103222</v>
      </c>
      <c r="F92" s="607">
        <f>$B92*'Recycling - Case 1'!$AK101*'Recycling - Case 1'!BP101*'Recycling - Case 1'!$B101</f>
        <v>0</v>
      </c>
      <c r="G92" s="607">
        <f>$B92*'Recycling - Case 1'!$AK101*'Recycling - Case 1'!BQ101*'Recycling - Case 1'!$B101</f>
        <v>0</v>
      </c>
      <c r="H92" s="607">
        <f>$B92*'Recycling - Case 1'!$AK101*'Recycling - Case 1'!BR101*'Recycling - Case 1'!$B101</f>
        <v>0</v>
      </c>
      <c r="I92" s="607">
        <f>$B92*'Recycling - Case 1'!$AK101*'Recycling - Case 1'!BS101*'Recycling - Case 1'!$B101</f>
        <v>907.46440366755814</v>
      </c>
      <c r="J92" s="770">
        <f t="shared" si="11"/>
        <v>2803.0582146605075</v>
      </c>
      <c r="K92" s="1633">
        <f>'4C2 Open-burning '!C$14*'4C2 Open-burning '!$C$5*'4C2 Open-burning '!$C$6*'4C2 Open-burning '!$C$7*C92</f>
        <v>0</v>
      </c>
      <c r="L92" s="158">
        <f>'4C2 Open-burning '!D$14*'4C2 Open-burning '!$C$5*'4C2 Open-burning '!$C$6*'4C2 Open-burning '!$C$7*D92</f>
        <v>0</v>
      </c>
      <c r="M92" s="158">
        <f>'4C2 Open-burning '!E$14*'4C2 Open-burning '!$C$5*'4C2 Open-burning '!$C$6*'4C2 Open-burning '!$C$7*E92</f>
        <v>1.2261455296991088</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31.26396363515471</v>
      </c>
      <c r="R92" s="1634">
        <f t="shared" si="8"/>
        <v>32.49010916485382</v>
      </c>
      <c r="S92" s="564">
        <f>C92*'4C2 Open-burning '!$C$9*'4C2 Open-burning '!$C$11*$C$5</f>
        <v>3.1733399583137767</v>
      </c>
      <c r="T92" s="564">
        <f>D92*'4C2 Open-burning '!$C$9*'4C2 Open-burning '!$C$11*$C$5</f>
        <v>3.3142528407446989</v>
      </c>
      <c r="U92" s="564">
        <f>E92*'4C2 Open-burning '!$C$9*'4C2 Open-burning '!$C$11*$C$5</f>
        <v>0.90522306381402562</v>
      </c>
      <c r="V92" s="564">
        <f>F92*'4C2 Open-burning '!$C$9*'4C2 Open-burning '!$C$11*$C$5</f>
        <v>0</v>
      </c>
      <c r="W92" s="564">
        <f>G92*'4C2 Open-burning '!$C$9*'4C2 Open-burning '!$C$11*$C$5</f>
        <v>0</v>
      </c>
      <c r="X92" s="564">
        <f>H92*'4C2 Open-burning '!$C$9*'4C2 Open-burning '!$C$11*$C$5</f>
        <v>0</v>
      </c>
      <c r="Y92" s="564">
        <f>I92*'4C2 Open-burning '!$C$9*'4C2 Open-burning '!$C$11*$C$5</f>
        <v>3.5391111743034762</v>
      </c>
      <c r="Z92" s="565">
        <f t="shared" si="9"/>
        <v>10.931927037175978</v>
      </c>
      <c r="AA92" s="566">
        <f>C92*'4C2 Open-burning '!$C$10*'4C2 Open-burning '!$C$11*$C$5*C$15</f>
        <v>2.9292368845973322E-2</v>
      </c>
      <c r="AB92" s="566">
        <f>D92*'4C2 Open-burning '!$C$10*'4C2 Open-burning '!$C$11*$C$5*D$15</f>
        <v>3.0593103145335684E-2</v>
      </c>
      <c r="AC92" s="566">
        <f>E92*'4C2 Open-burning '!$C$10*'4C2 Open-burning '!$C$11*$C$5*E$15</f>
        <v>1.880078670998361E-2</v>
      </c>
      <c r="AD92" s="566">
        <f>F92*'4C2 Open-burning '!$C$10*'4C2 Open-burning '!$C$11*$C$5*F$15</f>
        <v>0</v>
      </c>
      <c r="AE92" s="566">
        <f>G92*'4C2 Open-burning '!$C$10*'4C2 Open-burning '!$C$11*$C$5*G$15</f>
        <v>0</v>
      </c>
      <c r="AF92" s="566">
        <f>H92*'4C2 Open-burning '!$C$10*'4C2 Open-burning '!$C$11*$C$5*H$15</f>
        <v>0</v>
      </c>
      <c r="AG92" s="566">
        <f>I92*'4C2 Open-burning '!$C$10*'4C2 Open-burning '!$C$11*$C$5*I$15</f>
        <v>7.3504616697072214E-2</v>
      </c>
      <c r="AH92" s="567">
        <f t="shared" si="10"/>
        <v>0.15219087539836484</v>
      </c>
      <c r="AI92" s="1646"/>
      <c r="AJ92" s="1646"/>
      <c r="AK92" s="1646"/>
    </row>
    <row r="93" spans="1:37">
      <c r="A93" s="568">
        <f>'Input data'!A122</f>
        <v>2022</v>
      </c>
      <c r="B93" s="604">
        <f>'Recycling - Case 1'!AP102</f>
        <v>0.1214682808560769</v>
      </c>
      <c r="C93" s="606">
        <f>$B93*'Recycling - Case 1'!$AK102*'Recycling - Case 1'!BM102*'Recycling - Case 1'!$B102</f>
        <v>804.88810227478223</v>
      </c>
      <c r="D93" s="607">
        <f>$B93*'Recycling - Case 1'!$AK102*'Recycling - Case 1'!BN102*'Recycling - Case 1'!$B102</f>
        <v>840.62934147884221</v>
      </c>
      <c r="E93" s="607">
        <f>$B93*'Recycling - Case 1'!$AK102*'Recycling - Case 1'!BO102*'Recycling - Case 1'!$B102</f>
        <v>229.60139270921175</v>
      </c>
      <c r="F93" s="607">
        <f>$B93*'Recycling - Case 1'!$AK102*'Recycling - Case 1'!BP102*'Recycling - Case 1'!$B102</f>
        <v>0</v>
      </c>
      <c r="G93" s="607">
        <f>$B93*'Recycling - Case 1'!$AK102*'Recycling - Case 1'!BQ102*'Recycling - Case 1'!$B102</f>
        <v>0</v>
      </c>
      <c r="H93" s="607">
        <f>$B93*'Recycling - Case 1'!$AK102*'Recycling - Case 1'!BR102*'Recycling - Case 1'!$B102</f>
        <v>0</v>
      </c>
      <c r="I93" s="607">
        <f>$B93*'Recycling - Case 1'!$AK102*'Recycling - Case 1'!BS102*'Recycling - Case 1'!$B102</f>
        <v>897.66256192048843</v>
      </c>
      <c r="J93" s="770">
        <f t="shared" si="11"/>
        <v>2772.7813983833244</v>
      </c>
      <c r="K93" s="1633">
        <f>'4C2 Open-burning '!C$14*'4C2 Open-burning '!$C$5*'4C2 Open-burning '!$C$6*'4C2 Open-burning '!$C$7*C93</f>
        <v>0</v>
      </c>
      <c r="L93" s="158">
        <f>'4C2 Open-burning '!D$14*'4C2 Open-burning '!$C$5*'4C2 Open-burning '!$C$6*'4C2 Open-burning '!$C$7*D93</f>
        <v>0</v>
      </c>
      <c r="M93" s="158">
        <f>'4C2 Open-burning '!E$14*'4C2 Open-burning '!$C$5*'4C2 Open-burning '!$C$6*'4C2 Open-burning '!$C$7*E93</f>
        <v>1.2129015011813904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30.926270583284666</v>
      </c>
      <c r="R93" s="1634">
        <f t="shared" si="8"/>
        <v>32.139172084466054</v>
      </c>
      <c r="S93" s="564">
        <f>C93*'4C2 Open-burning '!$C$9*'4C2 Open-burning '!$C$11*$C$5</f>
        <v>3.1390635988716507</v>
      </c>
      <c r="T93" s="564">
        <f>D93*'4C2 Open-burning '!$C$9*'4C2 Open-burning '!$C$11*$C$5</f>
        <v>3.2784544317674844</v>
      </c>
      <c r="U93" s="564">
        <f>E93*'4C2 Open-burning '!$C$9*'4C2 Open-burning '!$C$11*$C$5</f>
        <v>0.89544543156592582</v>
      </c>
      <c r="V93" s="564">
        <f>F93*'4C2 Open-burning '!$C$9*'4C2 Open-burning '!$C$11*$C$5</f>
        <v>0</v>
      </c>
      <c r="W93" s="564">
        <f>G93*'4C2 Open-burning '!$C$9*'4C2 Open-burning '!$C$11*$C$5</f>
        <v>0</v>
      </c>
      <c r="X93" s="564">
        <f>H93*'4C2 Open-burning '!$C$9*'4C2 Open-burning '!$C$11*$C$5</f>
        <v>0</v>
      </c>
      <c r="Y93" s="564">
        <f>I93*'4C2 Open-burning '!$C$9*'4C2 Open-burning '!$C$11*$C$5</f>
        <v>3.5008839914899048</v>
      </c>
      <c r="Z93" s="565">
        <f t="shared" si="9"/>
        <v>10.813847453694965</v>
      </c>
      <c r="AA93" s="566">
        <f>C93*'4C2 Open-burning '!$C$10*'4C2 Open-burning '!$C$11*$C$5*C$15</f>
        <v>2.897597168189216E-2</v>
      </c>
      <c r="AB93" s="566">
        <f>D93*'4C2 Open-burning '!$C$10*'4C2 Open-burning '!$C$11*$C$5*D$15</f>
        <v>3.0262656293238318E-2</v>
      </c>
      <c r="AC93" s="566">
        <f>E93*'4C2 Open-burning '!$C$10*'4C2 Open-burning '!$C$11*$C$5*E$15</f>
        <v>1.8597712809446151E-2</v>
      </c>
      <c r="AD93" s="566">
        <f>F93*'4C2 Open-burning '!$C$10*'4C2 Open-burning '!$C$11*$C$5*F$15</f>
        <v>0</v>
      </c>
      <c r="AE93" s="566">
        <f>G93*'4C2 Open-burning '!$C$10*'4C2 Open-burning '!$C$11*$C$5*G$15</f>
        <v>0</v>
      </c>
      <c r="AF93" s="566">
        <f>H93*'4C2 Open-burning '!$C$10*'4C2 Open-burning '!$C$11*$C$5*H$15</f>
        <v>0</v>
      </c>
      <c r="AG93" s="566">
        <f>I93*'4C2 Open-burning '!$C$10*'4C2 Open-burning '!$C$11*$C$5*I$15</f>
        <v>7.2710667515559546E-2</v>
      </c>
      <c r="AH93" s="567">
        <f t="shared" si="10"/>
        <v>0.15054700830013618</v>
      </c>
      <c r="AI93" s="1646"/>
      <c r="AJ93" s="1646"/>
      <c r="AK93" s="1646"/>
    </row>
    <row r="94" spans="1:37">
      <c r="A94" s="568">
        <f>'Input data'!A123</f>
        <v>2023</v>
      </c>
      <c r="B94" s="604">
        <f>'Recycling - Case 1'!AP103</f>
        <v>0.1214682808560769</v>
      </c>
      <c r="C94" s="606">
        <f>$B94*'Recycling - Case 1'!$AK103*'Recycling - Case 1'!BM103*'Recycling - Case 1'!$B103</f>
        <v>796.99931074323013</v>
      </c>
      <c r="D94" s="607">
        <f>$B94*'Recycling - Case 1'!$AK103*'Recycling - Case 1'!BN103*'Recycling - Case 1'!$B103</f>
        <v>832.39024636550857</v>
      </c>
      <c r="E94" s="607">
        <f>$B94*'Recycling - Case 1'!$AK103*'Recycling - Case 1'!BO103*'Recycling - Case 1'!$B103</f>
        <v>227.35104571399845</v>
      </c>
      <c r="F94" s="607">
        <f>$B94*'Recycling - Case 1'!$AK103*'Recycling - Case 1'!BP103*'Recycling - Case 1'!$B103</f>
        <v>0</v>
      </c>
      <c r="G94" s="607">
        <f>$B94*'Recycling - Case 1'!$AK103*'Recycling - Case 1'!BQ103*'Recycling - Case 1'!$B103</f>
        <v>0</v>
      </c>
      <c r="H94" s="607">
        <f>$B94*'Recycling - Case 1'!$AK103*'Recycling - Case 1'!BR103*'Recycling - Case 1'!$B103</f>
        <v>0</v>
      </c>
      <c r="I94" s="607">
        <f>$B94*'Recycling - Case 1'!$AK103*'Recycling - Case 1'!BS103*'Recycling - Case 1'!$B103</f>
        <v>888.86447831525675</v>
      </c>
      <c r="J94" s="770">
        <f t="shared" si="11"/>
        <v>2745.6050811379937</v>
      </c>
      <c r="K94" s="1633">
        <f>'4C2 Open-burning '!C$14*'4C2 Open-burning '!$C$5*'4C2 Open-burning '!$C$6*'4C2 Open-burning '!$C$7*C94</f>
        <v>0</v>
      </c>
      <c r="L94" s="158">
        <f>'4C2 Open-burning '!D$14*'4C2 Open-burning '!$C$5*'4C2 Open-burning '!$C$6*'4C2 Open-burning '!$C$7*D94</f>
        <v>0</v>
      </c>
      <c r="M94" s="158">
        <f>'4C2 Open-burning '!E$14*'4C2 Open-burning '!$C$5*'4C2 Open-burning '!$C$6*'4C2 Open-burning '!$C$7*E94</f>
        <v>1.2010137281305968</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30.623159006917223</v>
      </c>
      <c r="R94" s="1634">
        <f t="shared" si="8"/>
        <v>31.824172735047821</v>
      </c>
      <c r="S94" s="564">
        <f>C94*'4C2 Open-burning '!$C$9*'4C2 Open-burning '!$C$11*$C$5</f>
        <v>3.1082973118985975</v>
      </c>
      <c r="T94" s="564">
        <f>D94*'4C2 Open-burning '!$C$9*'4C2 Open-burning '!$C$11*$C$5</f>
        <v>3.2463219608254832</v>
      </c>
      <c r="U94" s="564">
        <f>E94*'4C2 Open-burning '!$C$9*'4C2 Open-burning '!$C$11*$C$5</f>
        <v>0.88666907828459396</v>
      </c>
      <c r="V94" s="564">
        <f>F94*'4C2 Open-burning '!$C$9*'4C2 Open-burning '!$C$11*$C$5</f>
        <v>0</v>
      </c>
      <c r="W94" s="564">
        <f>G94*'4C2 Open-burning '!$C$9*'4C2 Open-burning '!$C$11*$C$5</f>
        <v>0</v>
      </c>
      <c r="X94" s="564">
        <f>H94*'4C2 Open-burning '!$C$9*'4C2 Open-burning '!$C$11*$C$5</f>
        <v>0</v>
      </c>
      <c r="Y94" s="564">
        <f>I94*'4C2 Open-burning '!$C$9*'4C2 Open-burning '!$C$11*$C$5</f>
        <v>3.4665714654295008</v>
      </c>
      <c r="Z94" s="565">
        <f t="shared" si="9"/>
        <v>10.707859816438177</v>
      </c>
      <c r="AA94" s="566">
        <f>C94*'4C2 Open-burning '!$C$10*'4C2 Open-burning '!$C$11*$C$5*C$15</f>
        <v>2.8691975186756286E-2</v>
      </c>
      <c r="AB94" s="566">
        <f>D94*'4C2 Open-burning '!$C$10*'4C2 Open-burning '!$C$11*$C$5*D$15</f>
        <v>2.996604886915831E-2</v>
      </c>
      <c r="AC94" s="566">
        <f>E94*'4C2 Open-burning '!$C$10*'4C2 Open-burning '!$C$11*$C$5*E$15</f>
        <v>1.8415434702833876E-2</v>
      </c>
      <c r="AD94" s="566">
        <f>F94*'4C2 Open-burning '!$C$10*'4C2 Open-burning '!$C$11*$C$5*F$15</f>
        <v>0</v>
      </c>
      <c r="AE94" s="566">
        <f>G94*'4C2 Open-burning '!$C$10*'4C2 Open-burning '!$C$11*$C$5*G$15</f>
        <v>0</v>
      </c>
      <c r="AF94" s="566">
        <f>H94*'4C2 Open-burning '!$C$10*'4C2 Open-burning '!$C$11*$C$5*H$15</f>
        <v>0</v>
      </c>
      <c r="AG94" s="566">
        <f>I94*'4C2 Open-burning '!$C$10*'4C2 Open-burning '!$C$11*$C$5*I$15</f>
        <v>7.1998022743535797E-2</v>
      </c>
      <c r="AH94" s="567">
        <f t="shared" si="10"/>
        <v>0.14907148150228428</v>
      </c>
      <c r="AI94" s="1646"/>
      <c r="AJ94" s="1646"/>
      <c r="AK94" s="1646"/>
    </row>
    <row r="95" spans="1:37">
      <c r="A95" s="568">
        <f>'Input data'!A124</f>
        <v>2024</v>
      </c>
      <c r="B95" s="604">
        <f>'Recycling - Case 1'!AP104</f>
        <v>0.12146828085607692</v>
      </c>
      <c r="C95" s="606">
        <f>$B95*'Recycling - Case 1'!$AK104*'Recycling - Case 1'!BM104*'Recycling - Case 1'!$B104</f>
        <v>790.0234075609518</v>
      </c>
      <c r="D95" s="607">
        <f>$B95*'Recycling - Case 1'!$AK104*'Recycling - Case 1'!BN104*'Recycling - Case 1'!$B104</f>
        <v>825.10457661617886</v>
      </c>
      <c r="E95" s="607">
        <f>$B95*'Recycling - Case 1'!$AK104*'Recycling - Case 1'!BO104*'Recycling - Case 1'!$B104</f>
        <v>225.36110812947084</v>
      </c>
      <c r="F95" s="607">
        <f>$B95*'Recycling - Case 1'!$AK104*'Recycling - Case 1'!BP104*'Recycling - Case 1'!$B104</f>
        <v>0</v>
      </c>
      <c r="G95" s="607">
        <f>$B95*'Recycling - Case 1'!$AK104*'Recycling - Case 1'!BQ104*'Recycling - Case 1'!$B104</f>
        <v>0</v>
      </c>
      <c r="H95" s="607">
        <f>$B95*'Recycling - Case 1'!$AK104*'Recycling - Case 1'!BR104*'Recycling - Case 1'!$B104</f>
        <v>0</v>
      </c>
      <c r="I95" s="607">
        <f>$B95*'Recycling - Case 1'!$AK104*'Recycling - Case 1'!BS104*'Recycling - Case 1'!$B104</f>
        <v>881.08450603760048</v>
      </c>
      <c r="J95" s="770">
        <f t="shared" si="11"/>
        <v>2721.5735983442019</v>
      </c>
      <c r="K95" s="1633">
        <f>'4C2 Open-burning '!C$14*'4C2 Open-burning '!$C$5*'4C2 Open-burning '!$C$6*'4C2 Open-burning '!$C$7*C95</f>
        <v>0</v>
      </c>
      <c r="L95" s="158">
        <f>'4C2 Open-burning '!D$14*'4C2 Open-burning '!$C$5*'4C2 Open-burning '!$C$6*'4C2 Open-burning '!$C$7*D95</f>
        <v>0</v>
      </c>
      <c r="M95" s="158">
        <f>'4C2 Open-burning '!E$14*'4C2 Open-burning '!$C$5*'4C2 Open-burning '!$C$6*'4C2 Open-burning '!$C$7*E95</f>
        <v>1.1905016042490677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30.355123402007408</v>
      </c>
      <c r="R95" s="1634">
        <f t="shared" si="8"/>
        <v>31.545625006256476</v>
      </c>
      <c r="S95" s="564">
        <f>C95*'4C2 Open-burning '!$C$9*'4C2 Open-burning '!$C$11*$C$5</f>
        <v>3.0810912894877118</v>
      </c>
      <c r="T95" s="564">
        <f>D95*'4C2 Open-burning '!$C$9*'4C2 Open-burning '!$C$11*$C$5</f>
        <v>3.2179078488030974</v>
      </c>
      <c r="U95" s="564">
        <f>E95*'4C2 Open-burning '!$C$9*'4C2 Open-burning '!$C$11*$C$5</f>
        <v>0.87890832170493616</v>
      </c>
      <c r="V95" s="564">
        <f>F95*'4C2 Open-burning '!$C$9*'4C2 Open-burning '!$C$11*$C$5</f>
        <v>0</v>
      </c>
      <c r="W95" s="564">
        <f>G95*'4C2 Open-burning '!$C$9*'4C2 Open-burning '!$C$11*$C$5</f>
        <v>0</v>
      </c>
      <c r="X95" s="564">
        <f>H95*'4C2 Open-burning '!$C$9*'4C2 Open-burning '!$C$11*$C$5</f>
        <v>0</v>
      </c>
      <c r="Y95" s="564">
        <f>I95*'4C2 Open-burning '!$C$9*'4C2 Open-burning '!$C$11*$C$5</f>
        <v>3.4362295735466417</v>
      </c>
      <c r="Z95" s="565">
        <f t="shared" si="9"/>
        <v>10.614137033542388</v>
      </c>
      <c r="AA95" s="566">
        <f>C95*'4C2 Open-burning '!$C$10*'4C2 Open-burning '!$C$11*$C$5*C$15</f>
        <v>2.8440842672194263E-2</v>
      </c>
      <c r="AB95" s="566">
        <f>D95*'4C2 Open-burning '!$C$10*'4C2 Open-burning '!$C$11*$C$5*D$15</f>
        <v>2.9703764758182441E-2</v>
      </c>
      <c r="AC95" s="566">
        <f>E95*'4C2 Open-burning '!$C$10*'4C2 Open-burning '!$C$11*$C$5*E$15</f>
        <v>1.8254249758487134E-2</v>
      </c>
      <c r="AD95" s="566">
        <f>F95*'4C2 Open-burning '!$C$10*'4C2 Open-burning '!$C$11*$C$5*F$15</f>
        <v>0</v>
      </c>
      <c r="AE95" s="566">
        <f>G95*'4C2 Open-burning '!$C$10*'4C2 Open-burning '!$C$11*$C$5*G$15</f>
        <v>0</v>
      </c>
      <c r="AF95" s="566">
        <f>H95*'4C2 Open-burning '!$C$10*'4C2 Open-burning '!$C$11*$C$5*H$15</f>
        <v>0</v>
      </c>
      <c r="AG95" s="566">
        <f>I95*'4C2 Open-burning '!$C$10*'4C2 Open-burning '!$C$11*$C$5*I$15</f>
        <v>7.1367844989045637E-2</v>
      </c>
      <c r="AH95" s="567">
        <f t="shared" si="10"/>
        <v>0.14776670217790949</v>
      </c>
      <c r="AI95" s="1646"/>
      <c r="AJ95" s="1646"/>
      <c r="AK95" s="1646"/>
    </row>
    <row r="96" spans="1:37">
      <c r="A96" s="568">
        <f>'Input data'!A125</f>
        <v>2025</v>
      </c>
      <c r="B96" s="604">
        <f>'Recycling - Case 1'!AP105</f>
        <v>0.12146828085607689</v>
      </c>
      <c r="C96" s="606">
        <f>$B96*'Recycling - Case 1'!$AK105*'Recycling - Case 1'!BM105*'Recycling - Case 1'!$B105</f>
        <v>783.99337139542524</v>
      </c>
      <c r="D96" s="607">
        <f>$B96*'Recycling - Case 1'!$AK105*'Recycling - Case 1'!BN105*'Recycling - Case 1'!$B105</f>
        <v>818.80677532355946</v>
      </c>
      <c r="E96" s="607">
        <f>$B96*'Recycling - Case 1'!$AK105*'Recycling - Case 1'!BO105*'Recycling - Case 1'!$B105</f>
        <v>223.64098740985912</v>
      </c>
      <c r="F96" s="607">
        <f>$B96*'Recycling - Case 1'!$AK105*'Recycling - Case 1'!BP105*'Recycling - Case 1'!$B105</f>
        <v>0</v>
      </c>
      <c r="G96" s="607">
        <f>$B96*'Recycling - Case 1'!$AK105*'Recycling - Case 1'!BQ105*'Recycling - Case 1'!$B105</f>
        <v>0</v>
      </c>
      <c r="H96" s="607">
        <f>$B96*'Recycling - Case 1'!$AK105*'Recycling - Case 1'!BR105*'Recycling - Case 1'!$B105</f>
        <v>0</v>
      </c>
      <c r="I96" s="607">
        <f>$B96*'Recycling - Case 1'!$AK105*'Recycling - Case 1'!BS105*'Recycling - Case 1'!$B105</f>
        <v>874.35942500146439</v>
      </c>
      <c r="J96" s="770">
        <f t="shared" si="11"/>
        <v>2700.8005591303081</v>
      </c>
      <c r="K96" s="1633">
        <f>'4C2 Open-burning '!C$14*'4C2 Open-burning '!$C$5*'4C2 Open-burning '!$C$6*'4C2 Open-burning '!$C$7*C96</f>
        <v>0</v>
      </c>
      <c r="L96" s="158">
        <f>'4C2 Open-burning '!D$14*'4C2 Open-burning '!$C$5*'4C2 Open-burning '!$C$6*'4C2 Open-burning '!$C$7*D96</f>
        <v>0</v>
      </c>
      <c r="M96" s="158">
        <f>'4C2 Open-burning '!E$14*'4C2 Open-burning '!$C$5*'4C2 Open-burning '!$C$6*'4C2 Open-burning '!$C$7*E96</f>
        <v>1.1814148257308181</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30.123430910150446</v>
      </c>
      <c r="R96" s="1634">
        <f t="shared" si="8"/>
        <v>31.304845735881266</v>
      </c>
      <c r="S96" s="564">
        <f>C96*'4C2 Open-burning '!$C$9*'4C2 Open-burning '!$C$11*$C$5</f>
        <v>3.0575741484421584</v>
      </c>
      <c r="T96" s="564">
        <f>D96*'4C2 Open-burning '!$C$9*'4C2 Open-burning '!$C$11*$C$5</f>
        <v>3.1933464237618816</v>
      </c>
      <c r="U96" s="564">
        <f>E96*'4C2 Open-burning '!$C$9*'4C2 Open-burning '!$C$11*$C$5</f>
        <v>0.87219985089845042</v>
      </c>
      <c r="V96" s="564">
        <f>F96*'4C2 Open-burning '!$C$9*'4C2 Open-burning '!$C$11*$C$5</f>
        <v>0</v>
      </c>
      <c r="W96" s="564">
        <f>G96*'4C2 Open-burning '!$C$9*'4C2 Open-burning '!$C$11*$C$5</f>
        <v>0</v>
      </c>
      <c r="X96" s="564">
        <f>H96*'4C2 Open-burning '!$C$9*'4C2 Open-burning '!$C$11*$C$5</f>
        <v>0</v>
      </c>
      <c r="Y96" s="564">
        <f>I96*'4C2 Open-burning '!$C$9*'4C2 Open-burning '!$C$11*$C$5</f>
        <v>3.4100017575057104</v>
      </c>
      <c r="Z96" s="565">
        <f t="shared" si="9"/>
        <v>10.533122180608201</v>
      </c>
      <c r="AA96" s="566">
        <f>C96*'4C2 Open-burning '!$C$10*'4C2 Open-burning '!$C$11*$C$5*C$15</f>
        <v>2.8223761370235308E-2</v>
      </c>
      <c r="AB96" s="566">
        <f>D96*'4C2 Open-burning '!$C$10*'4C2 Open-burning '!$C$11*$C$5*D$15</f>
        <v>2.9477043911648144E-2</v>
      </c>
      <c r="AC96" s="566">
        <f>E96*'4C2 Open-burning '!$C$10*'4C2 Open-burning '!$C$11*$C$5*E$15</f>
        <v>1.8114919980198589E-2</v>
      </c>
      <c r="AD96" s="566">
        <f>F96*'4C2 Open-burning '!$C$10*'4C2 Open-burning '!$C$11*$C$5*F$15</f>
        <v>0</v>
      </c>
      <c r="AE96" s="566">
        <f>G96*'4C2 Open-burning '!$C$10*'4C2 Open-burning '!$C$11*$C$5*G$15</f>
        <v>0</v>
      </c>
      <c r="AF96" s="566">
        <f>H96*'4C2 Open-burning '!$C$10*'4C2 Open-burning '!$C$11*$C$5*H$15</f>
        <v>0</v>
      </c>
      <c r="AG96" s="566">
        <f>I96*'4C2 Open-burning '!$C$10*'4C2 Open-burning '!$C$11*$C$5*I$15</f>
        <v>7.0823113425118614E-2</v>
      </c>
      <c r="AH96" s="567">
        <f t="shared" si="10"/>
        <v>0.14663883868720068</v>
      </c>
      <c r="AI96" s="1646"/>
      <c r="AJ96" s="1646"/>
      <c r="AK96" s="1646"/>
    </row>
    <row r="97" spans="1:37">
      <c r="A97" s="568">
        <f>'Input data'!A126</f>
        <v>2026</v>
      </c>
      <c r="B97" s="604">
        <f>'Recycling - Case 1'!AP106</f>
        <v>0.1214682808560769</v>
      </c>
      <c r="C97" s="606">
        <f>$B97*'Recycling - Case 1'!$AK106*'Recycling - Case 1'!BM106*'Recycling - Case 1'!$B106</f>
        <v>777.66226427752736</v>
      </c>
      <c r="D97" s="607">
        <f>$B97*'Recycling - Case 1'!$AK106*'Recycling - Case 1'!BN106*'Recycling - Case 1'!$B106</f>
        <v>812.1945339544684</v>
      </c>
      <c r="E97" s="607">
        <f>$B97*'Recycling - Case 1'!$AK106*'Recycling - Case 1'!BO106*'Recycling - Case 1'!$B106</f>
        <v>221.83498355969371</v>
      </c>
      <c r="F97" s="607">
        <f>$B97*'Recycling - Case 1'!$AK106*'Recycling - Case 1'!BP106*'Recycling - Case 1'!$B106</f>
        <v>0</v>
      </c>
      <c r="G97" s="607">
        <f>$B97*'Recycling - Case 1'!$AK106*'Recycling - Case 1'!BQ106*'Recycling - Case 1'!$B106</f>
        <v>0</v>
      </c>
      <c r="H97" s="607">
        <f>$B97*'Recycling - Case 1'!$AK106*'Recycling - Case 1'!BR106*'Recycling - Case 1'!$B106</f>
        <v>0</v>
      </c>
      <c r="I97" s="607">
        <f>$B97*'Recycling - Case 1'!$AK106*'Recycling - Case 1'!BS106*'Recycling - Case 1'!$B106</f>
        <v>867.29857043151446</v>
      </c>
      <c r="J97" s="770">
        <f t="shared" si="11"/>
        <v>2678.9903522232039</v>
      </c>
      <c r="K97" s="1633">
        <f>'4C2 Open-burning '!C$14*'4C2 Open-burning '!$C$5*'4C2 Open-burning '!$C$6*'4C2 Open-burning '!$C$7*C97</f>
        <v>0</v>
      </c>
      <c r="L97" s="158">
        <f>'4C2 Open-burning '!D$14*'4C2 Open-burning '!$C$5*'4C2 Open-burning '!$C$6*'4C2 Open-burning '!$C$7*D97</f>
        <v>0</v>
      </c>
      <c r="M97" s="158">
        <f>'4C2 Open-burning '!E$14*'4C2 Open-burning '!$C$5*'4C2 Open-burning '!$C$6*'4C2 Open-burning '!$C$7*E97</f>
        <v>1.1718743575517803</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29.880170348506532</v>
      </c>
      <c r="R97" s="1634">
        <f t="shared" si="8"/>
        <v>31.052044706058311</v>
      </c>
      <c r="S97" s="564">
        <f>C97*'4C2 Open-burning '!$C$9*'4C2 Open-burning '!$C$11*$C$5</f>
        <v>3.032882830682357</v>
      </c>
      <c r="T97" s="564">
        <f>D97*'4C2 Open-burning '!$C$9*'4C2 Open-burning '!$C$11*$C$5</f>
        <v>3.1675586824224262</v>
      </c>
      <c r="U97" s="564">
        <f>E97*'4C2 Open-burning '!$C$9*'4C2 Open-burning '!$C$11*$C$5</f>
        <v>0.86515643588280533</v>
      </c>
      <c r="V97" s="564">
        <f>F97*'4C2 Open-burning '!$C$9*'4C2 Open-burning '!$C$11*$C$5</f>
        <v>0</v>
      </c>
      <c r="W97" s="564">
        <f>G97*'4C2 Open-burning '!$C$9*'4C2 Open-burning '!$C$11*$C$5</f>
        <v>0</v>
      </c>
      <c r="X97" s="564">
        <f>H97*'4C2 Open-burning '!$C$9*'4C2 Open-burning '!$C$11*$C$5</f>
        <v>0</v>
      </c>
      <c r="Y97" s="564">
        <f>I97*'4C2 Open-burning '!$C$9*'4C2 Open-burning '!$C$11*$C$5</f>
        <v>3.3824644246829063</v>
      </c>
      <c r="Z97" s="565">
        <f t="shared" si="9"/>
        <v>10.448062373670496</v>
      </c>
      <c r="AA97" s="566">
        <f>C97*'4C2 Open-burning '!$C$10*'4C2 Open-burning '!$C$11*$C$5*C$15</f>
        <v>2.7995841513990982E-2</v>
      </c>
      <c r="AB97" s="566">
        <f>D97*'4C2 Open-burning '!$C$10*'4C2 Open-burning '!$C$11*$C$5*D$15</f>
        <v>2.9239003222360862E-2</v>
      </c>
      <c r="AC97" s="566">
        <f>E97*'4C2 Open-burning '!$C$10*'4C2 Open-burning '!$C$11*$C$5*E$15</f>
        <v>1.7968633668335187E-2</v>
      </c>
      <c r="AD97" s="566">
        <f>F97*'4C2 Open-burning '!$C$10*'4C2 Open-burning '!$C$11*$C$5*F$15</f>
        <v>0</v>
      </c>
      <c r="AE97" s="566">
        <f>G97*'4C2 Open-burning '!$C$10*'4C2 Open-burning '!$C$11*$C$5*G$15</f>
        <v>0</v>
      </c>
      <c r="AF97" s="566">
        <f>H97*'4C2 Open-burning '!$C$10*'4C2 Open-burning '!$C$11*$C$5*H$15</f>
        <v>0</v>
      </c>
      <c r="AG97" s="566">
        <f>I97*'4C2 Open-burning '!$C$10*'4C2 Open-burning '!$C$11*$C$5*I$15</f>
        <v>7.0251184204952674E-2</v>
      </c>
      <c r="AH97" s="567">
        <f t="shared" si="10"/>
        <v>0.14545466260963971</v>
      </c>
      <c r="AI97" s="1646"/>
      <c r="AJ97" s="1646"/>
      <c r="AK97" s="1646"/>
    </row>
    <row r="98" spans="1:37">
      <c r="A98" s="568">
        <f>'Input data'!A127</f>
        <v>2027</v>
      </c>
      <c r="B98" s="604">
        <f>'Recycling - Case 1'!AP107</f>
        <v>0.1214682808560769</v>
      </c>
      <c r="C98" s="606">
        <f>$B98*'Recycling - Case 1'!$AK107*'Recycling - Case 1'!BM107*'Recycling - Case 1'!$B107</f>
        <v>772.3973414190441</v>
      </c>
      <c r="D98" s="607">
        <f>$B98*'Recycling - Case 1'!$AK107*'Recycling - Case 1'!BN107*'Recycling - Case 1'!$B107</f>
        <v>806.69582099926947</v>
      </c>
      <c r="E98" s="607">
        <f>$B98*'Recycling - Case 1'!$AK107*'Recycling - Case 1'!BO107*'Recycling - Case 1'!$B107</f>
        <v>220.33311812349467</v>
      </c>
      <c r="F98" s="607">
        <f>$B98*'Recycling - Case 1'!$AK107*'Recycling - Case 1'!BP107*'Recycling - Case 1'!$B107</f>
        <v>0</v>
      </c>
      <c r="G98" s="607">
        <f>$B98*'Recycling - Case 1'!$AK107*'Recycling - Case 1'!BQ107*'Recycling - Case 1'!$B107</f>
        <v>0</v>
      </c>
      <c r="H98" s="607">
        <f>$B98*'Recycling - Case 1'!$AK107*'Recycling - Case 1'!BR107*'Recycling - Case 1'!$B107</f>
        <v>0</v>
      </c>
      <c r="I98" s="607">
        <f>$B98*'Recycling - Case 1'!$AK107*'Recycling - Case 1'!BS107*'Recycling - Case 1'!$B107</f>
        <v>861.42679256810345</v>
      </c>
      <c r="J98" s="770">
        <f t="shared" si="11"/>
        <v>2660.8530731099117</v>
      </c>
      <c r="K98" s="1633">
        <f>'4C2 Open-burning '!C$14*'4C2 Open-burning '!$C$5*'4C2 Open-burning '!$C$6*'4C2 Open-burning '!$C$7*C98</f>
        <v>0</v>
      </c>
      <c r="L98" s="158">
        <f>'4C2 Open-burning '!D$14*'4C2 Open-burning '!$C$5*'4C2 Open-burning '!$C$6*'4C2 Open-burning '!$C$7*D98</f>
        <v>0</v>
      </c>
      <c r="M98" s="158">
        <f>'4C2 Open-burning '!E$14*'4C2 Open-burning '!$C$5*'4C2 Open-burning '!$C$6*'4C2 Open-burning '!$C$7*E98</f>
        <v>1.1639405431238978</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29.677875857556298</v>
      </c>
      <c r="R98" s="1634">
        <f t="shared" si="8"/>
        <v>30.841816400680194</v>
      </c>
      <c r="S98" s="564">
        <f>C98*'4C2 Open-burning '!$C$9*'4C2 Open-burning '!$C$11*$C$5</f>
        <v>3.0123496315342724</v>
      </c>
      <c r="T98" s="564">
        <f>D98*'4C2 Open-burning '!$C$9*'4C2 Open-burning '!$C$11*$C$5</f>
        <v>3.1461137018971508</v>
      </c>
      <c r="U98" s="564">
        <f>E98*'4C2 Open-burning '!$C$9*'4C2 Open-burning '!$C$11*$C$5</f>
        <v>0.85929916068162915</v>
      </c>
      <c r="V98" s="564">
        <f>F98*'4C2 Open-burning '!$C$9*'4C2 Open-burning '!$C$11*$C$5</f>
        <v>0</v>
      </c>
      <c r="W98" s="564">
        <f>G98*'4C2 Open-burning '!$C$9*'4C2 Open-burning '!$C$11*$C$5</f>
        <v>0</v>
      </c>
      <c r="X98" s="564">
        <f>H98*'4C2 Open-burning '!$C$9*'4C2 Open-burning '!$C$11*$C$5</f>
        <v>0</v>
      </c>
      <c r="Y98" s="564">
        <f>I98*'4C2 Open-burning '!$C$9*'4C2 Open-burning '!$C$11*$C$5</f>
        <v>3.3595644910156031</v>
      </c>
      <c r="Z98" s="565">
        <f t="shared" si="9"/>
        <v>10.377326985128654</v>
      </c>
      <c r="AA98" s="566">
        <f>C98*'4C2 Open-burning '!$C$10*'4C2 Open-burning '!$C$11*$C$5*C$15</f>
        <v>2.780630429108559E-2</v>
      </c>
      <c r="AB98" s="566">
        <f>D98*'4C2 Open-burning '!$C$10*'4C2 Open-burning '!$C$11*$C$5*D$15</f>
        <v>2.9041049555973697E-2</v>
      </c>
      <c r="AC98" s="566">
        <f>E98*'4C2 Open-burning '!$C$10*'4C2 Open-burning '!$C$11*$C$5*E$15</f>
        <v>1.7846982568003069E-2</v>
      </c>
      <c r="AD98" s="566">
        <f>F98*'4C2 Open-burning '!$C$10*'4C2 Open-burning '!$C$11*$C$5*F$15</f>
        <v>0</v>
      </c>
      <c r="AE98" s="566">
        <f>G98*'4C2 Open-burning '!$C$10*'4C2 Open-burning '!$C$11*$C$5*G$15</f>
        <v>0</v>
      </c>
      <c r="AF98" s="566">
        <f>H98*'4C2 Open-burning '!$C$10*'4C2 Open-burning '!$C$11*$C$5*H$15</f>
        <v>0</v>
      </c>
      <c r="AG98" s="566">
        <f>I98*'4C2 Open-burning '!$C$10*'4C2 Open-burning '!$C$11*$C$5*I$15</f>
        <v>6.9775570198016362E-2</v>
      </c>
      <c r="AH98" s="567">
        <f t="shared" si="10"/>
        <v>0.14446990661307874</v>
      </c>
      <c r="AI98" s="1647"/>
      <c r="AJ98" s="1646"/>
      <c r="AK98" s="1647"/>
    </row>
    <row r="99" spans="1:37">
      <c r="A99" s="568">
        <f>'Input data'!A128</f>
        <v>2028</v>
      </c>
      <c r="B99" s="604">
        <f>'Recycling - Case 1'!AP108</f>
        <v>0.1214682808560769</v>
      </c>
      <c r="C99" s="606">
        <f>$B99*'Recycling - Case 1'!$AK108*'Recycling - Case 1'!BM108*'Recycling - Case 1'!$B108</f>
        <v>739.49587894734407</v>
      </c>
      <c r="D99" s="607">
        <f>$B99*'Recycling - Case 1'!$AK108*'Recycling - Case 1'!BN108*'Recycling - Case 1'!$B108</f>
        <v>772.33336160508918</v>
      </c>
      <c r="E99" s="607">
        <f>$B99*'Recycling - Case 1'!$AK108*'Recycling - Case 1'!BO108*'Recycling - Case 1'!$B108</f>
        <v>210.94768729861062</v>
      </c>
      <c r="F99" s="607">
        <f>$B99*'Recycling - Case 1'!$AK108*'Recycling - Case 1'!BP108*'Recycling - Case 1'!$B108</f>
        <v>0</v>
      </c>
      <c r="G99" s="607">
        <f>$B99*'Recycling - Case 1'!$AK108*'Recycling - Case 1'!BQ108*'Recycling - Case 1'!$B108</f>
        <v>0</v>
      </c>
      <c r="H99" s="607">
        <f>$B99*'Recycling - Case 1'!$AK108*'Recycling - Case 1'!BR108*'Recycling - Case 1'!$B108</f>
        <v>0</v>
      </c>
      <c r="I99" s="607">
        <f>$B99*'Recycling - Case 1'!$AK108*'Recycling - Case 1'!BS108*'Recycling - Case 1'!$B108</f>
        <v>824.73298257164981</v>
      </c>
      <c r="J99" s="770">
        <f t="shared" si="11"/>
        <v>2547.5099104226938</v>
      </c>
      <c r="K99" s="1633">
        <f>'4C2 Open-burning '!C$14*'4C2 Open-burning '!$C$5*'4C2 Open-burning '!$C$6*'4C2 Open-burning '!$C$7*C99</f>
        <v>0</v>
      </c>
      <c r="L99" s="158">
        <f>'4C2 Open-burning '!D$14*'4C2 Open-burning '!$C$5*'4C2 Open-burning '!$C$6*'4C2 Open-burning '!$C$7*D99</f>
        <v>0</v>
      </c>
      <c r="M99" s="158">
        <f>'4C2 Open-burning '!E$14*'4C2 Open-burning '!$C$5*'4C2 Open-burning '!$C$6*'4C2 Open-burning '!$C$7*E99</f>
        <v>1.1143606908311323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28.413700715558477</v>
      </c>
      <c r="R99" s="1634">
        <f t="shared" si="8"/>
        <v>29.528061406389611</v>
      </c>
      <c r="S99" s="564">
        <f>C99*'4C2 Open-burning '!$C$9*'4C2 Open-burning '!$C$11*$C$5</f>
        <v>2.8840339278946421</v>
      </c>
      <c r="T99" s="564">
        <f>D99*'4C2 Open-burning '!$C$9*'4C2 Open-burning '!$C$11*$C$5</f>
        <v>3.0121001102598473</v>
      </c>
      <c r="U99" s="564">
        <f>E99*'4C2 Open-burning '!$C$9*'4C2 Open-burning '!$C$11*$C$5</f>
        <v>0.82269598046458137</v>
      </c>
      <c r="V99" s="564">
        <f>F99*'4C2 Open-burning '!$C$9*'4C2 Open-burning '!$C$11*$C$5</f>
        <v>0</v>
      </c>
      <c r="W99" s="564">
        <f>G99*'4C2 Open-burning '!$C$9*'4C2 Open-burning '!$C$11*$C$5</f>
        <v>0</v>
      </c>
      <c r="X99" s="564">
        <f>H99*'4C2 Open-burning '!$C$9*'4C2 Open-burning '!$C$11*$C$5</f>
        <v>0</v>
      </c>
      <c r="Y99" s="564">
        <f>I99*'4C2 Open-burning '!$C$9*'4C2 Open-burning '!$C$11*$C$5</f>
        <v>3.2164586320294344</v>
      </c>
      <c r="Z99" s="565">
        <f t="shared" si="9"/>
        <v>9.9352886506485056</v>
      </c>
      <c r="AA99" s="566">
        <f>C99*'4C2 Open-burning '!$C$10*'4C2 Open-burning '!$C$11*$C$5*C$15</f>
        <v>2.6621851642104385E-2</v>
      </c>
      <c r="AB99" s="566">
        <f>D99*'4C2 Open-burning '!$C$10*'4C2 Open-burning '!$C$11*$C$5*D$15</f>
        <v>2.7804001017783211E-2</v>
      </c>
      <c r="AC99" s="566">
        <f>E99*'4C2 Open-burning '!$C$10*'4C2 Open-burning '!$C$11*$C$5*E$15</f>
        <v>1.7086762671187458E-2</v>
      </c>
      <c r="AD99" s="566">
        <f>F99*'4C2 Open-burning '!$C$10*'4C2 Open-burning '!$C$11*$C$5*F$15</f>
        <v>0</v>
      </c>
      <c r="AE99" s="566">
        <f>G99*'4C2 Open-burning '!$C$10*'4C2 Open-burning '!$C$11*$C$5*G$15</f>
        <v>0</v>
      </c>
      <c r="AF99" s="566">
        <f>H99*'4C2 Open-burning '!$C$10*'4C2 Open-burning '!$C$11*$C$5*H$15</f>
        <v>0</v>
      </c>
      <c r="AG99" s="566">
        <f>I99*'4C2 Open-burning '!$C$10*'4C2 Open-burning '!$C$11*$C$5*I$15</f>
        <v>6.6803371588303628E-2</v>
      </c>
      <c r="AH99" s="567">
        <f t="shared" si="10"/>
        <v>0.13831598691937869</v>
      </c>
      <c r="AI99" s="1647"/>
      <c r="AJ99" s="1646"/>
      <c r="AK99" s="1647"/>
    </row>
    <row r="100" spans="1:37">
      <c r="A100" s="568">
        <f>'Input data'!A129</f>
        <v>2029</v>
      </c>
      <c r="B100" s="604">
        <f>'Recycling - Case 1'!AP109</f>
        <v>0.12146828085607692</v>
      </c>
      <c r="C100" s="606">
        <f>$B100*'Recycling - Case 1'!$AK109*'Recycling - Case 1'!BM109*'Recycling - Case 1'!$B109</f>
        <v>708.00460877751948</v>
      </c>
      <c r="D100" s="607">
        <f>$B100*'Recycling - Case 1'!$AK109*'Recycling - Case 1'!BN109*'Recycling - Case 1'!$B109</f>
        <v>739.44371442261104</v>
      </c>
      <c r="E100" s="607">
        <f>$B100*'Recycling - Case 1'!$AK109*'Recycling - Case 1'!BO109*'Recycling - Case 1'!$B109</f>
        <v>201.96452619989506</v>
      </c>
      <c r="F100" s="607">
        <f>$B100*'Recycling - Case 1'!$AK109*'Recycling - Case 1'!BP109*'Recycling - Case 1'!$B109</f>
        <v>0</v>
      </c>
      <c r="G100" s="607">
        <f>$B100*'Recycling - Case 1'!$AK109*'Recycling - Case 1'!BQ109*'Recycling - Case 1'!$B109</f>
        <v>0</v>
      </c>
      <c r="H100" s="607">
        <f>$B100*'Recycling - Case 1'!$AK109*'Recycling - Case 1'!BR109*'Recycling - Case 1'!$B109</f>
        <v>0</v>
      </c>
      <c r="I100" s="607">
        <f>$B100*'Recycling - Case 1'!$AK109*'Recycling - Case 1'!BS109*'Recycling - Case 1'!$B109</f>
        <v>789.61190899771793</v>
      </c>
      <c r="J100" s="770">
        <f t="shared" si="11"/>
        <v>2439.0247583977434</v>
      </c>
      <c r="K100" s="1633">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1.0669058846846136</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27.203709488789375</v>
      </c>
      <c r="R100" s="1634">
        <f t="shared" si="8"/>
        <v>28.270615373473987</v>
      </c>
      <c r="S100" s="564">
        <f>C100*'4C2 Open-burning '!$C$9*'4C2 Open-burning '!$C$11*$C$5</f>
        <v>2.7612179742323257</v>
      </c>
      <c r="T100" s="564">
        <f>D100*'4C2 Open-burning '!$C$9*'4C2 Open-burning '!$C$11*$C$5</f>
        <v>2.8838304862481832</v>
      </c>
      <c r="U100" s="564">
        <f>E100*'4C2 Open-burning '!$C$9*'4C2 Open-burning '!$C$11*$C$5</f>
        <v>0.78766165217959072</v>
      </c>
      <c r="V100" s="564">
        <f>F100*'4C2 Open-burning '!$C$9*'4C2 Open-burning '!$C$11*$C$5</f>
        <v>0</v>
      </c>
      <c r="W100" s="564">
        <f>G100*'4C2 Open-burning '!$C$9*'4C2 Open-burning '!$C$11*$C$5</f>
        <v>0</v>
      </c>
      <c r="X100" s="564">
        <f>H100*'4C2 Open-burning '!$C$9*'4C2 Open-burning '!$C$11*$C$5</f>
        <v>0</v>
      </c>
      <c r="Y100" s="564">
        <f>I100*'4C2 Open-burning '!$C$9*'4C2 Open-burning '!$C$11*$C$5</f>
        <v>3.0794864450910997</v>
      </c>
      <c r="Z100" s="565">
        <f t="shared" si="9"/>
        <v>9.5121965577511993</v>
      </c>
      <c r="AA100" s="566">
        <f>C100*'4C2 Open-burning '!$C$10*'4C2 Open-burning '!$C$11*$C$5*C$15</f>
        <v>2.5488165915990704E-2</v>
      </c>
      <c r="AB100" s="566">
        <f>D100*'4C2 Open-burning '!$C$10*'4C2 Open-burning '!$C$11*$C$5*D$15</f>
        <v>2.6619973719213999E-2</v>
      </c>
      <c r="AC100" s="566">
        <f>E100*'4C2 Open-burning '!$C$10*'4C2 Open-burning '!$C$11*$C$5*E$15</f>
        <v>1.6359126622191498E-2</v>
      </c>
      <c r="AD100" s="566">
        <f>F100*'4C2 Open-burning '!$C$10*'4C2 Open-burning '!$C$11*$C$5*F$15</f>
        <v>0</v>
      </c>
      <c r="AE100" s="566">
        <f>G100*'4C2 Open-burning '!$C$10*'4C2 Open-burning '!$C$11*$C$5*G$15</f>
        <v>0</v>
      </c>
      <c r="AF100" s="566">
        <f>H100*'4C2 Open-burning '!$C$10*'4C2 Open-burning '!$C$11*$C$5*H$15</f>
        <v>0</v>
      </c>
      <c r="AG100" s="566">
        <f>I100*'4C2 Open-burning '!$C$10*'4C2 Open-burning '!$C$11*$C$5*I$15</f>
        <v>6.3958564628815148E-2</v>
      </c>
      <c r="AH100" s="567">
        <f t="shared" si="10"/>
        <v>0.13242583088621135</v>
      </c>
      <c r="AI100" s="1647"/>
      <c r="AJ100" s="1646"/>
      <c r="AK100" s="1647"/>
    </row>
    <row r="101" spans="1:37">
      <c r="A101" s="568">
        <f>'Input data'!A130</f>
        <v>2030</v>
      </c>
      <c r="B101" s="604">
        <f>'Recycling - Case 1'!AP110</f>
        <v>0.12146828085607692</v>
      </c>
      <c r="C101" s="606">
        <f>$B101*'Recycling - Case 1'!$AK110*'Recycling - Case 1'!BM110*'Recycling - Case 1'!$B110</f>
        <v>677.85157277459609</v>
      </c>
      <c r="D101" s="607">
        <f>$B101*'Recycling - Case 1'!$AK110*'Recycling - Case 1'!BN110*'Recycling - Case 1'!$B110</f>
        <v>707.95172599951502</v>
      </c>
      <c r="E101" s="607">
        <f>$B101*'Recycling - Case 1'!$AK110*'Recycling - Case 1'!BO110*'Recycling - Case 1'!$B110</f>
        <v>193.3631081380355</v>
      </c>
      <c r="F101" s="607">
        <f>$B101*'Recycling - Case 1'!$AK110*'Recycling - Case 1'!BP110*'Recycling - Case 1'!$B110</f>
        <v>0</v>
      </c>
      <c r="G101" s="607">
        <f>$B101*'Recycling - Case 1'!$AK110*'Recycling - Case 1'!BQ110*'Recycling - Case 1'!$B110</f>
        <v>0</v>
      </c>
      <c r="H101" s="607">
        <f>$B101*'Recycling - Case 1'!$AK110*'Recycling - Case 1'!BR110*'Recycling - Case 1'!$B110</f>
        <v>0</v>
      </c>
      <c r="I101" s="607">
        <f>$B101*'Recycling - Case 1'!$AK110*'Recycling - Case 1'!BS110*'Recycling - Case 1'!$B110</f>
        <v>755.98331954339858</v>
      </c>
      <c r="J101" s="770">
        <f t="shared" si="11"/>
        <v>2335.1497264555451</v>
      </c>
      <c r="K101" s="1633">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1.0214676895743118</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26.045137324909167</v>
      </c>
      <c r="R101" s="1634">
        <f t="shared" si="8"/>
        <v>27.066605014483478</v>
      </c>
      <c r="S101" s="564">
        <f>C101*'4C2 Open-burning '!$C$9*'4C2 Open-burning '!$C$11*$C$5</f>
        <v>2.6436211338209246</v>
      </c>
      <c r="T101" s="564">
        <f>D101*'4C2 Open-burning '!$C$9*'4C2 Open-burning '!$C$11*$C$5</f>
        <v>2.7610117313981086</v>
      </c>
      <c r="U101" s="564">
        <f>E101*'4C2 Open-burning '!$C$9*'4C2 Open-burning '!$C$11*$C$5</f>
        <v>0.75411612173833853</v>
      </c>
      <c r="V101" s="564">
        <f>F101*'4C2 Open-burning '!$C$9*'4C2 Open-burning '!$C$11*$C$5</f>
        <v>0</v>
      </c>
      <c r="W101" s="564">
        <f>G101*'4C2 Open-burning '!$C$9*'4C2 Open-burning '!$C$11*$C$5</f>
        <v>0</v>
      </c>
      <c r="X101" s="564">
        <f>H101*'4C2 Open-burning '!$C$9*'4C2 Open-burning '!$C$11*$C$5</f>
        <v>0</v>
      </c>
      <c r="Y101" s="564">
        <f>I101*'4C2 Open-burning '!$C$9*'4C2 Open-burning '!$C$11*$C$5</f>
        <v>2.9483349462192545</v>
      </c>
      <c r="Z101" s="565">
        <f t="shared" si="9"/>
        <v>9.1070839331766269</v>
      </c>
      <c r="AA101" s="566">
        <f>C101*'4C2 Open-burning '!$C$10*'4C2 Open-burning '!$C$11*$C$5*C$15</f>
        <v>2.4402656619885457E-2</v>
      </c>
      <c r="AB101" s="566">
        <f>D101*'4C2 Open-burning '!$C$10*'4C2 Open-burning '!$C$11*$C$5*D$15</f>
        <v>2.548626213598254E-2</v>
      </c>
      <c r="AC101" s="566">
        <f>E101*'4C2 Open-burning '!$C$10*'4C2 Open-burning '!$C$11*$C$5*E$15</f>
        <v>1.5662411759180875E-2</v>
      </c>
      <c r="AD101" s="566">
        <f>F101*'4C2 Open-burning '!$C$10*'4C2 Open-burning '!$C$11*$C$5*F$15</f>
        <v>0</v>
      </c>
      <c r="AE101" s="566">
        <f>G101*'4C2 Open-burning '!$C$10*'4C2 Open-burning '!$C$11*$C$5*G$15</f>
        <v>0</v>
      </c>
      <c r="AF101" s="566">
        <f>H101*'4C2 Open-burning '!$C$10*'4C2 Open-burning '!$C$11*$C$5*H$15</f>
        <v>0</v>
      </c>
      <c r="AG101" s="566">
        <f>I101*'4C2 Open-burning '!$C$10*'4C2 Open-burning '!$C$11*$C$5*I$15</f>
        <v>6.1234648883015289E-2</v>
      </c>
      <c r="AH101" s="567">
        <f t="shared" si="10"/>
        <v>0.12678597939806416</v>
      </c>
      <c r="AI101" s="1647"/>
      <c r="AJ101" s="1646"/>
      <c r="AK101" s="1647"/>
    </row>
    <row r="102" spans="1:37">
      <c r="A102" s="568">
        <f>'Input data'!A131</f>
        <v>2031</v>
      </c>
      <c r="B102" s="604">
        <f>'Recycling - Case 1'!AP111</f>
        <v>0.12146828085607689</v>
      </c>
      <c r="C102" s="606">
        <f>$B102*'Recycling - Case 1'!$AK111*'Recycling - Case 1'!BM111*'Recycling - Case 1'!$B111</f>
        <v>651.27016708163637</v>
      </c>
      <c r="D102" s="607">
        <f>$B102*'Recycling - Case 1'!$AK111*'Recycling - Case 1'!BN111*'Recycling - Case 1'!$B111</f>
        <v>680.18996694244493</v>
      </c>
      <c r="E102" s="607">
        <f>$B102*'Recycling - Case 1'!$AK111*'Recycling - Case 1'!BO111*'Recycling - Case 1'!$B111</f>
        <v>185.78052895712398</v>
      </c>
      <c r="F102" s="607">
        <f>$B102*'Recycling - Case 1'!$AK111*'Recycling - Case 1'!BP111*'Recycling - Case 1'!$B111</f>
        <v>0</v>
      </c>
      <c r="G102" s="607">
        <f>$B102*'Recycling - Case 1'!$AK111*'Recycling - Case 1'!BQ111*'Recycling - Case 1'!$B111</f>
        <v>0</v>
      </c>
      <c r="H102" s="607">
        <f>$B102*'Recycling - Case 1'!$AK111*'Recycling - Case 1'!BR111*'Recycling - Case 1'!$B111</f>
        <v>0</v>
      </c>
      <c r="I102" s="607">
        <f>$B102*'Recycling - Case 1'!$AK111*'Recycling - Case 1'!BS111*'Recycling - Case 1'!$B111</f>
        <v>726.33804007367655</v>
      </c>
      <c r="J102" s="770">
        <f t="shared" si="11"/>
        <v>2243.5787030548818</v>
      </c>
      <c r="K102" s="1633">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0.98141165349006143</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25.023798156618302</v>
      </c>
      <c r="R102" s="1634">
        <f t="shared" si="8"/>
        <v>26.005209810108362</v>
      </c>
      <c r="S102" s="564">
        <f>C102*'4C2 Open-burning '!$C$9*'4C2 Open-burning '!$C$11*$C$5</f>
        <v>2.5399536516183816</v>
      </c>
      <c r="T102" s="564">
        <f>D102*'4C2 Open-burning '!$C$9*'4C2 Open-burning '!$C$11*$C$5</f>
        <v>2.6527408710755349</v>
      </c>
      <c r="U102" s="564">
        <f>E102*'4C2 Open-burning '!$C$9*'4C2 Open-burning '!$C$11*$C$5</f>
        <v>0.72454406293278339</v>
      </c>
      <c r="V102" s="564">
        <f>F102*'4C2 Open-burning '!$C$9*'4C2 Open-burning '!$C$11*$C$5</f>
        <v>0</v>
      </c>
      <c r="W102" s="564">
        <f>G102*'4C2 Open-burning '!$C$9*'4C2 Open-burning '!$C$11*$C$5</f>
        <v>0</v>
      </c>
      <c r="X102" s="564">
        <f>H102*'4C2 Open-burning '!$C$9*'4C2 Open-burning '!$C$11*$C$5</f>
        <v>0</v>
      </c>
      <c r="Y102" s="564">
        <f>I102*'4C2 Open-burning '!$C$9*'4C2 Open-burning '!$C$11*$C$5</f>
        <v>2.8327183562873386</v>
      </c>
      <c r="Z102" s="565">
        <f t="shared" si="9"/>
        <v>8.7499569419140375</v>
      </c>
      <c r="AA102" s="566">
        <f>C102*'4C2 Open-burning '!$C$10*'4C2 Open-burning '!$C$11*$C$5*C$15</f>
        <v>2.3445726014938911E-2</v>
      </c>
      <c r="AB102" s="566">
        <f>D102*'4C2 Open-burning '!$C$10*'4C2 Open-burning '!$C$11*$C$5*D$15</f>
        <v>2.4486838809928017E-2</v>
      </c>
      <c r="AC102" s="566">
        <f>E102*'4C2 Open-burning '!$C$10*'4C2 Open-burning '!$C$11*$C$5*E$15</f>
        <v>1.5048222845527041E-2</v>
      </c>
      <c r="AD102" s="566">
        <f>F102*'4C2 Open-burning '!$C$10*'4C2 Open-burning '!$C$11*$C$5*F$15</f>
        <v>0</v>
      </c>
      <c r="AE102" s="566">
        <f>G102*'4C2 Open-burning '!$C$10*'4C2 Open-burning '!$C$11*$C$5*G$15</f>
        <v>0</v>
      </c>
      <c r="AF102" s="566">
        <f>H102*'4C2 Open-burning '!$C$10*'4C2 Open-burning '!$C$11*$C$5*H$15</f>
        <v>0</v>
      </c>
      <c r="AG102" s="566">
        <f>I102*'4C2 Open-burning '!$C$10*'4C2 Open-burning '!$C$11*$C$5*I$15</f>
        <v>5.8833381245967806E-2</v>
      </c>
      <c r="AH102" s="567">
        <f t="shared" si="10"/>
        <v>0.12181416891636178</v>
      </c>
      <c r="AI102" s="1647"/>
      <c r="AJ102" s="1646"/>
      <c r="AK102" s="1647"/>
    </row>
    <row r="103" spans="1:37">
      <c r="A103" s="568">
        <f>'Input data'!A132</f>
        <v>2032</v>
      </c>
      <c r="B103" s="604">
        <f>'Recycling - Case 1'!AP112</f>
        <v>0.12146828085607692</v>
      </c>
      <c r="C103" s="606">
        <f>$B103*'Recycling - Case 1'!$AK112*'Recycling - Case 1'!BM112*'Recycling - Case 1'!$B112</f>
        <v>624.18738073551879</v>
      </c>
      <c r="D103" s="607">
        <f>$B103*'Recycling - Case 1'!$AK112*'Recycling - Case 1'!BN112*'Recycling - Case 1'!$B112</f>
        <v>651.90456331030566</v>
      </c>
      <c r="E103" s="607">
        <f>$B103*'Recycling - Case 1'!$AK112*'Recycling - Case 1'!BO112*'Recycling - Case 1'!$B112</f>
        <v>178.05492654612976</v>
      </c>
      <c r="F103" s="607">
        <f>$B103*'Recycling - Case 1'!$AK112*'Recycling - Case 1'!BP112*'Recycling - Case 1'!$B112</f>
        <v>0</v>
      </c>
      <c r="G103" s="607">
        <f>$B103*'Recycling - Case 1'!$AK112*'Recycling - Case 1'!BQ112*'Recycling - Case 1'!$B112</f>
        <v>0</v>
      </c>
      <c r="H103" s="607">
        <f>$B103*'Recycling - Case 1'!$AK112*'Recycling - Case 1'!BR112*'Recycling - Case 1'!$B112</f>
        <v>0</v>
      </c>
      <c r="I103" s="607">
        <f>$B103*'Recycling - Case 1'!$AK112*'Recycling - Case 1'!BS112*'Recycling - Case 1'!$B112</f>
        <v>696.1335889124623</v>
      </c>
      <c r="J103" s="770">
        <f t="shared" si="11"/>
        <v>2150.2804595044163</v>
      </c>
      <c r="K103" s="1633">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0.94060007716964689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23.983194405212149</v>
      </c>
      <c r="R103" s="1634">
        <f t="shared" si="8"/>
        <v>24.923794482381798</v>
      </c>
      <c r="S103" s="564">
        <f>C103*'4C2 Open-burning '!$C$9*'4C2 Open-burning '!$C$11*$C$5</f>
        <v>2.4343307848685227</v>
      </c>
      <c r="T103" s="564">
        <f>D103*'4C2 Open-burning '!$C$9*'4C2 Open-burning '!$C$11*$C$5</f>
        <v>2.5424277969101921</v>
      </c>
      <c r="U103" s="564">
        <f>E103*'4C2 Open-burning '!$C$9*'4C2 Open-burning '!$C$11*$C$5</f>
        <v>0.69441421352990595</v>
      </c>
      <c r="V103" s="564">
        <f>F103*'4C2 Open-burning '!$C$9*'4C2 Open-burning '!$C$11*$C$5</f>
        <v>0</v>
      </c>
      <c r="W103" s="564">
        <f>G103*'4C2 Open-burning '!$C$9*'4C2 Open-burning '!$C$11*$C$5</f>
        <v>0</v>
      </c>
      <c r="X103" s="564">
        <f>H103*'4C2 Open-burning '!$C$9*'4C2 Open-burning '!$C$11*$C$5</f>
        <v>0</v>
      </c>
      <c r="Y103" s="564">
        <f>I103*'4C2 Open-burning '!$C$9*'4C2 Open-burning '!$C$11*$C$5</f>
        <v>2.7149209967586025</v>
      </c>
      <c r="Z103" s="565">
        <f t="shared" si="9"/>
        <v>8.3860937920672232</v>
      </c>
      <c r="AA103" s="566">
        <f>C103*'4C2 Open-burning '!$C$10*'4C2 Open-burning '!$C$11*$C$5*C$15</f>
        <v>2.2470745706478678E-2</v>
      </c>
      <c r="AB103" s="566">
        <f>D103*'4C2 Open-burning '!$C$10*'4C2 Open-burning '!$C$11*$C$5*D$15</f>
        <v>2.3468564279171003E-2</v>
      </c>
      <c r="AC103" s="566">
        <f>E103*'4C2 Open-burning '!$C$10*'4C2 Open-burning '!$C$11*$C$5*E$15</f>
        <v>1.4422449050236512E-2</v>
      </c>
      <c r="AD103" s="566">
        <f>F103*'4C2 Open-burning '!$C$10*'4C2 Open-burning '!$C$11*$C$5*F$15</f>
        <v>0</v>
      </c>
      <c r="AE103" s="566">
        <f>G103*'4C2 Open-burning '!$C$10*'4C2 Open-burning '!$C$11*$C$5*G$15</f>
        <v>0</v>
      </c>
      <c r="AF103" s="566">
        <f>H103*'4C2 Open-burning '!$C$10*'4C2 Open-burning '!$C$11*$C$5*H$15</f>
        <v>0</v>
      </c>
      <c r="AG103" s="566">
        <f>I103*'4C2 Open-burning '!$C$10*'4C2 Open-burning '!$C$11*$C$5*I$15</f>
        <v>5.6386820701909451E-2</v>
      </c>
      <c r="AH103" s="567">
        <f t="shared" si="10"/>
        <v>0.11674857973779565</v>
      </c>
      <c r="AI103" s="1647"/>
      <c r="AJ103" s="1646"/>
      <c r="AK103" s="1647"/>
    </row>
    <row r="104" spans="1:37">
      <c r="A104" s="568">
        <f>'Input data'!A133</f>
        <v>2033</v>
      </c>
      <c r="B104" s="604">
        <f>'Recycling - Case 1'!AP113</f>
        <v>0.1214682808560769</v>
      </c>
      <c r="C104" s="606">
        <f>$B104*'Recycling - Case 1'!$AK113*'Recycling - Case 1'!BM113*'Recycling - Case 1'!$B113</f>
        <v>596.58709731508827</v>
      </c>
      <c r="D104" s="607">
        <f>$B104*'Recycling - Case 1'!$AK113*'Recycling - Case 1'!BN113*'Recycling - Case 1'!$B113</f>
        <v>623.07868302859526</v>
      </c>
      <c r="E104" s="607">
        <f>$B104*'Recycling - Case 1'!$AK113*'Recycling - Case 1'!BO113*'Recycling - Case 1'!$B113</f>
        <v>170.18170355452392</v>
      </c>
      <c r="F104" s="607">
        <f>$B104*'Recycling - Case 1'!$AK113*'Recycling - Case 1'!BP113*'Recycling - Case 1'!$B113</f>
        <v>0</v>
      </c>
      <c r="G104" s="607">
        <f>$B104*'Recycling - Case 1'!$AK113*'Recycling - Case 1'!BQ113*'Recycling - Case 1'!$B113</f>
        <v>0</v>
      </c>
      <c r="H104" s="607">
        <f>$B104*'Recycling - Case 1'!$AK113*'Recycling - Case 1'!BR113*'Recycling - Case 1'!$B113</f>
        <v>0</v>
      </c>
      <c r="I104" s="607">
        <f>$B104*'Recycling - Case 1'!$AK113*'Recycling - Case 1'!BS113*'Recycling - Case 1'!$B113</f>
        <v>665.35199199868782</v>
      </c>
      <c r="J104" s="770">
        <f t="shared" si="11"/>
        <v>2055.1994758968954</v>
      </c>
      <c r="K104" s="1633">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0.89900867446527022</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22.922706828338789</v>
      </c>
      <c r="R104" s="1634">
        <f t="shared" si="8"/>
        <v>23.821715502804061</v>
      </c>
      <c r="S104" s="564">
        <f>C104*'4C2 Open-burning '!$C$9*'4C2 Open-burning '!$C$11*$C$5</f>
        <v>2.3266896795288439</v>
      </c>
      <c r="T104" s="564">
        <f>D104*'4C2 Open-burning '!$C$9*'4C2 Open-burning '!$C$11*$C$5</f>
        <v>2.4300068638115211</v>
      </c>
      <c r="U104" s="564">
        <f>E104*'4C2 Open-burning '!$C$9*'4C2 Open-burning '!$C$11*$C$5</f>
        <v>0.66370864386264328</v>
      </c>
      <c r="V104" s="564">
        <f>F104*'4C2 Open-burning '!$C$9*'4C2 Open-burning '!$C$11*$C$5</f>
        <v>0</v>
      </c>
      <c r="W104" s="564">
        <f>G104*'4C2 Open-burning '!$C$9*'4C2 Open-burning '!$C$11*$C$5</f>
        <v>0</v>
      </c>
      <c r="X104" s="564">
        <f>H104*'4C2 Open-burning '!$C$9*'4C2 Open-burning '!$C$11*$C$5</f>
        <v>0</v>
      </c>
      <c r="Y104" s="564">
        <f>I104*'4C2 Open-burning '!$C$9*'4C2 Open-burning '!$C$11*$C$5</f>
        <v>2.5948727687948825</v>
      </c>
      <c r="Z104" s="565">
        <f t="shared" si="9"/>
        <v>8.0152779559978899</v>
      </c>
      <c r="AA104" s="566">
        <f>C104*'4C2 Open-burning '!$C$10*'4C2 Open-burning '!$C$11*$C$5*C$15</f>
        <v>2.1477135503343178E-2</v>
      </c>
      <c r="AB104" s="566">
        <f>D104*'4C2 Open-burning '!$C$10*'4C2 Open-burning '!$C$11*$C$5*D$15</f>
        <v>2.2430832589029434E-2</v>
      </c>
      <c r="AC104" s="566">
        <f>E104*'4C2 Open-burning '!$C$10*'4C2 Open-burning '!$C$11*$C$5*E$15</f>
        <v>1.3784717987916436E-2</v>
      </c>
      <c r="AD104" s="566">
        <f>F104*'4C2 Open-burning '!$C$10*'4C2 Open-burning '!$C$11*$C$5*F$15</f>
        <v>0</v>
      </c>
      <c r="AE104" s="566">
        <f>G104*'4C2 Open-burning '!$C$10*'4C2 Open-burning '!$C$11*$C$5*G$15</f>
        <v>0</v>
      </c>
      <c r="AF104" s="566">
        <f>H104*'4C2 Open-burning '!$C$10*'4C2 Open-burning '!$C$11*$C$5*H$15</f>
        <v>0</v>
      </c>
      <c r="AG104" s="566">
        <f>I104*'4C2 Open-burning '!$C$10*'4C2 Open-burning '!$C$11*$C$5*I$15</f>
        <v>5.3893511351893707E-2</v>
      </c>
      <c r="AH104" s="567">
        <f t="shared" si="10"/>
        <v>0.11158619743218276</v>
      </c>
      <c r="AI104" s="1647"/>
      <c r="AJ104" s="1646"/>
      <c r="AK104" s="1647"/>
    </row>
    <row r="105" spans="1:37">
      <c r="A105" s="568">
        <f>'Input data'!A134</f>
        <v>2034</v>
      </c>
      <c r="B105" s="604">
        <f>'Recycling - Case 1'!AP114</f>
        <v>0.1214682808560769</v>
      </c>
      <c r="C105" s="606">
        <f>$B105*'Recycling - Case 1'!$AK114*'Recycling - Case 1'!BM114*'Recycling - Case 1'!$B114</f>
        <v>568.48013966149063</v>
      </c>
      <c r="D105" s="607">
        <f>$B105*'Recycling - Case 1'!$AK114*'Recycling - Case 1'!BN114*'Recycling - Case 1'!$B114</f>
        <v>593.72362952918195</v>
      </c>
      <c r="E105" s="607">
        <f>$B105*'Recycling - Case 1'!$AK114*'Recycling - Case 1'!BO114*'Recycling - Case 1'!$B114</f>
        <v>162.16394729269544</v>
      </c>
      <c r="F105" s="607">
        <f>$B105*'Recycling - Case 1'!$AK114*'Recycling - Case 1'!BP114*'Recycling - Case 1'!$B114</f>
        <v>0</v>
      </c>
      <c r="G105" s="607">
        <f>$B105*'Recycling - Case 1'!$AK114*'Recycling - Case 1'!BQ114*'Recycling - Case 1'!$B114</f>
        <v>0</v>
      </c>
      <c r="H105" s="607">
        <f>$B105*'Recycling - Case 1'!$AK114*'Recycling - Case 1'!BR114*'Recycling - Case 1'!$B114</f>
        <v>0</v>
      </c>
      <c r="I105" s="607">
        <f>$B105*'Recycling - Case 1'!$AK114*'Recycling - Case 1'!BS114*'Recycling - Case 1'!$B114</f>
        <v>634.00531965527466</v>
      </c>
      <c r="J105" s="770">
        <f t="shared" si="11"/>
        <v>1958.3730361386426</v>
      </c>
      <c r="K105" s="1633">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0.85665375452628467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21.842751272763522</v>
      </c>
      <c r="R105" s="1634">
        <f t="shared" si="8"/>
        <v>22.699405027289806</v>
      </c>
      <c r="S105" s="564">
        <f>C105*'4C2 Open-burning '!$C$9*'4C2 Open-burning '!$C$11*$C$5</f>
        <v>2.2170725446798132</v>
      </c>
      <c r="T105" s="564">
        <f>D105*'4C2 Open-burning '!$C$9*'4C2 Open-burning '!$C$11*$C$5</f>
        <v>2.3155221551638094</v>
      </c>
      <c r="U105" s="564">
        <f>E105*'4C2 Open-burning '!$C$9*'4C2 Open-burning '!$C$11*$C$5</f>
        <v>0.63243939444151209</v>
      </c>
      <c r="V105" s="564">
        <f>F105*'4C2 Open-burning '!$C$9*'4C2 Open-burning '!$C$11*$C$5</f>
        <v>0</v>
      </c>
      <c r="W105" s="564">
        <f>G105*'4C2 Open-burning '!$C$9*'4C2 Open-burning '!$C$11*$C$5</f>
        <v>0</v>
      </c>
      <c r="X105" s="564">
        <f>H105*'4C2 Open-burning '!$C$9*'4C2 Open-burning '!$C$11*$C$5</f>
        <v>0</v>
      </c>
      <c r="Y105" s="564">
        <f>I105*'4C2 Open-burning '!$C$9*'4C2 Open-burning '!$C$11*$C$5</f>
        <v>2.4726207466555712</v>
      </c>
      <c r="Z105" s="565">
        <f t="shared" si="9"/>
        <v>7.6376548409407059</v>
      </c>
      <c r="AA105" s="566">
        <f>C105*'4C2 Open-burning '!$C$10*'4C2 Open-burning '!$C$11*$C$5*C$15</f>
        <v>2.0465285027813661E-2</v>
      </c>
      <c r="AB105" s="566">
        <f>D105*'4C2 Open-burning '!$C$10*'4C2 Open-burning '!$C$11*$C$5*D$15</f>
        <v>2.1374050663050551E-2</v>
      </c>
      <c r="AC105" s="566">
        <f>E105*'4C2 Open-burning '!$C$10*'4C2 Open-burning '!$C$11*$C$5*E$15</f>
        <v>1.3135279730708332E-2</v>
      </c>
      <c r="AD105" s="566">
        <f>F105*'4C2 Open-burning '!$C$10*'4C2 Open-burning '!$C$11*$C$5*F$15</f>
        <v>0</v>
      </c>
      <c r="AE105" s="566">
        <f>G105*'4C2 Open-burning '!$C$10*'4C2 Open-burning '!$C$11*$C$5*G$15</f>
        <v>0</v>
      </c>
      <c r="AF105" s="566">
        <f>H105*'4C2 Open-burning '!$C$10*'4C2 Open-burning '!$C$11*$C$5*H$15</f>
        <v>0</v>
      </c>
      <c r="AG105" s="566">
        <f>I105*'4C2 Open-burning '!$C$10*'4C2 Open-burning '!$C$11*$C$5*I$15</f>
        <v>5.1354430892077245E-2</v>
      </c>
      <c r="AH105" s="567">
        <f t="shared" si="10"/>
        <v>0.10632904631364978</v>
      </c>
      <c r="AI105" s="1647"/>
      <c r="AJ105" s="1646"/>
      <c r="AK105" s="1647"/>
    </row>
    <row r="106" spans="1:37">
      <c r="A106" s="568">
        <f>'Input data'!A135</f>
        <v>2035</v>
      </c>
      <c r="B106" s="604">
        <f>'Recycling - Case 1'!AP115</f>
        <v>0.12146828085607692</v>
      </c>
      <c r="C106" s="606">
        <f>$B106*'Recycling - Case 1'!$AK115*'Recycling - Case 1'!BM115*'Recycling - Case 1'!$B115</f>
        <v>539.84206038738432</v>
      </c>
      <c r="D106" s="607">
        <f>$B106*'Recycling - Case 1'!$AK115*'Recycling - Case 1'!BN115*'Recycling - Case 1'!$B115</f>
        <v>563.81386983293021</v>
      </c>
      <c r="E106" s="607">
        <f>$B106*'Recycling - Case 1'!$AK115*'Recycling - Case 1'!BO115*'Recycling - Case 1'!$B115</f>
        <v>153.99468392892064</v>
      </c>
      <c r="F106" s="607">
        <f>$B106*'Recycling - Case 1'!$AK115*'Recycling - Case 1'!BP115*'Recycling - Case 1'!$B115</f>
        <v>0</v>
      </c>
      <c r="G106" s="607">
        <f>$B106*'Recycling - Case 1'!$AK115*'Recycling - Case 1'!BQ115*'Recycling - Case 1'!$B115</f>
        <v>0</v>
      </c>
      <c r="H106" s="607">
        <f>$B106*'Recycling - Case 1'!$AK115*'Recycling - Case 1'!BR115*'Recycling - Case 1'!$B115</f>
        <v>0</v>
      </c>
      <c r="I106" s="607">
        <f>$B106*'Recycling - Case 1'!$AK115*'Recycling - Case 1'!BS115*'Recycling - Case 1'!$B115</f>
        <v>602.06630659616508</v>
      </c>
      <c r="J106" s="770">
        <f t="shared" si="11"/>
        <v>1859.7169207454003</v>
      </c>
      <c r="K106" s="1633">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0.81349847711027334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20.742388394851076</v>
      </c>
      <c r="R106" s="1634">
        <f t="shared" si="8"/>
        <v>21.555886871961349</v>
      </c>
      <c r="S106" s="564">
        <f>C106*'4C2 Open-burning '!$C$9*'4C2 Open-burning '!$C$11*$C$5</f>
        <v>2.1053840355107987</v>
      </c>
      <c r="T106" s="564">
        <f>D106*'4C2 Open-burning '!$C$9*'4C2 Open-burning '!$C$11*$C$5</f>
        <v>2.1988740923484276</v>
      </c>
      <c r="U106" s="564">
        <f>E106*'4C2 Open-burning '!$C$9*'4C2 Open-burning '!$C$11*$C$5</f>
        <v>0.60057926732279043</v>
      </c>
      <c r="V106" s="564">
        <f>F106*'4C2 Open-burning '!$C$9*'4C2 Open-burning '!$C$11*$C$5</f>
        <v>0</v>
      </c>
      <c r="W106" s="564">
        <f>G106*'4C2 Open-burning '!$C$9*'4C2 Open-burning '!$C$11*$C$5</f>
        <v>0</v>
      </c>
      <c r="X106" s="564">
        <f>H106*'4C2 Open-burning '!$C$9*'4C2 Open-burning '!$C$11*$C$5</f>
        <v>0</v>
      </c>
      <c r="Y106" s="564">
        <f>I106*'4C2 Open-burning '!$C$9*'4C2 Open-burning '!$C$11*$C$5</f>
        <v>2.3480585957250435</v>
      </c>
      <c r="Z106" s="565">
        <f t="shared" si="9"/>
        <v>7.2528959909070601</v>
      </c>
      <c r="AA106" s="566">
        <f>C106*'4C2 Open-burning '!$C$10*'4C2 Open-burning '!$C$11*$C$5*C$15</f>
        <v>1.9434314173945838E-2</v>
      </c>
      <c r="AB106" s="566">
        <f>D106*'4C2 Open-burning '!$C$10*'4C2 Open-burning '!$C$11*$C$5*D$15</f>
        <v>2.0297299313985488E-2</v>
      </c>
      <c r="AC106" s="566">
        <f>E106*'4C2 Open-burning '!$C$10*'4C2 Open-burning '!$C$11*$C$5*E$15</f>
        <v>1.2473569398242571E-2</v>
      </c>
      <c r="AD106" s="566">
        <f>F106*'4C2 Open-burning '!$C$10*'4C2 Open-burning '!$C$11*$C$5*F$15</f>
        <v>0</v>
      </c>
      <c r="AE106" s="566">
        <f>G106*'4C2 Open-burning '!$C$10*'4C2 Open-burning '!$C$11*$C$5*G$15</f>
        <v>0</v>
      </c>
      <c r="AF106" s="566">
        <f>H106*'4C2 Open-burning '!$C$10*'4C2 Open-burning '!$C$11*$C$5*H$15</f>
        <v>0</v>
      </c>
      <c r="AG106" s="566">
        <f>I106*'4C2 Open-burning '!$C$10*'4C2 Open-burning '!$C$11*$C$5*I$15</f>
        <v>4.8767370834289364E-2</v>
      </c>
      <c r="AH106" s="567">
        <f t="shared" si="10"/>
        <v>0.10097255372046327</v>
      </c>
      <c r="AI106" s="1647"/>
      <c r="AJ106" s="1646"/>
      <c r="AK106" s="1647"/>
    </row>
    <row r="107" spans="1:37">
      <c r="A107" s="568">
        <f>'Input data'!A136</f>
        <v>2036</v>
      </c>
      <c r="B107" s="604">
        <f>'Recycling - Case 1'!AP116</f>
        <v>0.12146828085607689</v>
      </c>
      <c r="C107" s="606">
        <f>$B107*'Recycling - Case 1'!$AK116*'Recycling - Case 1'!BM116*'Recycling - Case 1'!$B116</f>
        <v>510.06368208768987</v>
      </c>
      <c r="D107" s="607">
        <f>$B107*'Recycling - Case 1'!$AK116*'Recycling - Case 1'!BN116*'Recycling - Case 1'!$B116</f>
        <v>532.71317587356771</v>
      </c>
      <c r="E107" s="607">
        <f>$B107*'Recycling - Case 1'!$AK116*'Recycling - Case 1'!BO116*'Recycling - Case 1'!$B116</f>
        <v>145.50014026389641</v>
      </c>
      <c r="F107" s="607">
        <f>$B107*'Recycling - Case 1'!$AK116*'Recycling - Case 1'!BP116*'Recycling - Case 1'!$B116</f>
        <v>0</v>
      </c>
      <c r="G107" s="607">
        <f>$B107*'Recycling - Case 1'!$AK116*'Recycling - Case 1'!BQ116*'Recycling - Case 1'!$B116</f>
        <v>0</v>
      </c>
      <c r="H107" s="607">
        <f>$B107*'Recycling - Case 1'!$AK116*'Recycling - Case 1'!BR116*'Recycling - Case 1'!$B116</f>
        <v>0</v>
      </c>
      <c r="I107" s="607">
        <f>$B107*'Recycling - Case 1'!$AK116*'Recycling - Case 1'!BS116*'Recycling - Case 1'!$B116</f>
        <v>568.85555931490444</v>
      </c>
      <c r="J107" s="770">
        <f t="shared" si="11"/>
        <v>1757.1325575400583</v>
      </c>
      <c r="K107" s="1633">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0.76862486096366978</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19.598211729517086</v>
      </c>
      <c r="R107" s="1634">
        <f t="shared" si="8"/>
        <v>20.366836590480755</v>
      </c>
      <c r="S107" s="564">
        <f>C107*'4C2 Open-burning '!$C$9*'4C2 Open-burning '!$C$11*$C$5</f>
        <v>1.9892483601419904</v>
      </c>
      <c r="T107" s="564">
        <f>D107*'4C2 Open-burning '!$C$9*'4C2 Open-burning '!$C$11*$C$5</f>
        <v>2.0775813859069139</v>
      </c>
      <c r="U107" s="564">
        <f>E107*'4C2 Open-burning '!$C$9*'4C2 Open-burning '!$C$11*$C$5</f>
        <v>0.56745054702919595</v>
      </c>
      <c r="V107" s="564">
        <f>F107*'4C2 Open-burning '!$C$9*'4C2 Open-burning '!$C$11*$C$5</f>
        <v>0</v>
      </c>
      <c r="W107" s="564">
        <f>G107*'4C2 Open-burning '!$C$9*'4C2 Open-burning '!$C$11*$C$5</f>
        <v>0</v>
      </c>
      <c r="X107" s="564">
        <f>H107*'4C2 Open-burning '!$C$9*'4C2 Open-burning '!$C$11*$C$5</f>
        <v>0</v>
      </c>
      <c r="Y107" s="564">
        <f>I107*'4C2 Open-burning '!$C$9*'4C2 Open-burning '!$C$11*$C$5</f>
        <v>2.2185366813281271</v>
      </c>
      <c r="Z107" s="565">
        <f t="shared" si="9"/>
        <v>6.8528169744062275</v>
      </c>
      <c r="AA107" s="566">
        <f>C107*'4C2 Open-burning '!$C$10*'4C2 Open-burning '!$C$11*$C$5*C$15</f>
        <v>1.8362292555156836E-2</v>
      </c>
      <c r="AB107" s="566">
        <f>D107*'4C2 Open-burning '!$C$10*'4C2 Open-burning '!$C$11*$C$5*D$15</f>
        <v>1.9177674331448437E-2</v>
      </c>
      <c r="AC107" s="566">
        <f>E107*'4C2 Open-burning '!$C$10*'4C2 Open-burning '!$C$11*$C$5*E$15</f>
        <v>1.1785511361375609E-2</v>
      </c>
      <c r="AD107" s="566">
        <f>F107*'4C2 Open-burning '!$C$10*'4C2 Open-burning '!$C$11*$C$5*F$15</f>
        <v>0</v>
      </c>
      <c r="AE107" s="566">
        <f>G107*'4C2 Open-burning '!$C$10*'4C2 Open-burning '!$C$11*$C$5*G$15</f>
        <v>0</v>
      </c>
      <c r="AF107" s="566">
        <f>H107*'4C2 Open-burning '!$C$10*'4C2 Open-burning '!$C$11*$C$5*H$15</f>
        <v>0</v>
      </c>
      <c r="AG107" s="566">
        <f>I107*'4C2 Open-burning '!$C$10*'4C2 Open-burning '!$C$11*$C$5*I$15</f>
        <v>4.6077300304507254E-2</v>
      </c>
      <c r="AH107" s="567">
        <f t="shared" si="10"/>
        <v>9.5402778552488132E-2</v>
      </c>
      <c r="AI107" s="1647"/>
      <c r="AJ107" s="1646"/>
      <c r="AK107" s="1647"/>
    </row>
    <row r="108" spans="1:37">
      <c r="A108" s="568">
        <f>'Input data'!A137</f>
        <v>2037</v>
      </c>
      <c r="B108" s="604">
        <f>'Recycling - Case 1'!AP117</f>
        <v>0.1214682808560769</v>
      </c>
      <c r="C108" s="606">
        <f>$B108*'Recycling - Case 1'!$AK117*'Recycling - Case 1'!BM117*'Recycling - Case 1'!$B117</f>
        <v>502.36616424275309</v>
      </c>
      <c r="D108" s="607">
        <f>$B108*'Recycling - Case 1'!$AK117*'Recycling - Case 1'!BN117*'Recycling - Case 1'!$B117</f>
        <v>524.67384799839704</v>
      </c>
      <c r="E108" s="607">
        <f>$B108*'Recycling - Case 1'!$AK117*'Recycling - Case 1'!BO117*'Recycling - Case 1'!$B117</f>
        <v>143.30435576589409</v>
      </c>
      <c r="F108" s="607">
        <f>$B108*'Recycling - Case 1'!$AK117*'Recycling - Case 1'!BP117*'Recycling - Case 1'!$B117</f>
        <v>0</v>
      </c>
      <c r="G108" s="607">
        <f>$B108*'Recycling - Case 1'!$AK117*'Recycling - Case 1'!BQ117*'Recycling - Case 1'!$B117</f>
        <v>0</v>
      </c>
      <c r="H108" s="607">
        <f>$B108*'Recycling - Case 1'!$AK117*'Recycling - Case 1'!BR117*'Recycling - Case 1'!$B117</f>
        <v>0</v>
      </c>
      <c r="I108" s="607">
        <f>$B108*'Recycling - Case 1'!$AK117*'Recycling - Case 1'!BS117*'Recycling - Case 1'!$B117</f>
        <v>560.27079632786786</v>
      </c>
      <c r="J108" s="770">
        <f t="shared" si="11"/>
        <v>1730.6151643349122</v>
      </c>
      <c r="K108" s="1633">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0.75702532194314276</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19.302449475087702</v>
      </c>
      <c r="R108" s="1634">
        <f t="shared" si="8"/>
        <v>20.059474797030845</v>
      </c>
      <c r="S108" s="564">
        <f>C108*'4C2 Open-burning '!$C$9*'4C2 Open-burning '!$C$11*$C$5</f>
        <v>1.959228040546737</v>
      </c>
      <c r="T108" s="564">
        <f>D108*'4C2 Open-burning '!$C$9*'4C2 Open-burning '!$C$11*$C$5</f>
        <v>2.0462280071937484</v>
      </c>
      <c r="U108" s="564">
        <f>E108*'4C2 Open-burning '!$C$9*'4C2 Open-burning '!$C$11*$C$5</f>
        <v>0.55888698748698695</v>
      </c>
      <c r="V108" s="564">
        <f>F108*'4C2 Open-burning '!$C$9*'4C2 Open-burning '!$C$11*$C$5</f>
        <v>0</v>
      </c>
      <c r="W108" s="564">
        <f>G108*'4C2 Open-burning '!$C$9*'4C2 Open-burning '!$C$11*$C$5</f>
        <v>0</v>
      </c>
      <c r="X108" s="564">
        <f>H108*'4C2 Open-burning '!$C$9*'4C2 Open-burning '!$C$11*$C$5</f>
        <v>0</v>
      </c>
      <c r="Y108" s="564">
        <f>I108*'4C2 Open-burning '!$C$9*'4C2 Open-burning '!$C$11*$C$5</f>
        <v>2.1850561056786844</v>
      </c>
      <c r="Z108" s="565">
        <f t="shared" si="9"/>
        <v>6.7493991409061564</v>
      </c>
      <c r="AA108" s="566">
        <f>C108*'4C2 Open-burning '!$C$10*'4C2 Open-burning '!$C$11*$C$5*C$15</f>
        <v>1.8085181912739112E-2</v>
      </c>
      <c r="AB108" s="566">
        <f>D108*'4C2 Open-burning '!$C$10*'4C2 Open-burning '!$C$11*$C$5*D$15</f>
        <v>1.8888258527942292E-2</v>
      </c>
      <c r="AC108" s="566">
        <f>E108*'4C2 Open-burning '!$C$10*'4C2 Open-burning '!$C$11*$C$5*E$15</f>
        <v>1.160765281703742E-2</v>
      </c>
      <c r="AD108" s="566">
        <f>F108*'4C2 Open-burning '!$C$10*'4C2 Open-burning '!$C$11*$C$5*F$15</f>
        <v>0</v>
      </c>
      <c r="AE108" s="566">
        <f>G108*'4C2 Open-burning '!$C$10*'4C2 Open-burning '!$C$11*$C$5*G$15</f>
        <v>0</v>
      </c>
      <c r="AF108" s="566">
        <f>H108*'4C2 Open-burning '!$C$10*'4C2 Open-burning '!$C$11*$C$5*H$15</f>
        <v>0</v>
      </c>
      <c r="AG108" s="566">
        <f>I108*'4C2 Open-burning '!$C$10*'4C2 Open-burning '!$C$11*$C$5*I$15</f>
        <v>4.5381934502557286E-2</v>
      </c>
      <c r="AH108" s="567">
        <f t="shared" si="10"/>
        <v>9.396302776027611E-2</v>
      </c>
      <c r="AI108" s="1647"/>
      <c r="AJ108" s="1646"/>
      <c r="AK108" s="1647"/>
    </row>
    <row r="109" spans="1:37">
      <c r="A109" s="568">
        <f>'Input data'!A138</f>
        <v>2038</v>
      </c>
      <c r="B109" s="604">
        <f>'Recycling - Case 1'!AP118</f>
        <v>0.12146828085607689</v>
      </c>
      <c r="C109" s="606">
        <f>$B109*'Recycling - Case 1'!$AK118*'Recycling - Case 1'!BM118*'Recycling - Case 1'!$B118</f>
        <v>484.36172103393363</v>
      </c>
      <c r="D109" s="607">
        <f>$B109*'Recycling - Case 1'!$AK118*'Recycling - Case 1'!BN118*'Recycling - Case 1'!$B118</f>
        <v>505.86991339488105</v>
      </c>
      <c r="E109" s="607">
        <f>$B109*'Recycling - Case 1'!$AK118*'Recycling - Case 1'!BO118*'Recycling - Case 1'!$B118</f>
        <v>138.16843038196089</v>
      </c>
      <c r="F109" s="607">
        <f>$B109*'Recycling - Case 1'!$AK118*'Recycling - Case 1'!BP118*'Recycling - Case 1'!$B118</f>
        <v>0</v>
      </c>
      <c r="G109" s="607">
        <f>$B109*'Recycling - Case 1'!$AK118*'Recycling - Case 1'!BQ118*'Recycling - Case 1'!$B118</f>
        <v>0</v>
      </c>
      <c r="H109" s="607">
        <f>$B109*'Recycling - Case 1'!$AK118*'Recycling - Case 1'!BR118*'Recycling - Case 1'!$B118</f>
        <v>0</v>
      </c>
      <c r="I109" s="607">
        <f>$B109*'Recycling - Case 1'!$AK118*'Recycling - Case 1'!BS118*'Recycling - Case 1'!$B118</f>
        <v>540.19109261364486</v>
      </c>
      <c r="J109" s="770">
        <f t="shared" si="11"/>
        <v>1668.5911574244205</v>
      </c>
      <c r="K109" s="1633">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0.72989407707296183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18.610663522725289</v>
      </c>
      <c r="R109" s="1634">
        <f t="shared" si="8"/>
        <v>19.340557599798252</v>
      </c>
      <c r="S109" s="564">
        <f>C109*'4C2 Open-burning '!$C$9*'4C2 Open-burning '!$C$11*$C$5</f>
        <v>1.8890107120323412</v>
      </c>
      <c r="T109" s="564">
        <f>D109*'4C2 Open-burning '!$C$9*'4C2 Open-burning '!$C$11*$C$5</f>
        <v>1.972892662240036</v>
      </c>
      <c r="U109" s="564">
        <f>E109*'4C2 Open-burning '!$C$9*'4C2 Open-burning '!$C$11*$C$5</f>
        <v>0.53885687848964736</v>
      </c>
      <c r="V109" s="564">
        <f>F109*'4C2 Open-burning '!$C$9*'4C2 Open-burning '!$C$11*$C$5</f>
        <v>0</v>
      </c>
      <c r="W109" s="564">
        <f>G109*'4C2 Open-burning '!$C$9*'4C2 Open-burning '!$C$11*$C$5</f>
        <v>0</v>
      </c>
      <c r="X109" s="564">
        <f>H109*'4C2 Open-burning '!$C$9*'4C2 Open-burning '!$C$11*$C$5</f>
        <v>0</v>
      </c>
      <c r="Y109" s="564">
        <f>I109*'4C2 Open-burning '!$C$9*'4C2 Open-burning '!$C$11*$C$5</f>
        <v>2.1067452611932147</v>
      </c>
      <c r="Z109" s="565">
        <f t="shared" si="9"/>
        <v>6.5075055139552394</v>
      </c>
      <c r="AA109" s="566">
        <f>C109*'4C2 Open-burning '!$C$10*'4C2 Open-burning '!$C$11*$C$5*C$15</f>
        <v>1.7437021957221615E-2</v>
      </c>
      <c r="AB109" s="566">
        <f>D109*'4C2 Open-burning '!$C$10*'4C2 Open-burning '!$C$11*$C$5*D$15</f>
        <v>1.8211316882215719E-2</v>
      </c>
      <c r="AC109" s="566">
        <f>E109*'4C2 Open-burning '!$C$10*'4C2 Open-burning '!$C$11*$C$5*E$15</f>
        <v>1.1191642860938831E-2</v>
      </c>
      <c r="AD109" s="566">
        <f>F109*'4C2 Open-burning '!$C$10*'4C2 Open-burning '!$C$11*$C$5*F$15</f>
        <v>0</v>
      </c>
      <c r="AE109" s="566">
        <f>G109*'4C2 Open-burning '!$C$10*'4C2 Open-burning '!$C$11*$C$5*G$15</f>
        <v>0</v>
      </c>
      <c r="AF109" s="566">
        <f>H109*'4C2 Open-burning '!$C$10*'4C2 Open-burning '!$C$11*$C$5*H$15</f>
        <v>0</v>
      </c>
      <c r="AG109" s="566">
        <f>I109*'4C2 Open-burning '!$C$10*'4C2 Open-burning '!$C$11*$C$5*I$15</f>
        <v>4.3755478501705226E-2</v>
      </c>
      <c r="AH109" s="567">
        <f t="shared" si="10"/>
        <v>9.0595460202081396E-2</v>
      </c>
      <c r="AI109" s="1647"/>
      <c r="AJ109" s="1646"/>
      <c r="AK109" s="1647"/>
    </row>
    <row r="110" spans="1:37">
      <c r="A110" s="568">
        <f>'Input data'!A139</f>
        <v>2039</v>
      </c>
      <c r="B110" s="604">
        <f>'Recycling - Case 1'!AP119</f>
        <v>0.12146828085607689</v>
      </c>
      <c r="C110" s="606">
        <f>$B110*'Recycling - Case 1'!$AK119*'Recycling - Case 1'!BM119*'Recycling - Case 1'!$B119</f>
        <v>466.06129072316861</v>
      </c>
      <c r="D110" s="607">
        <f>$B110*'Recycling - Case 1'!$AK119*'Recycling - Case 1'!BN119*'Recycling - Case 1'!$B119</f>
        <v>486.75684831485347</v>
      </c>
      <c r="E110" s="607">
        <f>$B110*'Recycling - Case 1'!$AK119*'Recycling - Case 1'!BO119*'Recycling - Case 1'!$B119</f>
        <v>132.94807208041021</v>
      </c>
      <c r="F110" s="607">
        <f>$B110*'Recycling - Case 1'!$AK119*'Recycling - Case 1'!BP119*'Recycling - Case 1'!$B119</f>
        <v>0</v>
      </c>
      <c r="G110" s="607">
        <f>$B110*'Recycling - Case 1'!$AK119*'Recycling - Case 1'!BQ119*'Recycling - Case 1'!$B119</f>
        <v>0</v>
      </c>
      <c r="H110" s="607">
        <f>$B110*'Recycling - Case 1'!$AK119*'Recycling - Case 1'!BR119*'Recycling - Case 1'!$B119</f>
        <v>0</v>
      </c>
      <c r="I110" s="607">
        <f>$B110*'Recycling - Case 1'!$AK119*'Recycling - Case 1'!BS119*'Recycling - Case 1'!$B119</f>
        <v>519.78128519994254</v>
      </c>
      <c r="J110" s="770">
        <f t="shared" si="11"/>
        <v>1605.5474963183747</v>
      </c>
      <c r="K110" s="1633">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0.70231680349485814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17.907504837708419</v>
      </c>
      <c r="R110" s="1634">
        <f t="shared" si="8"/>
        <v>18.609821641203279</v>
      </c>
      <c r="S110" s="564">
        <f>C110*'4C2 Open-burning '!$C$9*'4C2 Open-burning '!$C$11*$C$5</f>
        <v>1.8176390338203574</v>
      </c>
      <c r="T110" s="564">
        <f>D110*'4C2 Open-burning '!$C$9*'4C2 Open-burning '!$C$11*$C$5</f>
        <v>1.8983517084279284</v>
      </c>
      <c r="U110" s="564">
        <f>E110*'4C2 Open-burning '!$C$9*'4C2 Open-burning '!$C$11*$C$5</f>
        <v>0.51849748111359972</v>
      </c>
      <c r="V110" s="564">
        <f>F110*'4C2 Open-burning '!$C$9*'4C2 Open-burning '!$C$11*$C$5</f>
        <v>0</v>
      </c>
      <c r="W110" s="564">
        <f>G110*'4C2 Open-burning '!$C$9*'4C2 Open-burning '!$C$11*$C$5</f>
        <v>0</v>
      </c>
      <c r="X110" s="564">
        <f>H110*'4C2 Open-burning '!$C$9*'4C2 Open-burning '!$C$11*$C$5</f>
        <v>0</v>
      </c>
      <c r="Y110" s="564">
        <f>I110*'4C2 Open-burning '!$C$9*'4C2 Open-burning '!$C$11*$C$5</f>
        <v>2.0271470122797757</v>
      </c>
      <c r="Z110" s="565">
        <f t="shared" si="9"/>
        <v>6.2616352356416609</v>
      </c>
      <c r="AA110" s="566">
        <f>C110*'4C2 Open-burning '!$C$10*'4C2 Open-burning '!$C$11*$C$5*C$15</f>
        <v>1.6778206466034073E-2</v>
      </c>
      <c r="AB110" s="566">
        <f>D110*'4C2 Open-burning '!$C$10*'4C2 Open-burning '!$C$11*$C$5*D$15</f>
        <v>1.7523246539334722E-2</v>
      </c>
      <c r="AC110" s="566">
        <f>E110*'4C2 Open-burning '!$C$10*'4C2 Open-burning '!$C$11*$C$5*E$15</f>
        <v>1.0768793838513226E-2</v>
      </c>
      <c r="AD110" s="566">
        <f>F110*'4C2 Open-burning '!$C$10*'4C2 Open-burning '!$C$11*$C$5*F$15</f>
        <v>0</v>
      </c>
      <c r="AE110" s="566">
        <f>G110*'4C2 Open-burning '!$C$10*'4C2 Open-burning '!$C$11*$C$5*G$15</f>
        <v>0</v>
      </c>
      <c r="AF110" s="566">
        <f>H110*'4C2 Open-burning '!$C$10*'4C2 Open-burning '!$C$11*$C$5*H$15</f>
        <v>0</v>
      </c>
      <c r="AG110" s="566">
        <f>I110*'4C2 Open-burning '!$C$10*'4C2 Open-burning '!$C$11*$C$5*I$15</f>
        <v>4.2102284101195347E-2</v>
      </c>
      <c r="AH110" s="567">
        <f t="shared" si="10"/>
        <v>8.7172530945077376E-2</v>
      </c>
      <c r="AI110" s="1647"/>
      <c r="AJ110" s="1646"/>
      <c r="AK110" s="1647"/>
    </row>
    <row r="111" spans="1:37">
      <c r="A111" s="568">
        <f>'Input data'!A140</f>
        <v>2040</v>
      </c>
      <c r="B111" s="604">
        <f>'Recycling - Case 1'!AP120</f>
        <v>0.12146828085607692</v>
      </c>
      <c r="C111" s="606">
        <f>$B111*'Recycling - Case 1'!$AK120*'Recycling - Case 1'!BM120*'Recycling - Case 1'!$B120</f>
        <v>447.46209843137757</v>
      </c>
      <c r="D111" s="607">
        <f>$B111*'Recycling - Case 1'!$AK120*'Recycling - Case 1'!BN120*'Recycling - Case 1'!$B120</f>
        <v>467.33175466009726</v>
      </c>
      <c r="E111" s="607">
        <f>$B111*'Recycling - Case 1'!$AK120*'Recycling - Case 1'!BO120*'Recycling - Case 1'!$B120</f>
        <v>127.64248930263949</v>
      </c>
      <c r="F111" s="607">
        <f>$B111*'Recycling - Case 1'!$AK120*'Recycling - Case 1'!BP120*'Recycling - Case 1'!$B120</f>
        <v>0</v>
      </c>
      <c r="G111" s="607">
        <f>$B111*'Recycling - Case 1'!$AK120*'Recycling - Case 1'!BQ120*'Recycling - Case 1'!$B120</f>
        <v>0</v>
      </c>
      <c r="H111" s="607">
        <f>$B111*'Recycling - Case 1'!$AK120*'Recycling - Case 1'!BR120*'Recycling - Case 1'!$B120</f>
        <v>0</v>
      </c>
      <c r="I111" s="607">
        <f>$B111*'Recycling - Case 1'!$AK120*'Recycling - Case 1'!BS120*'Recycling - Case 1'!$B120</f>
        <v>499.0382793645785</v>
      </c>
      <c r="J111" s="770">
        <f t="shared" si="11"/>
        <v>1541.4746217586928</v>
      </c>
      <c r="K111" s="1633">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0.67428931968969541</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17.192866800668458</v>
      </c>
      <c r="R111" s="1634">
        <f t="shared" si="8"/>
        <v>17.867156120358153</v>
      </c>
      <c r="S111" s="564">
        <f>C111*'4C2 Open-burning '!$C$9*'4C2 Open-burning '!$C$11*$C$5</f>
        <v>1.7451021838823726</v>
      </c>
      <c r="T111" s="564">
        <f>D111*'4C2 Open-burning '!$C$9*'4C2 Open-burning '!$C$11*$C$5</f>
        <v>1.8225938431743791</v>
      </c>
      <c r="U111" s="564">
        <f>E111*'4C2 Open-burning '!$C$9*'4C2 Open-burning '!$C$11*$C$5</f>
        <v>0.49780570828029397</v>
      </c>
      <c r="V111" s="564">
        <f>F111*'4C2 Open-burning '!$C$9*'4C2 Open-burning '!$C$11*$C$5</f>
        <v>0</v>
      </c>
      <c r="W111" s="564">
        <f>G111*'4C2 Open-burning '!$C$9*'4C2 Open-burning '!$C$11*$C$5</f>
        <v>0</v>
      </c>
      <c r="X111" s="564">
        <f>H111*'4C2 Open-burning '!$C$9*'4C2 Open-burning '!$C$11*$C$5</f>
        <v>0</v>
      </c>
      <c r="Y111" s="564">
        <f>I111*'4C2 Open-burning '!$C$9*'4C2 Open-burning '!$C$11*$C$5</f>
        <v>1.9462492895218562</v>
      </c>
      <c r="Z111" s="565">
        <f t="shared" si="9"/>
        <v>6.0117510248589019</v>
      </c>
      <c r="AA111" s="566">
        <f>C111*'4C2 Open-burning '!$C$10*'4C2 Open-burning '!$C$11*$C$5*C$15</f>
        <v>1.6108635543529589E-2</v>
      </c>
      <c r="AB111" s="566">
        <f>D111*'4C2 Open-burning '!$C$10*'4C2 Open-burning '!$C$11*$C$5*D$15</f>
        <v>1.6823943167763502E-2</v>
      </c>
      <c r="AC111" s="566">
        <f>E111*'4C2 Open-burning '!$C$10*'4C2 Open-burning '!$C$11*$C$5*E$15</f>
        <v>1.0339041633513797E-2</v>
      </c>
      <c r="AD111" s="566">
        <f>F111*'4C2 Open-burning '!$C$10*'4C2 Open-burning '!$C$11*$C$5*F$15</f>
        <v>0</v>
      </c>
      <c r="AE111" s="566">
        <f>G111*'4C2 Open-burning '!$C$10*'4C2 Open-burning '!$C$11*$C$5*G$15</f>
        <v>0</v>
      </c>
      <c r="AF111" s="566">
        <f>H111*'4C2 Open-burning '!$C$10*'4C2 Open-burning '!$C$11*$C$5*H$15</f>
        <v>0</v>
      </c>
      <c r="AG111" s="566">
        <f>I111*'4C2 Open-burning '!$C$10*'4C2 Open-burning '!$C$11*$C$5*I$15</f>
        <v>4.0422100628530862E-2</v>
      </c>
      <c r="AH111" s="567">
        <f t="shared" si="10"/>
        <v>8.3693720973337743E-2</v>
      </c>
      <c r="AI111" s="1647"/>
      <c r="AJ111" s="1646"/>
      <c r="AK111" s="1647"/>
    </row>
    <row r="112" spans="1:37">
      <c r="A112" s="568">
        <f>'Input data'!A141</f>
        <v>2041</v>
      </c>
      <c r="B112" s="604">
        <f>'Recycling - Case 1'!AP121</f>
        <v>0.12146828085607692</v>
      </c>
      <c r="C112" s="606">
        <f>$B112*'Recycling - Case 1'!$AK121*'Recycling - Case 1'!BM121*'Recycling - Case 1'!$B121</f>
        <v>428.10238372486594</v>
      </c>
      <c r="D112" s="607">
        <f>$B112*'Recycling - Case 1'!$AK121*'Recycling - Case 1'!BN121*'Recycling - Case 1'!$B121</f>
        <v>447.11236741986045</v>
      </c>
      <c r="E112" s="607">
        <f>$B112*'Recycling - Case 1'!$AK121*'Recycling - Case 1'!BO121*'Recycling - Case 1'!$B121</f>
        <v>122.11996083376845</v>
      </c>
      <c r="F112" s="607">
        <f>$B112*'Recycling - Case 1'!$AK121*'Recycling - Case 1'!BP121*'Recycling - Case 1'!$B121</f>
        <v>0</v>
      </c>
      <c r="G112" s="607">
        <f>$B112*'Recycling - Case 1'!$AK121*'Recycling - Case 1'!BQ121*'Recycling - Case 1'!$B121</f>
        <v>0</v>
      </c>
      <c r="H112" s="607">
        <f>$B112*'Recycling - Case 1'!$AK121*'Recycling - Case 1'!BR121*'Recycling - Case 1'!$B121</f>
        <v>0</v>
      </c>
      <c r="I112" s="607">
        <f>$B112*'Recycling - Case 1'!$AK121*'Recycling - Case 1'!BS121*'Recycling - Case 1'!$B121</f>
        <v>477.44709041249718</v>
      </c>
      <c r="J112" s="770">
        <f t="shared" si="11"/>
        <v>1474.781802390992</v>
      </c>
      <c r="K112" s="1633">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0.64511578989889851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16.449007158891352</v>
      </c>
      <c r="R112" s="1634">
        <f t="shared" si="8"/>
        <v>17.09412294879025</v>
      </c>
      <c r="S112" s="564">
        <f>C112*'4C2 Open-burning '!$C$9*'4C2 Open-burning '!$C$11*$C$5</f>
        <v>1.6695992965269768</v>
      </c>
      <c r="T112" s="564">
        <f>D112*'4C2 Open-burning '!$C$9*'4C2 Open-burning '!$C$11*$C$5</f>
        <v>1.7437382329374556</v>
      </c>
      <c r="U112" s="564">
        <f>E112*'4C2 Open-burning '!$C$9*'4C2 Open-burning '!$C$11*$C$5</f>
        <v>0.47626784725169691</v>
      </c>
      <c r="V112" s="564">
        <f>F112*'4C2 Open-burning '!$C$9*'4C2 Open-burning '!$C$11*$C$5</f>
        <v>0</v>
      </c>
      <c r="W112" s="564">
        <f>G112*'4C2 Open-burning '!$C$9*'4C2 Open-burning '!$C$11*$C$5</f>
        <v>0</v>
      </c>
      <c r="X112" s="564">
        <f>H112*'4C2 Open-burning '!$C$9*'4C2 Open-burning '!$C$11*$C$5</f>
        <v>0</v>
      </c>
      <c r="Y112" s="564">
        <f>I112*'4C2 Open-burning '!$C$9*'4C2 Open-burning '!$C$11*$C$5</f>
        <v>1.8620436526087387</v>
      </c>
      <c r="Z112" s="565">
        <f t="shared" si="9"/>
        <v>5.7516490293248683</v>
      </c>
      <c r="AA112" s="566">
        <f>C112*'4C2 Open-burning '!$C$10*'4C2 Open-burning '!$C$11*$C$5*C$15</f>
        <v>1.5411685814095173E-2</v>
      </c>
      <c r="AB112" s="566">
        <f>D112*'4C2 Open-burning '!$C$10*'4C2 Open-burning '!$C$11*$C$5*D$15</f>
        <v>1.6096045227114976E-2</v>
      </c>
      <c r="AC112" s="566">
        <f>E112*'4C2 Open-burning '!$C$10*'4C2 Open-burning '!$C$11*$C$5*E$15</f>
        <v>9.8917168275352418E-3</v>
      </c>
      <c r="AD112" s="566">
        <f>F112*'4C2 Open-burning '!$C$10*'4C2 Open-burning '!$C$11*$C$5*F$15</f>
        <v>0</v>
      </c>
      <c r="AE112" s="566">
        <f>G112*'4C2 Open-burning '!$C$10*'4C2 Open-burning '!$C$11*$C$5*G$15</f>
        <v>0</v>
      </c>
      <c r="AF112" s="566">
        <f>H112*'4C2 Open-burning '!$C$10*'4C2 Open-burning '!$C$11*$C$5*H$15</f>
        <v>0</v>
      </c>
      <c r="AG112" s="566">
        <f>I112*'4C2 Open-burning '!$C$10*'4C2 Open-burning '!$C$11*$C$5*I$15</f>
        <v>3.8673214323412267E-2</v>
      </c>
      <c r="AH112" s="567">
        <f t="shared" si="10"/>
        <v>8.0072662192157668E-2</v>
      </c>
      <c r="AI112" s="1647"/>
      <c r="AJ112" s="1646"/>
      <c r="AK112" s="1647"/>
    </row>
    <row r="113" spans="1:37">
      <c r="A113" s="568">
        <f>'Input data'!A142</f>
        <v>2042</v>
      </c>
      <c r="B113" s="604">
        <f>'Recycling - Case 1'!AP122</f>
        <v>0.12146828085607687</v>
      </c>
      <c r="C113" s="606">
        <f>$B113*'Recycling - Case 1'!$AK122*'Recycling - Case 1'!BM122*'Recycling - Case 1'!$B122</f>
        <v>408.48018601197612</v>
      </c>
      <c r="D113" s="607">
        <f>$B113*'Recycling - Case 1'!$AK122*'Recycling - Case 1'!BN122*'Recycling - Case 1'!$B122</f>
        <v>426.61884155566162</v>
      </c>
      <c r="E113" s="607">
        <f>$B113*'Recycling - Case 1'!$AK122*'Recycling - Case 1'!BO122*'Recycling - Case 1'!$B122</f>
        <v>116.52255678448242</v>
      </c>
      <c r="F113" s="607">
        <f>$B113*'Recycling - Case 1'!$AK122*'Recycling - Case 1'!BP122*'Recycling - Case 1'!$B122</f>
        <v>0</v>
      </c>
      <c r="G113" s="607">
        <f>$B113*'Recycling - Case 1'!$AK122*'Recycling - Case 1'!BQ122*'Recycling - Case 1'!$B122</f>
        <v>0</v>
      </c>
      <c r="H113" s="607">
        <f>$B113*'Recycling - Case 1'!$AK122*'Recycling - Case 1'!BR122*'Recycling - Case 1'!$B122</f>
        <v>0</v>
      </c>
      <c r="I113" s="607">
        <f>$B113*'Recycling - Case 1'!$AK122*'Recycling - Case 1'!BS122*'Recycling - Case 1'!$B122</f>
        <v>455.56316366580796</v>
      </c>
      <c r="J113" s="770">
        <f t="shared" si="11"/>
        <v>1407.1847480179281</v>
      </c>
      <c r="K113" s="1633">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0.61554671937197825</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15.695062114614414</v>
      </c>
      <c r="R113" s="1634">
        <f t="shared" si="8"/>
        <v>16.310608833986393</v>
      </c>
      <c r="S113" s="564">
        <f>C113*'4C2 Open-burning '!$C$9*'4C2 Open-burning '!$C$11*$C$5</f>
        <v>1.5930727254467067</v>
      </c>
      <c r="T113" s="564">
        <f>D113*'4C2 Open-burning '!$C$9*'4C2 Open-burning '!$C$11*$C$5</f>
        <v>1.66381348206708</v>
      </c>
      <c r="U113" s="564">
        <f>E113*'4C2 Open-burning '!$C$9*'4C2 Open-burning '!$C$11*$C$5</f>
        <v>0.45443797145948139</v>
      </c>
      <c r="V113" s="564">
        <f>F113*'4C2 Open-burning '!$C$9*'4C2 Open-burning '!$C$11*$C$5</f>
        <v>0</v>
      </c>
      <c r="W113" s="564">
        <f>G113*'4C2 Open-burning '!$C$9*'4C2 Open-burning '!$C$11*$C$5</f>
        <v>0</v>
      </c>
      <c r="X113" s="564">
        <f>H113*'4C2 Open-burning '!$C$9*'4C2 Open-burning '!$C$11*$C$5</f>
        <v>0</v>
      </c>
      <c r="Y113" s="564">
        <f>I113*'4C2 Open-burning '!$C$9*'4C2 Open-burning '!$C$11*$C$5</f>
        <v>1.776696338296651</v>
      </c>
      <c r="Z113" s="565">
        <f t="shared" si="9"/>
        <v>5.488020517269919</v>
      </c>
      <c r="AA113" s="566">
        <f>C113*'4C2 Open-burning '!$C$10*'4C2 Open-burning '!$C$11*$C$5*C$15</f>
        <v>1.470528669643114E-2</v>
      </c>
      <c r="AB113" s="566">
        <f>D113*'4C2 Open-burning '!$C$10*'4C2 Open-burning '!$C$11*$C$5*D$15</f>
        <v>1.535827829600382E-2</v>
      </c>
      <c r="AC113" s="566">
        <f>E113*'4C2 Open-burning '!$C$10*'4C2 Open-burning '!$C$11*$C$5*E$15</f>
        <v>9.4383270995430733E-3</v>
      </c>
      <c r="AD113" s="566">
        <f>F113*'4C2 Open-burning '!$C$10*'4C2 Open-burning '!$C$11*$C$5*F$15</f>
        <v>0</v>
      </c>
      <c r="AE113" s="566">
        <f>G113*'4C2 Open-burning '!$C$10*'4C2 Open-burning '!$C$11*$C$5*G$15</f>
        <v>0</v>
      </c>
      <c r="AF113" s="566">
        <f>H113*'4C2 Open-burning '!$C$10*'4C2 Open-burning '!$C$11*$C$5*H$15</f>
        <v>0</v>
      </c>
      <c r="AG113" s="566">
        <f>I113*'4C2 Open-burning '!$C$10*'4C2 Open-burning '!$C$11*$C$5*I$15</f>
        <v>3.6900616256930446E-2</v>
      </c>
      <c r="AH113" s="567">
        <f t="shared" si="10"/>
        <v>7.6402508348908479E-2</v>
      </c>
      <c r="AI113" s="1647"/>
      <c r="AJ113" s="1646"/>
      <c r="AK113" s="1647"/>
    </row>
    <row r="114" spans="1:37">
      <c r="A114" s="568">
        <f>'Input data'!A143</f>
        <v>2043</v>
      </c>
      <c r="B114" s="604">
        <f>'Recycling - Case 1'!AP123</f>
        <v>0.12146828085607687</v>
      </c>
      <c r="C114" s="606">
        <f>$B114*'Recycling - Case 1'!$AK123*'Recycling - Case 1'!BM123*'Recycling - Case 1'!$B123</f>
        <v>388.59899958488415</v>
      </c>
      <c r="D114" s="607">
        <f>$B114*'Recycling - Case 1'!$AK123*'Recycling - Case 1'!BN123*'Recycling - Case 1'!$B123</f>
        <v>405.8548265245152</v>
      </c>
      <c r="E114" s="607">
        <f>$B114*'Recycling - Case 1'!$AK123*'Recycling - Case 1'!BO123*'Recycling - Case 1'!$B123</f>
        <v>110.85127393228113</v>
      </c>
      <c r="F114" s="607">
        <f>$B114*'Recycling - Case 1'!$AK123*'Recycling - Case 1'!BP123*'Recycling - Case 1'!$B123</f>
        <v>0</v>
      </c>
      <c r="G114" s="607">
        <f>$B114*'Recycling - Case 1'!$AK123*'Recycling - Case 1'!BQ123*'Recycling - Case 1'!$B123</f>
        <v>0</v>
      </c>
      <c r="H114" s="607">
        <f>$B114*'Recycling - Case 1'!$AK123*'Recycling - Case 1'!BR123*'Recycling - Case 1'!$B123</f>
        <v>0</v>
      </c>
      <c r="I114" s="607">
        <f>$B114*'Recycling - Case 1'!$AK123*'Recycling - Case 1'!BS123*'Recycling - Case 1'!$B123</f>
        <v>433.39039618207443</v>
      </c>
      <c r="J114" s="770">
        <f t="shared" si="11"/>
        <v>1338.6954962237551</v>
      </c>
      <c r="K114" s="1633">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0.58558737372562564</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14.931165929264827</v>
      </c>
      <c r="R114" s="1634">
        <f t="shared" si="8"/>
        <v>15.516753302990452</v>
      </c>
      <c r="S114" s="564">
        <f>C114*'4C2 Open-burning '!$C$9*'4C2 Open-burning '!$C$11*$C$5</f>
        <v>1.515536098381048</v>
      </c>
      <c r="T114" s="564">
        <f>D114*'4C2 Open-burning '!$C$9*'4C2 Open-burning '!$C$11*$C$5</f>
        <v>1.5828338234456092</v>
      </c>
      <c r="U114" s="564">
        <f>E114*'4C2 Open-burning '!$C$9*'4C2 Open-burning '!$C$11*$C$5</f>
        <v>0.43231996833589642</v>
      </c>
      <c r="V114" s="564">
        <f>F114*'4C2 Open-burning '!$C$9*'4C2 Open-burning '!$C$11*$C$5</f>
        <v>0</v>
      </c>
      <c r="W114" s="564">
        <f>G114*'4C2 Open-burning '!$C$9*'4C2 Open-burning '!$C$11*$C$5</f>
        <v>0</v>
      </c>
      <c r="X114" s="564">
        <f>H114*'4C2 Open-burning '!$C$9*'4C2 Open-burning '!$C$11*$C$5</f>
        <v>0</v>
      </c>
      <c r="Y114" s="564">
        <f>I114*'4C2 Open-burning '!$C$9*'4C2 Open-burning '!$C$11*$C$5</f>
        <v>1.6902225451100901</v>
      </c>
      <c r="Z114" s="565">
        <f t="shared" si="9"/>
        <v>5.2209124352726439</v>
      </c>
      <c r="AA114" s="566">
        <f>C114*'4C2 Open-burning '!$C$10*'4C2 Open-burning '!$C$11*$C$5*C$15</f>
        <v>1.3989563985055829E-2</v>
      </c>
      <c r="AB114" s="566">
        <f>D114*'4C2 Open-burning '!$C$10*'4C2 Open-burning '!$C$11*$C$5*D$15</f>
        <v>1.4610773754882546E-2</v>
      </c>
      <c r="AC114" s="566">
        <f>E114*'4C2 Open-burning '!$C$10*'4C2 Open-burning '!$C$11*$C$5*E$15</f>
        <v>8.9789531885147711E-3</v>
      </c>
      <c r="AD114" s="566">
        <f>F114*'4C2 Open-burning '!$C$10*'4C2 Open-burning '!$C$11*$C$5*F$15</f>
        <v>0</v>
      </c>
      <c r="AE114" s="566">
        <f>G114*'4C2 Open-burning '!$C$10*'4C2 Open-burning '!$C$11*$C$5*G$15</f>
        <v>0</v>
      </c>
      <c r="AF114" s="566">
        <f>H114*'4C2 Open-burning '!$C$10*'4C2 Open-burning '!$C$11*$C$5*H$15</f>
        <v>0</v>
      </c>
      <c r="AG114" s="566">
        <f>I114*'4C2 Open-burning '!$C$10*'4C2 Open-burning '!$C$11*$C$5*I$15</f>
        <v>3.5104622090748029E-2</v>
      </c>
      <c r="AH114" s="567">
        <f t="shared" si="10"/>
        <v>7.2683913019201185E-2</v>
      </c>
      <c r="AI114" s="1647"/>
      <c r="AJ114" s="1646"/>
      <c r="AK114" s="1647"/>
    </row>
    <row r="115" spans="1:37">
      <c r="A115" s="568">
        <f>'Input data'!A144</f>
        <v>2044</v>
      </c>
      <c r="B115" s="604">
        <f>'Recycling - Case 1'!AP124</f>
        <v>0.1214682808560769</v>
      </c>
      <c r="C115" s="606">
        <f>$B115*'Recycling - Case 1'!$AK124*'Recycling - Case 1'!BM124*'Recycling - Case 1'!$B124</f>
        <v>368.45101367284445</v>
      </c>
      <c r="D115" s="607">
        <f>$B115*'Recycling - Case 1'!$AK124*'Recycling - Case 1'!BN124*'Recycling - Case 1'!$B124</f>
        <v>384.81216471662492</v>
      </c>
      <c r="E115" s="607">
        <f>$B115*'Recycling - Case 1'!$AK124*'Recycling - Case 1'!BO124*'Recycling - Case 1'!$B124</f>
        <v>105.10388418628312</v>
      </c>
      <c r="F115" s="607">
        <f>$B115*'Recycling - Case 1'!$AK124*'Recycling - Case 1'!BP124*'Recycling - Case 1'!$B124</f>
        <v>0</v>
      </c>
      <c r="G115" s="607">
        <f>$B115*'Recycling - Case 1'!$AK124*'Recycling - Case 1'!BQ124*'Recycling - Case 1'!$B124</f>
        <v>0</v>
      </c>
      <c r="H115" s="607">
        <f>$B115*'Recycling - Case 1'!$AK124*'Recycling - Case 1'!BR124*'Recycling - Case 1'!$B124</f>
        <v>0</v>
      </c>
      <c r="I115" s="607">
        <f>$B115*'Recycling - Case 1'!$AK124*'Recycling - Case 1'!BS124*'Recycling - Case 1'!$B124</f>
        <v>410.92007689144964</v>
      </c>
      <c r="J115" s="770">
        <f t="shared" si="11"/>
        <v>1269.2871394672022</v>
      </c>
      <c r="K115" s="1633">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0.55522598275782664</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14.157018489064221</v>
      </c>
      <c r="R115" s="1634">
        <f t="shared" si="8"/>
        <v>14.712244471822048</v>
      </c>
      <c r="S115" s="564">
        <f>C115*'4C2 Open-burning '!$C$9*'4C2 Open-burning '!$C$11*$C$5</f>
        <v>1.4369589533240932</v>
      </c>
      <c r="T115" s="564">
        <f>D115*'4C2 Open-burning '!$C$9*'4C2 Open-burning '!$C$11*$C$5</f>
        <v>1.5007674423948372</v>
      </c>
      <c r="U115" s="564">
        <f>E115*'4C2 Open-burning '!$C$9*'4C2 Open-burning '!$C$11*$C$5</f>
        <v>0.40990514832650421</v>
      </c>
      <c r="V115" s="564">
        <f>F115*'4C2 Open-burning '!$C$9*'4C2 Open-burning '!$C$11*$C$5</f>
        <v>0</v>
      </c>
      <c r="W115" s="564">
        <f>G115*'4C2 Open-burning '!$C$9*'4C2 Open-burning '!$C$11*$C$5</f>
        <v>0</v>
      </c>
      <c r="X115" s="564">
        <f>H115*'4C2 Open-burning '!$C$9*'4C2 Open-burning '!$C$11*$C$5</f>
        <v>0</v>
      </c>
      <c r="Y115" s="564">
        <f>I115*'4C2 Open-burning '!$C$9*'4C2 Open-burning '!$C$11*$C$5</f>
        <v>1.6025882998766534</v>
      </c>
      <c r="Z115" s="565">
        <f t="shared" si="9"/>
        <v>4.9502198439220875</v>
      </c>
      <c r="AA115" s="566">
        <f>C115*'4C2 Open-burning '!$C$10*'4C2 Open-burning '!$C$11*$C$5*C$15</f>
        <v>1.32642364922224E-2</v>
      </c>
      <c r="AB115" s="566">
        <f>D115*'4C2 Open-burning '!$C$10*'4C2 Open-burning '!$C$11*$C$5*D$15</f>
        <v>1.3853237929798496E-2</v>
      </c>
      <c r="AC115" s="566">
        <f>E115*'4C2 Open-burning '!$C$10*'4C2 Open-burning '!$C$11*$C$5*E$15</f>
        <v>8.5134146190889333E-3</v>
      </c>
      <c r="AD115" s="566">
        <f>F115*'4C2 Open-burning '!$C$10*'4C2 Open-burning '!$C$11*$C$5*F$15</f>
        <v>0</v>
      </c>
      <c r="AE115" s="566">
        <f>G115*'4C2 Open-burning '!$C$10*'4C2 Open-burning '!$C$11*$C$5*G$15</f>
        <v>0</v>
      </c>
      <c r="AF115" s="566">
        <f>H115*'4C2 Open-burning '!$C$10*'4C2 Open-burning '!$C$11*$C$5*H$15</f>
        <v>0</v>
      </c>
      <c r="AG115" s="566">
        <f>I115*'4C2 Open-burning '!$C$10*'4C2 Open-burning '!$C$11*$C$5*I$15</f>
        <v>3.3284526228207413E-2</v>
      </c>
      <c r="AH115" s="567">
        <f t="shared" si="10"/>
        <v>6.8915415269317243E-2</v>
      </c>
      <c r="AI115" s="1647"/>
      <c r="AJ115" s="1646"/>
      <c r="AK115" s="1647"/>
    </row>
    <row r="116" spans="1:37">
      <c r="A116" s="568">
        <f>'Input data'!A145</f>
        <v>2045</v>
      </c>
      <c r="B116" s="604">
        <f>'Recycling - Case 1'!AP125</f>
        <v>0.12146828085607689</v>
      </c>
      <c r="C116" s="606">
        <f>$B116*'Recycling - Case 1'!$AK125*'Recycling - Case 1'!BM125*'Recycling - Case 1'!$B125</f>
        <v>348.04383350000376</v>
      </c>
      <c r="D116" s="607">
        <f>$B116*'Recycling - Case 1'!$AK125*'Recycling - Case 1'!BN125*'Recycling - Case 1'!$B125</f>
        <v>363.49879906784486</v>
      </c>
      <c r="E116" s="607">
        <f>$B116*'Recycling - Case 1'!$AK125*'Recycling - Case 1'!BO125*'Recycling - Case 1'!$B125</f>
        <v>99.282557003399219</v>
      </c>
      <c r="F116" s="607">
        <f>$B116*'Recycling - Case 1'!$AK125*'Recycling - Case 1'!BP125*'Recycling - Case 1'!$B125</f>
        <v>0</v>
      </c>
      <c r="G116" s="607">
        <f>$B116*'Recycling - Case 1'!$AK125*'Recycling - Case 1'!BQ125*'Recycling - Case 1'!$B125</f>
        <v>0</v>
      </c>
      <c r="H116" s="607">
        <f>$B116*'Recycling - Case 1'!$AK125*'Recycling - Case 1'!BR125*'Recycling - Case 1'!$B125</f>
        <v>0</v>
      </c>
      <c r="I116" s="607">
        <f>$B116*'Recycling - Case 1'!$AK125*'Recycling - Case 1'!BS125*'Recycling - Case 1'!$B125</f>
        <v>388.16068762510008</v>
      </c>
      <c r="J116" s="770">
        <f t="shared" si="11"/>
        <v>1198.9858771963479</v>
      </c>
      <c r="K116" s="1633">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0.52447400692843682</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13.372912010059947</v>
      </c>
      <c r="R116" s="1634">
        <f t="shared" si="8"/>
        <v>13.897386016988383</v>
      </c>
      <c r="S116" s="564">
        <f>C116*'4C2 Open-burning '!$C$9*'4C2 Open-burning '!$C$11*$C$5</f>
        <v>1.3573709506500145</v>
      </c>
      <c r="T116" s="564">
        <f>D116*'4C2 Open-burning '!$C$9*'4C2 Open-burning '!$C$11*$C$5</f>
        <v>1.417645316364595</v>
      </c>
      <c r="U116" s="564">
        <f>E116*'4C2 Open-burning '!$C$9*'4C2 Open-burning '!$C$11*$C$5</f>
        <v>0.38720197231325687</v>
      </c>
      <c r="V116" s="564">
        <f>F116*'4C2 Open-burning '!$C$9*'4C2 Open-burning '!$C$11*$C$5</f>
        <v>0</v>
      </c>
      <c r="W116" s="564">
        <f>G116*'4C2 Open-burning '!$C$9*'4C2 Open-burning '!$C$11*$C$5</f>
        <v>0</v>
      </c>
      <c r="X116" s="564">
        <f>H116*'4C2 Open-burning '!$C$9*'4C2 Open-burning '!$C$11*$C$5</f>
        <v>0</v>
      </c>
      <c r="Y116" s="564">
        <f>I116*'4C2 Open-burning '!$C$9*'4C2 Open-burning '!$C$11*$C$5</f>
        <v>1.51382668173789</v>
      </c>
      <c r="Z116" s="565">
        <f t="shared" si="9"/>
        <v>4.6760449210657562</v>
      </c>
      <c r="AA116" s="566">
        <f>C116*'4C2 Open-burning '!$C$10*'4C2 Open-burning '!$C$11*$C$5*C$15</f>
        <v>1.2529578006000134E-2</v>
      </c>
      <c r="AB116" s="566">
        <f>D116*'4C2 Open-burning '!$C$10*'4C2 Open-burning '!$C$11*$C$5*D$15</f>
        <v>1.3085956766442414E-2</v>
      </c>
      <c r="AC116" s="566">
        <f>E116*'4C2 Open-burning '!$C$10*'4C2 Open-burning '!$C$11*$C$5*E$15</f>
        <v>8.0418871172753363E-3</v>
      </c>
      <c r="AD116" s="566">
        <f>F116*'4C2 Open-burning '!$C$10*'4C2 Open-burning '!$C$11*$C$5*F$15</f>
        <v>0</v>
      </c>
      <c r="AE116" s="566">
        <f>G116*'4C2 Open-burning '!$C$10*'4C2 Open-burning '!$C$11*$C$5*G$15</f>
        <v>0</v>
      </c>
      <c r="AF116" s="566">
        <f>H116*'4C2 Open-burning '!$C$10*'4C2 Open-burning '!$C$11*$C$5*H$15</f>
        <v>0</v>
      </c>
      <c r="AG116" s="566">
        <f>I116*'4C2 Open-burning '!$C$10*'4C2 Open-burning '!$C$11*$C$5*I$15</f>
        <v>3.1441015697633107E-2</v>
      </c>
      <c r="AH116" s="567">
        <f t="shared" si="10"/>
        <v>6.5098437587350996E-2</v>
      </c>
      <c r="AI116" s="1647"/>
      <c r="AJ116" s="1646"/>
      <c r="AK116" s="1647"/>
    </row>
    <row r="117" spans="1:37">
      <c r="A117" s="568">
        <f>'Input data'!A146</f>
        <v>2046</v>
      </c>
      <c r="B117" s="604">
        <f>'Recycling - Case 1'!AP126</f>
        <v>0.1214682808560769</v>
      </c>
      <c r="C117" s="606">
        <f>$B117*'Recycling - Case 1'!$AK126*'Recycling - Case 1'!BM126*'Recycling - Case 1'!$B126</f>
        <v>327.00254207056491</v>
      </c>
      <c r="D117" s="607">
        <f>$B117*'Recycling - Case 1'!$AK126*'Recycling - Case 1'!BN126*'Recycling - Case 1'!$B126</f>
        <v>341.52316430792746</v>
      </c>
      <c r="E117" s="607">
        <f>$B117*'Recycling - Case 1'!$AK126*'Recycling - Case 1'!BO126*'Recycling - Case 1'!$B126</f>
        <v>93.280344021314079</v>
      </c>
      <c r="F117" s="607">
        <f>$B117*'Recycling - Case 1'!$AK126*'Recycling - Case 1'!BP126*'Recycling - Case 1'!$B126</f>
        <v>0</v>
      </c>
      <c r="G117" s="607">
        <f>$B117*'Recycling - Case 1'!$AK126*'Recycling - Case 1'!BQ126*'Recycling - Case 1'!$B126</f>
        <v>0</v>
      </c>
      <c r="H117" s="607">
        <f>$B117*'Recycling - Case 1'!$AK126*'Recycling - Case 1'!BR126*'Recycling - Case 1'!$B126</f>
        <v>0</v>
      </c>
      <c r="I117" s="607">
        <f>$B117*'Recycling - Case 1'!$AK126*'Recycling - Case 1'!BS126*'Recycling - Case 1'!$B126</f>
        <v>364.69409703035234</v>
      </c>
      <c r="J117" s="770">
        <f t="shared" si="11"/>
        <v>1126.5001474301589</v>
      </c>
      <c r="K117" s="1633">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0.49276647654075462</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12.564441030889698</v>
      </c>
      <c r="R117" s="1634">
        <f t="shared" si="8"/>
        <v>13.057207507430453</v>
      </c>
      <c r="S117" s="564">
        <f>C117*'4C2 Open-burning '!$C$9*'4C2 Open-burning '!$C$11*$C$5</f>
        <v>1.2753099140752029</v>
      </c>
      <c r="T117" s="564">
        <f>D117*'4C2 Open-burning '!$C$9*'4C2 Open-burning '!$C$11*$C$5</f>
        <v>1.3319403408009167</v>
      </c>
      <c r="U117" s="564">
        <f>E117*'4C2 Open-burning '!$C$9*'4C2 Open-burning '!$C$11*$C$5</f>
        <v>0.36379334168312483</v>
      </c>
      <c r="V117" s="564">
        <f>F117*'4C2 Open-burning '!$C$9*'4C2 Open-burning '!$C$11*$C$5</f>
        <v>0</v>
      </c>
      <c r="W117" s="564">
        <f>G117*'4C2 Open-burning '!$C$9*'4C2 Open-burning '!$C$11*$C$5</f>
        <v>0</v>
      </c>
      <c r="X117" s="564">
        <f>H117*'4C2 Open-burning '!$C$9*'4C2 Open-burning '!$C$11*$C$5</f>
        <v>0</v>
      </c>
      <c r="Y117" s="564">
        <f>I117*'4C2 Open-burning '!$C$9*'4C2 Open-burning '!$C$11*$C$5</f>
        <v>1.4223069784183742</v>
      </c>
      <c r="Z117" s="565">
        <f t="shared" si="9"/>
        <v>4.3933505749776192</v>
      </c>
      <c r="AA117" s="566">
        <f>C117*'4C2 Open-burning '!$C$10*'4C2 Open-burning '!$C$11*$C$5*C$15</f>
        <v>1.1772091514540338E-2</v>
      </c>
      <c r="AB117" s="566">
        <f>D117*'4C2 Open-burning '!$C$10*'4C2 Open-burning '!$C$11*$C$5*D$15</f>
        <v>1.2294833915085387E-2</v>
      </c>
      <c r="AC117" s="566">
        <f>E117*'4C2 Open-burning '!$C$10*'4C2 Open-burning '!$C$11*$C$5*E$15</f>
        <v>7.5557078657264394E-3</v>
      </c>
      <c r="AD117" s="566">
        <f>F117*'4C2 Open-burning '!$C$10*'4C2 Open-burning '!$C$11*$C$5*F$15</f>
        <v>0</v>
      </c>
      <c r="AE117" s="566">
        <f>G117*'4C2 Open-burning '!$C$10*'4C2 Open-burning '!$C$11*$C$5*G$15</f>
        <v>0</v>
      </c>
      <c r="AF117" s="566">
        <f>H117*'4C2 Open-burning '!$C$10*'4C2 Open-burning '!$C$11*$C$5*H$15</f>
        <v>0</v>
      </c>
      <c r="AG117" s="566">
        <f>I117*'4C2 Open-burning '!$C$10*'4C2 Open-burning '!$C$11*$C$5*I$15</f>
        <v>2.9540221859458538E-2</v>
      </c>
      <c r="AH117" s="567">
        <f t="shared" si="10"/>
        <v>6.1162855154810701E-2</v>
      </c>
      <c r="AI117" s="1647"/>
      <c r="AJ117" s="1646"/>
      <c r="AK117" s="1647"/>
    </row>
    <row r="118" spans="1:37">
      <c r="A118" s="568">
        <f>'Input data'!A147</f>
        <v>2047</v>
      </c>
      <c r="B118" s="604">
        <f>'Recycling - Case 1'!AP127</f>
        <v>0.12146828085607689</v>
      </c>
      <c r="C118" s="606">
        <f>$B118*'Recycling - Case 1'!$AK127*'Recycling - Case 1'!BM127*'Recycling - Case 1'!$B127</f>
        <v>305.74234351364549</v>
      </c>
      <c r="D118" s="607">
        <f>$B118*'Recycling - Case 1'!$AK127*'Recycling - Case 1'!BN127*'Recycling - Case 1'!$B127</f>
        <v>319.31890179975676</v>
      </c>
      <c r="E118" s="607">
        <f>$B118*'Recycling - Case 1'!$AK127*'Recycling - Case 1'!BO127*'Recycling - Case 1'!$B127</f>
        <v>87.215685860574339</v>
      </c>
      <c r="F118" s="607">
        <f>$B118*'Recycling - Case 1'!$AK127*'Recycling - Case 1'!BP127*'Recycling - Case 1'!$B127</f>
        <v>0</v>
      </c>
      <c r="G118" s="607">
        <f>$B118*'Recycling - Case 1'!$AK127*'Recycling - Case 1'!BQ127*'Recycling - Case 1'!$B127</f>
        <v>0</v>
      </c>
      <c r="H118" s="607">
        <f>$B118*'Recycling - Case 1'!$AK127*'Recycling - Case 1'!BR127*'Recycling - Case 1'!$B127</f>
        <v>0</v>
      </c>
      <c r="I118" s="607">
        <f>$B118*'Recycling - Case 1'!$AK127*'Recycling - Case 1'!BS127*'Recycling - Case 1'!$B127</f>
        <v>340.98336724119804</v>
      </c>
      <c r="J118" s="770">
        <f t="shared" si="11"/>
        <v>1053.2602984151745</v>
      </c>
      <c r="K118" s="1633">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0.46072907075450442</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11.747558968193754</v>
      </c>
      <c r="R118" s="1634">
        <f t="shared" si="8"/>
        <v>12.208288038948259</v>
      </c>
      <c r="S118" s="564">
        <f>C118*'4C2 Open-burning '!$C$9*'4C2 Open-burning '!$C$11*$C$5</f>
        <v>1.1923951397032173</v>
      </c>
      <c r="T118" s="564">
        <f>D118*'4C2 Open-burning '!$C$9*'4C2 Open-burning '!$C$11*$C$5</f>
        <v>1.2453437170190511</v>
      </c>
      <c r="U118" s="564">
        <f>E118*'4C2 Open-burning '!$C$9*'4C2 Open-burning '!$C$11*$C$5</f>
        <v>0.34014117485623985</v>
      </c>
      <c r="V118" s="564">
        <f>F118*'4C2 Open-burning '!$C$9*'4C2 Open-burning '!$C$11*$C$5</f>
        <v>0</v>
      </c>
      <c r="W118" s="564">
        <f>G118*'4C2 Open-burning '!$C$9*'4C2 Open-burning '!$C$11*$C$5</f>
        <v>0</v>
      </c>
      <c r="X118" s="564">
        <f>H118*'4C2 Open-burning '!$C$9*'4C2 Open-burning '!$C$11*$C$5</f>
        <v>0</v>
      </c>
      <c r="Y118" s="564">
        <f>I118*'4C2 Open-burning '!$C$9*'4C2 Open-burning '!$C$11*$C$5</f>
        <v>1.3298351322406725</v>
      </c>
      <c r="Z118" s="565">
        <f t="shared" si="9"/>
        <v>4.1077151638191811</v>
      </c>
      <c r="AA118" s="566">
        <f>C118*'4C2 Open-burning '!$C$10*'4C2 Open-burning '!$C$11*$C$5*C$15</f>
        <v>1.1006724366491237E-2</v>
      </c>
      <c r="AB118" s="566">
        <f>D118*'4C2 Open-burning '!$C$10*'4C2 Open-burning '!$C$11*$C$5*D$15</f>
        <v>1.1495480464791243E-2</v>
      </c>
      <c r="AC118" s="566">
        <f>E118*'4C2 Open-burning '!$C$10*'4C2 Open-burning '!$C$11*$C$5*E$15</f>
        <v>7.0644705547065209E-3</v>
      </c>
      <c r="AD118" s="566">
        <f>F118*'4C2 Open-burning '!$C$10*'4C2 Open-burning '!$C$11*$C$5*F$15</f>
        <v>0</v>
      </c>
      <c r="AE118" s="566">
        <f>G118*'4C2 Open-burning '!$C$10*'4C2 Open-burning '!$C$11*$C$5*G$15</f>
        <v>0</v>
      </c>
      <c r="AF118" s="566">
        <f>H118*'4C2 Open-burning '!$C$10*'4C2 Open-burning '!$C$11*$C$5*H$15</f>
        <v>0</v>
      </c>
      <c r="AG118" s="566">
        <f>I118*'4C2 Open-burning '!$C$10*'4C2 Open-burning '!$C$11*$C$5*I$15</f>
        <v>2.7619652746537039E-2</v>
      </c>
      <c r="AH118" s="567">
        <f t="shared" si="10"/>
        <v>5.718632813252604E-2</v>
      </c>
      <c r="AI118" s="1647"/>
      <c r="AJ118" s="1646"/>
      <c r="AK118" s="1647"/>
    </row>
    <row r="119" spans="1:37">
      <c r="A119" s="568">
        <f>'Input data'!A148</f>
        <v>2048</v>
      </c>
      <c r="B119" s="604">
        <f>'Recycling - Case 1'!AP128</f>
        <v>0.12146828085607689</v>
      </c>
      <c r="C119" s="606">
        <f>$B119*'Recycling - Case 1'!$AK128*'Recycling - Case 1'!BM128*'Recycling - Case 1'!$B128</f>
        <v>307.30449766280157</v>
      </c>
      <c r="D119" s="607">
        <f>$B119*'Recycling - Case 1'!$AK128*'Recycling - Case 1'!BN128*'Recycling - Case 1'!$B128</f>
        <v>320.95042375912249</v>
      </c>
      <c r="E119" s="607">
        <f>$B119*'Recycling - Case 1'!$AK128*'Recycling - Case 1'!BO128*'Recycling - Case 1'!$B128</f>
        <v>87.661304036888566</v>
      </c>
      <c r="F119" s="607">
        <f>$B119*'Recycling - Case 1'!$AK128*'Recycling - Case 1'!BP128*'Recycling - Case 1'!$B128</f>
        <v>0</v>
      </c>
      <c r="G119" s="607">
        <f>$B119*'Recycling - Case 1'!$AK128*'Recycling - Case 1'!BQ128*'Recycling - Case 1'!$B128</f>
        <v>0</v>
      </c>
      <c r="H119" s="607">
        <f>$B119*'Recycling - Case 1'!$AK128*'Recycling - Case 1'!BR128*'Recycling - Case 1'!$B128</f>
        <v>0</v>
      </c>
      <c r="I119" s="607">
        <f>$B119*'Recycling - Case 1'!$AK128*'Recycling - Case 1'!BS128*'Recycling - Case 1'!$B128</f>
        <v>342.72558121067158</v>
      </c>
      <c r="J119" s="770">
        <f t="shared" si="11"/>
        <v>1058.6418066694844</v>
      </c>
      <c r="K119" s="1633">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0.46308311115742901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11.807581723870056</v>
      </c>
      <c r="R119" s="1634">
        <f t="shared" si="8"/>
        <v>12.270664835027485</v>
      </c>
      <c r="S119" s="564">
        <f>C119*'4C2 Open-burning '!$C$9*'4C2 Open-burning '!$C$11*$C$5</f>
        <v>1.198487540884926</v>
      </c>
      <c r="T119" s="564">
        <f>D119*'4C2 Open-burning '!$C$9*'4C2 Open-burning '!$C$11*$C$5</f>
        <v>1.2517066526605776</v>
      </c>
      <c r="U119" s="564">
        <f>E119*'4C2 Open-burning '!$C$9*'4C2 Open-burning '!$C$11*$C$5</f>
        <v>0.34187908574386539</v>
      </c>
      <c r="V119" s="564">
        <f>F119*'4C2 Open-burning '!$C$9*'4C2 Open-burning '!$C$11*$C$5</f>
        <v>0</v>
      </c>
      <c r="W119" s="564">
        <f>G119*'4C2 Open-burning '!$C$9*'4C2 Open-burning '!$C$11*$C$5</f>
        <v>0</v>
      </c>
      <c r="X119" s="564">
        <f>H119*'4C2 Open-burning '!$C$9*'4C2 Open-burning '!$C$11*$C$5</f>
        <v>0</v>
      </c>
      <c r="Y119" s="564">
        <f>I119*'4C2 Open-burning '!$C$9*'4C2 Open-burning '!$C$11*$C$5</f>
        <v>1.3366297667216189</v>
      </c>
      <c r="Z119" s="565">
        <f t="shared" si="9"/>
        <v>4.1287030460109886</v>
      </c>
      <c r="AA119" s="566">
        <f>C119*'4C2 Open-burning '!$C$10*'4C2 Open-burning '!$C$11*$C$5*C$15</f>
        <v>1.1062961915860857E-2</v>
      </c>
      <c r="AB119" s="566">
        <f>D119*'4C2 Open-burning '!$C$10*'4C2 Open-burning '!$C$11*$C$5*D$15</f>
        <v>1.1554215255328411E-2</v>
      </c>
      <c r="AC119" s="566">
        <f>E119*'4C2 Open-burning '!$C$10*'4C2 Open-burning '!$C$11*$C$5*E$15</f>
        <v>7.1005656269879733E-3</v>
      </c>
      <c r="AD119" s="566">
        <f>F119*'4C2 Open-burning '!$C$10*'4C2 Open-burning '!$C$11*$C$5*F$15</f>
        <v>0</v>
      </c>
      <c r="AE119" s="566">
        <f>G119*'4C2 Open-burning '!$C$10*'4C2 Open-burning '!$C$11*$C$5*G$15</f>
        <v>0</v>
      </c>
      <c r="AF119" s="566">
        <f>H119*'4C2 Open-burning '!$C$10*'4C2 Open-burning '!$C$11*$C$5*H$15</f>
        <v>0</v>
      </c>
      <c r="AG119" s="566">
        <f>I119*'4C2 Open-burning '!$C$10*'4C2 Open-burning '!$C$11*$C$5*I$15</f>
        <v>2.7760772078064395E-2</v>
      </c>
      <c r="AH119" s="567">
        <f t="shared" si="10"/>
        <v>5.7478514876241629E-2</v>
      </c>
      <c r="AI119" s="1647"/>
      <c r="AJ119" s="1646"/>
      <c r="AK119" s="1647"/>
    </row>
    <row r="120" spans="1:37">
      <c r="A120" s="568">
        <f>'Input data'!A149</f>
        <v>2049</v>
      </c>
      <c r="B120" s="604">
        <f>'Recycling - Case 1'!AP129</f>
        <v>0.12146828085607689</v>
      </c>
      <c r="C120" s="606">
        <f>$B120*'Recycling - Case 1'!$AK129*'Recycling - Case 1'!BM129*'Recycling - Case 1'!$B129</f>
        <v>308.87076274392911</v>
      </c>
      <c r="D120" s="607">
        <f>$B120*'Recycling - Case 1'!$AK129*'Recycling - Case 1'!BN129*'Recycling - Case 1'!$B129</f>
        <v>322.58623919732867</v>
      </c>
      <c r="E120" s="607">
        <f>$B120*'Recycling - Case 1'!$AK129*'Recycling - Case 1'!BO129*'Recycling - Case 1'!$B129</f>
        <v>88.108094892614147</v>
      </c>
      <c r="F120" s="607">
        <f>$B120*'Recycling - Case 1'!$AK129*'Recycling - Case 1'!BP129*'Recycling - Case 1'!$B129</f>
        <v>0</v>
      </c>
      <c r="G120" s="607">
        <f>$B120*'Recycling - Case 1'!$AK129*'Recycling - Case 1'!BQ129*'Recycling - Case 1'!$B129</f>
        <v>0</v>
      </c>
      <c r="H120" s="607">
        <f>$B120*'Recycling - Case 1'!$AK129*'Recycling - Case 1'!BR129*'Recycling - Case 1'!$B129</f>
        <v>0</v>
      </c>
      <c r="I120" s="607">
        <f>$B120*'Recycling - Case 1'!$AK129*'Recycling - Case 1'!BS129*'Recycling - Case 1'!$B129</f>
        <v>344.472379953749</v>
      </c>
      <c r="J120" s="770">
        <f t="shared" si="11"/>
        <v>1064.037476787621</v>
      </c>
      <c r="K120" s="1633">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0.4654433464035192</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11.86776243416656</v>
      </c>
      <c r="R120" s="1634">
        <f t="shared" si="8"/>
        <v>12.333205780570079</v>
      </c>
      <c r="S120" s="564">
        <f>C120*'4C2 Open-burning '!$C$9*'4C2 Open-burning '!$C$11*$C$5</f>
        <v>1.2045959747013235</v>
      </c>
      <c r="T120" s="564">
        <f>D120*'4C2 Open-burning '!$C$9*'4C2 Open-burning '!$C$11*$C$5</f>
        <v>1.2580863328695817</v>
      </c>
      <c r="U120" s="564">
        <f>E120*'4C2 Open-burning '!$C$9*'4C2 Open-burning '!$C$11*$C$5</f>
        <v>0.34362157008119515</v>
      </c>
      <c r="V120" s="564">
        <f>F120*'4C2 Open-burning '!$C$9*'4C2 Open-burning '!$C$11*$C$5</f>
        <v>0</v>
      </c>
      <c r="W120" s="564">
        <f>G120*'4C2 Open-burning '!$C$9*'4C2 Open-burning '!$C$11*$C$5</f>
        <v>0</v>
      </c>
      <c r="X120" s="564">
        <f>H120*'4C2 Open-burning '!$C$9*'4C2 Open-burning '!$C$11*$C$5</f>
        <v>0</v>
      </c>
      <c r="Y120" s="564">
        <f>I120*'4C2 Open-burning '!$C$9*'4C2 Open-burning '!$C$11*$C$5</f>
        <v>1.3434422818196208</v>
      </c>
      <c r="Z120" s="565">
        <f t="shared" si="9"/>
        <v>4.1497461594717215</v>
      </c>
      <c r="AA120" s="566">
        <f>C120*'4C2 Open-burning '!$C$10*'4C2 Open-burning '!$C$11*$C$5*C$15</f>
        <v>1.1119347458781449E-2</v>
      </c>
      <c r="AB120" s="566">
        <f>D120*'4C2 Open-burning '!$C$10*'4C2 Open-burning '!$C$11*$C$5*D$15</f>
        <v>1.1613104611103833E-2</v>
      </c>
      <c r="AC120" s="566">
        <f>E120*'4C2 Open-burning '!$C$10*'4C2 Open-burning '!$C$11*$C$5*E$15</f>
        <v>7.1367556863017444E-3</v>
      </c>
      <c r="AD120" s="566">
        <f>F120*'4C2 Open-burning '!$C$10*'4C2 Open-burning '!$C$11*$C$5*F$15</f>
        <v>0</v>
      </c>
      <c r="AE120" s="566">
        <f>G120*'4C2 Open-burning '!$C$10*'4C2 Open-burning '!$C$11*$C$5*G$15</f>
        <v>0</v>
      </c>
      <c r="AF120" s="566">
        <f>H120*'4C2 Open-burning '!$C$10*'4C2 Open-burning '!$C$11*$C$5*H$15</f>
        <v>0</v>
      </c>
      <c r="AG120" s="566">
        <f>I120*'4C2 Open-burning '!$C$10*'4C2 Open-burning '!$C$11*$C$5*I$15</f>
        <v>2.7902262776253666E-2</v>
      </c>
      <c r="AH120" s="567">
        <f t="shared" si="10"/>
        <v>5.7771470532440694E-2</v>
      </c>
      <c r="AI120" s="1647"/>
      <c r="AJ120" s="1646"/>
      <c r="AK120" s="1647"/>
    </row>
    <row r="121" spans="1:37" ht="15" thickBot="1">
      <c r="A121" s="568">
        <f>'Input data'!A150</f>
        <v>2050</v>
      </c>
      <c r="B121" s="604">
        <f>'Recycling - Case 1'!AP130</f>
        <v>0.12146828085607689</v>
      </c>
      <c r="C121" s="757">
        <f>$B121*'Recycling - Case 1'!$AK130*'Recycling - Case 1'!BM130*'Recycling - Case 1'!$B130</f>
        <v>310.44936062097105</v>
      </c>
      <c r="D121" s="754">
        <f>$B121*'Recycling - Case 1'!$AK130*'Recycling - Case 1'!BN130*'Recycling - Case 1'!$B130</f>
        <v>324.23493507205615</v>
      </c>
      <c r="E121" s="754">
        <f>$B121*'Recycling - Case 1'!$AK130*'Recycling - Case 1'!BO130*'Recycling - Case 1'!$B130</f>
        <v>88.558403786573791</v>
      </c>
      <c r="F121" s="754">
        <f>$B121*'Recycling - Case 1'!$AK130*'Recycling - Case 1'!BP130*'Recycling - Case 1'!$B130</f>
        <v>0</v>
      </c>
      <c r="G121" s="754">
        <f>$B121*'Recycling - Case 1'!$AK130*'Recycling - Case 1'!BQ130*'Recycling - Case 1'!$B130</f>
        <v>0</v>
      </c>
      <c r="H121" s="754">
        <f>$B121*'Recycling - Case 1'!$AK130*'Recycling - Case 1'!BR130*'Recycling - Case 1'!$B130</f>
        <v>0</v>
      </c>
      <c r="I121" s="754">
        <f>$B121*'Recycling - Case 1'!$AK130*'Recycling - Case 1'!BS130*'Recycling - Case 1'!$B130</f>
        <v>346.23293301763806</v>
      </c>
      <c r="J121" s="1622">
        <f t="shared" si="11"/>
        <v>1069.4756324972391</v>
      </c>
      <c r="K121" s="1635">
        <f>'4C2 Open-burning '!C$14*'4C2 Open-burning '!$C$5*'4C2 Open-burning '!$C$6*'4C2 Open-burning '!$C$7*C121</f>
        <v>0</v>
      </c>
      <c r="L121" s="1623">
        <f>'4C2 Open-burning '!D$14*'4C2 Open-burning '!$C$5*'4C2 Open-burning '!$C$6*'4C2 Open-burning '!$C$7*D121</f>
        <v>0</v>
      </c>
      <c r="M121" s="1623">
        <f>'4C2 Open-burning '!E$14*'4C2 Open-burning '!$C$5*'4C2 Open-burning '!$C$6*'4C2 Open-burning '!$C$7*E121</f>
        <v>0.46782216617910616</v>
      </c>
      <c r="N121" s="1623">
        <f>'4C2 Open-burning '!F$14*'4C2 Open-burning '!$C$5*'4C2 Open-burning '!$C$6*'4C2 Open-burning '!$C$7*F121</f>
        <v>0</v>
      </c>
      <c r="O121" s="1623">
        <f>'4C2 Open-burning '!G$14*'4C2 Open-burning '!$C$5*'4C2 Open-burning '!$C$6*'4C2 Open-burning '!$C$7*G121</f>
        <v>0</v>
      </c>
      <c r="P121" s="1623">
        <f>'4C2 Open-burning '!H$14*'4C2 Open-burning '!$C$5*'4C2 Open-burning '!$C$6*'4C2 Open-burning '!$C$7*H121</f>
        <v>0</v>
      </c>
      <c r="Q121" s="1623">
        <f>'4C2 Open-burning '!I$14*'4C2 Open-burning '!$C$5*'4C2 Open-burning '!$C$6*'4C2 Open-burning '!$C$7*I121</f>
        <v>11.928417008323665</v>
      </c>
      <c r="R121" s="1636">
        <f t="shared" si="8"/>
        <v>12.396239174502771</v>
      </c>
      <c r="S121" s="564">
        <f>C121*'4C2 Open-burning '!$C$9*'4C2 Open-burning '!$C$11*$C$5</f>
        <v>1.210752506421787</v>
      </c>
      <c r="T121" s="564">
        <f>D121*'4C2 Open-burning '!$C$9*'4C2 Open-burning '!$C$11*$C$5</f>
        <v>1.2645162467810189</v>
      </c>
      <c r="U121" s="564">
        <f>E121*'4C2 Open-burning '!$C$9*'4C2 Open-burning '!$C$11*$C$5</f>
        <v>0.34537777476763776</v>
      </c>
      <c r="V121" s="564">
        <f>F121*'4C2 Open-burning '!$C$9*'4C2 Open-burning '!$C$11*$C$5</f>
        <v>0</v>
      </c>
      <c r="W121" s="564">
        <f>G121*'4C2 Open-burning '!$C$9*'4C2 Open-burning '!$C$11*$C$5</f>
        <v>0</v>
      </c>
      <c r="X121" s="564">
        <f>H121*'4C2 Open-burning '!$C$9*'4C2 Open-burning '!$C$11*$C$5</f>
        <v>0</v>
      </c>
      <c r="Y121" s="564">
        <f>I121*'4C2 Open-burning '!$C$9*'4C2 Open-burning '!$C$11*$C$5</f>
        <v>1.3503084387687883</v>
      </c>
      <c r="Z121" s="565">
        <f t="shared" si="9"/>
        <v>4.1709549667392318</v>
      </c>
      <c r="AA121" s="566">
        <f>C121*'4C2 Open-burning '!$C$10*'4C2 Open-burning '!$C$11*$C$5*C$15</f>
        <v>1.1176176982354957E-2</v>
      </c>
      <c r="AB121" s="566">
        <f>D121*'4C2 Open-burning '!$C$10*'4C2 Open-burning '!$C$11*$C$5*D$15</f>
        <v>1.167245766259402E-2</v>
      </c>
      <c r="AC121" s="566">
        <f>E121*'4C2 Open-burning '!$C$10*'4C2 Open-burning '!$C$11*$C$5*E$15</f>
        <v>7.1732307067124759E-3</v>
      </c>
      <c r="AD121" s="566">
        <f>F121*'4C2 Open-burning '!$C$10*'4C2 Open-burning '!$C$11*$C$5*F$15</f>
        <v>0</v>
      </c>
      <c r="AE121" s="566">
        <f>G121*'4C2 Open-burning '!$C$10*'4C2 Open-burning '!$C$11*$C$5*G$15</f>
        <v>0</v>
      </c>
      <c r="AF121" s="566">
        <f>H121*'4C2 Open-burning '!$C$10*'4C2 Open-burning '!$C$11*$C$5*H$15</f>
        <v>0</v>
      </c>
      <c r="AG121" s="566">
        <f>I121*'4C2 Open-burning '!$C$10*'4C2 Open-burning '!$C$11*$C$5*I$15</f>
        <v>2.8044867574428683E-2</v>
      </c>
      <c r="AH121" s="572">
        <f t="shared" si="10"/>
        <v>5.8066732926090131E-2</v>
      </c>
      <c r="AI121" s="1647"/>
      <c r="AJ121" s="1646"/>
      <c r="AK121" s="1647"/>
    </row>
    <row r="122" spans="1:37" ht="21.6" thickBot="1">
      <c r="A122" s="1074" t="s">
        <v>713</v>
      </c>
      <c r="B122" s="1067"/>
      <c r="C122" s="607"/>
      <c r="D122" s="1062"/>
      <c r="E122" s="1062"/>
      <c r="F122" s="1062"/>
      <c r="G122" s="1062"/>
      <c r="H122" s="1062"/>
      <c r="I122" s="1062"/>
      <c r="J122" s="1063"/>
      <c r="K122" s="1623"/>
      <c r="L122" s="1623"/>
      <c r="M122" s="1623"/>
      <c r="N122" s="1623"/>
      <c r="O122" s="1623"/>
      <c r="P122" s="1623"/>
      <c r="Q122" s="1623"/>
      <c r="R122" s="1624"/>
      <c r="S122" s="1068"/>
      <c r="T122" s="1068"/>
      <c r="U122" s="1068"/>
      <c r="V122" s="1068"/>
      <c r="W122" s="1068"/>
      <c r="X122" s="1068"/>
      <c r="Y122" s="1068"/>
      <c r="Z122" s="1069"/>
      <c r="AA122" s="1070"/>
      <c r="AB122" s="1070"/>
      <c r="AC122" s="1070"/>
      <c r="AD122" s="1070"/>
      <c r="AE122" s="1070"/>
      <c r="AF122" s="1070"/>
      <c r="AG122" s="1070"/>
      <c r="AH122" s="1071"/>
      <c r="AI122" s="1647"/>
      <c r="AJ122" s="1646"/>
      <c r="AK122" s="1647"/>
    </row>
    <row r="123" spans="1:37">
      <c r="A123" s="157">
        <f>'Input data'!A118</f>
        <v>2018</v>
      </c>
      <c r="B123" s="604">
        <f>'Recycling - Case 2'!AP97</f>
        <v>0.12146828085607692</v>
      </c>
      <c r="C123" s="1080">
        <f>'Recycling - Case 2'!$B97*'Recycling - Case 2'!$AF97*'Recycling - Case 2'!BM97*$B123</f>
        <v>838.07704599057763</v>
      </c>
      <c r="D123" s="1081">
        <f>'Recycling - Case 2'!$B97*'Recycling - Case 2'!$AF97*'Recycling - Case 2'!BN97*$B123</f>
        <v>875.29204778713199</v>
      </c>
      <c r="E123" s="1081">
        <f>'Recycling - Case 2'!$B97*'Recycling - Case 2'!$AF97*'Recycling - Case 2'!BO97*$B123</f>
        <v>239.06883008113701</v>
      </c>
      <c r="F123" s="1081">
        <f>'Recycling - Case 2'!$B97*'Recycling - Case 2'!$AF97*'Recycling - Case 2'!BP97*$B123</f>
        <v>0</v>
      </c>
      <c r="G123" s="1081">
        <f>'Recycling - Case 2'!$B97*'Recycling - Case 2'!$AF97*'Recycling - Case 2'!BQ97*$B123</f>
        <v>0</v>
      </c>
      <c r="H123" s="1081">
        <f>'Recycling - Case 2'!$B97*'Recycling - Case 2'!$AF97*'Recycling - Case 2'!BR97*$B123</f>
        <v>0</v>
      </c>
      <c r="I123" s="1081">
        <f>'Recycling - Case 2'!$B97*'Recycling - Case 2'!$AF97*'Recycling - Case 2'!BS97*$B123</f>
        <v>934.67698934109023</v>
      </c>
      <c r="J123" s="1082">
        <f>SUM(C123:I123)</f>
        <v>2887.1149131999368</v>
      </c>
      <c r="K123" s="1637">
        <f>'4C2 Open-burning '!C$14*'4C2 Open-burning '!$C$5*'4C2 Open-burning '!$C$6*'4C2 Open-burning '!$C$7*C123</f>
        <v>0</v>
      </c>
      <c r="L123" s="1638">
        <f>'4C2 Open-burning '!D$14*'4C2 Open-burning '!$C$5*'4C2 Open-burning '!$C$6*'4C2 Open-burning '!$C$7*D123</f>
        <v>0</v>
      </c>
      <c r="M123" s="1638">
        <f>'4C2 Open-burning '!E$14*'4C2 Open-burning '!$C$5*'4C2 Open-burning '!$C$6*'4C2 Open-burning '!$C$7*E123</f>
        <v>1.2629145645398177</v>
      </c>
      <c r="N123" s="1638">
        <f>'4C2 Open-burning '!F$14*'4C2 Open-burning '!$C$5*'4C2 Open-burning '!$C$6*'4C2 Open-burning '!$C$7*F123</f>
        <v>0</v>
      </c>
      <c r="O123" s="1638">
        <f>'4C2 Open-burning '!G$14*'4C2 Open-burning '!$C$5*'4C2 Open-burning '!$C$6*'4C2 Open-burning '!$C$7*G123</f>
        <v>0</v>
      </c>
      <c r="P123" s="1638">
        <f>'4C2 Open-burning '!H$14*'4C2 Open-burning '!$C$5*'4C2 Open-burning '!$C$6*'4C2 Open-burning '!$C$7*H123</f>
        <v>0</v>
      </c>
      <c r="Q123" s="1638">
        <f>'4C2 Open-burning '!I$14*'4C2 Open-burning '!$C$5*'4C2 Open-burning '!$C$6*'4C2 Open-burning '!$C$7*I123</f>
        <v>32.201491636779238</v>
      </c>
      <c r="R123" s="1639">
        <f t="shared" si="8"/>
        <v>33.464406201319058</v>
      </c>
      <c r="S123" s="564">
        <f>C123*'4C2 Open-burning '!$C$9*'4C2 Open-burning '!$C$11*$C$5</f>
        <v>3.2685004793632531</v>
      </c>
      <c r="T123" s="564">
        <f>D123*'4C2 Open-burning '!$C$9*'4C2 Open-burning '!$C$11*$C$5</f>
        <v>3.4136389863698149</v>
      </c>
      <c r="U123" s="564">
        <f>E123*'4C2 Open-burning '!$C$9*'4C2 Open-burning '!$C$11*$C$5</f>
        <v>0.93236843731643415</v>
      </c>
      <c r="V123" s="564">
        <f>F123*'4C2 Open-burning '!$C$9*'4C2 Open-burning '!$C$11*$C$5</f>
        <v>0</v>
      </c>
      <c r="W123" s="564">
        <f>G123*'4C2 Open-burning '!$C$9*'4C2 Open-burning '!$C$11*$C$5</f>
        <v>0</v>
      </c>
      <c r="X123" s="564">
        <f>H123*'4C2 Open-burning '!$C$9*'4C2 Open-burning '!$C$11*$C$5</f>
        <v>0</v>
      </c>
      <c r="Y123" s="564">
        <f>I123*'4C2 Open-burning '!$C$9*'4C2 Open-burning '!$C$11*$C$5</f>
        <v>3.6452402584302517</v>
      </c>
      <c r="Z123" s="565">
        <f t="shared" si="9"/>
        <v>11.259748161479752</v>
      </c>
      <c r="AA123" s="566">
        <f>C123*'4C2 Open-burning '!$C$10*'4C2 Open-burning '!$C$11*$C$5*C$15</f>
        <v>3.0170773655660788E-2</v>
      </c>
      <c r="AB123" s="566">
        <f>D123*'4C2 Open-burning '!$C$10*'4C2 Open-burning '!$C$11*$C$5*D$15</f>
        <v>3.1510513720336746E-2</v>
      </c>
      <c r="AC123" s="566">
        <f>E123*'4C2 Open-burning '!$C$10*'4C2 Open-burning '!$C$11*$C$5*E$15</f>
        <v>1.9364575236572094E-2</v>
      </c>
      <c r="AD123" s="566">
        <f>F123*'4C2 Open-burning '!$C$10*'4C2 Open-burning '!$C$11*$C$5*F$15</f>
        <v>0</v>
      </c>
      <c r="AE123" s="566">
        <f>G123*'4C2 Open-burning '!$C$10*'4C2 Open-burning '!$C$11*$C$5*G$15</f>
        <v>0</v>
      </c>
      <c r="AF123" s="566">
        <f>H123*'4C2 Open-burning '!$C$10*'4C2 Open-burning '!$C$11*$C$5*H$15</f>
        <v>0</v>
      </c>
      <c r="AG123" s="566">
        <f>I123*'4C2 Open-burning '!$C$10*'4C2 Open-burning '!$C$11*$C$5*I$15</f>
        <v>7.5708836136628294E-2</v>
      </c>
      <c r="AH123" s="1061">
        <f t="shared" si="10"/>
        <v>0.15675469874919792</v>
      </c>
      <c r="AI123" s="1647"/>
      <c r="AJ123" s="1646"/>
      <c r="AK123" s="1647"/>
    </row>
    <row r="124" spans="1:37">
      <c r="A124" s="157">
        <f>'Input data'!A119</f>
        <v>2019</v>
      </c>
      <c r="B124" s="604">
        <f>'Recycling - Case 2'!AP98</f>
        <v>0.1214682808560769</v>
      </c>
      <c r="C124" s="606">
        <f>'Recycling - Case 2'!$B98*'Recycling - Case 2'!$AF98*'Recycling - Case 2'!BM98*$B124</f>
        <v>837.88524287669293</v>
      </c>
      <c r="D124" s="607">
        <f>'Recycling - Case 2'!$B98*'Recycling - Case 2'!$AF98*'Recycling - Case 2'!BN98*$B124</f>
        <v>875.0917276123613</v>
      </c>
      <c r="E124" s="607">
        <f>'Recycling - Case 2'!$B98*'Recycling - Case 2'!$AF98*'Recycling - Case 2'!BO98*$B124</f>
        <v>239.01411656015262</v>
      </c>
      <c r="F124" s="607">
        <f>'Recycling - Case 2'!$B98*'Recycling - Case 2'!$AF98*'Recycling - Case 2'!BP98*$B124</f>
        <v>0</v>
      </c>
      <c r="G124" s="607">
        <f>'Recycling - Case 2'!$B98*'Recycling - Case 2'!$AF98*'Recycling - Case 2'!BQ98*$B124</f>
        <v>0</v>
      </c>
      <c r="H124" s="607">
        <f>'Recycling - Case 2'!$B98*'Recycling - Case 2'!$AF98*'Recycling - Case 2'!BR98*$B124</f>
        <v>0</v>
      </c>
      <c r="I124" s="607">
        <f>'Recycling - Case 2'!$B98*'Recycling - Case 2'!$AF98*'Recycling - Case 2'!BS98*$B124</f>
        <v>934.46307827182795</v>
      </c>
      <c r="J124" s="863">
        <f t="shared" si="11"/>
        <v>2886.4541653210345</v>
      </c>
      <c r="K124" s="1640">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1.2626255327053246</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32.194121972621012</v>
      </c>
      <c r="R124" s="1641">
        <f t="shared" si="8"/>
        <v>33.456747505326334</v>
      </c>
      <c r="S124" s="564">
        <f>C124*'4C2 Open-burning '!$C$9*'4C2 Open-burning '!$C$11*$C$5</f>
        <v>3.267752447219102</v>
      </c>
      <c r="T124" s="564">
        <f>D124*'4C2 Open-burning '!$C$9*'4C2 Open-burning '!$C$11*$C$5</f>
        <v>3.412857737688209</v>
      </c>
      <c r="U124" s="564">
        <f>E124*'4C2 Open-burning '!$C$9*'4C2 Open-burning '!$C$11*$C$5</f>
        <v>0.93215505458459513</v>
      </c>
      <c r="V124" s="564">
        <f>F124*'4C2 Open-burning '!$C$9*'4C2 Open-burning '!$C$11*$C$5</f>
        <v>0</v>
      </c>
      <c r="W124" s="564">
        <f>G124*'4C2 Open-burning '!$C$9*'4C2 Open-burning '!$C$11*$C$5</f>
        <v>0</v>
      </c>
      <c r="X124" s="564">
        <f>H124*'4C2 Open-burning '!$C$9*'4C2 Open-burning '!$C$11*$C$5</f>
        <v>0</v>
      </c>
      <c r="Y124" s="564">
        <f>I124*'4C2 Open-burning '!$C$9*'4C2 Open-burning '!$C$11*$C$5</f>
        <v>3.6444060052601288</v>
      </c>
      <c r="Z124" s="565">
        <f t="shared" si="9"/>
        <v>11.257171244752035</v>
      </c>
      <c r="AA124" s="566">
        <f>C124*'4C2 Open-burning '!$C$10*'4C2 Open-burning '!$C$11*$C$5*C$15</f>
        <v>3.0163868743560945E-2</v>
      </c>
      <c r="AB124" s="566">
        <f>D124*'4C2 Open-burning '!$C$10*'4C2 Open-burning '!$C$11*$C$5*D$15</f>
        <v>3.1503302194045006E-2</v>
      </c>
      <c r="AC124" s="566">
        <f>E124*'4C2 Open-burning '!$C$10*'4C2 Open-burning '!$C$11*$C$5*E$15</f>
        <v>1.9360143441372362E-2</v>
      </c>
      <c r="AD124" s="566">
        <f>F124*'4C2 Open-burning '!$C$10*'4C2 Open-burning '!$C$11*$C$5*F$15</f>
        <v>0</v>
      </c>
      <c r="AE124" s="566">
        <f>G124*'4C2 Open-burning '!$C$10*'4C2 Open-burning '!$C$11*$C$5*G$15</f>
        <v>0</v>
      </c>
      <c r="AF124" s="566">
        <f>H124*'4C2 Open-burning '!$C$10*'4C2 Open-burning '!$C$11*$C$5*H$15</f>
        <v>0</v>
      </c>
      <c r="AG124" s="566">
        <f>I124*'4C2 Open-burning '!$C$10*'4C2 Open-burning '!$C$11*$C$5*I$15</f>
        <v>7.5691509340018059E-2</v>
      </c>
      <c r="AH124" s="567">
        <f t="shared" si="10"/>
        <v>0.15671882371899637</v>
      </c>
      <c r="AI124" s="1647"/>
      <c r="AJ124" s="1646"/>
      <c r="AK124" s="1647"/>
    </row>
    <row r="125" spans="1:37">
      <c r="A125" s="157">
        <f>'Input data'!A120</f>
        <v>2020</v>
      </c>
      <c r="B125" s="604">
        <f>'Recycling - Case 2'!AP99</f>
        <v>0.1214682808560769</v>
      </c>
      <c r="C125" s="606">
        <f>'Recycling - Case 2'!$B99*'Recycling - Case 2'!$AF99*'Recycling - Case 2'!BM99*$B125</f>
        <v>831.87151816105859</v>
      </c>
      <c r="D125" s="607">
        <f>'Recycling - Case 2'!$B99*'Recycling - Case 2'!$AF99*'Recycling - Case 2'!BN99*$B125</f>
        <v>868.81096208327563</v>
      </c>
      <c r="E125" s="607">
        <f>'Recycling - Case 2'!$B99*'Recycling - Case 2'!$AF99*'Recycling - Case 2'!BO99*$B125</f>
        <v>237.29864882472813</v>
      </c>
      <c r="F125" s="607">
        <f>'Recycling - Case 2'!$B99*'Recycling - Case 2'!$AF99*'Recycling - Case 2'!BP99*$B125</f>
        <v>0</v>
      </c>
      <c r="G125" s="607">
        <f>'Recycling - Case 2'!$B99*'Recycling - Case 2'!$AF99*'Recycling - Case 2'!BQ99*$B125</f>
        <v>0</v>
      </c>
      <c r="H125" s="607">
        <f>'Recycling - Case 2'!$B99*'Recycling - Case 2'!$AF99*'Recycling - Case 2'!BR99*$B125</f>
        <v>0</v>
      </c>
      <c r="I125" s="607">
        <f>'Recycling - Case 2'!$B99*'Recycling - Case 2'!$AF99*'Recycling - Case 2'!BS99*$B125</f>
        <v>927.75618880524974</v>
      </c>
      <c r="J125" s="863">
        <f t="shared" si="11"/>
        <v>2865.7373178743123</v>
      </c>
      <c r="K125" s="1640">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1.2535633342274619</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31.96305621671846</v>
      </c>
      <c r="R125" s="1641">
        <f t="shared" si="8"/>
        <v>33.216619550945921</v>
      </c>
      <c r="S125" s="564">
        <f>C125*'4C2 Open-burning '!$C$9*'4C2 Open-burning '!$C$11*$C$5</f>
        <v>3.2442989208281281</v>
      </c>
      <c r="T125" s="564">
        <f>D125*'4C2 Open-burning '!$C$9*'4C2 Open-burning '!$C$11*$C$5</f>
        <v>3.3883627521247743</v>
      </c>
      <c r="U125" s="564">
        <f>E125*'4C2 Open-burning '!$C$9*'4C2 Open-burning '!$C$11*$C$5</f>
        <v>0.92546473041643962</v>
      </c>
      <c r="V125" s="564">
        <f>F125*'4C2 Open-burning '!$C$9*'4C2 Open-burning '!$C$11*$C$5</f>
        <v>0</v>
      </c>
      <c r="W125" s="564">
        <f>G125*'4C2 Open-burning '!$C$9*'4C2 Open-burning '!$C$11*$C$5</f>
        <v>0</v>
      </c>
      <c r="X125" s="564">
        <f>H125*'4C2 Open-burning '!$C$9*'4C2 Open-burning '!$C$11*$C$5</f>
        <v>0</v>
      </c>
      <c r="Y125" s="564">
        <f>I125*'4C2 Open-burning '!$C$9*'4C2 Open-burning '!$C$11*$C$5</f>
        <v>3.6182491363404736</v>
      </c>
      <c r="Z125" s="565">
        <f t="shared" si="9"/>
        <v>11.176375539709817</v>
      </c>
      <c r="AA125" s="566">
        <f>C125*'4C2 Open-burning '!$C$10*'4C2 Open-burning '!$C$11*$C$5*C$15</f>
        <v>2.9947374653798112E-2</v>
      </c>
      <c r="AB125" s="566">
        <f>D125*'4C2 Open-burning '!$C$10*'4C2 Open-burning '!$C$11*$C$5*D$15</f>
        <v>3.1277194634997924E-2</v>
      </c>
      <c r="AC125" s="566">
        <f>E125*'4C2 Open-burning '!$C$10*'4C2 Open-burning '!$C$11*$C$5*E$15</f>
        <v>1.922119055480298E-2</v>
      </c>
      <c r="AD125" s="566">
        <f>F125*'4C2 Open-burning '!$C$10*'4C2 Open-burning '!$C$11*$C$5*F$15</f>
        <v>0</v>
      </c>
      <c r="AE125" s="566">
        <f>G125*'4C2 Open-burning '!$C$10*'4C2 Open-burning '!$C$11*$C$5*G$15</f>
        <v>0</v>
      </c>
      <c r="AF125" s="566">
        <f>H125*'4C2 Open-burning '!$C$10*'4C2 Open-burning '!$C$11*$C$5*H$15</f>
        <v>0</v>
      </c>
      <c r="AG125" s="566">
        <f>I125*'4C2 Open-burning '!$C$10*'4C2 Open-burning '!$C$11*$C$5*I$15</f>
        <v>7.5148251293225221E-2</v>
      </c>
      <c r="AH125" s="567">
        <f t="shared" si="10"/>
        <v>0.15559401113682425</v>
      </c>
      <c r="AI125" s="1647"/>
      <c r="AJ125" s="1646"/>
      <c r="AK125" s="1647"/>
    </row>
    <row r="126" spans="1:37">
      <c r="A126" s="157">
        <f>'Input data'!A121</f>
        <v>2021</v>
      </c>
      <c r="B126" s="604">
        <f>'Recycling - Case 2'!AP100</f>
        <v>0.12146828085607689</v>
      </c>
      <c r="C126" s="606">
        <f>'Recycling - Case 2'!$B100*'Recycling - Case 2'!$AF100*'Recycling - Case 2'!BM100*$B126</f>
        <v>782.00944051955219</v>
      </c>
      <c r="D126" s="607">
        <f>'Recycling - Case 2'!$B100*'Recycling - Case 2'!$AF100*'Recycling - Case 2'!BN100*$B126</f>
        <v>816.73474754601955</v>
      </c>
      <c r="E126" s="607">
        <f>'Recycling - Case 2'!$B100*'Recycling - Case 2'!$AF100*'Recycling - Case 2'!BO100*$B126</f>
        <v>223.07505372186958</v>
      </c>
      <c r="F126" s="607">
        <f>'Recycling - Case 2'!$B100*'Recycling - Case 2'!$AF100*'Recycling - Case 2'!BP100*$B126</f>
        <v>0</v>
      </c>
      <c r="G126" s="607">
        <f>'Recycling - Case 2'!$B100*'Recycling - Case 2'!$AF100*'Recycling - Case 2'!BQ100*$B126</f>
        <v>0</v>
      </c>
      <c r="H126" s="607">
        <f>'Recycling - Case 2'!$B100*'Recycling - Case 2'!$AF100*'Recycling - Case 2'!BR100*$B126</f>
        <v>0</v>
      </c>
      <c r="I126" s="607">
        <f>'Recycling - Case 2'!$B100*'Recycling - Case 2'!$AF100*'Recycling - Case 2'!BS100*$B126</f>
        <v>872.14681871783785</v>
      </c>
      <c r="J126" s="863">
        <f t="shared" si="11"/>
        <v>2693.9660605052791</v>
      </c>
      <c r="K126" s="1640">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1.178425201793297</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30.047202198466948</v>
      </c>
      <c r="R126" s="1641">
        <f t="shared" si="8"/>
        <v>31.225627400260244</v>
      </c>
      <c r="S126" s="564">
        <f>C126*'4C2 Open-burning '!$C$9*'4C2 Open-burning '!$C$11*$C$5</f>
        <v>3.0498368180262534</v>
      </c>
      <c r="T126" s="564">
        <f>D126*'4C2 Open-burning '!$C$9*'4C2 Open-burning '!$C$11*$C$5</f>
        <v>3.1852655154294767</v>
      </c>
      <c r="U126" s="564">
        <f>E126*'4C2 Open-burning '!$C$9*'4C2 Open-burning '!$C$11*$C$5</f>
        <v>0.8699927095152914</v>
      </c>
      <c r="V126" s="564">
        <f>F126*'4C2 Open-burning '!$C$9*'4C2 Open-burning '!$C$11*$C$5</f>
        <v>0</v>
      </c>
      <c r="W126" s="564">
        <f>G126*'4C2 Open-burning '!$C$9*'4C2 Open-burning '!$C$11*$C$5</f>
        <v>0</v>
      </c>
      <c r="X126" s="564">
        <f>H126*'4C2 Open-burning '!$C$9*'4C2 Open-burning '!$C$11*$C$5</f>
        <v>0</v>
      </c>
      <c r="Y126" s="564">
        <f>I126*'4C2 Open-burning '!$C$9*'4C2 Open-burning '!$C$11*$C$5</f>
        <v>3.4013725929995675</v>
      </c>
      <c r="Z126" s="565">
        <f t="shared" si="9"/>
        <v>10.506467635970589</v>
      </c>
      <c r="AA126" s="566">
        <f>C126*'4C2 Open-burning '!$C$10*'4C2 Open-burning '!$C$11*$C$5*C$15</f>
        <v>2.8152339858703874E-2</v>
      </c>
      <c r="AB126" s="566">
        <f>D126*'4C2 Open-burning '!$C$10*'4C2 Open-burning '!$C$11*$C$5*D$15</f>
        <v>2.9402450911656705E-2</v>
      </c>
      <c r="AC126" s="566">
        <f>E126*'4C2 Open-burning '!$C$10*'4C2 Open-burning '!$C$11*$C$5*E$15</f>
        <v>1.8069079351471434E-2</v>
      </c>
      <c r="AD126" s="566">
        <f>F126*'4C2 Open-burning '!$C$10*'4C2 Open-burning '!$C$11*$C$5*F$15</f>
        <v>0</v>
      </c>
      <c r="AE126" s="566">
        <f>G126*'4C2 Open-burning '!$C$10*'4C2 Open-burning '!$C$11*$C$5*G$15</f>
        <v>0</v>
      </c>
      <c r="AF126" s="566">
        <f>H126*'4C2 Open-burning '!$C$10*'4C2 Open-burning '!$C$11*$C$5*H$15</f>
        <v>0</v>
      </c>
      <c r="AG126" s="566">
        <f>I126*'4C2 Open-burning '!$C$10*'4C2 Open-burning '!$C$11*$C$5*I$15</f>
        <v>7.064389231614486E-2</v>
      </c>
      <c r="AH126" s="567">
        <f t="shared" si="10"/>
        <v>0.14626776243797687</v>
      </c>
      <c r="AI126" s="1647"/>
      <c r="AJ126" s="1646"/>
      <c r="AK126" s="1647"/>
    </row>
    <row r="127" spans="1:37">
      <c r="A127" s="157">
        <f>'Input data'!A122</f>
        <v>2022</v>
      </c>
      <c r="B127" s="604">
        <f>'Recycling - Case 2'!AP101</f>
        <v>0.12146828085607693</v>
      </c>
      <c r="C127" s="606">
        <f>'Recycling - Case 2'!$B101*'Recycling - Case 2'!$AF101*'Recycling - Case 2'!BM101*$B127</f>
        <v>665.09075445862379</v>
      </c>
      <c r="D127" s="607">
        <f>'Recycling - Case 2'!$B101*'Recycling - Case 2'!$AF101*'Recycling - Case 2'!BN101*$B127</f>
        <v>694.62426064455451</v>
      </c>
      <c r="E127" s="607">
        <f>'Recycling - Case 2'!$B101*'Recycling - Case 2'!$AF101*'Recycling - Case 2'!BO101*$B127</f>
        <v>189.72297275874988</v>
      </c>
      <c r="F127" s="607">
        <f>'Recycling - Case 2'!$B101*'Recycling - Case 2'!$AF101*'Recycling - Case 2'!BP101*$B127</f>
        <v>0</v>
      </c>
      <c r="G127" s="607">
        <f>'Recycling - Case 2'!$B101*'Recycling - Case 2'!$AF101*'Recycling - Case 2'!BQ101*$B127</f>
        <v>0</v>
      </c>
      <c r="H127" s="607">
        <f>'Recycling - Case 2'!$B101*'Recycling - Case 2'!$AF101*'Recycling - Case 2'!BR101*$B127</f>
        <v>0</v>
      </c>
      <c r="I127" s="607">
        <f>'Recycling - Case 2'!$B101*'Recycling - Case 2'!$AF101*'Recycling - Case 2'!BS101*$B127</f>
        <v>741.75164084254106</v>
      </c>
      <c r="J127" s="863">
        <f t="shared" si="11"/>
        <v>2291.1896287044692</v>
      </c>
      <c r="K127" s="1640">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1.0022381648142824</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25.554827530307222</v>
      </c>
      <c r="R127" s="1641">
        <f t="shared" si="8"/>
        <v>26.557065695121505</v>
      </c>
      <c r="S127" s="564">
        <f>C127*'4C2 Open-burning '!$C$9*'4C2 Open-burning '!$C$11*$C$5</f>
        <v>2.5938539423886322</v>
      </c>
      <c r="T127" s="564">
        <f>D127*'4C2 Open-burning '!$C$9*'4C2 Open-burning '!$C$11*$C$5</f>
        <v>2.7090346165137622</v>
      </c>
      <c r="U127" s="564">
        <f>E127*'4C2 Open-burning '!$C$9*'4C2 Open-burning '!$C$11*$C$5</f>
        <v>0.73991959375912442</v>
      </c>
      <c r="V127" s="564">
        <f>F127*'4C2 Open-burning '!$C$9*'4C2 Open-burning '!$C$11*$C$5</f>
        <v>0</v>
      </c>
      <c r="W127" s="564">
        <f>G127*'4C2 Open-burning '!$C$9*'4C2 Open-burning '!$C$11*$C$5</f>
        <v>0</v>
      </c>
      <c r="X127" s="564">
        <f>H127*'4C2 Open-burning '!$C$9*'4C2 Open-burning '!$C$11*$C$5</f>
        <v>0</v>
      </c>
      <c r="Y127" s="564">
        <f>I127*'4C2 Open-burning '!$C$9*'4C2 Open-burning '!$C$11*$C$5</f>
        <v>2.8928313992859098</v>
      </c>
      <c r="Z127" s="565">
        <f t="shared" si="9"/>
        <v>8.9356395519474283</v>
      </c>
      <c r="AA127" s="566">
        <f>C127*'4C2 Open-burning '!$C$10*'4C2 Open-burning '!$C$11*$C$5*C$15</f>
        <v>2.3943267160510456E-2</v>
      </c>
      <c r="AB127" s="566">
        <f>D127*'4C2 Open-burning '!$C$10*'4C2 Open-burning '!$C$11*$C$5*D$15</f>
        <v>2.5006473383203966E-2</v>
      </c>
      <c r="AC127" s="566">
        <f>E127*'4C2 Open-burning '!$C$10*'4C2 Open-burning '!$C$11*$C$5*E$15</f>
        <v>1.5367560793458739E-2</v>
      </c>
      <c r="AD127" s="566">
        <f>F127*'4C2 Open-burning '!$C$10*'4C2 Open-burning '!$C$11*$C$5*F$15</f>
        <v>0</v>
      </c>
      <c r="AE127" s="566">
        <f>G127*'4C2 Open-burning '!$C$10*'4C2 Open-burning '!$C$11*$C$5*G$15</f>
        <v>0</v>
      </c>
      <c r="AF127" s="566">
        <f>H127*'4C2 Open-burning '!$C$10*'4C2 Open-burning '!$C$11*$C$5*H$15</f>
        <v>0</v>
      </c>
      <c r="AG127" s="566">
        <f>I127*'4C2 Open-burning '!$C$10*'4C2 Open-burning '!$C$11*$C$5*I$15</f>
        <v>6.0081882908245822E-2</v>
      </c>
      <c r="AH127" s="567">
        <f t="shared" si="10"/>
        <v>0.12439918424541899</v>
      </c>
      <c r="AI127" s="1647"/>
      <c r="AJ127" s="1646"/>
      <c r="AK127" s="1647"/>
    </row>
    <row r="128" spans="1:37">
      <c r="A128" s="157">
        <f>'Input data'!A123</f>
        <v>2023</v>
      </c>
      <c r="B128" s="604">
        <f>'Recycling - Case 2'!AP102</f>
        <v>0.12146828085607689</v>
      </c>
      <c r="C128" s="606">
        <f>'Recycling - Case 2'!$B102*'Recycling - Case 2'!$AF102*'Recycling - Case 2'!BM102*$B128</f>
        <v>640.90455345521548</v>
      </c>
      <c r="D128" s="607">
        <f>'Recycling - Case 2'!$B102*'Recycling - Case 2'!$AF102*'Recycling - Case 2'!BN102*$B128</f>
        <v>669.36406588591842</v>
      </c>
      <c r="E128" s="607">
        <f>'Recycling - Case 2'!$B102*'Recycling - Case 2'!$AF102*'Recycling - Case 2'!BO102*$B128</f>
        <v>182.82364672941361</v>
      </c>
      <c r="F128" s="607">
        <f>'Recycling - Case 2'!$B102*'Recycling - Case 2'!$AF102*'Recycling - Case 2'!BP102*$B128</f>
        <v>0</v>
      </c>
      <c r="G128" s="607">
        <f>'Recycling - Case 2'!$B102*'Recycling - Case 2'!$AF102*'Recycling - Case 2'!BQ102*$B128</f>
        <v>0</v>
      </c>
      <c r="H128" s="607">
        <f>'Recycling - Case 2'!$B102*'Recycling - Case 2'!$AF102*'Recycling - Case 2'!BR102*$B128</f>
        <v>0</v>
      </c>
      <c r="I128" s="607">
        <f>'Recycling - Case 2'!$B102*'Recycling - Case 2'!$AF102*'Recycling - Case 2'!BS102*$B128</f>
        <v>714.7776464519128</v>
      </c>
      <c r="J128" s="863">
        <f t="shared" si="11"/>
        <v>2207.8699125224603</v>
      </c>
      <c r="K128" s="1640">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0.96579150915866951</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24.625519475561298</v>
      </c>
      <c r="R128" s="1641">
        <f t="shared" si="8"/>
        <v>25.591310984719968</v>
      </c>
      <c r="S128" s="564">
        <f>C128*'4C2 Open-burning '!$C$9*'4C2 Open-burning '!$C$11*$C$5</f>
        <v>2.4995277584753404</v>
      </c>
      <c r="T128" s="564">
        <f>D128*'4C2 Open-burning '!$C$9*'4C2 Open-burning '!$C$11*$C$5</f>
        <v>2.6105198569550816</v>
      </c>
      <c r="U128" s="564">
        <f>E128*'4C2 Open-burning '!$C$9*'4C2 Open-burning '!$C$11*$C$5</f>
        <v>0.71301222224471306</v>
      </c>
      <c r="V128" s="564">
        <f>F128*'4C2 Open-burning '!$C$9*'4C2 Open-burning '!$C$11*$C$5</f>
        <v>0</v>
      </c>
      <c r="W128" s="564">
        <f>G128*'4C2 Open-burning '!$C$9*'4C2 Open-burning '!$C$11*$C$5</f>
        <v>0</v>
      </c>
      <c r="X128" s="564">
        <f>H128*'4C2 Open-burning '!$C$9*'4C2 Open-burning '!$C$11*$C$5</f>
        <v>0</v>
      </c>
      <c r="Y128" s="564">
        <f>I128*'4C2 Open-burning '!$C$9*'4C2 Open-burning '!$C$11*$C$5</f>
        <v>2.7876328211624597</v>
      </c>
      <c r="Z128" s="565">
        <f t="shared" si="9"/>
        <v>8.6106926588375945</v>
      </c>
      <c r="AA128" s="566">
        <f>C128*'4C2 Open-burning '!$C$10*'4C2 Open-burning '!$C$11*$C$5*C$15</f>
        <v>2.3072563924387758E-2</v>
      </c>
      <c r="AB128" s="566">
        <f>D128*'4C2 Open-burning '!$C$10*'4C2 Open-burning '!$C$11*$C$5*D$15</f>
        <v>2.4097106371893062E-2</v>
      </c>
      <c r="AC128" s="566">
        <f>E128*'4C2 Open-burning '!$C$10*'4C2 Open-burning '!$C$11*$C$5*E$15</f>
        <v>1.4808715385082501E-2</v>
      </c>
      <c r="AD128" s="566">
        <f>F128*'4C2 Open-burning '!$C$10*'4C2 Open-burning '!$C$11*$C$5*F$15</f>
        <v>0</v>
      </c>
      <c r="AE128" s="566">
        <f>G128*'4C2 Open-burning '!$C$10*'4C2 Open-burning '!$C$11*$C$5*G$15</f>
        <v>0</v>
      </c>
      <c r="AF128" s="566">
        <f>H128*'4C2 Open-burning '!$C$10*'4C2 Open-burning '!$C$11*$C$5*H$15</f>
        <v>0</v>
      </c>
      <c r="AG128" s="566">
        <f>I128*'4C2 Open-burning '!$C$10*'4C2 Open-burning '!$C$11*$C$5*I$15</f>
        <v>5.7896989362604935E-2</v>
      </c>
      <c r="AH128" s="567">
        <f t="shared" si="10"/>
        <v>0.11987537504396825</v>
      </c>
      <c r="AI128" s="1647"/>
      <c r="AJ128" s="1646"/>
      <c r="AK128" s="1647"/>
    </row>
    <row r="129" spans="1:37">
      <c r="A129" s="157">
        <f>'Input data'!A124</f>
        <v>2024</v>
      </c>
      <c r="B129" s="604">
        <f>'Recycling - Case 2'!AP103</f>
        <v>0.12146828085607689</v>
      </c>
      <c r="C129" s="606">
        <f>'Recycling - Case 2'!$B103*'Recycling - Case 2'!$AF103*'Recycling - Case 2'!BM103*$B129</f>
        <v>615.19274000716371</v>
      </c>
      <c r="D129" s="607">
        <f>'Recycling - Case 2'!$B103*'Recycling - Case 2'!$AF103*'Recycling - Case 2'!BN103*$B129</f>
        <v>642.51051351512717</v>
      </c>
      <c r="E129" s="607">
        <f>'Recycling - Case 2'!$B103*'Recycling - Case 2'!$AF103*'Recycling - Case 2'!BO103*$B129</f>
        <v>175.48912636556716</v>
      </c>
      <c r="F129" s="607">
        <f>'Recycling - Case 2'!$B103*'Recycling - Case 2'!$AF103*'Recycling - Case 2'!BP103*$B129</f>
        <v>0</v>
      </c>
      <c r="G129" s="607">
        <f>'Recycling - Case 2'!$B103*'Recycling - Case 2'!$AF103*'Recycling - Case 2'!BQ103*$B129</f>
        <v>0</v>
      </c>
      <c r="H129" s="607">
        <f>'Recycling - Case 2'!$B103*'Recycling - Case 2'!$AF103*'Recycling - Case 2'!BR103*$B129</f>
        <v>0</v>
      </c>
      <c r="I129" s="607">
        <f>'Recycling - Case 2'!$B103*'Recycling - Case 2'!$AF103*'Recycling - Case 2'!BS103*$B129</f>
        <v>686.10219173197163</v>
      </c>
      <c r="J129" s="863">
        <f t="shared" si="11"/>
        <v>2119.2945716198296</v>
      </c>
      <c r="K129" s="1640">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0.92704587850379971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23.637592709549885</v>
      </c>
      <c r="R129" s="1641">
        <f t="shared" si="8"/>
        <v>24.564638588053686</v>
      </c>
      <c r="S129" s="564">
        <f>C129*'4C2 Open-burning '!$C$9*'4C2 Open-burning '!$C$11*$C$5</f>
        <v>2.3992516860279385</v>
      </c>
      <c r="T129" s="564">
        <f>D129*'4C2 Open-burning '!$C$9*'4C2 Open-burning '!$C$11*$C$5</f>
        <v>2.5057910027089956</v>
      </c>
      <c r="U129" s="564">
        <f>E129*'4C2 Open-burning '!$C$9*'4C2 Open-burning '!$C$11*$C$5</f>
        <v>0.68440759282571195</v>
      </c>
      <c r="V129" s="564">
        <f>F129*'4C2 Open-burning '!$C$9*'4C2 Open-burning '!$C$11*$C$5</f>
        <v>0</v>
      </c>
      <c r="W129" s="564">
        <f>G129*'4C2 Open-burning '!$C$9*'4C2 Open-burning '!$C$11*$C$5</f>
        <v>0</v>
      </c>
      <c r="X129" s="564">
        <f>H129*'4C2 Open-burning '!$C$9*'4C2 Open-burning '!$C$11*$C$5</f>
        <v>0</v>
      </c>
      <c r="Y129" s="564">
        <f>I129*'4C2 Open-burning '!$C$9*'4C2 Open-burning '!$C$11*$C$5</f>
        <v>2.6757985477546891</v>
      </c>
      <c r="Z129" s="565">
        <f t="shared" si="9"/>
        <v>8.2652488293173363</v>
      </c>
      <c r="AA129" s="566">
        <f>C129*'4C2 Open-burning '!$C$10*'4C2 Open-burning '!$C$11*$C$5*C$15</f>
        <v>2.2146938640257893E-2</v>
      </c>
      <c r="AB129" s="566">
        <f>D129*'4C2 Open-burning '!$C$10*'4C2 Open-burning '!$C$11*$C$5*D$15</f>
        <v>2.3130378486544576E-2</v>
      </c>
      <c r="AC129" s="566">
        <f>E129*'4C2 Open-burning '!$C$10*'4C2 Open-burning '!$C$11*$C$5*E$15</f>
        <v>1.4214619235610938E-2</v>
      </c>
      <c r="AD129" s="566">
        <f>F129*'4C2 Open-burning '!$C$10*'4C2 Open-burning '!$C$11*$C$5*F$15</f>
        <v>0</v>
      </c>
      <c r="AE129" s="566">
        <f>G129*'4C2 Open-burning '!$C$10*'4C2 Open-burning '!$C$11*$C$5*G$15</f>
        <v>0</v>
      </c>
      <c r="AF129" s="566">
        <f>H129*'4C2 Open-burning '!$C$10*'4C2 Open-burning '!$C$11*$C$5*H$15</f>
        <v>0</v>
      </c>
      <c r="AG129" s="566">
        <f>I129*'4C2 Open-burning '!$C$10*'4C2 Open-burning '!$C$11*$C$5*I$15</f>
        <v>5.5574277530289699E-2</v>
      </c>
      <c r="AH129" s="567">
        <f t="shared" si="10"/>
        <v>0.11506621389270311</v>
      </c>
      <c r="AI129" s="1647"/>
      <c r="AJ129" s="1646"/>
      <c r="AK129" s="1647"/>
    </row>
    <row r="130" spans="1:37">
      <c r="A130" s="157">
        <f>'Input data'!A125</f>
        <v>2025</v>
      </c>
      <c r="B130" s="604">
        <f>'Recycling - Case 2'!AP104</f>
        <v>0.1214682808560769</v>
      </c>
      <c r="C130" s="606">
        <f>'Recycling - Case 2'!$B104*'Recycling - Case 2'!$AF104*'Recycling - Case 2'!BM104*$B130</f>
        <v>587.87552337135207</v>
      </c>
      <c r="D130" s="607">
        <f>'Recycling - Case 2'!$B104*'Recycling - Case 2'!$AF104*'Recycling - Case 2'!BN104*$B130</f>
        <v>613.980269662973</v>
      </c>
      <c r="E130" s="607">
        <f>'Recycling - Case 2'!$B104*'Recycling - Case 2'!$AF104*'Recycling - Case 2'!BO104*$B130</f>
        <v>167.69665065770738</v>
      </c>
      <c r="F130" s="607">
        <f>'Recycling - Case 2'!$B104*'Recycling - Case 2'!$AF104*'Recycling - Case 2'!BP104*$B130</f>
        <v>0</v>
      </c>
      <c r="G130" s="607">
        <f>'Recycling - Case 2'!$B104*'Recycling - Case 2'!$AF104*'Recycling - Case 2'!BQ104*$B130</f>
        <v>0</v>
      </c>
      <c r="H130" s="607">
        <f>'Recycling - Case 2'!$B104*'Recycling - Case 2'!$AF104*'Recycling - Case 2'!BR104*$B130</f>
        <v>0</v>
      </c>
      <c r="I130" s="607">
        <f>'Recycling - Case 2'!$B104*'Recycling - Case 2'!$AF104*'Recycling - Case 2'!BS104*$B130</f>
        <v>655.63628895550335</v>
      </c>
      <c r="J130" s="863">
        <f t="shared" si="11"/>
        <v>2025.1887326475357</v>
      </c>
      <c r="K130" s="1640">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0.88588103463043133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22.587981427094999</v>
      </c>
      <c r="R130" s="1641">
        <f t="shared" si="8"/>
        <v>23.473862461725432</v>
      </c>
      <c r="S130" s="564">
        <f>C130*'4C2 Open-burning '!$C$9*'4C2 Open-burning '!$C$11*$C$5</f>
        <v>2.292714541148273</v>
      </c>
      <c r="T130" s="564">
        <f>D130*'4C2 Open-burning '!$C$9*'4C2 Open-burning '!$C$11*$C$5</f>
        <v>2.3945230516855944</v>
      </c>
      <c r="U130" s="564">
        <f>E130*'4C2 Open-burning '!$C$9*'4C2 Open-burning '!$C$11*$C$5</f>
        <v>0.65401693756505874</v>
      </c>
      <c r="V130" s="564">
        <f>F130*'4C2 Open-burning '!$C$9*'4C2 Open-burning '!$C$11*$C$5</f>
        <v>0</v>
      </c>
      <c r="W130" s="564">
        <f>G130*'4C2 Open-burning '!$C$9*'4C2 Open-burning '!$C$11*$C$5</f>
        <v>0</v>
      </c>
      <c r="X130" s="564">
        <f>H130*'4C2 Open-burning '!$C$9*'4C2 Open-burning '!$C$11*$C$5</f>
        <v>0</v>
      </c>
      <c r="Y130" s="564">
        <f>I130*'4C2 Open-burning '!$C$9*'4C2 Open-burning '!$C$11*$C$5</f>
        <v>2.5569815269264629</v>
      </c>
      <c r="Z130" s="565">
        <f t="shared" si="9"/>
        <v>7.8982360573253887</v>
      </c>
      <c r="AA130" s="566">
        <f>C130*'4C2 Open-burning '!$C$10*'4C2 Open-burning '!$C$11*$C$5*C$15</f>
        <v>2.1163518841368675E-2</v>
      </c>
      <c r="AB130" s="566">
        <f>D130*'4C2 Open-burning '!$C$10*'4C2 Open-burning '!$C$11*$C$5*D$15</f>
        <v>2.2103289707867027E-2</v>
      </c>
      <c r="AC130" s="566">
        <f>E130*'4C2 Open-burning '!$C$10*'4C2 Open-burning '!$C$11*$C$5*E$15</f>
        <v>1.3583428703274296E-2</v>
      </c>
      <c r="AD130" s="566">
        <f>F130*'4C2 Open-burning '!$C$10*'4C2 Open-burning '!$C$11*$C$5*F$15</f>
        <v>0</v>
      </c>
      <c r="AE130" s="566">
        <f>G130*'4C2 Open-burning '!$C$10*'4C2 Open-burning '!$C$11*$C$5*G$15</f>
        <v>0</v>
      </c>
      <c r="AF130" s="566">
        <f>H130*'4C2 Open-burning '!$C$10*'4C2 Open-burning '!$C$11*$C$5*H$15</f>
        <v>0</v>
      </c>
      <c r="AG130" s="566">
        <f>I130*'4C2 Open-burning '!$C$10*'4C2 Open-burning '!$C$11*$C$5*I$15</f>
        <v>5.3106539405395767E-2</v>
      </c>
      <c r="AH130" s="567">
        <f t="shared" si="10"/>
        <v>0.10995677665790576</v>
      </c>
      <c r="AI130" s="1647"/>
      <c r="AJ130" s="1646"/>
      <c r="AK130" s="1647"/>
    </row>
    <row r="131" spans="1:37">
      <c r="A131" s="157">
        <f>'Input data'!A126</f>
        <v>2026</v>
      </c>
      <c r="B131" s="604">
        <f>'Recycling - Case 2'!AP105</f>
        <v>0.12146828085607689</v>
      </c>
      <c r="C131" s="606">
        <f>'Recycling - Case 2'!$B105*'Recycling - Case 2'!$AF105*'Recycling - Case 2'!BM105*$B131</f>
        <v>557.94489767639288</v>
      </c>
      <c r="D131" s="607">
        <f>'Recycling - Case 2'!$B105*'Recycling - Case 2'!$AF105*'Recycling - Case 2'!BN105*$B131</f>
        <v>582.7205677281396</v>
      </c>
      <c r="E131" s="607">
        <f>'Recycling - Case 2'!$B105*'Recycling - Case 2'!$AF105*'Recycling - Case 2'!BO105*$B131</f>
        <v>159.15867708746978</v>
      </c>
      <c r="F131" s="607">
        <f>'Recycling - Case 2'!$B105*'Recycling - Case 2'!$AF105*'Recycling - Case 2'!BP105*$B131</f>
        <v>0</v>
      </c>
      <c r="G131" s="607">
        <f>'Recycling - Case 2'!$B105*'Recycling - Case 2'!$AF105*'Recycling - Case 2'!BQ105*$B131</f>
        <v>0</v>
      </c>
      <c r="H131" s="607">
        <f>'Recycling - Case 2'!$B105*'Recycling - Case 2'!$AF105*'Recycling - Case 2'!BR105*$B131</f>
        <v>0</v>
      </c>
      <c r="I131" s="607">
        <f>'Recycling - Case 2'!$B105*'Recycling - Case 2'!$AF105*'Recycling - Case 2'!BS105*$B131</f>
        <v>622.25574566596174</v>
      </c>
      <c r="J131" s="863">
        <f t="shared" si="11"/>
        <v>1922.079888157964</v>
      </c>
      <c r="K131" s="1640">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0.84077799392935137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21.437954949683711</v>
      </c>
      <c r="R131" s="1641">
        <f t="shared" si="8"/>
        <v>22.278732943613061</v>
      </c>
      <c r="S131" s="564">
        <f>C131*'4C2 Open-burning '!$C$9*'4C2 Open-burning '!$C$11*$C$5</f>
        <v>2.1759851009379321</v>
      </c>
      <c r="T131" s="564">
        <f>D131*'4C2 Open-burning '!$C$9*'4C2 Open-burning '!$C$11*$C$5</f>
        <v>2.2726102141397444</v>
      </c>
      <c r="U131" s="564">
        <f>E131*'4C2 Open-burning '!$C$9*'4C2 Open-burning '!$C$11*$C$5</f>
        <v>0.62071884064113214</v>
      </c>
      <c r="V131" s="564">
        <f>F131*'4C2 Open-burning '!$C$9*'4C2 Open-burning '!$C$11*$C$5</f>
        <v>0</v>
      </c>
      <c r="W131" s="564">
        <f>G131*'4C2 Open-burning '!$C$9*'4C2 Open-burning '!$C$11*$C$5</f>
        <v>0</v>
      </c>
      <c r="X131" s="564">
        <f>H131*'4C2 Open-burning '!$C$9*'4C2 Open-burning '!$C$11*$C$5</f>
        <v>0</v>
      </c>
      <c r="Y131" s="564">
        <f>I131*'4C2 Open-burning '!$C$9*'4C2 Open-burning '!$C$11*$C$5</f>
        <v>2.4267974080972508</v>
      </c>
      <c r="Z131" s="565">
        <f t="shared" si="9"/>
        <v>7.4961115638160596</v>
      </c>
      <c r="AA131" s="566">
        <f>C131*'4C2 Open-burning '!$C$10*'4C2 Open-burning '!$C$11*$C$5*C$15</f>
        <v>2.0086016316350146E-2</v>
      </c>
      <c r="AB131" s="566">
        <f>D131*'4C2 Open-burning '!$C$10*'4C2 Open-burning '!$C$11*$C$5*D$15</f>
        <v>2.0977940438213025E-2</v>
      </c>
      <c r="AC131" s="566">
        <f>E131*'4C2 Open-burning '!$C$10*'4C2 Open-burning '!$C$11*$C$5*E$15</f>
        <v>1.2891852844085052E-2</v>
      </c>
      <c r="AD131" s="566">
        <f>F131*'4C2 Open-burning '!$C$10*'4C2 Open-burning '!$C$11*$C$5*F$15</f>
        <v>0</v>
      </c>
      <c r="AE131" s="566">
        <f>G131*'4C2 Open-burning '!$C$10*'4C2 Open-burning '!$C$11*$C$5*G$15</f>
        <v>0</v>
      </c>
      <c r="AF131" s="566">
        <f>H131*'4C2 Open-burning '!$C$10*'4C2 Open-burning '!$C$11*$C$5*H$15</f>
        <v>0</v>
      </c>
      <c r="AG131" s="566">
        <f>I131*'4C2 Open-burning '!$C$10*'4C2 Open-burning '!$C$11*$C$5*I$15</f>
        <v>5.04027153989429E-2</v>
      </c>
      <c r="AH131" s="567">
        <f t="shared" si="10"/>
        <v>0.10435852499759113</v>
      </c>
      <c r="AI131" s="1647"/>
      <c r="AJ131" s="1646"/>
      <c r="AK131" s="1647"/>
    </row>
    <row r="132" spans="1:37">
      <c r="A132" s="157">
        <f>'Input data'!A127</f>
        <v>2027</v>
      </c>
      <c r="B132" s="604">
        <f>'Recycling - Case 2'!AP106</f>
        <v>0.1214682808560769</v>
      </c>
      <c r="C132" s="606">
        <f>'Recycling - Case 2'!$B106*'Recycling - Case 2'!$AF106*'Recycling - Case 2'!BM106*$B132</f>
        <v>526.34893906702928</v>
      </c>
      <c r="D132" s="607">
        <f>'Recycling - Case 2'!$B106*'Recycling - Case 2'!$AF106*'Recycling - Case 2'!BN106*$B132</f>
        <v>549.7215833921598</v>
      </c>
      <c r="E132" s="607">
        <f>'Recycling - Case 2'!$B106*'Recycling - Case 2'!$AF106*'Recycling - Case 2'!BO106*$B132</f>
        <v>150.14565269291134</v>
      </c>
      <c r="F132" s="607">
        <f>'Recycling - Case 2'!$B106*'Recycling - Case 2'!$AF106*'Recycling - Case 2'!BP106*$B132</f>
        <v>0</v>
      </c>
      <c r="G132" s="607">
        <f>'Recycling - Case 2'!$B106*'Recycling - Case 2'!$AF106*'Recycling - Case 2'!BQ106*$B132</f>
        <v>0</v>
      </c>
      <c r="H132" s="607">
        <f>'Recycling - Case 2'!$B106*'Recycling - Case 2'!$AF106*'Recycling - Case 2'!BR106*$B132</f>
        <v>0</v>
      </c>
      <c r="I132" s="607">
        <f>'Recycling - Case 2'!$B106*'Recycling - Case 2'!$AF106*'Recycling - Case 2'!BS106*$B132</f>
        <v>587.01791686534148</v>
      </c>
      <c r="J132" s="863">
        <f t="shared" si="11"/>
        <v>1813.234092017442</v>
      </c>
      <c r="K132" s="1640">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0.79316543074168111</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20.223941271844744</v>
      </c>
      <c r="R132" s="1641">
        <f t="shared" si="8"/>
        <v>21.017106702586425</v>
      </c>
      <c r="S132" s="564">
        <f>C132*'4C2 Open-burning '!$C$9*'4C2 Open-burning '!$C$11*$C$5</f>
        <v>2.052760862361414</v>
      </c>
      <c r="T132" s="564">
        <f>D132*'4C2 Open-burning '!$C$9*'4C2 Open-burning '!$C$11*$C$5</f>
        <v>2.1439141752294231</v>
      </c>
      <c r="U132" s="564">
        <f>E132*'4C2 Open-burning '!$C$9*'4C2 Open-burning '!$C$11*$C$5</f>
        <v>0.5855680455023542</v>
      </c>
      <c r="V132" s="564">
        <f>F132*'4C2 Open-burning '!$C$9*'4C2 Open-burning '!$C$11*$C$5</f>
        <v>0</v>
      </c>
      <c r="W132" s="564">
        <f>G132*'4C2 Open-burning '!$C$9*'4C2 Open-burning '!$C$11*$C$5</f>
        <v>0</v>
      </c>
      <c r="X132" s="564">
        <f>H132*'4C2 Open-burning '!$C$9*'4C2 Open-burning '!$C$11*$C$5</f>
        <v>0</v>
      </c>
      <c r="Y132" s="564">
        <f>I132*'4C2 Open-burning '!$C$9*'4C2 Open-burning '!$C$11*$C$5</f>
        <v>2.2893698757748315</v>
      </c>
      <c r="Z132" s="565">
        <f t="shared" si="9"/>
        <v>7.0716129588680232</v>
      </c>
      <c r="AA132" s="566">
        <f>C132*'4C2 Open-burning '!$C$10*'4C2 Open-burning '!$C$11*$C$5*C$15</f>
        <v>1.8948561806413054E-2</v>
      </c>
      <c r="AB132" s="566">
        <f>D132*'4C2 Open-burning '!$C$10*'4C2 Open-burning '!$C$11*$C$5*D$15</f>
        <v>1.9789977002117751E-2</v>
      </c>
      <c r="AC132" s="566">
        <f>E132*'4C2 Open-burning '!$C$10*'4C2 Open-burning '!$C$11*$C$5*E$15</f>
        <v>1.2161797868125818E-2</v>
      </c>
      <c r="AD132" s="566">
        <f>F132*'4C2 Open-burning '!$C$10*'4C2 Open-burning '!$C$11*$C$5*F$15</f>
        <v>0</v>
      </c>
      <c r="AE132" s="566">
        <f>G132*'4C2 Open-burning '!$C$10*'4C2 Open-burning '!$C$11*$C$5*G$15</f>
        <v>0</v>
      </c>
      <c r="AF132" s="566">
        <f>H132*'4C2 Open-burning '!$C$10*'4C2 Open-burning '!$C$11*$C$5*H$15</f>
        <v>0</v>
      </c>
      <c r="AG132" s="566">
        <f>I132*'4C2 Open-burning '!$C$10*'4C2 Open-burning '!$C$11*$C$5*I$15</f>
        <v>4.7548451266092653E-2</v>
      </c>
      <c r="AH132" s="567">
        <f t="shared" si="10"/>
        <v>9.8448787942749277E-2</v>
      </c>
      <c r="AI132" s="1647"/>
      <c r="AJ132" s="1646"/>
      <c r="AK132" s="1647"/>
    </row>
    <row r="133" spans="1:37">
      <c r="A133" s="157">
        <f>'Input data'!A128</f>
        <v>2028</v>
      </c>
      <c r="B133" s="604">
        <f>'Recycling - Case 2'!AP107</f>
        <v>0.12146828085607689</v>
      </c>
      <c r="C133" s="606">
        <f>'Recycling - Case 2'!$B107*'Recycling - Case 2'!$AF107*'Recycling - Case 2'!BM107*$B133</f>
        <v>492.98524548230415</v>
      </c>
      <c r="D133" s="607">
        <f>'Recycling - Case 2'!$B107*'Recycling - Case 2'!$AF107*'Recycling - Case 2'!BN107*$B133</f>
        <v>514.87636740727453</v>
      </c>
      <c r="E133" s="607">
        <f>'Recycling - Case 2'!$B107*'Recycling - Case 2'!$AF107*'Recycling - Case 2'!BO107*$B133</f>
        <v>140.62836638773859</v>
      </c>
      <c r="F133" s="607">
        <f>'Recycling - Case 2'!$B107*'Recycling - Case 2'!$AF107*'Recycling - Case 2'!BP107*$B133</f>
        <v>0</v>
      </c>
      <c r="G133" s="607">
        <f>'Recycling - Case 2'!$B107*'Recycling - Case 2'!$AF107*'Recycling - Case 2'!BQ107*$B133</f>
        <v>0</v>
      </c>
      <c r="H133" s="607">
        <f>'Recycling - Case 2'!$B107*'Recycling - Case 2'!$AF107*'Recycling - Case 2'!BR107*$B133</f>
        <v>0</v>
      </c>
      <c r="I133" s="607">
        <f>'Recycling - Case 2'!$B107*'Recycling - Case 2'!$AF107*'Recycling - Case 2'!BS107*$B133</f>
        <v>549.80859724221443</v>
      </c>
      <c r="J133" s="863">
        <f t="shared" si="11"/>
        <v>1698.2985765195317</v>
      </c>
      <c r="K133" s="1640">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0.74288903341452339</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18.94200579218877</v>
      </c>
      <c r="R133" s="1641">
        <f t="shared" si="8"/>
        <v>19.684894825603294</v>
      </c>
      <c r="S133" s="564">
        <f>C133*'4C2 Open-burning '!$C$9*'4C2 Open-burning '!$C$11*$C$5</f>
        <v>1.9226424573809859</v>
      </c>
      <c r="T133" s="564">
        <f>D133*'4C2 Open-burning '!$C$9*'4C2 Open-burning '!$C$11*$C$5</f>
        <v>2.0080178328883704</v>
      </c>
      <c r="U133" s="564">
        <f>E133*'4C2 Open-burning '!$C$9*'4C2 Open-burning '!$C$11*$C$5</f>
        <v>0.54845062891218044</v>
      </c>
      <c r="V133" s="564">
        <f>F133*'4C2 Open-burning '!$C$9*'4C2 Open-burning '!$C$11*$C$5</f>
        <v>0</v>
      </c>
      <c r="W133" s="564">
        <f>G133*'4C2 Open-burning '!$C$9*'4C2 Open-burning '!$C$11*$C$5</f>
        <v>0</v>
      </c>
      <c r="X133" s="564">
        <f>H133*'4C2 Open-burning '!$C$9*'4C2 Open-burning '!$C$11*$C$5</f>
        <v>0</v>
      </c>
      <c r="Y133" s="564">
        <f>I133*'4C2 Open-burning '!$C$9*'4C2 Open-burning '!$C$11*$C$5</f>
        <v>2.1442535292446361</v>
      </c>
      <c r="Z133" s="565">
        <f t="shared" si="9"/>
        <v>6.6233644484261731</v>
      </c>
      <c r="AA133" s="566">
        <f>C133*'4C2 Open-burning '!$C$10*'4C2 Open-burning '!$C$11*$C$5*C$15</f>
        <v>1.7747468837362945E-2</v>
      </c>
      <c r="AB133" s="566">
        <f>D133*'4C2 Open-burning '!$C$10*'4C2 Open-burning '!$C$11*$C$5*D$15</f>
        <v>1.8535549226661882E-2</v>
      </c>
      <c r="AC133" s="566">
        <f>E133*'4C2 Open-burning '!$C$10*'4C2 Open-burning '!$C$11*$C$5*E$15</f>
        <v>1.1390897677406826E-2</v>
      </c>
      <c r="AD133" s="566">
        <f>F133*'4C2 Open-burning '!$C$10*'4C2 Open-burning '!$C$11*$C$5*F$15</f>
        <v>0</v>
      </c>
      <c r="AE133" s="566">
        <f>G133*'4C2 Open-burning '!$C$10*'4C2 Open-burning '!$C$11*$C$5*G$15</f>
        <v>0</v>
      </c>
      <c r="AF133" s="566">
        <f>H133*'4C2 Open-burning '!$C$10*'4C2 Open-burning '!$C$11*$C$5*H$15</f>
        <v>0</v>
      </c>
      <c r="AG133" s="566">
        <f>I133*'4C2 Open-burning '!$C$10*'4C2 Open-burning '!$C$11*$C$5*I$15</f>
        <v>4.4534496376619361E-2</v>
      </c>
      <c r="AH133" s="567">
        <f t="shared" si="10"/>
        <v>9.2208412118051003E-2</v>
      </c>
      <c r="AI133" s="1647"/>
      <c r="AJ133" s="1646"/>
      <c r="AK133" s="1647"/>
    </row>
    <row r="134" spans="1:37">
      <c r="A134" s="157">
        <f>'Input data'!A129</f>
        <v>2029</v>
      </c>
      <c r="B134" s="604">
        <f>'Recycling - Case 2'!AP108</f>
        <v>0.1214682808560769</v>
      </c>
      <c r="C134" s="606">
        <f>'Recycling - Case 2'!$B108*'Recycling - Case 2'!$AF108*'Recycling - Case 2'!BM108*$B134</f>
        <v>457.77924932363032</v>
      </c>
      <c r="D134" s="607">
        <f>'Recycling - Case 2'!$B108*'Recycling - Case 2'!$AF108*'Recycling - Case 2'!BN108*$B134</f>
        <v>478.10704098372508</v>
      </c>
      <c r="E134" s="607">
        <f>'Recycling - Case 2'!$B108*'Recycling - Case 2'!$AF108*'Recycling - Case 2'!BO108*$B134</f>
        <v>130.58554711024962</v>
      </c>
      <c r="F134" s="607">
        <f>'Recycling - Case 2'!$B108*'Recycling - Case 2'!$AF108*'Recycling - Case 2'!BP108*$B134</f>
        <v>0</v>
      </c>
      <c r="G134" s="607">
        <f>'Recycling - Case 2'!$B108*'Recycling - Case 2'!$AF108*'Recycling - Case 2'!BQ108*$B134</f>
        <v>0</v>
      </c>
      <c r="H134" s="607">
        <f>'Recycling - Case 2'!$B108*'Recycling - Case 2'!$AF108*'Recycling - Case 2'!BR108*$B134</f>
        <v>0</v>
      </c>
      <c r="I134" s="607">
        <f>'Recycling - Case 2'!$B108*'Recycling - Case 2'!$AF108*'Recycling - Case 2'!BS108*$B134</f>
        <v>510.54462425337152</v>
      </c>
      <c r="J134" s="863">
        <f t="shared" si="11"/>
        <v>1577.0164616709765</v>
      </c>
      <c r="K134" s="1640">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0.68983643458648902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17.589283394777155</v>
      </c>
      <c r="R134" s="1641">
        <f t="shared" si="8"/>
        <v>18.279119829363644</v>
      </c>
      <c r="S134" s="564">
        <f>C134*'4C2 Open-burning '!$C$9*'4C2 Open-burning '!$C$11*$C$5</f>
        <v>1.7853390723621581</v>
      </c>
      <c r="T134" s="564">
        <f>D134*'4C2 Open-burning '!$C$9*'4C2 Open-burning '!$C$11*$C$5</f>
        <v>1.8646174598365275</v>
      </c>
      <c r="U134" s="564">
        <f>E134*'4C2 Open-burning '!$C$9*'4C2 Open-burning '!$C$11*$C$5</f>
        <v>0.50928363372997354</v>
      </c>
      <c r="V134" s="564">
        <f>F134*'4C2 Open-burning '!$C$9*'4C2 Open-burning '!$C$11*$C$5</f>
        <v>0</v>
      </c>
      <c r="W134" s="564">
        <f>G134*'4C2 Open-burning '!$C$9*'4C2 Open-burning '!$C$11*$C$5</f>
        <v>0</v>
      </c>
      <c r="X134" s="564">
        <f>H134*'4C2 Open-burning '!$C$9*'4C2 Open-burning '!$C$11*$C$5</f>
        <v>0</v>
      </c>
      <c r="Y134" s="564">
        <f>I134*'4C2 Open-burning '!$C$9*'4C2 Open-burning '!$C$11*$C$5</f>
        <v>1.9911240345881489</v>
      </c>
      <c r="Z134" s="565">
        <f t="shared" si="9"/>
        <v>6.1503642005168082</v>
      </c>
      <c r="AA134" s="566">
        <f>C134*'4C2 Open-burning '!$C$10*'4C2 Open-burning '!$C$11*$C$5*C$15</f>
        <v>1.6480052975650691E-2</v>
      </c>
      <c r="AB134" s="566">
        <f>D134*'4C2 Open-burning '!$C$10*'4C2 Open-burning '!$C$11*$C$5*D$15</f>
        <v>1.7211853475414103E-2</v>
      </c>
      <c r="AC134" s="566">
        <f>E134*'4C2 Open-burning '!$C$10*'4C2 Open-burning '!$C$11*$C$5*E$15</f>
        <v>1.0577429315930221E-2</v>
      </c>
      <c r="AD134" s="566">
        <f>F134*'4C2 Open-burning '!$C$10*'4C2 Open-burning '!$C$11*$C$5*F$15</f>
        <v>0</v>
      </c>
      <c r="AE134" s="566">
        <f>G134*'4C2 Open-burning '!$C$10*'4C2 Open-burning '!$C$11*$C$5*G$15</f>
        <v>0</v>
      </c>
      <c r="AF134" s="566">
        <f>H134*'4C2 Open-burning '!$C$10*'4C2 Open-burning '!$C$11*$C$5*H$15</f>
        <v>0</v>
      </c>
      <c r="AG134" s="566">
        <f>I134*'4C2 Open-burning '!$C$10*'4C2 Open-burning '!$C$11*$C$5*I$15</f>
        <v>4.1354114564523092E-2</v>
      </c>
      <c r="AH134" s="567">
        <f t="shared" si="10"/>
        <v>8.5623450331518108E-2</v>
      </c>
      <c r="AI134" s="1647"/>
      <c r="AJ134" s="1646"/>
      <c r="AK134" s="1647"/>
    </row>
    <row r="135" spans="1:37">
      <c r="A135" s="157">
        <f>'Input data'!A130</f>
        <v>2030</v>
      </c>
      <c r="B135" s="604">
        <f>'Recycling - Case 2'!AP109</f>
        <v>0.1214682808560769</v>
      </c>
      <c r="C135" s="606">
        <f>'Recycling - Case 2'!$B109*'Recycling - Case 2'!$AF109*'Recycling - Case 2'!BM109*$B135</f>
        <v>420.62692836417199</v>
      </c>
      <c r="D135" s="607">
        <f>'Recycling - Case 2'!$B109*'Recycling - Case 2'!$AF109*'Recycling - Case 2'!BN109*$B135</f>
        <v>439.30496276403994</v>
      </c>
      <c r="E135" s="607">
        <f>'Recycling - Case 2'!$B109*'Recycling - Case 2'!$AF109*'Recycling - Case 2'!BO109*$B135</f>
        <v>119.98752160762005</v>
      </c>
      <c r="F135" s="607">
        <f>'Recycling - Case 2'!$B109*'Recycling - Case 2'!$AF109*'Recycling - Case 2'!BP109*$B135</f>
        <v>0</v>
      </c>
      <c r="G135" s="607">
        <f>'Recycling - Case 2'!$B109*'Recycling - Case 2'!$AF109*'Recycling - Case 2'!BQ109*$B135</f>
        <v>0</v>
      </c>
      <c r="H135" s="607">
        <f>'Recycling - Case 2'!$B109*'Recycling - Case 2'!$AF109*'Recycling - Case 2'!BR109*$B135</f>
        <v>0</v>
      </c>
      <c r="I135" s="607">
        <f>'Recycling - Case 2'!$B109*'Recycling - Case 2'!$AF109*'Recycling - Case 2'!BS109*$B135</f>
        <v>469.10998567503401</v>
      </c>
      <c r="J135" s="863">
        <f t="shared" si="11"/>
        <v>1449.029398410866</v>
      </c>
      <c r="K135" s="1640">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0.63385088114527799</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16.161777226476271</v>
      </c>
      <c r="R135" s="1641">
        <f t="shared" si="8"/>
        <v>16.79562810762155</v>
      </c>
      <c r="S135" s="564">
        <f>C135*'4C2 Open-burning '!$C$9*'4C2 Open-burning '!$C$11*$C$5</f>
        <v>1.6404450206202708</v>
      </c>
      <c r="T135" s="564">
        <f>D135*'4C2 Open-burning '!$C$9*'4C2 Open-burning '!$C$11*$C$5</f>
        <v>1.7132893547797556</v>
      </c>
      <c r="U135" s="564">
        <f>E135*'4C2 Open-burning '!$C$9*'4C2 Open-burning '!$C$11*$C$5</f>
        <v>0.46795133426971819</v>
      </c>
      <c r="V135" s="564">
        <f>F135*'4C2 Open-burning '!$C$9*'4C2 Open-burning '!$C$11*$C$5</f>
        <v>0</v>
      </c>
      <c r="W135" s="564">
        <f>G135*'4C2 Open-burning '!$C$9*'4C2 Open-burning '!$C$11*$C$5</f>
        <v>0</v>
      </c>
      <c r="X135" s="564">
        <f>H135*'4C2 Open-burning '!$C$9*'4C2 Open-burning '!$C$11*$C$5</f>
        <v>0</v>
      </c>
      <c r="Y135" s="564">
        <f>I135*'4C2 Open-burning '!$C$9*'4C2 Open-burning '!$C$11*$C$5</f>
        <v>1.8295289441326326</v>
      </c>
      <c r="Z135" s="565">
        <f t="shared" si="9"/>
        <v>5.6512146538023771</v>
      </c>
      <c r="AA135" s="566">
        <f>C135*'4C2 Open-burning '!$C$10*'4C2 Open-burning '!$C$11*$C$5*C$15</f>
        <v>1.5142569421110192E-2</v>
      </c>
      <c r="AB135" s="566">
        <f>D135*'4C2 Open-burning '!$C$10*'4C2 Open-burning '!$C$11*$C$5*D$15</f>
        <v>1.5814978659505437E-2</v>
      </c>
      <c r="AC135" s="566">
        <f>E135*'4C2 Open-burning '!$C$10*'4C2 Open-burning '!$C$11*$C$5*E$15</f>
        <v>9.7189892502172245E-3</v>
      </c>
      <c r="AD135" s="566">
        <f>F135*'4C2 Open-burning '!$C$10*'4C2 Open-burning '!$C$11*$C$5*F$15</f>
        <v>0</v>
      </c>
      <c r="AE135" s="566">
        <f>G135*'4C2 Open-burning '!$C$10*'4C2 Open-burning '!$C$11*$C$5*G$15</f>
        <v>0</v>
      </c>
      <c r="AF135" s="566">
        <f>H135*'4C2 Open-burning '!$C$10*'4C2 Open-burning '!$C$11*$C$5*H$15</f>
        <v>0</v>
      </c>
      <c r="AG135" s="566">
        <f>I135*'4C2 Open-burning '!$C$10*'4C2 Open-burning '!$C$11*$C$5*I$15</f>
        <v>3.7997908839677748E-2</v>
      </c>
      <c r="AH135" s="567">
        <f t="shared" si="10"/>
        <v>7.8674446170510601E-2</v>
      </c>
      <c r="AI135" s="1647"/>
      <c r="AJ135" s="1646"/>
      <c r="AK135" s="1647"/>
    </row>
    <row r="136" spans="1:37">
      <c r="A136" s="157">
        <f>'Input data'!A131</f>
        <v>2031</v>
      </c>
      <c r="B136" s="604">
        <f>'Recycling - Case 2'!AP110</f>
        <v>0.12146828085607692</v>
      </c>
      <c r="C136" s="606">
        <f>'Recycling - Case 2'!$B110*'Recycling - Case 2'!$AF110*'Recycling - Case 2'!BM110*$B136</f>
        <v>375.26923595957692</v>
      </c>
      <c r="D136" s="607">
        <f>'Recycling - Case 2'!$B110*'Recycling - Case 2'!$AF110*'Recycling - Case 2'!BN110*$B136</f>
        <v>391.93315171438718</v>
      </c>
      <c r="E136" s="607">
        <f>'Recycling - Case 2'!$B110*'Recycling - Case 2'!$AF110*'Recycling - Case 2'!BO110*$B136</f>
        <v>107.04884191197245</v>
      </c>
      <c r="F136" s="607">
        <f>'Recycling - Case 2'!$B110*'Recycling - Case 2'!$AF110*'Recycling - Case 2'!BP110*$B136</f>
        <v>0</v>
      </c>
      <c r="G136" s="607">
        <f>'Recycling - Case 2'!$B110*'Recycling - Case 2'!$AF110*'Recycling - Case 2'!BQ110*$B136</f>
        <v>0</v>
      </c>
      <c r="H136" s="607">
        <f>'Recycling - Case 2'!$B110*'Recycling - Case 2'!$AF110*'Recycling - Case 2'!BR110*$B136</f>
        <v>0</v>
      </c>
      <c r="I136" s="607">
        <f>'Recycling - Case 2'!$B110*'Recycling - Case 2'!$AF110*'Recycling - Case 2'!BS110*$B136</f>
        <v>418.52419337466495</v>
      </c>
      <c r="J136" s="863">
        <f t="shared" si="11"/>
        <v>1292.7754229606014</v>
      </c>
      <c r="K136" s="1640">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0.56550049423786208</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14.418995510143954</v>
      </c>
      <c r="R136" s="1641">
        <f t="shared" si="8"/>
        <v>14.984496004381816</v>
      </c>
      <c r="S136" s="564">
        <f>C136*'4C2 Open-burning '!$C$9*'4C2 Open-burning '!$C$11*$C$5</f>
        <v>1.4635500202423501</v>
      </c>
      <c r="T136" s="564">
        <f>D136*'4C2 Open-burning '!$C$9*'4C2 Open-burning '!$C$11*$C$5</f>
        <v>1.52853929168611</v>
      </c>
      <c r="U136" s="564">
        <f>E136*'4C2 Open-burning '!$C$9*'4C2 Open-burning '!$C$11*$C$5</f>
        <v>0.41749048345669254</v>
      </c>
      <c r="V136" s="564">
        <f>F136*'4C2 Open-burning '!$C$9*'4C2 Open-burning '!$C$11*$C$5</f>
        <v>0</v>
      </c>
      <c r="W136" s="564">
        <f>G136*'4C2 Open-burning '!$C$9*'4C2 Open-burning '!$C$11*$C$5</f>
        <v>0</v>
      </c>
      <c r="X136" s="564">
        <f>H136*'4C2 Open-burning '!$C$9*'4C2 Open-burning '!$C$11*$C$5</f>
        <v>0</v>
      </c>
      <c r="Y136" s="564">
        <f>I136*'4C2 Open-burning '!$C$9*'4C2 Open-burning '!$C$11*$C$5</f>
        <v>1.6322443541611933</v>
      </c>
      <c r="Z136" s="565">
        <f t="shared" si="9"/>
        <v>5.0418241495463452</v>
      </c>
      <c r="AA136" s="566">
        <f>C136*'4C2 Open-burning '!$C$10*'4C2 Open-burning '!$C$11*$C$5*C$15</f>
        <v>1.3509692494544768E-2</v>
      </c>
      <c r="AB136" s="566">
        <f>D136*'4C2 Open-burning '!$C$10*'4C2 Open-burning '!$C$11*$C$5*D$15</f>
        <v>1.4109593461717938E-2</v>
      </c>
      <c r="AC136" s="566">
        <f>E136*'4C2 Open-burning '!$C$10*'4C2 Open-burning '!$C$11*$C$5*E$15</f>
        <v>8.6709561948697667E-3</v>
      </c>
      <c r="AD136" s="566">
        <f>F136*'4C2 Open-burning '!$C$10*'4C2 Open-burning '!$C$11*$C$5*F$15</f>
        <v>0</v>
      </c>
      <c r="AE136" s="566">
        <f>G136*'4C2 Open-burning '!$C$10*'4C2 Open-burning '!$C$11*$C$5*G$15</f>
        <v>0</v>
      </c>
      <c r="AF136" s="566">
        <f>H136*'4C2 Open-burning '!$C$10*'4C2 Open-burning '!$C$11*$C$5*H$15</f>
        <v>0</v>
      </c>
      <c r="AG136" s="566">
        <f>I136*'4C2 Open-burning '!$C$10*'4C2 Open-burning '!$C$11*$C$5*I$15</f>
        <v>3.3900459663347857E-2</v>
      </c>
      <c r="AH136" s="567">
        <f t="shared" si="10"/>
        <v>7.0190701814480339E-2</v>
      </c>
      <c r="AI136" s="1647"/>
      <c r="AJ136" s="1646"/>
      <c r="AK136" s="1647"/>
    </row>
    <row r="137" spans="1:37">
      <c r="A137" s="157">
        <f>'Input data'!A132</f>
        <v>2032</v>
      </c>
      <c r="B137" s="604">
        <f>'Recycling - Case 2'!AP111</f>
        <v>0.1214682808560769</v>
      </c>
      <c r="C137" s="606">
        <f>'Recycling - Case 2'!$B111*'Recycling - Case 2'!$AF111*'Recycling - Case 2'!BM111*$B137</f>
        <v>329.10750224120505</v>
      </c>
      <c r="D137" s="607">
        <f>'Recycling - Case 2'!$B111*'Recycling - Case 2'!$AF111*'Recycling - Case 2'!BN111*$B137</f>
        <v>343.72159571358924</v>
      </c>
      <c r="E137" s="607">
        <f>'Recycling - Case 2'!$B111*'Recycling - Case 2'!$AF111*'Recycling - Case 2'!BO111*$B137</f>
        <v>93.880802377463823</v>
      </c>
      <c r="F137" s="607">
        <f>'Recycling - Case 2'!$B111*'Recycling - Case 2'!$AF111*'Recycling - Case 2'!BP111*$B137</f>
        <v>0</v>
      </c>
      <c r="G137" s="607">
        <f>'Recycling - Case 2'!$B111*'Recycling - Case 2'!$AF111*'Recycling - Case 2'!BQ111*$B137</f>
        <v>0</v>
      </c>
      <c r="H137" s="607">
        <f>'Recycling - Case 2'!$B111*'Recycling - Case 2'!$AF111*'Recycling - Case 2'!BR111*$B137</f>
        <v>0</v>
      </c>
      <c r="I137" s="607">
        <f>'Recycling - Case 2'!$B111*'Recycling - Case 2'!$AF111*'Recycling - Case 2'!BS111*$B137</f>
        <v>367.04168290493192</v>
      </c>
      <c r="J137" s="863">
        <f t="shared" si="11"/>
        <v>1133.7515832371901</v>
      </c>
      <c r="K137" s="1640">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0.49593848187128547</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12.645320059440714</v>
      </c>
      <c r="R137" s="1641">
        <f t="shared" si="8"/>
        <v>13.141258541311998</v>
      </c>
      <c r="S137" s="564">
        <f>C137*'4C2 Open-burning '!$C$9*'4C2 Open-burning '!$C$11*$C$5</f>
        <v>1.2835192587406998</v>
      </c>
      <c r="T137" s="564">
        <f>D137*'4C2 Open-burning '!$C$9*'4C2 Open-burning '!$C$11*$C$5</f>
        <v>1.3405142232829981</v>
      </c>
      <c r="U137" s="564">
        <f>E137*'4C2 Open-burning '!$C$9*'4C2 Open-burning '!$C$11*$C$5</f>
        <v>0.36613512927210889</v>
      </c>
      <c r="V137" s="564">
        <f>F137*'4C2 Open-burning '!$C$9*'4C2 Open-burning '!$C$11*$C$5</f>
        <v>0</v>
      </c>
      <c r="W137" s="564">
        <f>G137*'4C2 Open-burning '!$C$9*'4C2 Open-burning '!$C$11*$C$5</f>
        <v>0</v>
      </c>
      <c r="X137" s="564">
        <f>H137*'4C2 Open-burning '!$C$9*'4C2 Open-burning '!$C$11*$C$5</f>
        <v>0</v>
      </c>
      <c r="Y137" s="564">
        <f>I137*'4C2 Open-burning '!$C$9*'4C2 Open-burning '!$C$11*$C$5</f>
        <v>1.4314625633292344</v>
      </c>
      <c r="Z137" s="565">
        <f t="shared" si="9"/>
        <v>4.4216311746250412</v>
      </c>
      <c r="AA137" s="566">
        <f>C137*'4C2 Open-burning '!$C$10*'4C2 Open-burning '!$C$11*$C$5*C$15</f>
        <v>1.1847870080683382E-2</v>
      </c>
      <c r="AB137" s="566">
        <f>D137*'4C2 Open-burning '!$C$10*'4C2 Open-burning '!$C$11*$C$5*D$15</f>
        <v>1.2373977445689213E-2</v>
      </c>
      <c r="AC137" s="566">
        <f>E137*'4C2 Open-burning '!$C$10*'4C2 Open-burning '!$C$11*$C$5*E$15</f>
        <v>7.6043449925745693E-3</v>
      </c>
      <c r="AD137" s="566">
        <f>F137*'4C2 Open-burning '!$C$10*'4C2 Open-burning '!$C$11*$C$5*F$15</f>
        <v>0</v>
      </c>
      <c r="AE137" s="566">
        <f>G137*'4C2 Open-burning '!$C$10*'4C2 Open-burning '!$C$11*$C$5*G$15</f>
        <v>0</v>
      </c>
      <c r="AF137" s="566">
        <f>H137*'4C2 Open-burning '!$C$10*'4C2 Open-burning '!$C$11*$C$5*H$15</f>
        <v>0</v>
      </c>
      <c r="AG137" s="566">
        <f>I137*'4C2 Open-burning '!$C$10*'4C2 Open-burning '!$C$11*$C$5*I$15</f>
        <v>2.9730376315299484E-2</v>
      </c>
      <c r="AH137" s="567">
        <f t="shared" si="10"/>
        <v>6.155656883424665E-2</v>
      </c>
      <c r="AI137" s="1647"/>
      <c r="AJ137" s="1646"/>
      <c r="AK137" s="1647"/>
    </row>
    <row r="138" spans="1:37">
      <c r="A138" s="157">
        <f>'Input data'!A133</f>
        <v>2033</v>
      </c>
      <c r="B138" s="604">
        <f>'Recycling - Case 2'!AP112</f>
        <v>0.1214682808560769</v>
      </c>
      <c r="C138" s="606">
        <f>'Recycling - Case 2'!$B112*'Recycling - Case 2'!$AF112*'Recycling - Case 2'!BM112*$B138</f>
        <v>331.91355246378134</v>
      </c>
      <c r="D138" s="607">
        <f>'Recycling - Case 2'!$B112*'Recycling - Case 2'!$AF112*'Recycling - Case 2'!BN112*$B138</f>
        <v>346.65224923436341</v>
      </c>
      <c r="E138" s="607">
        <f>'Recycling - Case 2'!$B112*'Recycling - Case 2'!$AF112*'Recycling - Case 2'!BO112*$B138</f>
        <v>94.681252821810858</v>
      </c>
      <c r="F138" s="607">
        <f>'Recycling - Case 2'!$B112*'Recycling - Case 2'!$AF112*'Recycling - Case 2'!BP112*$B138</f>
        <v>0</v>
      </c>
      <c r="G138" s="607">
        <f>'Recycling - Case 2'!$B112*'Recycling - Case 2'!$AF112*'Recycling - Case 2'!BQ112*$B138</f>
        <v>0</v>
      </c>
      <c r="H138" s="607">
        <f>'Recycling - Case 2'!$B112*'Recycling - Case 2'!$AF112*'Recycling - Case 2'!BR112*$B138</f>
        <v>0</v>
      </c>
      <c r="I138" s="607">
        <f>'Recycling - Case 2'!$B112*'Recycling - Case 2'!$AF112*'Recycling - Case 2'!BS112*$B138</f>
        <v>370.17116913358461</v>
      </c>
      <c r="J138" s="863">
        <f t="shared" si="11"/>
        <v>1143.4182236535403</v>
      </c>
      <c r="K138" s="1640">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0.50016697340661087</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12.753137118990256</v>
      </c>
      <c r="R138" s="1641">
        <f t="shared" si="8"/>
        <v>13.253304092396867</v>
      </c>
      <c r="S138" s="564">
        <f>C138*'4C2 Open-burning '!$C$9*'4C2 Open-burning '!$C$11*$C$5</f>
        <v>1.2944628546087473</v>
      </c>
      <c r="T138" s="564">
        <f>D138*'4C2 Open-burning '!$C$9*'4C2 Open-burning '!$C$11*$C$5</f>
        <v>1.3519437720140173</v>
      </c>
      <c r="U138" s="564">
        <f>E138*'4C2 Open-burning '!$C$9*'4C2 Open-burning '!$C$11*$C$5</f>
        <v>0.3692568860050624</v>
      </c>
      <c r="V138" s="564">
        <f>F138*'4C2 Open-burning '!$C$9*'4C2 Open-burning '!$C$11*$C$5</f>
        <v>0</v>
      </c>
      <c r="W138" s="564">
        <f>G138*'4C2 Open-burning '!$C$9*'4C2 Open-burning '!$C$11*$C$5</f>
        <v>0</v>
      </c>
      <c r="X138" s="564">
        <f>H138*'4C2 Open-burning '!$C$9*'4C2 Open-burning '!$C$11*$C$5</f>
        <v>0</v>
      </c>
      <c r="Y138" s="564">
        <f>I138*'4C2 Open-burning '!$C$9*'4C2 Open-burning '!$C$11*$C$5</f>
        <v>1.4436675596209798</v>
      </c>
      <c r="Z138" s="565">
        <f t="shared" si="9"/>
        <v>4.4593310722488066</v>
      </c>
      <c r="AA138" s="566">
        <f>C138*'4C2 Open-burning '!$C$10*'4C2 Open-burning '!$C$11*$C$5*C$15</f>
        <v>1.1948887888696129E-2</v>
      </c>
      <c r="AB138" s="566">
        <f>D138*'4C2 Open-burning '!$C$10*'4C2 Open-burning '!$C$11*$C$5*D$15</f>
        <v>1.2479480972437083E-2</v>
      </c>
      <c r="AC138" s="566">
        <f>E138*'4C2 Open-burning '!$C$10*'4C2 Open-burning '!$C$11*$C$5*E$15</f>
        <v>7.6691814785666791E-3</v>
      </c>
      <c r="AD138" s="566">
        <f>F138*'4C2 Open-burning '!$C$10*'4C2 Open-burning '!$C$11*$C$5*F$15</f>
        <v>0</v>
      </c>
      <c r="AE138" s="566">
        <f>G138*'4C2 Open-burning '!$C$10*'4C2 Open-burning '!$C$11*$C$5*G$15</f>
        <v>0</v>
      </c>
      <c r="AF138" s="566">
        <f>H138*'4C2 Open-burning '!$C$10*'4C2 Open-burning '!$C$11*$C$5*H$15</f>
        <v>0</v>
      </c>
      <c r="AG138" s="566">
        <f>I138*'4C2 Open-burning '!$C$10*'4C2 Open-burning '!$C$11*$C$5*I$15</f>
        <v>2.9983864699820353E-2</v>
      </c>
      <c r="AH138" s="567">
        <f t="shared" si="10"/>
        <v>6.2081415039520242E-2</v>
      </c>
      <c r="AI138" s="1647"/>
      <c r="AJ138" s="1646"/>
      <c r="AK138" s="1647"/>
    </row>
    <row r="139" spans="1:37">
      <c r="A139" s="157">
        <f>'Input data'!A134</f>
        <v>2034</v>
      </c>
      <c r="B139" s="604">
        <f>'Recycling - Case 2'!AP113</f>
        <v>0.1214682808560769</v>
      </c>
      <c r="C139" s="606">
        <f>'Recycling - Case 2'!$B113*'Recycling - Case 2'!$AF113*'Recycling - Case 2'!BM113*$B139</f>
        <v>334.74903677960123</v>
      </c>
      <c r="D139" s="607">
        <f>'Recycling - Case 2'!$B113*'Recycling - Case 2'!$AF113*'Recycling - Case 2'!BN113*$B139</f>
        <v>349.61364387598474</v>
      </c>
      <c r="E139" s="607">
        <f>'Recycling - Case 2'!$B113*'Recycling - Case 2'!$AF113*'Recycling - Case 2'!BO113*$B139</f>
        <v>95.490099599490179</v>
      </c>
      <c r="F139" s="607">
        <f>'Recycling - Case 2'!$B113*'Recycling - Case 2'!$AF113*'Recycling - Case 2'!BP113*$B139</f>
        <v>0</v>
      </c>
      <c r="G139" s="607">
        <f>'Recycling - Case 2'!$B113*'Recycling - Case 2'!$AF113*'Recycling - Case 2'!BQ113*$B139</f>
        <v>0</v>
      </c>
      <c r="H139" s="607">
        <f>'Recycling - Case 2'!$B113*'Recycling - Case 2'!$AF113*'Recycling - Case 2'!BR113*$B139</f>
        <v>0</v>
      </c>
      <c r="I139" s="607">
        <f>'Recycling - Case 2'!$B113*'Recycling - Case 2'!$AF113*'Recycling - Case 2'!BS113*$B139</f>
        <v>373.33348214085942</v>
      </c>
      <c r="J139" s="863">
        <f t="shared" si="11"/>
        <v>1153.1862623959355</v>
      </c>
      <c r="K139" s="1640">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0.50443981974825081</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12.862085126716888</v>
      </c>
      <c r="R139" s="1641">
        <f t="shared" si="8"/>
        <v>13.366524946465139</v>
      </c>
      <c r="S139" s="564">
        <f>C139*'4C2 Open-burning '!$C$9*'4C2 Open-burning '!$C$11*$C$5</f>
        <v>1.3055212434404446</v>
      </c>
      <c r="T139" s="564">
        <f>D139*'4C2 Open-burning '!$C$9*'4C2 Open-burning '!$C$11*$C$5</f>
        <v>1.3634932111163405</v>
      </c>
      <c r="U139" s="564">
        <f>E139*'4C2 Open-burning '!$C$9*'4C2 Open-burning '!$C$11*$C$5</f>
        <v>0.37241138843801164</v>
      </c>
      <c r="V139" s="564">
        <f>F139*'4C2 Open-burning '!$C$9*'4C2 Open-burning '!$C$11*$C$5</f>
        <v>0</v>
      </c>
      <c r="W139" s="564">
        <f>G139*'4C2 Open-burning '!$C$9*'4C2 Open-burning '!$C$11*$C$5</f>
        <v>0</v>
      </c>
      <c r="X139" s="564">
        <f>H139*'4C2 Open-burning '!$C$9*'4C2 Open-burning '!$C$11*$C$5</f>
        <v>0</v>
      </c>
      <c r="Y139" s="564">
        <f>I139*'4C2 Open-burning '!$C$9*'4C2 Open-burning '!$C$11*$C$5</f>
        <v>1.4560005803493519</v>
      </c>
      <c r="Z139" s="565">
        <f t="shared" si="9"/>
        <v>4.4974264233441481</v>
      </c>
      <c r="AA139" s="566">
        <f>C139*'4C2 Open-burning '!$C$10*'4C2 Open-burning '!$C$11*$C$5*C$15</f>
        <v>1.2050965324065643E-2</v>
      </c>
      <c r="AB139" s="566">
        <f>D139*'4C2 Open-burning '!$C$10*'4C2 Open-burning '!$C$11*$C$5*D$15</f>
        <v>1.258609117953545E-2</v>
      </c>
      <c r="AC139" s="566">
        <f>E139*'4C2 Open-burning '!$C$10*'4C2 Open-burning '!$C$11*$C$5*E$15</f>
        <v>7.7346980675587042E-3</v>
      </c>
      <c r="AD139" s="566">
        <f>F139*'4C2 Open-burning '!$C$10*'4C2 Open-burning '!$C$11*$C$5*F$15</f>
        <v>0</v>
      </c>
      <c r="AE139" s="566">
        <f>G139*'4C2 Open-burning '!$C$10*'4C2 Open-burning '!$C$11*$C$5*G$15</f>
        <v>0</v>
      </c>
      <c r="AF139" s="566">
        <f>H139*'4C2 Open-burning '!$C$10*'4C2 Open-burning '!$C$11*$C$5*H$15</f>
        <v>0</v>
      </c>
      <c r="AG139" s="566">
        <f>I139*'4C2 Open-burning '!$C$10*'4C2 Open-burning '!$C$11*$C$5*I$15</f>
        <v>3.0240012053409614E-2</v>
      </c>
      <c r="AH139" s="567">
        <f t="shared" si="10"/>
        <v>6.2611766624569409E-2</v>
      </c>
      <c r="AI139" s="1647"/>
      <c r="AJ139" s="1646"/>
      <c r="AK139" s="1647"/>
    </row>
    <row r="140" spans="1:37">
      <c r="A140" s="157">
        <f>'Input data'!A135</f>
        <v>2035</v>
      </c>
      <c r="B140" s="604">
        <f>'Recycling - Case 2'!AP114</f>
        <v>0.1214682808560769</v>
      </c>
      <c r="C140" s="606">
        <f>'Recycling - Case 2'!$B114*'Recycling - Case 2'!$AF114*'Recycling - Case 2'!BM114*$B140</f>
        <v>337.60414382425051</v>
      </c>
      <c r="D140" s="607">
        <f>'Recycling - Case 2'!$B114*'Recycling - Case 2'!$AF114*'Recycling - Case 2'!BN114*$B140</f>
        <v>352.59553259817108</v>
      </c>
      <c r="E140" s="607">
        <f>'Recycling - Case 2'!$B114*'Recycling - Case 2'!$AF114*'Recycling - Case 2'!BO114*$B140</f>
        <v>96.304543932724414</v>
      </c>
      <c r="F140" s="607">
        <f>'Recycling - Case 2'!$B114*'Recycling - Case 2'!$AF114*'Recycling - Case 2'!BP114*$B140</f>
        <v>0</v>
      </c>
      <c r="G140" s="607">
        <f>'Recycling - Case 2'!$B114*'Recycling - Case 2'!$AF114*'Recycling - Case 2'!BQ114*$B140</f>
        <v>0</v>
      </c>
      <c r="H140" s="607">
        <f>'Recycling - Case 2'!$B114*'Recycling - Case 2'!$AF114*'Recycling - Case 2'!BR114*$B140</f>
        <v>0</v>
      </c>
      <c r="I140" s="607">
        <f>'Recycling - Case 2'!$B114*'Recycling - Case 2'!$AF114*'Recycling - Case 2'!BS114*$B140</f>
        <v>376.51767966721587</v>
      </c>
      <c r="J140" s="863">
        <f t="shared" si="11"/>
        <v>1163.0219000223619</v>
      </c>
      <c r="K140" s="1640">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0.50874223596076729</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12.97178709989492</v>
      </c>
      <c r="R140" s="1641">
        <f t="shared" si="8"/>
        <v>13.480529335855687</v>
      </c>
      <c r="S140" s="564">
        <f>C140*'4C2 Open-burning '!$C$9*'4C2 Open-burning '!$C$11*$C$5</f>
        <v>1.3166561609145768</v>
      </c>
      <c r="T140" s="564">
        <f>D140*'4C2 Open-burning '!$C$9*'4C2 Open-burning '!$C$11*$C$5</f>
        <v>1.3751225771328672</v>
      </c>
      <c r="U140" s="564">
        <f>E140*'4C2 Open-burning '!$C$9*'4C2 Open-burning '!$C$11*$C$5</f>
        <v>0.37558772133762519</v>
      </c>
      <c r="V140" s="564">
        <f>F140*'4C2 Open-burning '!$C$9*'4C2 Open-burning '!$C$11*$C$5</f>
        <v>0</v>
      </c>
      <c r="W140" s="564">
        <f>G140*'4C2 Open-burning '!$C$9*'4C2 Open-burning '!$C$11*$C$5</f>
        <v>0</v>
      </c>
      <c r="X140" s="564">
        <f>H140*'4C2 Open-burning '!$C$9*'4C2 Open-burning '!$C$11*$C$5</f>
        <v>0</v>
      </c>
      <c r="Y140" s="564">
        <f>I140*'4C2 Open-burning '!$C$9*'4C2 Open-burning '!$C$11*$C$5</f>
        <v>1.4684189507021417</v>
      </c>
      <c r="Z140" s="565">
        <f t="shared" si="9"/>
        <v>4.535785410087211</v>
      </c>
      <c r="AA140" s="566">
        <f>C140*'4C2 Open-burning '!$C$10*'4C2 Open-burning '!$C$11*$C$5*C$15</f>
        <v>1.2153749177673017E-2</v>
      </c>
      <c r="AB140" s="566">
        <f>D140*'4C2 Open-burning '!$C$10*'4C2 Open-burning '!$C$11*$C$5*D$15</f>
        <v>1.2693439173534158E-2</v>
      </c>
      <c r="AC140" s="566">
        <f>E140*'4C2 Open-burning '!$C$10*'4C2 Open-burning '!$C$11*$C$5*E$15</f>
        <v>7.8006680585506758E-3</v>
      </c>
      <c r="AD140" s="566">
        <f>F140*'4C2 Open-burning '!$C$10*'4C2 Open-burning '!$C$11*$C$5*F$15</f>
        <v>0</v>
      </c>
      <c r="AE140" s="566">
        <f>G140*'4C2 Open-burning '!$C$10*'4C2 Open-burning '!$C$11*$C$5*G$15</f>
        <v>0</v>
      </c>
      <c r="AF140" s="566">
        <f>H140*'4C2 Open-burning '!$C$10*'4C2 Open-burning '!$C$11*$C$5*H$15</f>
        <v>0</v>
      </c>
      <c r="AG140" s="566">
        <f>I140*'4C2 Open-burning '!$C$10*'4C2 Open-burning '!$C$11*$C$5*I$15</f>
        <v>3.0497932053044484E-2</v>
      </c>
      <c r="AH140" s="567">
        <f t="shared" si="10"/>
        <v>6.3145788462802332E-2</v>
      </c>
      <c r="AI140" s="1647"/>
      <c r="AJ140" s="1646"/>
      <c r="AK140" s="1647"/>
    </row>
    <row r="141" spans="1:37">
      <c r="A141" s="157">
        <f>'Input data'!A136</f>
        <v>2036</v>
      </c>
      <c r="B141" s="604">
        <f>'Recycling - Case 2'!AP115</f>
        <v>0.1214682808560769</v>
      </c>
      <c r="C141" s="606">
        <f>'Recycling - Case 2'!$B115*'Recycling - Case 2'!$AF115*'Recycling - Case 2'!BM115*$B141</f>
        <v>340.07660765673012</v>
      </c>
      <c r="D141" s="607">
        <f>'Recycling - Case 2'!$B115*'Recycling - Case 2'!$AF115*'Recycling - Case 2'!BN115*$B141</f>
        <v>355.1777867493426</v>
      </c>
      <c r="E141" s="607">
        <f>'Recycling - Case 2'!$B115*'Recycling - Case 2'!$AF115*'Recycling - Case 2'!BO115*$B141</f>
        <v>97.009835932638566</v>
      </c>
      <c r="F141" s="607">
        <f>'Recycling - Case 2'!$B115*'Recycling - Case 2'!$AF115*'Recycling - Case 2'!BP115*$B141</f>
        <v>0</v>
      </c>
      <c r="G141" s="607">
        <f>'Recycling - Case 2'!$B115*'Recycling - Case 2'!$AF115*'Recycling - Case 2'!BQ115*$B141</f>
        <v>0</v>
      </c>
      <c r="H141" s="607">
        <f>'Recycling - Case 2'!$B115*'Recycling - Case 2'!$AF115*'Recycling - Case 2'!BR115*$B141</f>
        <v>0</v>
      </c>
      <c r="I141" s="607">
        <f>'Recycling - Case 2'!$B115*'Recycling - Case 2'!$AF115*'Recycling - Case 2'!BS115*$B141</f>
        <v>379.27512907148315</v>
      </c>
      <c r="J141" s="863">
        <f t="shared" si="11"/>
        <v>1171.5393594101945</v>
      </c>
      <c r="K141" s="1640">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0.51246803969119381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13.066786746770736</v>
      </c>
      <c r="R141" s="1641">
        <f t="shared" si="8"/>
        <v>13.579254786461931</v>
      </c>
      <c r="S141" s="564">
        <f>C141*'4C2 Open-burning '!$C$9*'4C2 Open-burning '!$C$11*$C$5</f>
        <v>1.3262987698612474</v>
      </c>
      <c r="T141" s="564">
        <f>D141*'4C2 Open-burning '!$C$9*'4C2 Open-burning '!$C$11*$C$5</f>
        <v>1.385193368322436</v>
      </c>
      <c r="U141" s="564">
        <f>E141*'4C2 Open-burning '!$C$9*'4C2 Open-burning '!$C$11*$C$5</f>
        <v>0.37833836013729039</v>
      </c>
      <c r="V141" s="564">
        <f>F141*'4C2 Open-burning '!$C$9*'4C2 Open-burning '!$C$11*$C$5</f>
        <v>0</v>
      </c>
      <c r="W141" s="564">
        <f>G141*'4C2 Open-burning '!$C$9*'4C2 Open-burning '!$C$11*$C$5</f>
        <v>0</v>
      </c>
      <c r="X141" s="564">
        <f>H141*'4C2 Open-burning '!$C$9*'4C2 Open-burning '!$C$11*$C$5</f>
        <v>0</v>
      </c>
      <c r="Y141" s="564">
        <f>I141*'4C2 Open-burning '!$C$9*'4C2 Open-burning '!$C$11*$C$5</f>
        <v>1.4791730033787842</v>
      </c>
      <c r="Z141" s="565">
        <f t="shared" si="9"/>
        <v>4.5690035016997577</v>
      </c>
      <c r="AA141" s="566">
        <f>C141*'4C2 Open-burning '!$C$10*'4C2 Open-burning '!$C$11*$C$5*C$15</f>
        <v>1.2242757875642283E-2</v>
      </c>
      <c r="AB141" s="566">
        <f>D141*'4C2 Open-burning '!$C$10*'4C2 Open-burning '!$C$11*$C$5*D$15</f>
        <v>1.2786400322976333E-2</v>
      </c>
      <c r="AC141" s="566">
        <f>E141*'4C2 Open-burning '!$C$10*'4C2 Open-burning '!$C$11*$C$5*E$15</f>
        <v>7.857796710543723E-3</v>
      </c>
      <c r="AD141" s="566">
        <f>F141*'4C2 Open-burning '!$C$10*'4C2 Open-burning '!$C$11*$C$5*F$15</f>
        <v>0</v>
      </c>
      <c r="AE141" s="566">
        <f>G141*'4C2 Open-burning '!$C$10*'4C2 Open-burning '!$C$11*$C$5*G$15</f>
        <v>0</v>
      </c>
      <c r="AF141" s="566">
        <f>H141*'4C2 Open-burning '!$C$10*'4C2 Open-burning '!$C$11*$C$5*H$15</f>
        <v>0</v>
      </c>
      <c r="AG141" s="566">
        <f>I141*'4C2 Open-burning '!$C$10*'4C2 Open-burning '!$C$11*$C$5*I$15</f>
        <v>3.0721285454790134E-2</v>
      </c>
      <c r="AH141" s="567">
        <f t="shared" si="10"/>
        <v>6.3608240363952476E-2</v>
      </c>
      <c r="AI141" s="1647"/>
      <c r="AJ141" s="1646"/>
      <c r="AK141" s="1647"/>
    </row>
    <row r="142" spans="1:37">
      <c r="A142" s="157">
        <f>'Input data'!A137</f>
        <v>2037</v>
      </c>
      <c r="B142" s="604">
        <f>'Recycling - Case 2'!AP116</f>
        <v>0.1214682808560769</v>
      </c>
      <c r="C142" s="606">
        <f>'Recycling - Case 2'!$B116*'Recycling - Case 2'!$AF116*'Recycling - Case 2'!BM116*$B142</f>
        <v>342.5637885358318</v>
      </c>
      <c r="D142" s="607">
        <f>'Recycling - Case 2'!$B116*'Recycling - Case 2'!$AF116*'Recycling - Case 2'!BN116*$B142</f>
        <v>357.77541146093785</v>
      </c>
      <c r="E142" s="607">
        <f>'Recycling - Case 2'!$B116*'Recycling - Case 2'!$AF116*'Recycling - Case 2'!BO116*$B142</f>
        <v>97.71932609921889</v>
      </c>
      <c r="F142" s="607">
        <f>'Recycling - Case 2'!$B116*'Recycling - Case 2'!$AF116*'Recycling - Case 2'!BP116*$B142</f>
        <v>0</v>
      </c>
      <c r="G142" s="607">
        <f>'Recycling - Case 2'!$B116*'Recycling - Case 2'!$AF116*'Recycling - Case 2'!BQ116*$B142</f>
        <v>0</v>
      </c>
      <c r="H142" s="607">
        <f>'Recycling - Case 2'!$B116*'Recycling - Case 2'!$AF116*'Recycling - Case 2'!BR116*$B142</f>
        <v>0</v>
      </c>
      <c r="I142" s="607">
        <f>'Recycling - Case 2'!$B116*'Recycling - Case 2'!$AF116*'Recycling - Case 2'!BS116*$B142</f>
        <v>382.04899186506168</v>
      </c>
      <c r="J142" s="863">
        <f t="shared" si="11"/>
        <v>1180.1075179610502</v>
      </c>
      <c r="K142" s="1640">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0.51621602082477769</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13.162351867735104</v>
      </c>
      <c r="R142" s="1641">
        <f t="shared" si="8"/>
        <v>13.678567888559883</v>
      </c>
      <c r="S142" s="564">
        <f>C142*'4C2 Open-burning '!$C$9*'4C2 Open-burning '!$C$11*$C$5</f>
        <v>1.3359987752897438</v>
      </c>
      <c r="T142" s="564">
        <f>D142*'4C2 Open-burning '!$C$9*'4C2 Open-burning '!$C$11*$C$5</f>
        <v>1.3953241046976574</v>
      </c>
      <c r="U142" s="564">
        <f>E142*'4C2 Open-burning '!$C$9*'4C2 Open-burning '!$C$11*$C$5</f>
        <v>0.38110537178695364</v>
      </c>
      <c r="V142" s="564">
        <f>F142*'4C2 Open-burning '!$C$9*'4C2 Open-burning '!$C$11*$C$5</f>
        <v>0</v>
      </c>
      <c r="W142" s="564">
        <f>G142*'4C2 Open-burning '!$C$9*'4C2 Open-burning '!$C$11*$C$5</f>
        <v>0</v>
      </c>
      <c r="X142" s="564">
        <f>H142*'4C2 Open-burning '!$C$9*'4C2 Open-burning '!$C$11*$C$5</f>
        <v>0</v>
      </c>
      <c r="Y142" s="564">
        <f>I142*'4C2 Open-burning '!$C$9*'4C2 Open-burning '!$C$11*$C$5</f>
        <v>1.4899910682737403</v>
      </c>
      <c r="Z142" s="565">
        <f t="shared" si="9"/>
        <v>4.602419320048095</v>
      </c>
      <c r="AA142" s="566">
        <f>C142*'4C2 Open-burning '!$C$10*'4C2 Open-burning '!$C$11*$C$5*C$15</f>
        <v>1.2332296387289944E-2</v>
      </c>
      <c r="AB142" s="566">
        <f>D142*'4C2 Open-burning '!$C$10*'4C2 Open-burning '!$C$11*$C$5*D$15</f>
        <v>1.2879914812593762E-2</v>
      </c>
      <c r="AC142" s="566">
        <f>E142*'4C2 Open-burning '!$C$10*'4C2 Open-burning '!$C$11*$C$5*E$15</f>
        <v>7.9152654140367297E-3</v>
      </c>
      <c r="AD142" s="566">
        <f>F142*'4C2 Open-burning '!$C$10*'4C2 Open-burning '!$C$11*$C$5*F$15</f>
        <v>0</v>
      </c>
      <c r="AE142" s="566">
        <f>G142*'4C2 Open-burning '!$C$10*'4C2 Open-burning '!$C$11*$C$5*G$15</f>
        <v>0</v>
      </c>
      <c r="AF142" s="566">
        <f>H142*'4C2 Open-burning '!$C$10*'4C2 Open-burning '!$C$11*$C$5*H$15</f>
        <v>0</v>
      </c>
      <c r="AG142" s="566">
        <f>I142*'4C2 Open-burning '!$C$10*'4C2 Open-burning '!$C$11*$C$5*I$15</f>
        <v>3.0945968341069992E-2</v>
      </c>
      <c r="AH142" s="567">
        <f t="shared" si="10"/>
        <v>6.4073444954990427E-2</v>
      </c>
      <c r="AI142" s="1647"/>
      <c r="AJ142" s="1646"/>
      <c r="AK142" s="1647"/>
    </row>
    <row r="143" spans="1:37">
      <c r="A143" s="157">
        <f>'Input data'!A138</f>
        <v>2038</v>
      </c>
      <c r="B143" s="604">
        <f>'Recycling - Case 2'!AP117</f>
        <v>0.1214682808560769</v>
      </c>
      <c r="C143" s="606">
        <f>'Recycling - Case 2'!$B117*'Recycling - Case 2'!$AF117*'Recycling - Case 2'!BM117*$B143</f>
        <v>345.07549782596993</v>
      </c>
      <c r="D143" s="607">
        <f>'Recycling - Case 2'!$B117*'Recycling - Case 2'!$AF117*'Recycling - Case 2'!BN117*$B143</f>
        <v>360.39865377323918</v>
      </c>
      <c r="E143" s="607">
        <f>'Recycling - Case 2'!$B117*'Recycling - Case 2'!$AF117*'Recycling - Case 2'!BO117*$B143</f>
        <v>98.435813210242813</v>
      </c>
      <c r="F143" s="607">
        <f>'Recycling - Case 2'!$B117*'Recycling - Case 2'!$AF117*'Recycling - Case 2'!BP117*$B143</f>
        <v>0</v>
      </c>
      <c r="G143" s="607">
        <f>'Recycling - Case 2'!$B117*'Recycling - Case 2'!$AF117*'Recycling - Case 2'!BQ117*$B143</f>
        <v>0</v>
      </c>
      <c r="H143" s="607">
        <f>'Recycling - Case 2'!$B117*'Recycling - Case 2'!$AF117*'Recycling - Case 2'!BR117*$B143</f>
        <v>0</v>
      </c>
      <c r="I143" s="607">
        <f>'Recycling - Case 2'!$B117*'Recycling - Case 2'!$AF117*'Recycling - Case 2'!BS117*$B143</f>
        <v>384.85021030749209</v>
      </c>
      <c r="J143" s="863">
        <f t="shared" si="11"/>
        <v>1188.7601751169441</v>
      </c>
      <c r="K143" s="1640">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0.52000096429695708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13.258859445513716</v>
      </c>
      <c r="R143" s="1641">
        <f t="shared" si="8"/>
        <v>13.778860409810672</v>
      </c>
      <c r="S143" s="564">
        <f>C143*'4C2 Open-burning '!$C$9*'4C2 Open-burning '!$C$11*$C$5</f>
        <v>1.3457944415212826</v>
      </c>
      <c r="T143" s="564">
        <f>D143*'4C2 Open-burning '!$C$9*'4C2 Open-burning '!$C$11*$C$5</f>
        <v>1.4055547497156327</v>
      </c>
      <c r="U143" s="564">
        <f>E143*'4C2 Open-burning '!$C$9*'4C2 Open-burning '!$C$11*$C$5</f>
        <v>0.38389967151994692</v>
      </c>
      <c r="V143" s="564">
        <f>F143*'4C2 Open-burning '!$C$9*'4C2 Open-burning '!$C$11*$C$5</f>
        <v>0</v>
      </c>
      <c r="W143" s="564">
        <f>G143*'4C2 Open-burning '!$C$9*'4C2 Open-burning '!$C$11*$C$5</f>
        <v>0</v>
      </c>
      <c r="X143" s="564">
        <f>H143*'4C2 Open-burning '!$C$9*'4C2 Open-burning '!$C$11*$C$5</f>
        <v>0</v>
      </c>
      <c r="Y143" s="564">
        <f>I143*'4C2 Open-burning '!$C$9*'4C2 Open-burning '!$C$11*$C$5</f>
        <v>1.500915820199219</v>
      </c>
      <c r="Z143" s="565">
        <f t="shared" si="9"/>
        <v>4.636164682956081</v>
      </c>
      <c r="AA143" s="566">
        <f>C143*'4C2 Open-burning '!$C$10*'4C2 Open-burning '!$C$11*$C$5*C$15</f>
        <v>1.2422717921734917E-2</v>
      </c>
      <c r="AB143" s="566">
        <f>D143*'4C2 Open-burning '!$C$10*'4C2 Open-burning '!$C$11*$C$5*D$15</f>
        <v>1.297435153583661E-2</v>
      </c>
      <c r="AC143" s="566">
        <f>E143*'4C2 Open-burning '!$C$10*'4C2 Open-burning '!$C$11*$C$5*E$15</f>
        <v>7.9733008700296672E-3</v>
      </c>
      <c r="AD143" s="566">
        <f>F143*'4C2 Open-burning '!$C$10*'4C2 Open-burning '!$C$11*$C$5*F$15</f>
        <v>0</v>
      </c>
      <c r="AE143" s="566">
        <f>G143*'4C2 Open-burning '!$C$10*'4C2 Open-burning '!$C$11*$C$5*G$15</f>
        <v>0</v>
      </c>
      <c r="AF143" s="566">
        <f>H143*'4C2 Open-burning '!$C$10*'4C2 Open-burning '!$C$11*$C$5*H$15</f>
        <v>0</v>
      </c>
      <c r="AG143" s="566">
        <f>I143*'4C2 Open-burning '!$C$10*'4C2 Open-burning '!$C$11*$C$5*I$15</f>
        <v>3.1172867034906855E-2</v>
      </c>
      <c r="AH143" s="567">
        <f t="shared" si="10"/>
        <v>6.4543237362508055E-2</v>
      </c>
      <c r="AI143" s="1647"/>
      <c r="AJ143" s="1646"/>
      <c r="AK143" s="1647"/>
    </row>
    <row r="144" spans="1:37">
      <c r="A144" s="157">
        <f>'Input data'!A139</f>
        <v>2039</v>
      </c>
      <c r="B144" s="604">
        <f>'Recycling - Case 2'!AP118</f>
        <v>0.1214682808560769</v>
      </c>
      <c r="C144" s="606">
        <f>'Recycling - Case 2'!$B118*'Recycling - Case 2'!$AF118*'Recycling - Case 2'!BM118*$B144</f>
        <v>347.60192416272997</v>
      </c>
      <c r="D144" s="607">
        <f>'Recycling - Case 2'!$B118*'Recycling - Case 2'!$AF118*'Recycling - Case 2'!BN118*$B144</f>
        <v>363.03726664596411</v>
      </c>
      <c r="E144" s="607">
        <f>'Recycling - Case 2'!$B118*'Recycling - Case 2'!$AF118*'Recycling - Case 2'!BO118*$B144</f>
        <v>99.156498487932879</v>
      </c>
      <c r="F144" s="607">
        <f>'Recycling - Case 2'!$B118*'Recycling - Case 2'!$AF118*'Recycling - Case 2'!BP118*$B144</f>
        <v>0</v>
      </c>
      <c r="G144" s="607">
        <f>'Recycling - Case 2'!$B118*'Recycling - Case 2'!$AF118*'Recycling - Case 2'!BQ118*$B144</f>
        <v>0</v>
      </c>
      <c r="H144" s="607">
        <f>'Recycling - Case 2'!$B118*'Recycling - Case 2'!$AF118*'Recycling - Case 2'!BR118*$B144</f>
        <v>0</v>
      </c>
      <c r="I144" s="607">
        <f>'Recycling - Case 2'!$B118*'Recycling - Case 2'!$AF118*'Recycling - Case 2'!BS118*$B144</f>
        <v>387.66784213923347</v>
      </c>
      <c r="J144" s="863">
        <f t="shared" si="11"/>
        <v>1197.4635314358604</v>
      </c>
      <c r="K144" s="1640">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0.52380808517229371</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13.35593249738087</v>
      </c>
      <c r="R144" s="1641">
        <f t="shared" si="8"/>
        <v>13.879740582553163</v>
      </c>
      <c r="S144" s="564">
        <f>C144*'4C2 Open-burning '!$C$9*'4C2 Open-burning '!$C$11*$C$5</f>
        <v>1.355647504234647</v>
      </c>
      <c r="T144" s="564">
        <f>D144*'4C2 Open-burning '!$C$9*'4C2 Open-burning '!$C$11*$C$5</f>
        <v>1.4158453399192596</v>
      </c>
      <c r="U144" s="564">
        <f>E144*'4C2 Open-burning '!$C$9*'4C2 Open-burning '!$C$11*$C$5</f>
        <v>0.3867103441029382</v>
      </c>
      <c r="V144" s="564">
        <f>F144*'4C2 Open-burning '!$C$9*'4C2 Open-burning '!$C$11*$C$5</f>
        <v>0</v>
      </c>
      <c r="W144" s="564">
        <f>G144*'4C2 Open-burning '!$C$9*'4C2 Open-burning '!$C$11*$C$5</f>
        <v>0</v>
      </c>
      <c r="X144" s="564">
        <f>H144*'4C2 Open-burning '!$C$9*'4C2 Open-burning '!$C$11*$C$5</f>
        <v>0</v>
      </c>
      <c r="Y144" s="564">
        <f>I144*'4C2 Open-burning '!$C$9*'4C2 Open-burning '!$C$11*$C$5</f>
        <v>1.5119045843430103</v>
      </c>
      <c r="Z144" s="565">
        <f t="shared" si="9"/>
        <v>4.670107772599855</v>
      </c>
      <c r="AA144" s="566">
        <f>C144*'4C2 Open-burning '!$C$10*'4C2 Open-burning '!$C$11*$C$5*C$15</f>
        <v>1.251366926985828E-2</v>
      </c>
      <c r="AB144" s="566">
        <f>D144*'4C2 Open-burning '!$C$10*'4C2 Open-burning '!$C$11*$C$5*D$15</f>
        <v>1.3069341599254708E-2</v>
      </c>
      <c r="AC144" s="566">
        <f>E144*'4C2 Open-burning '!$C$10*'4C2 Open-burning '!$C$11*$C$5*E$15</f>
        <v>8.0316763775225633E-3</v>
      </c>
      <c r="AD144" s="566">
        <f>F144*'4C2 Open-burning '!$C$10*'4C2 Open-burning '!$C$11*$C$5*F$15</f>
        <v>0</v>
      </c>
      <c r="AE144" s="566">
        <f>G144*'4C2 Open-burning '!$C$10*'4C2 Open-burning '!$C$11*$C$5*G$15</f>
        <v>0</v>
      </c>
      <c r="AF144" s="566">
        <f>H144*'4C2 Open-burning '!$C$10*'4C2 Open-burning '!$C$11*$C$5*H$15</f>
        <v>0</v>
      </c>
      <c r="AG144" s="566">
        <f>I144*'4C2 Open-burning '!$C$10*'4C2 Open-burning '!$C$11*$C$5*I$15</f>
        <v>3.1401095213277913E-2</v>
      </c>
      <c r="AH144" s="567">
        <f t="shared" si="10"/>
        <v>6.5015782459913463E-2</v>
      </c>
      <c r="AI144" s="1647"/>
      <c r="AJ144" s="1646"/>
      <c r="AK144" s="1647"/>
    </row>
    <row r="145" spans="1:39">
      <c r="A145" s="157">
        <f>'Input data'!A140</f>
        <v>2040</v>
      </c>
      <c r="B145" s="604">
        <f>'Recycling - Case 2'!AP119</f>
        <v>0.1214682808560769</v>
      </c>
      <c r="C145" s="606">
        <f>'Recycling - Case 2'!$B119*'Recycling - Case 2'!$AF119*'Recycling - Case 2'!BM119*$B145</f>
        <v>350.14306754611192</v>
      </c>
      <c r="D145" s="607">
        <f>'Recycling - Case 2'!$B119*'Recycling - Case 2'!$AF119*'Recycling - Case 2'!BN119*$B145</f>
        <v>365.69125007911271</v>
      </c>
      <c r="E145" s="607">
        <f>'Recycling - Case 2'!$B119*'Recycling - Case 2'!$AF119*'Recycling - Case 2'!BO119*$B145</f>
        <v>99.881381932289116</v>
      </c>
      <c r="F145" s="607">
        <f>'Recycling - Case 2'!$B119*'Recycling - Case 2'!$AF119*'Recycling - Case 2'!BP119*$B145</f>
        <v>0</v>
      </c>
      <c r="G145" s="607">
        <f>'Recycling - Case 2'!$B119*'Recycling - Case 2'!$AF119*'Recycling - Case 2'!BQ119*$B145</f>
        <v>0</v>
      </c>
      <c r="H145" s="607">
        <f>'Recycling - Case 2'!$B119*'Recycling - Case 2'!$AF119*'Recycling - Case 2'!BR119*$B145</f>
        <v>0</v>
      </c>
      <c r="I145" s="607">
        <f>'Recycling - Case 2'!$B119*'Recycling - Case 2'!$AF119*'Recycling - Case 2'!BS119*$B145</f>
        <v>390.50188736028616</v>
      </c>
      <c r="J145" s="863">
        <f t="shared" si="11"/>
        <v>1206.2175869178</v>
      </c>
      <c r="K145" s="1640">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0.52763738345078781</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13.453571023336577</v>
      </c>
      <c r="R145" s="1641">
        <f t="shared" si="8"/>
        <v>13.981208406787365</v>
      </c>
      <c r="S145" s="564">
        <f>C145*'4C2 Open-burning '!$C$9*'4C2 Open-burning '!$C$11*$C$5</f>
        <v>1.3655579634298365</v>
      </c>
      <c r="T145" s="564">
        <f>D145*'4C2 Open-burning '!$C$9*'4C2 Open-burning '!$C$11*$C$5</f>
        <v>1.4261958753085395</v>
      </c>
      <c r="U145" s="564">
        <f>E145*'4C2 Open-burning '!$C$9*'4C2 Open-burning '!$C$11*$C$5</f>
        <v>0.38953738953592754</v>
      </c>
      <c r="V145" s="564">
        <f>F145*'4C2 Open-burning '!$C$9*'4C2 Open-burning '!$C$11*$C$5</f>
        <v>0</v>
      </c>
      <c r="W145" s="564">
        <f>G145*'4C2 Open-burning '!$C$9*'4C2 Open-burning '!$C$11*$C$5</f>
        <v>0</v>
      </c>
      <c r="X145" s="564">
        <f>H145*'4C2 Open-burning '!$C$9*'4C2 Open-burning '!$C$11*$C$5</f>
        <v>0</v>
      </c>
      <c r="Y145" s="564">
        <f>I145*'4C2 Open-burning '!$C$9*'4C2 Open-burning '!$C$11*$C$5</f>
        <v>1.5229573607051161</v>
      </c>
      <c r="Z145" s="565">
        <f t="shared" si="9"/>
        <v>4.7042485889794197</v>
      </c>
      <c r="AA145" s="566">
        <f>C145*'4C2 Open-burning '!$C$10*'4C2 Open-burning '!$C$11*$C$5*C$15</f>
        <v>1.260515043166003E-2</v>
      </c>
      <c r="AB145" s="566">
        <f>D145*'4C2 Open-burning '!$C$10*'4C2 Open-burning '!$C$11*$C$5*D$15</f>
        <v>1.3164885002848056E-2</v>
      </c>
      <c r="AC145" s="566">
        <f>E145*'4C2 Open-burning '!$C$10*'4C2 Open-burning '!$C$11*$C$5*E$15</f>
        <v>8.0903919365154196E-3</v>
      </c>
      <c r="AD145" s="566">
        <f>F145*'4C2 Open-burning '!$C$10*'4C2 Open-burning '!$C$11*$C$5*F$15</f>
        <v>0</v>
      </c>
      <c r="AE145" s="566">
        <f>G145*'4C2 Open-burning '!$C$10*'4C2 Open-burning '!$C$11*$C$5*G$15</f>
        <v>0</v>
      </c>
      <c r="AF145" s="566">
        <f>H145*'4C2 Open-burning '!$C$10*'4C2 Open-burning '!$C$11*$C$5*H$15</f>
        <v>0</v>
      </c>
      <c r="AG145" s="566">
        <f>I145*'4C2 Open-burning '!$C$10*'4C2 Open-burning '!$C$11*$C$5*I$15</f>
        <v>3.1630652876183177E-2</v>
      </c>
      <c r="AH145" s="567">
        <f t="shared" si="10"/>
        <v>6.5491080247206679E-2</v>
      </c>
      <c r="AI145" s="1647"/>
      <c r="AJ145" s="1646"/>
      <c r="AK145" s="1647"/>
    </row>
    <row r="146" spans="1:39">
      <c r="A146" s="157">
        <f>'Input data'!A141</f>
        <v>2041</v>
      </c>
      <c r="B146" s="604">
        <f>'Recycling - Case 2'!AP120</f>
        <v>0.1214682808560769</v>
      </c>
      <c r="C146" s="606">
        <f>'Recycling - Case 2'!$B120*'Recycling - Case 2'!$AF120*'Recycling - Case 2'!BM120*$B146</f>
        <v>352.32119044615359</v>
      </c>
      <c r="D146" s="607">
        <f>'Recycling - Case 2'!$B120*'Recycling - Case 2'!$AF120*'Recycling - Case 2'!BN120*$B146</f>
        <v>367.9660930218115</v>
      </c>
      <c r="E146" s="607">
        <f>'Recycling - Case 2'!$B120*'Recycling - Case 2'!$AF120*'Recycling - Case 2'!BO120*$B146</f>
        <v>100.50271059888017</v>
      </c>
      <c r="F146" s="607">
        <f>'Recycling - Case 2'!$B120*'Recycling - Case 2'!$AF120*'Recycling - Case 2'!BP120*$B146</f>
        <v>0</v>
      </c>
      <c r="G146" s="607">
        <f>'Recycling - Case 2'!$B120*'Recycling - Case 2'!$AF120*'Recycling - Case 2'!BQ120*$B146</f>
        <v>0</v>
      </c>
      <c r="H146" s="607">
        <f>'Recycling - Case 2'!$B120*'Recycling - Case 2'!$AF120*'Recycling - Case 2'!BR120*$B146</f>
        <v>0</v>
      </c>
      <c r="I146" s="607">
        <f>'Recycling - Case 2'!$B120*'Recycling - Case 2'!$AF120*'Recycling - Case 2'!BS120*$B146</f>
        <v>392.93106897833121</v>
      </c>
      <c r="J146" s="863">
        <f t="shared" si="11"/>
        <v>1213.7210630451766</v>
      </c>
      <c r="K146" s="1640">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0.53091963911806839</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13.537261188441466</v>
      </c>
      <c r="R146" s="1641">
        <f t="shared" si="8"/>
        <v>14.068180827559534</v>
      </c>
      <c r="S146" s="564">
        <f>C146*'4C2 Open-burning '!$C$9*'4C2 Open-burning '!$C$11*$C$5</f>
        <v>1.3740526427399988</v>
      </c>
      <c r="T146" s="564">
        <f>D146*'4C2 Open-burning '!$C$9*'4C2 Open-burning '!$C$11*$C$5</f>
        <v>1.4350677627850648</v>
      </c>
      <c r="U146" s="564">
        <f>E146*'4C2 Open-burning '!$C$9*'4C2 Open-burning '!$C$11*$C$5</f>
        <v>0.39196057133563267</v>
      </c>
      <c r="V146" s="564">
        <f>F146*'4C2 Open-burning '!$C$9*'4C2 Open-burning '!$C$11*$C$5</f>
        <v>0</v>
      </c>
      <c r="W146" s="564">
        <f>G146*'4C2 Open-burning '!$C$9*'4C2 Open-burning '!$C$11*$C$5</f>
        <v>0</v>
      </c>
      <c r="X146" s="564">
        <f>H146*'4C2 Open-burning '!$C$9*'4C2 Open-burning '!$C$11*$C$5</f>
        <v>0</v>
      </c>
      <c r="Y146" s="564">
        <f>I146*'4C2 Open-burning '!$C$9*'4C2 Open-burning '!$C$11*$C$5</f>
        <v>1.5324311690154917</v>
      </c>
      <c r="Z146" s="565">
        <f t="shared" si="9"/>
        <v>4.7335121458761877</v>
      </c>
      <c r="AA146" s="566">
        <f>C146*'4C2 Open-burning '!$C$10*'4C2 Open-burning '!$C$11*$C$5*C$15</f>
        <v>1.268356285606153E-2</v>
      </c>
      <c r="AB146" s="566">
        <f>D146*'4C2 Open-burning '!$C$10*'4C2 Open-burning '!$C$11*$C$5*D$15</f>
        <v>1.3246779348785213E-2</v>
      </c>
      <c r="AC146" s="566">
        <f>E146*'4C2 Open-burning '!$C$10*'4C2 Open-burning '!$C$11*$C$5*E$15</f>
        <v>8.1407195585092938E-3</v>
      </c>
      <c r="AD146" s="566">
        <f>F146*'4C2 Open-burning '!$C$10*'4C2 Open-burning '!$C$11*$C$5*F$15</f>
        <v>0</v>
      </c>
      <c r="AE146" s="566">
        <f>G146*'4C2 Open-burning '!$C$10*'4C2 Open-burning '!$C$11*$C$5*G$15</f>
        <v>0</v>
      </c>
      <c r="AF146" s="566">
        <f>H146*'4C2 Open-burning '!$C$10*'4C2 Open-burning '!$C$11*$C$5*H$15</f>
        <v>0</v>
      </c>
      <c r="AG146" s="566">
        <f>I146*'4C2 Open-burning '!$C$10*'4C2 Open-burning '!$C$11*$C$5*I$15</f>
        <v>3.1827416587244826E-2</v>
      </c>
      <c r="AH146" s="567">
        <f t="shared" si="10"/>
        <v>6.5898478350600864E-2</v>
      </c>
      <c r="AI146" s="1647"/>
      <c r="AJ146" s="1646"/>
      <c r="AK146" s="1647"/>
    </row>
    <row r="147" spans="1:39">
      <c r="A147" s="157">
        <f>'Input data'!A142</f>
        <v>2042</v>
      </c>
      <c r="B147" s="604">
        <f>'Recycling - Case 2'!AP121</f>
        <v>0.1214682808560769</v>
      </c>
      <c r="C147" s="606">
        <f>'Recycling - Case 2'!$B121*'Recycling - Case 2'!$AF121*'Recycling - Case 2'!BM121*$B147</f>
        <v>354.50912471060991</v>
      </c>
      <c r="D147" s="607">
        <f>'Recycling - Case 2'!$B121*'Recycling - Case 2'!$AF121*'Recycling - Case 2'!BN121*$B147</f>
        <v>370.25118300479272</v>
      </c>
      <c r="E147" s="607">
        <f>'Recycling - Case 2'!$B121*'Recycling - Case 2'!$AF121*'Recycling - Case 2'!BO121*$B147</f>
        <v>101.12683804324867</v>
      </c>
      <c r="F147" s="607">
        <f>'Recycling - Case 2'!$B121*'Recycling - Case 2'!$AF121*'Recycling - Case 2'!BP121*$B147</f>
        <v>0</v>
      </c>
      <c r="G147" s="607">
        <f>'Recycling - Case 2'!$B121*'Recycling - Case 2'!$AF121*'Recycling - Case 2'!BQ121*$B147</f>
        <v>0</v>
      </c>
      <c r="H147" s="607">
        <f>'Recycling - Case 2'!$B121*'Recycling - Case 2'!$AF121*'Recycling - Case 2'!BR121*$B147</f>
        <v>0</v>
      </c>
      <c r="I147" s="607">
        <f>'Recycling - Case 2'!$B121*'Recycling - Case 2'!$AF121*'Recycling - Case 2'!BS121*$B147</f>
        <v>395.371192855917</v>
      </c>
      <c r="J147" s="863">
        <f t="shared" si="11"/>
        <v>1221.2583386145684</v>
      </c>
      <c r="K147" s="1640">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0.53421667972078712</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13.62132833627205</v>
      </c>
      <c r="R147" s="1641">
        <f t="shared" si="8"/>
        <v>14.155545015992837</v>
      </c>
      <c r="S147" s="564">
        <f>C147*'4C2 Open-burning '!$C$9*'4C2 Open-burning '!$C$11*$C$5</f>
        <v>1.3825855863713785</v>
      </c>
      <c r="T147" s="564">
        <f>D147*'4C2 Open-burning '!$C$9*'4C2 Open-burning '!$C$11*$C$5</f>
        <v>1.4439796137186913</v>
      </c>
      <c r="U147" s="564">
        <f>E147*'4C2 Open-burning '!$C$9*'4C2 Open-burning '!$C$11*$C$5</f>
        <v>0.39439466836866982</v>
      </c>
      <c r="V147" s="564">
        <f>F147*'4C2 Open-burning '!$C$9*'4C2 Open-burning '!$C$11*$C$5</f>
        <v>0</v>
      </c>
      <c r="W147" s="564">
        <f>G147*'4C2 Open-burning '!$C$9*'4C2 Open-burning '!$C$11*$C$5</f>
        <v>0</v>
      </c>
      <c r="X147" s="564">
        <f>H147*'4C2 Open-burning '!$C$9*'4C2 Open-burning '!$C$11*$C$5</f>
        <v>0</v>
      </c>
      <c r="Y147" s="564">
        <f>I147*'4C2 Open-burning '!$C$9*'4C2 Open-burning '!$C$11*$C$5</f>
        <v>1.5419476521380762</v>
      </c>
      <c r="Z147" s="565">
        <f t="shared" si="9"/>
        <v>4.7629075205968157</v>
      </c>
      <c r="AA147" s="566">
        <f>C147*'4C2 Open-burning '!$C$10*'4C2 Open-burning '!$C$11*$C$5*C$15</f>
        <v>1.2762328489581956E-2</v>
      </c>
      <c r="AB147" s="566">
        <f>D147*'4C2 Open-burning '!$C$10*'4C2 Open-burning '!$C$11*$C$5*D$15</f>
        <v>1.3329042588172538E-2</v>
      </c>
      <c r="AC147" s="566">
        <f>E147*'4C2 Open-burning '!$C$10*'4C2 Open-burning '!$C$11*$C$5*E$15</f>
        <v>8.191273881503142E-3</v>
      </c>
      <c r="AD147" s="566">
        <f>F147*'4C2 Open-burning '!$C$10*'4C2 Open-burning '!$C$11*$C$5*F$15</f>
        <v>0</v>
      </c>
      <c r="AE147" s="566">
        <f>G147*'4C2 Open-burning '!$C$10*'4C2 Open-burning '!$C$11*$C$5*G$15</f>
        <v>0</v>
      </c>
      <c r="AF147" s="566">
        <f>H147*'4C2 Open-burning '!$C$10*'4C2 Open-burning '!$C$11*$C$5*H$15</f>
        <v>0</v>
      </c>
      <c r="AG147" s="566">
        <f>I147*'4C2 Open-burning '!$C$10*'4C2 Open-burning '!$C$11*$C$5*I$15</f>
        <v>3.2025066621329278E-2</v>
      </c>
      <c r="AH147" s="567">
        <f t="shared" si="10"/>
        <v>6.6307711580586903E-2</v>
      </c>
      <c r="AI147" s="1647"/>
      <c r="AJ147" s="1646"/>
      <c r="AK147" s="1647"/>
    </row>
    <row r="148" spans="1:39">
      <c r="A148" s="157">
        <f>'Input data'!A143</f>
        <v>2043</v>
      </c>
      <c r="B148" s="604">
        <f>'Recycling - Case 2'!AP122</f>
        <v>0.1214682808560769</v>
      </c>
      <c r="C148" s="606">
        <f>'Recycling - Case 2'!$B122*'Recycling - Case 2'!$AF122*'Recycling - Case 2'!BM122*$B148</f>
        <v>356.71177602168797</v>
      </c>
      <c r="D148" s="607">
        <f>'Recycling - Case 2'!$B122*'Recycling - Case 2'!$AF122*'Recycling - Case 2'!BN122*$B148</f>
        <v>372.55164354819755</v>
      </c>
      <c r="E148" s="607">
        <f>'Recycling - Case 2'!$B122*'Recycling - Case 2'!$AF122*'Recycling - Case 2'!BO122*$B148</f>
        <v>101.75516365428329</v>
      </c>
      <c r="F148" s="607">
        <f>'Recycling - Case 2'!$B122*'Recycling - Case 2'!$AF122*'Recycling - Case 2'!BP122*$B148</f>
        <v>0</v>
      </c>
      <c r="G148" s="607">
        <f>'Recycling - Case 2'!$B122*'Recycling - Case 2'!$AF122*'Recycling - Case 2'!BQ122*$B148</f>
        <v>0</v>
      </c>
      <c r="H148" s="607">
        <f>'Recycling - Case 2'!$B122*'Recycling - Case 2'!$AF122*'Recycling - Case 2'!BR122*$B148</f>
        <v>0</v>
      </c>
      <c r="I148" s="607">
        <f>'Recycling - Case 2'!$B122*'Recycling - Case 2'!$AF122*'Recycling - Case 2'!BS122*$B148</f>
        <v>397.82773012281393</v>
      </c>
      <c r="J148" s="863">
        <f t="shared" si="11"/>
        <v>1228.8463133469827</v>
      </c>
      <c r="K148" s="1640">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0.5375358977266631</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13.705960958191184</v>
      </c>
      <c r="R148" s="1641">
        <f t="shared" si="8"/>
        <v>14.243496855917847</v>
      </c>
      <c r="S148" s="564">
        <f>C148*'4C2 Open-burning '!$C$9*'4C2 Open-burning '!$C$11*$C$5</f>
        <v>1.3911759264845829</v>
      </c>
      <c r="T148" s="564">
        <f>D148*'4C2 Open-burning '!$C$9*'4C2 Open-burning '!$C$11*$C$5</f>
        <v>1.4529514098379703</v>
      </c>
      <c r="U148" s="564">
        <f>E148*'4C2 Open-burning '!$C$9*'4C2 Open-burning '!$C$11*$C$5</f>
        <v>0.39684513825170481</v>
      </c>
      <c r="V148" s="564">
        <f>F148*'4C2 Open-burning '!$C$9*'4C2 Open-burning '!$C$11*$C$5</f>
        <v>0</v>
      </c>
      <c r="W148" s="564">
        <f>G148*'4C2 Open-burning '!$C$9*'4C2 Open-burning '!$C$11*$C$5</f>
        <v>0</v>
      </c>
      <c r="X148" s="564">
        <f>H148*'4C2 Open-burning '!$C$9*'4C2 Open-burning '!$C$11*$C$5</f>
        <v>0</v>
      </c>
      <c r="Y148" s="564">
        <f>I148*'4C2 Open-burning '!$C$9*'4C2 Open-burning '!$C$11*$C$5</f>
        <v>1.5515281474789744</v>
      </c>
      <c r="Z148" s="565">
        <f t="shared" si="9"/>
        <v>4.7925006220532325</v>
      </c>
      <c r="AA148" s="566">
        <f>C148*'4C2 Open-burning '!$C$10*'4C2 Open-burning '!$C$11*$C$5*C$15</f>
        <v>1.2841623936780767E-2</v>
      </c>
      <c r="AB148" s="566">
        <f>D148*'4C2 Open-burning '!$C$10*'4C2 Open-burning '!$C$11*$C$5*D$15</f>
        <v>1.341185916773511E-2</v>
      </c>
      <c r="AC148" s="566">
        <f>E148*'4C2 Open-burning '!$C$10*'4C2 Open-burning '!$C$11*$C$5*E$15</f>
        <v>8.242168255996947E-3</v>
      </c>
      <c r="AD148" s="566">
        <f>F148*'4C2 Open-burning '!$C$10*'4C2 Open-burning '!$C$11*$C$5*F$15</f>
        <v>0</v>
      </c>
      <c r="AE148" s="566">
        <f>G148*'4C2 Open-burning '!$C$10*'4C2 Open-burning '!$C$11*$C$5*G$15</f>
        <v>0</v>
      </c>
      <c r="AF148" s="566">
        <f>H148*'4C2 Open-burning '!$C$10*'4C2 Open-burning '!$C$11*$C$5*H$15</f>
        <v>0</v>
      </c>
      <c r="AG148" s="566">
        <f>I148*'4C2 Open-burning '!$C$10*'4C2 Open-burning '!$C$11*$C$5*I$15</f>
        <v>3.2224046139947927E-2</v>
      </c>
      <c r="AH148" s="567">
        <f t="shared" si="10"/>
        <v>6.6719697500460751E-2</v>
      </c>
      <c r="AI148" s="1647"/>
      <c r="AJ148" s="1646"/>
      <c r="AK148" s="1647"/>
    </row>
    <row r="149" spans="1:39">
      <c r="A149" s="157">
        <f>'Input data'!A144</f>
        <v>2044</v>
      </c>
      <c r="B149" s="604">
        <f>'Recycling - Case 2'!AP123</f>
        <v>0.1214682808560769</v>
      </c>
      <c r="C149" s="606">
        <f>'Recycling - Case 2'!$B123*'Recycling - Case 2'!$AF123*'Recycling - Case 2'!BM123*$B149</f>
        <v>358.92423869718084</v>
      </c>
      <c r="D149" s="607">
        <f>'Recycling - Case 2'!$B123*'Recycling - Case 2'!$AF123*'Recycling - Case 2'!BN123*$B149</f>
        <v>374.86235113188485</v>
      </c>
      <c r="E149" s="607">
        <f>'Recycling - Case 2'!$B123*'Recycling - Case 2'!$AF123*'Recycling - Case 2'!BO123*$B149</f>
        <v>102.38628804309539</v>
      </c>
      <c r="F149" s="607">
        <f>'Recycling - Case 2'!$B123*'Recycling - Case 2'!$AF123*'Recycling - Case 2'!BP123*$B149</f>
        <v>0</v>
      </c>
      <c r="G149" s="607">
        <f>'Recycling - Case 2'!$B123*'Recycling - Case 2'!$AF123*'Recycling - Case 2'!BQ123*$B149</f>
        <v>0</v>
      </c>
      <c r="H149" s="607">
        <f>'Recycling - Case 2'!$B123*'Recycling - Case 2'!$AF123*'Recycling - Case 2'!BR123*$B149</f>
        <v>0</v>
      </c>
      <c r="I149" s="607">
        <f>'Recycling - Case 2'!$B123*'Recycling - Case 2'!$AF123*'Recycling - Case 2'!BS123*$B149</f>
        <v>400.29520964925166</v>
      </c>
      <c r="J149" s="863">
        <f t="shared" si="11"/>
        <v>1236.4680875214126</v>
      </c>
      <c r="K149" s="1640">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0.54086990066797747</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13.790970562836018</v>
      </c>
      <c r="R149" s="1641">
        <f t="shared" si="8"/>
        <v>14.331840463503996</v>
      </c>
      <c r="S149" s="564">
        <f>C149*'4C2 Open-burning '!$C$9*'4C2 Open-burning '!$C$11*$C$5</f>
        <v>1.399804530919005</v>
      </c>
      <c r="T149" s="564">
        <f>D149*'4C2 Open-burning '!$C$9*'4C2 Open-burning '!$C$11*$C$5</f>
        <v>1.4619631694143509</v>
      </c>
      <c r="U149" s="564">
        <f>E149*'4C2 Open-burning '!$C$9*'4C2 Open-burning '!$C$11*$C$5</f>
        <v>0.39930652336807199</v>
      </c>
      <c r="V149" s="564">
        <f>F149*'4C2 Open-burning '!$C$9*'4C2 Open-burning '!$C$11*$C$5</f>
        <v>0</v>
      </c>
      <c r="W149" s="564">
        <f>G149*'4C2 Open-burning '!$C$9*'4C2 Open-burning '!$C$11*$C$5</f>
        <v>0</v>
      </c>
      <c r="X149" s="564">
        <f>H149*'4C2 Open-burning '!$C$9*'4C2 Open-burning '!$C$11*$C$5</f>
        <v>0</v>
      </c>
      <c r="Y149" s="564">
        <f>I149*'4C2 Open-burning '!$C$9*'4C2 Open-burning '!$C$11*$C$5</f>
        <v>1.561151317632081</v>
      </c>
      <c r="Z149" s="565">
        <f t="shared" si="9"/>
        <v>4.8222255413335091</v>
      </c>
      <c r="AA149" s="566">
        <f>C149*'4C2 Open-burning '!$C$10*'4C2 Open-burning '!$C$11*$C$5*C$15</f>
        <v>1.2921272593098511E-2</v>
      </c>
      <c r="AB149" s="566">
        <f>D149*'4C2 Open-burning '!$C$10*'4C2 Open-burning '!$C$11*$C$5*D$15</f>
        <v>1.3495044640747854E-2</v>
      </c>
      <c r="AC149" s="566">
        <f>E149*'4C2 Open-burning '!$C$10*'4C2 Open-burning '!$C$11*$C$5*E$15</f>
        <v>8.2932893314907243E-3</v>
      </c>
      <c r="AD149" s="566">
        <f>F149*'4C2 Open-burning '!$C$10*'4C2 Open-burning '!$C$11*$C$5*F$15</f>
        <v>0</v>
      </c>
      <c r="AE149" s="566">
        <f>G149*'4C2 Open-burning '!$C$10*'4C2 Open-burning '!$C$11*$C$5*G$15</f>
        <v>0</v>
      </c>
      <c r="AF149" s="566">
        <f>H149*'4C2 Open-burning '!$C$10*'4C2 Open-burning '!$C$11*$C$5*H$15</f>
        <v>0</v>
      </c>
      <c r="AG149" s="566">
        <f>I149*'4C2 Open-burning '!$C$10*'4C2 Open-burning '!$C$11*$C$5*I$15</f>
        <v>3.2423911981589386E-2</v>
      </c>
      <c r="AH149" s="567">
        <f t="shared" si="10"/>
        <v>6.7133518546926479E-2</v>
      </c>
      <c r="AI149" s="1647"/>
      <c r="AJ149" s="1646"/>
      <c r="AK149" s="1647"/>
    </row>
    <row r="150" spans="1:39">
      <c r="A150" s="157">
        <f>'Input data'!A145</f>
        <v>2045</v>
      </c>
      <c r="B150" s="604">
        <f>'Recycling - Case 2'!AP124</f>
        <v>0.1214682808560769</v>
      </c>
      <c r="C150" s="606">
        <f>'Recycling - Case 2'!$B124*'Recycling - Case 2'!$AF124*'Recycling - Case 2'!BM124*$B150</f>
        <v>361.15632410150283</v>
      </c>
      <c r="D150" s="607">
        <f>'Recycling - Case 2'!$B124*'Recycling - Case 2'!$AF124*'Recycling - Case 2'!BN124*$B150</f>
        <v>377.19355279613706</v>
      </c>
      <c r="E150" s="607">
        <f>'Recycling - Case 2'!$B124*'Recycling - Case 2'!$AF124*'Recycling - Case 2'!BO124*$B150</f>
        <v>103.02300998746236</v>
      </c>
      <c r="F150" s="607">
        <f>'Recycling - Case 2'!$B124*'Recycling - Case 2'!$AF124*'Recycling - Case 2'!BP124*$B150</f>
        <v>0</v>
      </c>
      <c r="G150" s="607">
        <f>'Recycling - Case 2'!$B124*'Recycling - Case 2'!$AF124*'Recycling - Case 2'!BQ124*$B150</f>
        <v>0</v>
      </c>
      <c r="H150" s="607">
        <f>'Recycling - Case 2'!$B124*'Recycling - Case 2'!$AF124*'Recycling - Case 2'!BR124*$B150</f>
        <v>0</v>
      </c>
      <c r="I150" s="607">
        <f>'Recycling - Case 2'!$B124*'Recycling - Case 2'!$AF124*'Recycling - Case 2'!BS124*$B150</f>
        <v>402.78457369477087</v>
      </c>
      <c r="J150" s="863">
        <f t="shared" si="11"/>
        <v>1244.1574605798733</v>
      </c>
      <c r="K150" s="1640">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0.54423347348016815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13.876734132932244</v>
      </c>
      <c r="R150" s="1641">
        <f t="shared" si="8"/>
        <v>14.420967606412411</v>
      </c>
      <c r="S150" s="564">
        <f>C150*'4C2 Open-burning '!$C$9*'4C2 Open-burning '!$C$11*$C$5</f>
        <v>1.408509663995861</v>
      </c>
      <c r="T150" s="564">
        <f>D150*'4C2 Open-burning '!$C$9*'4C2 Open-burning '!$C$11*$C$5</f>
        <v>1.4710548559049343</v>
      </c>
      <c r="U150" s="564">
        <f>E150*'4C2 Open-burning '!$C$9*'4C2 Open-burning '!$C$11*$C$5</f>
        <v>0.4017897389511032</v>
      </c>
      <c r="V150" s="564">
        <f>F150*'4C2 Open-burning '!$C$9*'4C2 Open-burning '!$C$11*$C$5</f>
        <v>0</v>
      </c>
      <c r="W150" s="564">
        <f>G150*'4C2 Open-burning '!$C$9*'4C2 Open-burning '!$C$11*$C$5</f>
        <v>0</v>
      </c>
      <c r="X150" s="564">
        <f>H150*'4C2 Open-burning '!$C$9*'4C2 Open-burning '!$C$11*$C$5</f>
        <v>0</v>
      </c>
      <c r="Y150" s="564">
        <f>I150*'4C2 Open-burning '!$C$9*'4C2 Open-burning '!$C$11*$C$5</f>
        <v>1.5708598374096063</v>
      </c>
      <c r="Z150" s="565">
        <f t="shared" si="9"/>
        <v>4.8522140962615055</v>
      </c>
      <c r="AA150" s="566">
        <f>C150*'4C2 Open-burning '!$C$10*'4C2 Open-burning '!$C$11*$C$5*C$15</f>
        <v>1.30016276676541E-2</v>
      </c>
      <c r="AB150" s="566">
        <f>D150*'4C2 Open-burning '!$C$10*'4C2 Open-burning '!$C$11*$C$5*D$15</f>
        <v>1.3578967900660932E-2</v>
      </c>
      <c r="AC150" s="566">
        <f>E150*'4C2 Open-burning '!$C$10*'4C2 Open-burning '!$C$11*$C$5*E$15</f>
        <v>8.3448638089844498E-3</v>
      </c>
      <c r="AD150" s="566">
        <f>F150*'4C2 Open-burning '!$C$10*'4C2 Open-burning '!$C$11*$C$5*F$15</f>
        <v>0</v>
      </c>
      <c r="AE150" s="566">
        <f>G150*'4C2 Open-burning '!$C$10*'4C2 Open-burning '!$C$11*$C$5*G$15</f>
        <v>0</v>
      </c>
      <c r="AF150" s="566">
        <f>H150*'4C2 Open-burning '!$C$10*'4C2 Open-burning '!$C$11*$C$5*H$15</f>
        <v>0</v>
      </c>
      <c r="AG150" s="566">
        <f>I150*'4C2 Open-burning '!$C$10*'4C2 Open-burning '!$C$11*$C$5*I$15</f>
        <v>3.2625550469276433E-2</v>
      </c>
      <c r="AH150" s="567">
        <f t="shared" si="10"/>
        <v>6.7551009846575916E-2</v>
      </c>
      <c r="AI150" s="1647"/>
      <c r="AJ150" s="1646"/>
      <c r="AK150" s="1647"/>
    </row>
    <row r="151" spans="1:39">
      <c r="A151" s="157">
        <f>'Input data'!A146</f>
        <v>2046</v>
      </c>
      <c r="B151" s="604">
        <f>'Recycling - Case 2'!AP125</f>
        <v>0.1214682808560769</v>
      </c>
      <c r="C151" s="606">
        <f>'Recycling - Case 2'!$B125*'Recycling - Case 2'!$AF125*'Recycling - Case 2'!BM125*$B151</f>
        <v>362.99595492924072</v>
      </c>
      <c r="D151" s="607">
        <f>'Recycling - Case 2'!$B125*'Recycling - Case 2'!$AF125*'Recycling - Case 2'!BN125*$B151</f>
        <v>379.11487284909208</v>
      </c>
      <c r="E151" s="607">
        <f>'Recycling - Case 2'!$B125*'Recycling - Case 2'!$AF125*'Recycling - Case 2'!BO125*$B151</f>
        <v>103.54778082073182</v>
      </c>
      <c r="F151" s="607">
        <f>'Recycling - Case 2'!$B125*'Recycling - Case 2'!$AF125*'Recycling - Case 2'!BP125*$B151</f>
        <v>0</v>
      </c>
      <c r="G151" s="607">
        <f>'Recycling - Case 2'!$B125*'Recycling - Case 2'!$AF125*'Recycling - Case 2'!BQ125*$B151</f>
        <v>0</v>
      </c>
      <c r="H151" s="607">
        <f>'Recycling - Case 2'!$B125*'Recycling - Case 2'!$AF125*'Recycling - Case 2'!BR125*$B151</f>
        <v>0</v>
      </c>
      <c r="I151" s="607">
        <f>'Recycling - Case 2'!$B125*'Recycling - Case 2'!$AF125*'Recycling - Case 2'!BS125*$B151</f>
        <v>404.83624735866022</v>
      </c>
      <c r="J151" s="863">
        <f t="shared" si="11"/>
        <v>1250.4948559577247</v>
      </c>
      <c r="K151" s="1640">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0.54700564887483072</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13.947418394000561</v>
      </c>
      <c r="R151" s="1641">
        <f t="shared" si="8"/>
        <v>14.494424042875391</v>
      </c>
      <c r="S151" s="564">
        <f>C151*'4C2 Open-burning '!$C$9*'4C2 Open-burning '!$C$11*$C$5</f>
        <v>1.4156842242240384</v>
      </c>
      <c r="T151" s="564">
        <f>D151*'4C2 Open-burning '!$C$9*'4C2 Open-burning '!$C$11*$C$5</f>
        <v>1.4785480041114589</v>
      </c>
      <c r="U151" s="564">
        <f>E151*'4C2 Open-burning '!$C$9*'4C2 Open-burning '!$C$11*$C$5</f>
        <v>0.40383634520085404</v>
      </c>
      <c r="V151" s="564">
        <f>F151*'4C2 Open-burning '!$C$9*'4C2 Open-burning '!$C$11*$C$5</f>
        <v>0</v>
      </c>
      <c r="W151" s="564">
        <f>G151*'4C2 Open-burning '!$C$9*'4C2 Open-burning '!$C$11*$C$5</f>
        <v>0</v>
      </c>
      <c r="X151" s="564">
        <f>H151*'4C2 Open-burning '!$C$9*'4C2 Open-burning '!$C$11*$C$5</f>
        <v>0</v>
      </c>
      <c r="Y151" s="564">
        <f>I151*'4C2 Open-burning '!$C$9*'4C2 Open-burning '!$C$11*$C$5</f>
        <v>1.5788613646987748</v>
      </c>
      <c r="Z151" s="565">
        <f t="shared" si="9"/>
        <v>4.8769299382351265</v>
      </c>
      <c r="AA151" s="566">
        <f>C151*'4C2 Open-burning '!$C$10*'4C2 Open-burning '!$C$11*$C$5*C$15</f>
        <v>1.3067854377452665E-2</v>
      </c>
      <c r="AB151" s="566">
        <f>D151*'4C2 Open-burning '!$C$10*'4C2 Open-burning '!$C$11*$C$5*D$15</f>
        <v>1.3648135422567315E-2</v>
      </c>
      <c r="AC151" s="566">
        <f>E151*'4C2 Open-burning '!$C$10*'4C2 Open-burning '!$C$11*$C$5*E$15</f>
        <v>8.3873702464792761E-3</v>
      </c>
      <c r="AD151" s="566">
        <f>F151*'4C2 Open-burning '!$C$10*'4C2 Open-burning '!$C$11*$C$5*F$15</f>
        <v>0</v>
      </c>
      <c r="AE151" s="566">
        <f>G151*'4C2 Open-burning '!$C$10*'4C2 Open-burning '!$C$11*$C$5*G$15</f>
        <v>0</v>
      </c>
      <c r="AF151" s="566">
        <f>H151*'4C2 Open-burning '!$C$10*'4C2 Open-burning '!$C$11*$C$5*H$15</f>
        <v>0</v>
      </c>
      <c r="AG151" s="566">
        <f>I151*'4C2 Open-burning '!$C$10*'4C2 Open-burning '!$C$11*$C$5*I$15</f>
        <v>3.2791736036051476E-2</v>
      </c>
      <c r="AH151" s="567">
        <f t="shared" si="10"/>
        <v>6.7895096082550732E-2</v>
      </c>
      <c r="AI151" s="1647"/>
      <c r="AJ151" s="1646"/>
      <c r="AK151" s="1647"/>
    </row>
    <row r="152" spans="1:39">
      <c r="A152" s="157">
        <f>'Input data'!A147</f>
        <v>2047</v>
      </c>
      <c r="B152" s="604">
        <f>'Recycling - Case 2'!AP126</f>
        <v>0.1214682808560769</v>
      </c>
      <c r="C152" s="606">
        <f>'Recycling - Case 2'!$B126*'Recycling - Case 2'!$AF126*'Recycling - Case 2'!BM126*$B152</f>
        <v>364.85030280360053</v>
      </c>
      <c r="D152" s="607">
        <f>'Recycling - Case 2'!$B126*'Recycling - Case 2'!$AF126*'Recycling - Case 2'!BN126*$B152</f>
        <v>381.05156346247077</v>
      </c>
      <c r="E152" s="607">
        <f>'Recycling - Case 2'!$B126*'Recycling - Case 2'!$AF126*'Recycling - Case 2'!BO126*$B152</f>
        <v>104.07674982066744</v>
      </c>
      <c r="F152" s="607">
        <f>'Recycling - Case 2'!$B126*'Recycling - Case 2'!$AF126*'Recycling - Case 2'!BP126*$B152</f>
        <v>0</v>
      </c>
      <c r="G152" s="607">
        <f>'Recycling - Case 2'!$B126*'Recycling - Case 2'!$AF126*'Recycling - Case 2'!BQ126*$B152</f>
        <v>0</v>
      </c>
      <c r="H152" s="607">
        <f>'Recycling - Case 2'!$B126*'Recycling - Case 2'!$AF126*'Recycling - Case 2'!BR126*$B152</f>
        <v>0</v>
      </c>
      <c r="I152" s="607">
        <f>'Recycling - Case 2'!$B126*'Recycling - Case 2'!$AF126*'Recycling - Case 2'!BS126*$B152</f>
        <v>406.90433441186076</v>
      </c>
      <c r="J152" s="863">
        <f t="shared" si="11"/>
        <v>1256.8829504985995</v>
      </c>
      <c r="K152" s="1640">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0.54980000167265064</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14.018668129157426</v>
      </c>
      <c r="R152" s="1641">
        <f t="shared" si="8"/>
        <v>14.568468130830077</v>
      </c>
      <c r="S152" s="564">
        <f>C152*'4C2 Open-burning '!$C$9*'4C2 Open-burning '!$C$11*$C$5</f>
        <v>1.4229161809340418</v>
      </c>
      <c r="T152" s="564">
        <f>D152*'4C2 Open-burning '!$C$9*'4C2 Open-burning '!$C$11*$C$5</f>
        <v>1.4861010975036359</v>
      </c>
      <c r="U152" s="564">
        <f>E152*'4C2 Open-burning '!$C$9*'4C2 Open-burning '!$C$11*$C$5</f>
        <v>0.40589932430060299</v>
      </c>
      <c r="V152" s="564">
        <f>F152*'4C2 Open-burning '!$C$9*'4C2 Open-burning '!$C$11*$C$5</f>
        <v>0</v>
      </c>
      <c r="W152" s="564">
        <f>G152*'4C2 Open-burning '!$C$9*'4C2 Open-burning '!$C$11*$C$5</f>
        <v>0</v>
      </c>
      <c r="X152" s="564">
        <f>H152*'4C2 Open-burning '!$C$9*'4C2 Open-burning '!$C$11*$C$5</f>
        <v>0</v>
      </c>
      <c r="Y152" s="564">
        <f>I152*'4C2 Open-burning '!$C$9*'4C2 Open-burning '!$C$11*$C$5</f>
        <v>1.5869269042062568</v>
      </c>
      <c r="Z152" s="565">
        <f t="shared" si="9"/>
        <v>4.9018435069445374</v>
      </c>
      <c r="AA152" s="566">
        <f>C152*'4C2 Open-burning '!$C$10*'4C2 Open-burning '!$C$11*$C$5*C$15</f>
        <v>1.3134610900929621E-2</v>
      </c>
      <c r="AB152" s="566">
        <f>D152*'4C2 Open-burning '!$C$10*'4C2 Open-burning '!$C$11*$C$5*D$15</f>
        <v>1.3717856284648947E-2</v>
      </c>
      <c r="AC152" s="566">
        <f>E152*'4C2 Open-burning '!$C$10*'4C2 Open-burning '!$C$11*$C$5*E$15</f>
        <v>8.4302167354740627E-3</v>
      </c>
      <c r="AD152" s="566">
        <f>F152*'4C2 Open-burning '!$C$10*'4C2 Open-burning '!$C$11*$C$5*F$15</f>
        <v>0</v>
      </c>
      <c r="AE152" s="566">
        <f>G152*'4C2 Open-burning '!$C$10*'4C2 Open-burning '!$C$11*$C$5*G$15</f>
        <v>0</v>
      </c>
      <c r="AF152" s="566">
        <f>H152*'4C2 Open-burning '!$C$10*'4C2 Open-burning '!$C$11*$C$5*H$15</f>
        <v>0</v>
      </c>
      <c r="AG152" s="566">
        <f>I152*'4C2 Open-burning '!$C$10*'4C2 Open-burning '!$C$11*$C$5*I$15</f>
        <v>3.2959251087360725E-2</v>
      </c>
      <c r="AH152" s="567">
        <f t="shared" si="10"/>
        <v>6.8241935008413357E-2</v>
      </c>
      <c r="AI152" s="1647"/>
      <c r="AJ152" s="1646"/>
      <c r="AK152" s="1647"/>
    </row>
    <row r="153" spans="1:39">
      <c r="A153" s="157">
        <f>'Input data'!A148</f>
        <v>2048</v>
      </c>
      <c r="B153" s="604">
        <f>'Recycling - Case 2'!AP127</f>
        <v>0.1214682808560769</v>
      </c>
      <c r="C153" s="606">
        <f>'Recycling - Case 2'!$B127*'Recycling - Case 2'!$AF127*'Recycling - Case 2'!BM127*$B153</f>
        <v>366.71446204237486</v>
      </c>
      <c r="D153" s="607">
        <f>'Recycling - Case 2'!$B127*'Recycling - Case 2'!$AF127*'Recycling - Case 2'!BN127*$B153</f>
        <v>382.99850111613188</v>
      </c>
      <c r="E153" s="607">
        <f>'Recycling - Case 2'!$B127*'Recycling - Case 2'!$AF127*'Recycling - Case 2'!BO127*$B153</f>
        <v>104.6085175983805</v>
      </c>
      <c r="F153" s="607">
        <f>'Recycling - Case 2'!$B127*'Recycling - Case 2'!$AF127*'Recycling - Case 2'!BP127*$B153</f>
        <v>0</v>
      </c>
      <c r="G153" s="607">
        <f>'Recycling - Case 2'!$B127*'Recycling - Case 2'!$AF127*'Recycling - Case 2'!BQ127*$B153</f>
        <v>0</v>
      </c>
      <c r="H153" s="607">
        <f>'Recycling - Case 2'!$B127*'Recycling - Case 2'!$AF127*'Recycling - Case 2'!BR127*$B153</f>
        <v>0</v>
      </c>
      <c r="I153" s="607">
        <f>'Recycling - Case 2'!$B127*'Recycling - Case 2'!$AF127*'Recycling - Case 2'!BS127*$B153</f>
        <v>408.98336372460199</v>
      </c>
      <c r="J153" s="863">
        <f t="shared" ref="J153:J155" si="12">SUM(C153:I153)</f>
        <v>1263.3048444814892</v>
      </c>
      <c r="K153" s="1640">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0.55260913940590872</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14.090294847039987</v>
      </c>
      <c r="R153" s="1641">
        <f t="shared" ref="R153:R155" si="13">SUM(K153:Q153)</f>
        <v>14.642903986445896</v>
      </c>
      <c r="S153" s="564">
        <f>C153*'4C2 Open-burning '!$C$9*'4C2 Open-burning '!$C$11*$C$5</f>
        <v>1.4301864019652619</v>
      </c>
      <c r="T153" s="564">
        <f>D153*'4C2 Open-burning '!$C$9*'4C2 Open-burning '!$C$11*$C$5</f>
        <v>1.4936941543529141</v>
      </c>
      <c r="U153" s="564">
        <f>E153*'4C2 Open-burning '!$C$9*'4C2 Open-burning '!$C$11*$C$5</f>
        <v>0.40797321863368391</v>
      </c>
      <c r="V153" s="564">
        <f>F153*'4C2 Open-burning '!$C$9*'4C2 Open-burning '!$C$11*$C$5</f>
        <v>0</v>
      </c>
      <c r="W153" s="564">
        <f>G153*'4C2 Open-burning '!$C$9*'4C2 Open-burning '!$C$11*$C$5</f>
        <v>0</v>
      </c>
      <c r="X153" s="564">
        <f>H153*'4C2 Open-burning '!$C$9*'4C2 Open-burning '!$C$11*$C$5</f>
        <v>0</v>
      </c>
      <c r="Y153" s="564">
        <f>I153*'4C2 Open-burning '!$C$9*'4C2 Open-burning '!$C$11*$C$5</f>
        <v>1.5950351185259475</v>
      </c>
      <c r="Z153" s="565">
        <f t="shared" ref="Z153:Z155" si="14">SUM(S153:Y153)</f>
        <v>4.9268888934778072</v>
      </c>
      <c r="AA153" s="566">
        <f>C153*'4C2 Open-burning '!$C$10*'4C2 Open-burning '!$C$11*$C$5*C$15</f>
        <v>1.3201720633525494E-2</v>
      </c>
      <c r="AB153" s="566">
        <f>D153*'4C2 Open-burning '!$C$10*'4C2 Open-burning '!$C$11*$C$5*D$15</f>
        <v>1.3787946040180746E-2</v>
      </c>
      <c r="AC153" s="566">
        <f>E153*'4C2 Open-burning '!$C$10*'4C2 Open-burning '!$C$11*$C$5*E$15</f>
        <v>8.4732899254688198E-3</v>
      </c>
      <c r="AD153" s="566">
        <f>F153*'4C2 Open-burning '!$C$10*'4C2 Open-burning '!$C$11*$C$5*F$15</f>
        <v>0</v>
      </c>
      <c r="AE153" s="566">
        <f>G153*'4C2 Open-burning '!$C$10*'4C2 Open-burning '!$C$11*$C$5*G$15</f>
        <v>0</v>
      </c>
      <c r="AF153" s="566">
        <f>H153*'4C2 Open-burning '!$C$10*'4C2 Open-burning '!$C$11*$C$5*H$15</f>
        <v>0</v>
      </c>
      <c r="AG153" s="566">
        <f>I153*'4C2 Open-burning '!$C$10*'4C2 Open-burning '!$C$11*$C$5*I$15</f>
        <v>3.3127652461692761E-2</v>
      </c>
      <c r="AH153" s="567">
        <f t="shared" ref="AH153:AH155" si="15">SUM(AA153:AG153)</f>
        <v>6.8590609060867822E-2</v>
      </c>
      <c r="AI153" s="1647"/>
      <c r="AJ153" s="1646"/>
      <c r="AK153" s="1647"/>
    </row>
    <row r="154" spans="1:39">
      <c r="A154" s="157">
        <f>'Input data'!A149</f>
        <v>2049</v>
      </c>
      <c r="B154" s="604">
        <f>'Recycling - Case 2'!AP128</f>
        <v>0.1214682808560769</v>
      </c>
      <c r="C154" s="606">
        <f>'Recycling - Case 2'!$B128*'Recycling - Case 2'!$AF128*'Recycling - Case 2'!BM128*$B154</f>
        <v>368.58352696335652</v>
      </c>
      <c r="D154" s="607">
        <f>'Recycling - Case 2'!$B128*'Recycling - Case 2'!$AF128*'Recycling - Case 2'!BN128*$B154</f>
        <v>384.95056228993423</v>
      </c>
      <c r="E154" s="607">
        <f>'Recycling - Case 2'!$B128*'Recycling - Case 2'!$AF128*'Recycling - Case 2'!BO128*$B154</f>
        <v>105.14168476498227</v>
      </c>
      <c r="F154" s="607">
        <f>'Recycling - Case 2'!$B128*'Recycling - Case 2'!$AF128*'Recycling - Case 2'!BP128*$B154</f>
        <v>0</v>
      </c>
      <c r="G154" s="607">
        <f>'Recycling - Case 2'!$B128*'Recycling - Case 2'!$AF128*'Recycling - Case 2'!BQ128*$B154</f>
        <v>0</v>
      </c>
      <c r="H154" s="607">
        <f>'Recycling - Case 2'!$B128*'Recycling - Case 2'!$AF128*'Recycling - Case 2'!BR128*$B154</f>
        <v>0</v>
      </c>
      <c r="I154" s="607">
        <f>'Recycling - Case 2'!$B128*'Recycling - Case 2'!$AF128*'Recycling - Case 2'!BS128*$B154</f>
        <v>411.06786416711361</v>
      </c>
      <c r="J154" s="863">
        <f t="shared" si="12"/>
        <v>1269.7436381853868</v>
      </c>
      <c r="K154" s="1640">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0.555425669606886</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14.162110056285396</v>
      </c>
      <c r="R154" s="1641">
        <f t="shared" si="13"/>
        <v>14.717535725892283</v>
      </c>
      <c r="S154" s="564">
        <f>C154*'4C2 Open-burning '!$C$9*'4C2 Open-burning '!$C$11*$C$5</f>
        <v>1.4374757551570903</v>
      </c>
      <c r="T154" s="564">
        <f>D154*'4C2 Open-burning '!$C$9*'4C2 Open-burning '!$C$11*$C$5</f>
        <v>1.5013071929307436</v>
      </c>
      <c r="U154" s="564">
        <f>E154*'4C2 Open-burning '!$C$9*'4C2 Open-burning '!$C$11*$C$5</f>
        <v>0.41005257058343086</v>
      </c>
      <c r="V154" s="564">
        <f>F154*'4C2 Open-burning '!$C$9*'4C2 Open-burning '!$C$11*$C$5</f>
        <v>0</v>
      </c>
      <c r="W154" s="564">
        <f>G154*'4C2 Open-burning '!$C$9*'4C2 Open-burning '!$C$11*$C$5</f>
        <v>0</v>
      </c>
      <c r="X154" s="564">
        <f>H154*'4C2 Open-burning '!$C$9*'4C2 Open-burning '!$C$11*$C$5</f>
        <v>0</v>
      </c>
      <c r="Y154" s="564">
        <f>I154*'4C2 Open-burning '!$C$9*'4C2 Open-burning '!$C$11*$C$5</f>
        <v>1.603164670251743</v>
      </c>
      <c r="Z154" s="565">
        <f t="shared" si="14"/>
        <v>4.9520001889230079</v>
      </c>
      <c r="AA154" s="566">
        <f>C154*'4C2 Open-burning '!$C$10*'4C2 Open-burning '!$C$11*$C$5*C$15</f>
        <v>1.3269006970680834E-2</v>
      </c>
      <c r="AB154" s="566">
        <f>D154*'4C2 Open-burning '!$C$10*'4C2 Open-burning '!$C$11*$C$5*D$15</f>
        <v>1.385822024243763E-2</v>
      </c>
      <c r="AC154" s="566">
        <f>E154*'4C2 Open-burning '!$C$10*'4C2 Open-burning '!$C$11*$C$5*E$15</f>
        <v>8.5164764659635631E-3</v>
      </c>
      <c r="AD154" s="566">
        <f>F154*'4C2 Open-burning '!$C$10*'4C2 Open-burning '!$C$11*$C$5*F$15</f>
        <v>0</v>
      </c>
      <c r="AE154" s="566">
        <f>G154*'4C2 Open-burning '!$C$10*'4C2 Open-burning '!$C$11*$C$5*G$15</f>
        <v>0</v>
      </c>
      <c r="AF154" s="566">
        <f>H154*'4C2 Open-burning '!$C$10*'4C2 Open-burning '!$C$11*$C$5*H$15</f>
        <v>0</v>
      </c>
      <c r="AG154" s="566">
        <f>I154*'4C2 Open-burning '!$C$10*'4C2 Open-burning '!$C$11*$C$5*I$15</f>
        <v>3.3296496997536208E-2</v>
      </c>
      <c r="AH154" s="567">
        <f t="shared" si="15"/>
        <v>6.8940200676618241E-2</v>
      </c>
      <c r="AI154" s="1647"/>
      <c r="AJ154" s="1646"/>
      <c r="AK154" s="1647"/>
    </row>
    <row r="155" spans="1:39" ht="15" thickBot="1">
      <c r="A155" s="157">
        <f>'Input data'!A150</f>
        <v>2050</v>
      </c>
      <c r="B155" s="604">
        <f>'Recycling - Case 2'!AP129</f>
        <v>0.1214682808560769</v>
      </c>
      <c r="C155" s="757">
        <f>'Recycling - Case 2'!$B129*'Recycling - Case 2'!$AF129*'Recycling - Case 2'!BM129*$B155</f>
        <v>370.46730893096014</v>
      </c>
      <c r="D155" s="754">
        <f>'Recycling - Case 2'!$B129*'Recycling - Case 2'!$AF129*'Recycling - Case 2'!BN129*$B155</f>
        <v>386.91799402416018</v>
      </c>
      <c r="E155" s="754">
        <f>'Recycling - Case 2'!$B129*'Recycling - Case 2'!$AF129*'Recycling - Case 2'!BO129*$B155</f>
        <v>105.67905009825022</v>
      </c>
      <c r="F155" s="754">
        <f>'Recycling - Case 2'!$B129*'Recycling - Case 2'!$AF129*'Recycling - Case 2'!BP129*$B155</f>
        <v>0</v>
      </c>
      <c r="G155" s="754">
        <f>'Recycling - Case 2'!$B129*'Recycling - Case 2'!$AF129*'Recycling - Case 2'!BQ129*$B155</f>
        <v>0</v>
      </c>
      <c r="H155" s="754">
        <f>'Recycling - Case 2'!$B129*'Recycling - Case 2'!$AF129*'Recycling - Case 2'!BR129*$B155</f>
        <v>0</v>
      </c>
      <c r="I155" s="754">
        <f>'Recycling - Case 2'!$B129*'Recycling - Case 2'!$AF129*'Recycling - Case 2'!BS129*$B155</f>
        <v>413.16877799893643</v>
      </c>
      <c r="J155" s="1060">
        <f t="shared" si="12"/>
        <v>1276.2331310523068</v>
      </c>
      <c r="K155" s="1642">
        <f>'4C2 Open-burning '!C$14*'4C2 Open-burning '!$C$5*'4C2 Open-burning '!$C$6*'4C2 Open-burning '!$C$7*C155</f>
        <v>0</v>
      </c>
      <c r="L155" s="1643">
        <f>'4C2 Open-burning '!D$14*'4C2 Open-burning '!$C$5*'4C2 Open-burning '!$C$6*'4C2 Open-burning '!$C$7*D155</f>
        <v>0</v>
      </c>
      <c r="M155" s="1643">
        <f>'4C2 Open-burning '!E$14*'4C2 Open-burning '!$C$5*'4C2 Open-burning '!$C$6*'4C2 Open-burning '!$C$7*E155</f>
        <v>0.55826437721102051</v>
      </c>
      <c r="N155" s="1643">
        <f>'4C2 Open-burning '!F$14*'4C2 Open-burning '!$C$5*'4C2 Open-burning '!$C$6*'4C2 Open-burning '!$C$7*F155</f>
        <v>0</v>
      </c>
      <c r="O155" s="1643">
        <f>'4C2 Open-burning '!G$14*'4C2 Open-burning '!$C$5*'4C2 Open-burning '!$C$6*'4C2 Open-burning '!$C$7*G155</f>
        <v>0</v>
      </c>
      <c r="P155" s="1643">
        <f>'4C2 Open-burning '!H$14*'4C2 Open-burning '!$C$5*'4C2 Open-burning '!$C$6*'4C2 Open-burning '!$C$7*H155</f>
        <v>0</v>
      </c>
      <c r="Q155" s="1643">
        <f>'4C2 Open-burning '!I$14*'4C2 Open-burning '!$C$5*'4C2 Open-burning '!$C$6*'4C2 Open-burning '!$C$7*I155</f>
        <v>14.234490739619357</v>
      </c>
      <c r="R155" s="1644">
        <f t="shared" si="13"/>
        <v>14.792755116830378</v>
      </c>
      <c r="S155" s="564">
        <f>C155*'4C2 Open-burning '!$C$9*'4C2 Open-burning '!$C$11*$C$5</f>
        <v>1.4448225048307444</v>
      </c>
      <c r="T155" s="564">
        <f>D155*'4C2 Open-burning '!$C$9*'4C2 Open-burning '!$C$11*$C$5</f>
        <v>1.5089801766942246</v>
      </c>
      <c r="U155" s="564">
        <f>E155*'4C2 Open-burning '!$C$9*'4C2 Open-burning '!$C$11*$C$5</f>
        <v>0.41214829538317582</v>
      </c>
      <c r="V155" s="564">
        <f>F155*'4C2 Open-burning '!$C$9*'4C2 Open-burning '!$C$11*$C$5</f>
        <v>0</v>
      </c>
      <c r="W155" s="564">
        <f>G155*'4C2 Open-burning '!$C$9*'4C2 Open-burning '!$C$11*$C$5</f>
        <v>0</v>
      </c>
      <c r="X155" s="564">
        <f>H155*'4C2 Open-burning '!$C$9*'4C2 Open-burning '!$C$11*$C$5</f>
        <v>0</v>
      </c>
      <c r="Y155" s="564">
        <f>I155*'4C2 Open-burning '!$C$9*'4C2 Open-burning '!$C$11*$C$5</f>
        <v>1.6113582341958519</v>
      </c>
      <c r="Z155" s="565">
        <f t="shared" si="14"/>
        <v>4.9773092111039965</v>
      </c>
      <c r="AA155" s="566">
        <f>C155*'4C2 Open-burning '!$C$10*'4C2 Open-burning '!$C$11*$C$5*C$15</f>
        <v>1.3336823121514567E-2</v>
      </c>
      <c r="AB155" s="566">
        <f>D155*'4C2 Open-burning '!$C$10*'4C2 Open-burning '!$C$11*$C$5*D$15</f>
        <v>1.3929047784869766E-2</v>
      </c>
      <c r="AC155" s="566">
        <f>E155*'4C2 Open-burning '!$C$10*'4C2 Open-burning '!$C$11*$C$5*E$15</f>
        <v>8.5600030579582667E-3</v>
      </c>
      <c r="AD155" s="566">
        <f>F155*'4C2 Open-burning '!$C$10*'4C2 Open-burning '!$C$11*$C$5*F$15</f>
        <v>0</v>
      </c>
      <c r="AE155" s="566">
        <f>G155*'4C2 Open-burning '!$C$10*'4C2 Open-burning '!$C$11*$C$5*G$15</f>
        <v>0</v>
      </c>
      <c r="AF155" s="566">
        <f>H155*'4C2 Open-burning '!$C$10*'4C2 Open-burning '!$C$11*$C$5*H$15</f>
        <v>0</v>
      </c>
      <c r="AG155" s="566">
        <f>I155*'4C2 Open-burning '!$C$10*'4C2 Open-burning '!$C$11*$C$5*I$15</f>
        <v>3.3466671017913847E-2</v>
      </c>
      <c r="AH155" s="567">
        <f t="shared" si="15"/>
        <v>6.9292544982256454E-2</v>
      </c>
      <c r="AI155" s="1647"/>
      <c r="AJ155" s="1646"/>
      <c r="AK155" s="1647"/>
    </row>
    <row r="156" spans="1:39" ht="21.6" thickBot="1">
      <c r="A156" s="1074" t="s">
        <v>711</v>
      </c>
      <c r="B156" s="1067"/>
      <c r="C156" s="1626"/>
      <c r="D156" s="1626"/>
      <c r="E156" s="1626"/>
      <c r="F156" s="1626"/>
      <c r="G156" s="1626"/>
      <c r="H156" s="1626"/>
      <c r="I156" s="1626"/>
      <c r="J156" s="1627"/>
      <c r="K156" s="1068"/>
      <c r="L156" s="1068"/>
      <c r="M156" s="1068"/>
      <c r="N156" s="1068"/>
      <c r="O156" s="1068"/>
      <c r="P156" s="1068"/>
      <c r="Q156" s="1068"/>
      <c r="R156" s="1069"/>
      <c r="S156" s="1068"/>
      <c r="T156" s="1068"/>
      <c r="U156" s="1068"/>
      <c r="V156" s="1068"/>
      <c r="W156" s="1068"/>
      <c r="X156" s="1068"/>
      <c r="Y156" s="1068"/>
      <c r="Z156" s="1069"/>
      <c r="AA156" s="1070"/>
      <c r="AB156" s="1070"/>
      <c r="AC156" s="1070"/>
      <c r="AD156" s="1070"/>
      <c r="AE156" s="1070"/>
      <c r="AF156" s="1070"/>
      <c r="AG156" s="1070"/>
      <c r="AH156" s="1071"/>
      <c r="AI156" s="1646"/>
      <c r="AJ156" s="1646"/>
      <c r="AK156" s="1646"/>
      <c r="AL156" s="4"/>
      <c r="AM156" s="4"/>
    </row>
    <row r="157" spans="1:39">
      <c r="A157" s="1079">
        <f>'Input data'!A118</f>
        <v>2018</v>
      </c>
      <c r="B157" s="936">
        <f>'Recycling - Case 3'!AP97</f>
        <v>0.12146828085607692</v>
      </c>
      <c r="C157" s="1080">
        <f>'Recycling - Case 3'!$B97*'Recycling - Case 3'!$AF97*'Recycling - Case 3'!BM97*$B157</f>
        <v>838.07704599057763</v>
      </c>
      <c r="D157" s="1081">
        <f>'Recycling - Case 3'!$B97*'Recycling - Case 3'!$AF97*'Recycling - Case 3'!BN97*$B157</f>
        <v>875.29204778713199</v>
      </c>
      <c r="E157" s="1081">
        <f>'Recycling - Case 3'!$B97*'Recycling - Case 3'!$AF97*'Recycling - Case 3'!BO97*$B157</f>
        <v>239.06883008113701</v>
      </c>
      <c r="F157" s="1081">
        <f>'Recycling - Case 3'!$B97*'Recycling - Case 3'!$AF97*'Recycling - Case 3'!BP97*$B157</f>
        <v>0</v>
      </c>
      <c r="G157" s="1081">
        <f>'Recycling - Case 3'!$B97*'Recycling - Case 3'!$AF97*'Recycling - Case 3'!BQ97*$B157</f>
        <v>0</v>
      </c>
      <c r="H157" s="1081">
        <f>'Recycling - Case 3'!$B97*'Recycling - Case 3'!$AF97*'Recycling - Case 3'!BR97*$B157</f>
        <v>0</v>
      </c>
      <c r="I157" s="1081">
        <f>'Recycling - Case 3'!$B97*'Recycling - Case 3'!$AF97*'Recycling - Case 3'!BS97*$B157</f>
        <v>934.67698934109023</v>
      </c>
      <c r="J157" s="1082">
        <f t="shared" ref="J157:J189" si="16">SUM(C157:I157)</f>
        <v>2887.1149131999368</v>
      </c>
      <c r="K157" s="1637">
        <f>'4C2 Open-burning '!C$14*'4C2 Open-burning '!$C$5*'4C2 Open-burning '!$C$6*'4C2 Open-burning '!$C$7*C157</f>
        <v>0</v>
      </c>
      <c r="L157" s="1638">
        <f>'4C2 Open-burning '!D$14*'4C2 Open-burning '!$C$5*'4C2 Open-burning '!$C$6*'4C2 Open-burning '!$C$7*D157</f>
        <v>0</v>
      </c>
      <c r="M157" s="1638">
        <f>'4C2 Open-burning '!E$14*'4C2 Open-burning '!$C$5*'4C2 Open-burning '!$C$6*'4C2 Open-burning '!$C$7*E157</f>
        <v>1.2629145645398177</v>
      </c>
      <c r="N157" s="1638">
        <f>'4C2 Open-burning '!F$14*'4C2 Open-burning '!$C$5*'4C2 Open-burning '!$C$6*'4C2 Open-burning '!$C$7*F157</f>
        <v>0</v>
      </c>
      <c r="O157" s="1638">
        <f>'4C2 Open-burning '!G$14*'4C2 Open-burning '!$C$5*'4C2 Open-burning '!$C$6*'4C2 Open-burning '!$C$7*G157</f>
        <v>0</v>
      </c>
      <c r="P157" s="1638">
        <f>'4C2 Open-burning '!H$14*'4C2 Open-burning '!$C$5*'4C2 Open-burning '!$C$6*'4C2 Open-burning '!$C$7*H157</f>
        <v>0</v>
      </c>
      <c r="Q157" s="1638">
        <f>'4C2 Open-burning '!I$14*'4C2 Open-burning '!$C$5*'4C2 Open-burning '!$C$6*'4C2 Open-burning '!$C$7*I157</f>
        <v>32.201491636779238</v>
      </c>
      <c r="R157" s="1639">
        <f t="shared" ref="R157:R189" si="17">SUM(K157:Q157)</f>
        <v>33.464406201319058</v>
      </c>
      <c r="S157" s="1055">
        <f>C157*'4C2 Open-burning '!$C$9*'4C2 Open-burning '!$C$11*$C$5</f>
        <v>3.2685004793632531</v>
      </c>
      <c r="T157" s="1056">
        <f>D157*'4C2 Open-burning '!$C$9*'4C2 Open-burning '!$C$11*$C$5</f>
        <v>3.4136389863698149</v>
      </c>
      <c r="U157" s="1056">
        <f>E157*'4C2 Open-burning '!$C$9*'4C2 Open-burning '!$C$11*$C$5</f>
        <v>0.93236843731643415</v>
      </c>
      <c r="V157" s="1056">
        <f>F157*'4C2 Open-burning '!$C$9*'4C2 Open-burning '!$C$11*$C$5</f>
        <v>0</v>
      </c>
      <c r="W157" s="1056">
        <f>G157*'4C2 Open-burning '!$C$9*'4C2 Open-burning '!$C$11*$C$5</f>
        <v>0</v>
      </c>
      <c r="X157" s="1056">
        <f>H157*'4C2 Open-burning '!$C$9*'4C2 Open-burning '!$C$11*$C$5</f>
        <v>0</v>
      </c>
      <c r="Y157" s="1056">
        <f>I157*'4C2 Open-burning '!$C$9*'4C2 Open-burning '!$C$11*$C$5</f>
        <v>3.6452402584302517</v>
      </c>
      <c r="Z157" s="1057">
        <f t="shared" ref="Z157:Z189" si="18">SUM(S157:Y157)</f>
        <v>11.259748161479752</v>
      </c>
      <c r="AA157" s="566">
        <f>C157*'4C2 Open-burning '!$C$10*'4C2 Open-burning '!$C$11*$C$5*C$15</f>
        <v>3.0170773655660788E-2</v>
      </c>
      <c r="AB157" s="566">
        <f>D157*'4C2 Open-burning '!$C$10*'4C2 Open-burning '!$C$11*$C$5*D$15</f>
        <v>3.1510513720336746E-2</v>
      </c>
      <c r="AC157" s="566">
        <f>E157*'4C2 Open-burning '!$C$10*'4C2 Open-burning '!$C$11*$C$5*E$15</f>
        <v>1.9364575236572094E-2</v>
      </c>
      <c r="AD157" s="566">
        <f>F157*'4C2 Open-burning '!$C$10*'4C2 Open-burning '!$C$11*$C$5*F$15</f>
        <v>0</v>
      </c>
      <c r="AE157" s="566">
        <f>G157*'4C2 Open-burning '!$C$10*'4C2 Open-burning '!$C$11*$C$5*G$15</f>
        <v>0</v>
      </c>
      <c r="AF157" s="566">
        <f>H157*'4C2 Open-burning '!$C$10*'4C2 Open-burning '!$C$11*$C$5*H$15</f>
        <v>0</v>
      </c>
      <c r="AG157" s="566">
        <f>I157*'4C2 Open-burning '!$C$10*'4C2 Open-burning '!$C$11*$C$5*I$15</f>
        <v>7.5708836136628294E-2</v>
      </c>
      <c r="AH157" s="567">
        <f t="shared" ref="AH157:AH189" si="19">SUM(AA157:AG157)</f>
        <v>0.15675469874919792</v>
      </c>
      <c r="AI157" s="1646"/>
      <c r="AJ157" s="1646"/>
      <c r="AK157" s="1646"/>
      <c r="AL157" s="4"/>
      <c r="AM157" s="4"/>
    </row>
    <row r="158" spans="1:39">
      <c r="A158" s="1083">
        <f>'Input data'!A119</f>
        <v>2019</v>
      </c>
      <c r="B158" s="640">
        <f>'Recycling - Case 3'!AP98</f>
        <v>0.1214682808560769</v>
      </c>
      <c r="C158" s="606">
        <f>'Recycling - Case 3'!$B98*'Recycling - Case 3'!$AF98*'Recycling - Case 3'!BM98*$B158</f>
        <v>837.88524287669293</v>
      </c>
      <c r="D158" s="607">
        <f>'Recycling - Case 3'!$B98*'Recycling - Case 3'!$AF98*'Recycling - Case 3'!BN98*$B158</f>
        <v>875.0917276123613</v>
      </c>
      <c r="E158" s="607">
        <f>'Recycling - Case 3'!$B98*'Recycling - Case 3'!$AF98*'Recycling - Case 3'!BO98*$B158</f>
        <v>239.01411656015262</v>
      </c>
      <c r="F158" s="607">
        <f>'Recycling - Case 3'!$B98*'Recycling - Case 3'!$AF98*'Recycling - Case 3'!BP98*$B158</f>
        <v>0</v>
      </c>
      <c r="G158" s="607">
        <f>'Recycling - Case 3'!$B98*'Recycling - Case 3'!$AF98*'Recycling - Case 3'!BQ98*$B158</f>
        <v>0</v>
      </c>
      <c r="H158" s="607">
        <f>'Recycling - Case 3'!$B98*'Recycling - Case 3'!$AF98*'Recycling - Case 3'!BR98*$B158</f>
        <v>0</v>
      </c>
      <c r="I158" s="607">
        <f>'Recycling - Case 3'!$B98*'Recycling - Case 3'!$AF98*'Recycling - Case 3'!BS98*$B158</f>
        <v>934.46307827182795</v>
      </c>
      <c r="J158" s="863">
        <f t="shared" si="16"/>
        <v>2886.4541653210345</v>
      </c>
      <c r="K158" s="1640">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1.2626255327053246</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32.194121972621012</v>
      </c>
      <c r="R158" s="1641">
        <f t="shared" si="17"/>
        <v>33.456747505326334</v>
      </c>
      <c r="S158" s="563">
        <f>C158*'4C2 Open-burning '!$C$9*'4C2 Open-burning '!$C$11*$C$5</f>
        <v>3.267752447219102</v>
      </c>
      <c r="T158" s="564">
        <f>D158*'4C2 Open-burning '!$C$9*'4C2 Open-burning '!$C$11*$C$5</f>
        <v>3.412857737688209</v>
      </c>
      <c r="U158" s="564">
        <f>E158*'4C2 Open-burning '!$C$9*'4C2 Open-burning '!$C$11*$C$5</f>
        <v>0.93215505458459513</v>
      </c>
      <c r="V158" s="564">
        <f>F158*'4C2 Open-burning '!$C$9*'4C2 Open-burning '!$C$11*$C$5</f>
        <v>0</v>
      </c>
      <c r="W158" s="564">
        <f>G158*'4C2 Open-burning '!$C$9*'4C2 Open-burning '!$C$11*$C$5</f>
        <v>0</v>
      </c>
      <c r="X158" s="564">
        <f>H158*'4C2 Open-burning '!$C$9*'4C2 Open-burning '!$C$11*$C$5</f>
        <v>0</v>
      </c>
      <c r="Y158" s="564">
        <f>I158*'4C2 Open-burning '!$C$9*'4C2 Open-burning '!$C$11*$C$5</f>
        <v>3.6444060052601288</v>
      </c>
      <c r="Z158" s="565">
        <f t="shared" si="18"/>
        <v>11.257171244752035</v>
      </c>
      <c r="AA158" s="566">
        <f>C158*'4C2 Open-burning '!$C$10*'4C2 Open-burning '!$C$11*$C$5*C$15</f>
        <v>3.0163868743560945E-2</v>
      </c>
      <c r="AB158" s="566">
        <f>D158*'4C2 Open-burning '!$C$10*'4C2 Open-burning '!$C$11*$C$5*D$15</f>
        <v>3.1503302194045006E-2</v>
      </c>
      <c r="AC158" s="566">
        <f>E158*'4C2 Open-burning '!$C$10*'4C2 Open-burning '!$C$11*$C$5*E$15</f>
        <v>1.9360143441372362E-2</v>
      </c>
      <c r="AD158" s="566">
        <f>F158*'4C2 Open-burning '!$C$10*'4C2 Open-burning '!$C$11*$C$5*F$15</f>
        <v>0</v>
      </c>
      <c r="AE158" s="566">
        <f>G158*'4C2 Open-burning '!$C$10*'4C2 Open-burning '!$C$11*$C$5*G$15</f>
        <v>0</v>
      </c>
      <c r="AF158" s="566">
        <f>H158*'4C2 Open-burning '!$C$10*'4C2 Open-burning '!$C$11*$C$5*H$15</f>
        <v>0</v>
      </c>
      <c r="AG158" s="566">
        <f>I158*'4C2 Open-burning '!$C$10*'4C2 Open-burning '!$C$11*$C$5*I$15</f>
        <v>7.5691509340018059E-2</v>
      </c>
      <c r="AH158" s="567">
        <f t="shared" si="19"/>
        <v>0.15671882371899637</v>
      </c>
      <c r="AI158" s="1646"/>
      <c r="AJ158" s="1646"/>
      <c r="AK158" s="1646"/>
      <c r="AL158" s="4"/>
      <c r="AM158" s="4"/>
    </row>
    <row r="159" spans="1:39">
      <c r="A159" s="1083">
        <f>'Input data'!A120</f>
        <v>2020</v>
      </c>
      <c r="B159" s="640">
        <f>'Recycling - Case 3'!AP99</f>
        <v>0.1214682808560769</v>
      </c>
      <c r="C159" s="606">
        <f>'Recycling - Case 3'!$B99*'Recycling - Case 3'!$AF99*'Recycling - Case 3'!BM99*$B159</f>
        <v>831.87151816105859</v>
      </c>
      <c r="D159" s="607">
        <f>'Recycling - Case 3'!$B99*'Recycling - Case 3'!$AF99*'Recycling - Case 3'!BN99*$B159</f>
        <v>868.81096208327563</v>
      </c>
      <c r="E159" s="607">
        <f>'Recycling - Case 3'!$B99*'Recycling - Case 3'!$AF99*'Recycling - Case 3'!BO99*$B159</f>
        <v>237.29864882472813</v>
      </c>
      <c r="F159" s="607">
        <f>'Recycling - Case 3'!$B99*'Recycling - Case 3'!$AF99*'Recycling - Case 3'!BP99*$B159</f>
        <v>0</v>
      </c>
      <c r="G159" s="607">
        <f>'Recycling - Case 3'!$B99*'Recycling - Case 3'!$AF99*'Recycling - Case 3'!BQ99*$B159</f>
        <v>0</v>
      </c>
      <c r="H159" s="607">
        <f>'Recycling - Case 3'!$B99*'Recycling - Case 3'!$AF99*'Recycling - Case 3'!BR99*$B159</f>
        <v>0</v>
      </c>
      <c r="I159" s="607">
        <f>'Recycling - Case 3'!$B99*'Recycling - Case 3'!$AF99*'Recycling - Case 3'!BS99*$B159</f>
        <v>927.75618880524974</v>
      </c>
      <c r="J159" s="863">
        <f t="shared" si="16"/>
        <v>2865.7373178743123</v>
      </c>
      <c r="K159" s="1640">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1.2535633342274619</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31.96305621671846</v>
      </c>
      <c r="R159" s="1641">
        <f t="shared" si="17"/>
        <v>33.216619550945921</v>
      </c>
      <c r="S159" s="563">
        <f>C159*'4C2 Open-burning '!$C$9*'4C2 Open-burning '!$C$11*$C$5</f>
        <v>3.2442989208281281</v>
      </c>
      <c r="T159" s="564">
        <f>D159*'4C2 Open-burning '!$C$9*'4C2 Open-burning '!$C$11*$C$5</f>
        <v>3.3883627521247743</v>
      </c>
      <c r="U159" s="564">
        <f>E159*'4C2 Open-burning '!$C$9*'4C2 Open-burning '!$C$11*$C$5</f>
        <v>0.92546473041643962</v>
      </c>
      <c r="V159" s="564">
        <f>F159*'4C2 Open-burning '!$C$9*'4C2 Open-burning '!$C$11*$C$5</f>
        <v>0</v>
      </c>
      <c r="W159" s="564">
        <f>G159*'4C2 Open-burning '!$C$9*'4C2 Open-burning '!$C$11*$C$5</f>
        <v>0</v>
      </c>
      <c r="X159" s="564">
        <f>H159*'4C2 Open-burning '!$C$9*'4C2 Open-burning '!$C$11*$C$5</f>
        <v>0</v>
      </c>
      <c r="Y159" s="564">
        <f>I159*'4C2 Open-burning '!$C$9*'4C2 Open-burning '!$C$11*$C$5</f>
        <v>3.6182491363404736</v>
      </c>
      <c r="Z159" s="565">
        <f t="shared" si="18"/>
        <v>11.176375539709817</v>
      </c>
      <c r="AA159" s="566">
        <f>C159*'4C2 Open-burning '!$C$10*'4C2 Open-burning '!$C$11*$C$5*C$15</f>
        <v>2.9947374653798112E-2</v>
      </c>
      <c r="AB159" s="566">
        <f>D159*'4C2 Open-burning '!$C$10*'4C2 Open-burning '!$C$11*$C$5*D$15</f>
        <v>3.1277194634997924E-2</v>
      </c>
      <c r="AC159" s="566">
        <f>E159*'4C2 Open-burning '!$C$10*'4C2 Open-burning '!$C$11*$C$5*E$15</f>
        <v>1.922119055480298E-2</v>
      </c>
      <c r="AD159" s="566">
        <f>F159*'4C2 Open-burning '!$C$10*'4C2 Open-burning '!$C$11*$C$5*F$15</f>
        <v>0</v>
      </c>
      <c r="AE159" s="566">
        <f>G159*'4C2 Open-burning '!$C$10*'4C2 Open-burning '!$C$11*$C$5*G$15</f>
        <v>0</v>
      </c>
      <c r="AF159" s="566">
        <f>H159*'4C2 Open-burning '!$C$10*'4C2 Open-burning '!$C$11*$C$5*H$15</f>
        <v>0</v>
      </c>
      <c r="AG159" s="566">
        <f>I159*'4C2 Open-burning '!$C$10*'4C2 Open-burning '!$C$11*$C$5*I$15</f>
        <v>7.5148251293225221E-2</v>
      </c>
      <c r="AH159" s="567">
        <f t="shared" si="19"/>
        <v>0.15559401113682425</v>
      </c>
      <c r="AI159" s="1646"/>
      <c r="AJ159" s="1646"/>
      <c r="AK159" s="1646"/>
      <c r="AL159" s="4"/>
      <c r="AM159" s="4"/>
    </row>
    <row r="160" spans="1:39">
      <c r="A160" s="1083">
        <f>'Input data'!A121</f>
        <v>2021</v>
      </c>
      <c r="B160" s="640">
        <f>'Recycling - Case 3'!AP100</f>
        <v>0.12146828085607689</v>
      </c>
      <c r="C160" s="606">
        <f>'Recycling - Case 3'!$B100*'Recycling - Case 3'!$AF100*'Recycling - Case 3'!BM100*$B160</f>
        <v>782.00944051955219</v>
      </c>
      <c r="D160" s="607">
        <f>'Recycling - Case 3'!$B100*'Recycling - Case 3'!$AF100*'Recycling - Case 3'!BN100*$B160</f>
        <v>816.73474754601955</v>
      </c>
      <c r="E160" s="607">
        <f>'Recycling - Case 3'!$B100*'Recycling - Case 3'!$AF100*'Recycling - Case 3'!BO100*$B160</f>
        <v>223.07505372186958</v>
      </c>
      <c r="F160" s="607">
        <f>'Recycling - Case 3'!$B100*'Recycling - Case 3'!$AF100*'Recycling - Case 3'!BP100*$B160</f>
        <v>0</v>
      </c>
      <c r="G160" s="607">
        <f>'Recycling - Case 3'!$B100*'Recycling - Case 3'!$AF100*'Recycling - Case 3'!BQ100*$B160</f>
        <v>0</v>
      </c>
      <c r="H160" s="607">
        <f>'Recycling - Case 3'!$B100*'Recycling - Case 3'!$AF100*'Recycling - Case 3'!BR100*$B160</f>
        <v>0</v>
      </c>
      <c r="I160" s="607">
        <f>'Recycling - Case 3'!$B100*'Recycling - Case 3'!$AF100*'Recycling - Case 3'!BS100*$B160</f>
        <v>872.14681871783785</v>
      </c>
      <c r="J160" s="863">
        <f t="shared" si="16"/>
        <v>2693.9660605052791</v>
      </c>
      <c r="K160" s="1640">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1.178425201793297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30.047202198466948</v>
      </c>
      <c r="R160" s="1641">
        <f t="shared" si="17"/>
        <v>31.225627400260244</v>
      </c>
      <c r="S160" s="563">
        <f>C160*'4C2 Open-burning '!$C$9*'4C2 Open-burning '!$C$11*$C$5</f>
        <v>3.0498368180262534</v>
      </c>
      <c r="T160" s="564">
        <f>D160*'4C2 Open-burning '!$C$9*'4C2 Open-burning '!$C$11*$C$5</f>
        <v>3.1852655154294767</v>
      </c>
      <c r="U160" s="564">
        <f>E160*'4C2 Open-burning '!$C$9*'4C2 Open-burning '!$C$11*$C$5</f>
        <v>0.8699927095152914</v>
      </c>
      <c r="V160" s="564">
        <f>F160*'4C2 Open-burning '!$C$9*'4C2 Open-burning '!$C$11*$C$5</f>
        <v>0</v>
      </c>
      <c r="W160" s="564">
        <f>G160*'4C2 Open-burning '!$C$9*'4C2 Open-burning '!$C$11*$C$5</f>
        <v>0</v>
      </c>
      <c r="X160" s="564">
        <f>H160*'4C2 Open-burning '!$C$9*'4C2 Open-burning '!$C$11*$C$5</f>
        <v>0</v>
      </c>
      <c r="Y160" s="564">
        <f>I160*'4C2 Open-burning '!$C$9*'4C2 Open-burning '!$C$11*$C$5</f>
        <v>3.4013725929995675</v>
      </c>
      <c r="Z160" s="565">
        <f t="shared" si="18"/>
        <v>10.506467635970589</v>
      </c>
      <c r="AA160" s="566">
        <f>C160*'4C2 Open-burning '!$C$10*'4C2 Open-burning '!$C$11*$C$5*C$15</f>
        <v>2.8152339858703874E-2</v>
      </c>
      <c r="AB160" s="566">
        <f>D160*'4C2 Open-burning '!$C$10*'4C2 Open-burning '!$C$11*$C$5*D$15</f>
        <v>2.9402450911656705E-2</v>
      </c>
      <c r="AC160" s="566">
        <f>E160*'4C2 Open-burning '!$C$10*'4C2 Open-burning '!$C$11*$C$5*E$15</f>
        <v>1.8069079351471434E-2</v>
      </c>
      <c r="AD160" s="566">
        <f>F160*'4C2 Open-burning '!$C$10*'4C2 Open-burning '!$C$11*$C$5*F$15</f>
        <v>0</v>
      </c>
      <c r="AE160" s="566">
        <f>G160*'4C2 Open-burning '!$C$10*'4C2 Open-burning '!$C$11*$C$5*G$15</f>
        <v>0</v>
      </c>
      <c r="AF160" s="566">
        <f>H160*'4C2 Open-burning '!$C$10*'4C2 Open-burning '!$C$11*$C$5*H$15</f>
        <v>0</v>
      </c>
      <c r="AG160" s="566">
        <f>I160*'4C2 Open-burning '!$C$10*'4C2 Open-burning '!$C$11*$C$5*I$15</f>
        <v>7.064389231614486E-2</v>
      </c>
      <c r="AH160" s="567">
        <f t="shared" si="19"/>
        <v>0.14626776243797687</v>
      </c>
      <c r="AI160" s="1646"/>
      <c r="AJ160" s="1646"/>
      <c r="AK160" s="1646"/>
      <c r="AL160" s="4"/>
      <c r="AM160" s="4"/>
    </row>
    <row r="161" spans="1:39">
      <c r="A161" s="1083">
        <f>'Input data'!A122</f>
        <v>2022</v>
      </c>
      <c r="B161" s="640">
        <f>'Recycling - Case 3'!AP101</f>
        <v>0.12146828085607693</v>
      </c>
      <c r="C161" s="606">
        <f>'Recycling - Case 3'!$B101*'Recycling - Case 3'!$AF101*'Recycling - Case 3'!BM101*$B161</f>
        <v>665.09075445862379</v>
      </c>
      <c r="D161" s="607">
        <f>'Recycling - Case 3'!$B101*'Recycling - Case 3'!$AF101*'Recycling - Case 3'!BN101*$B161</f>
        <v>694.62426064455451</v>
      </c>
      <c r="E161" s="607">
        <f>'Recycling - Case 3'!$B101*'Recycling - Case 3'!$AF101*'Recycling - Case 3'!BO101*$B161</f>
        <v>189.72297275874988</v>
      </c>
      <c r="F161" s="607">
        <f>'Recycling - Case 3'!$B101*'Recycling - Case 3'!$AF101*'Recycling - Case 3'!BP101*$B161</f>
        <v>0</v>
      </c>
      <c r="G161" s="607">
        <f>'Recycling - Case 3'!$B101*'Recycling - Case 3'!$AF101*'Recycling - Case 3'!BQ101*$B161</f>
        <v>0</v>
      </c>
      <c r="H161" s="607">
        <f>'Recycling - Case 3'!$B101*'Recycling - Case 3'!$AF101*'Recycling - Case 3'!BR101*$B161</f>
        <v>0</v>
      </c>
      <c r="I161" s="607">
        <f>'Recycling - Case 3'!$B101*'Recycling - Case 3'!$AF101*'Recycling - Case 3'!BS101*$B161</f>
        <v>741.75164084254106</v>
      </c>
      <c r="J161" s="863">
        <f t="shared" si="16"/>
        <v>2291.1896287044692</v>
      </c>
      <c r="K161" s="1640">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1.0022381648142824</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25.554827530307222</v>
      </c>
      <c r="R161" s="1641">
        <f t="shared" si="17"/>
        <v>26.557065695121505</v>
      </c>
      <c r="S161" s="563">
        <f>C161*'4C2 Open-burning '!$C$9*'4C2 Open-burning '!$C$11*$C$5</f>
        <v>2.5938539423886322</v>
      </c>
      <c r="T161" s="564">
        <f>D161*'4C2 Open-burning '!$C$9*'4C2 Open-burning '!$C$11*$C$5</f>
        <v>2.7090346165137622</v>
      </c>
      <c r="U161" s="564">
        <f>E161*'4C2 Open-burning '!$C$9*'4C2 Open-burning '!$C$11*$C$5</f>
        <v>0.73991959375912442</v>
      </c>
      <c r="V161" s="564">
        <f>F161*'4C2 Open-burning '!$C$9*'4C2 Open-burning '!$C$11*$C$5</f>
        <v>0</v>
      </c>
      <c r="W161" s="564">
        <f>G161*'4C2 Open-burning '!$C$9*'4C2 Open-burning '!$C$11*$C$5</f>
        <v>0</v>
      </c>
      <c r="X161" s="564">
        <f>H161*'4C2 Open-burning '!$C$9*'4C2 Open-burning '!$C$11*$C$5</f>
        <v>0</v>
      </c>
      <c r="Y161" s="564">
        <f>I161*'4C2 Open-burning '!$C$9*'4C2 Open-burning '!$C$11*$C$5</f>
        <v>2.8928313992859098</v>
      </c>
      <c r="Z161" s="565">
        <f t="shared" si="18"/>
        <v>8.9356395519474283</v>
      </c>
      <c r="AA161" s="566">
        <f>C161*'4C2 Open-burning '!$C$10*'4C2 Open-burning '!$C$11*$C$5*C$15</f>
        <v>2.3943267160510456E-2</v>
      </c>
      <c r="AB161" s="566">
        <f>D161*'4C2 Open-burning '!$C$10*'4C2 Open-burning '!$C$11*$C$5*D$15</f>
        <v>2.5006473383203966E-2</v>
      </c>
      <c r="AC161" s="566">
        <f>E161*'4C2 Open-burning '!$C$10*'4C2 Open-burning '!$C$11*$C$5*E$15</f>
        <v>1.5367560793458739E-2</v>
      </c>
      <c r="AD161" s="566">
        <f>F161*'4C2 Open-burning '!$C$10*'4C2 Open-burning '!$C$11*$C$5*F$15</f>
        <v>0</v>
      </c>
      <c r="AE161" s="566">
        <f>G161*'4C2 Open-burning '!$C$10*'4C2 Open-burning '!$C$11*$C$5*G$15</f>
        <v>0</v>
      </c>
      <c r="AF161" s="566">
        <f>H161*'4C2 Open-burning '!$C$10*'4C2 Open-burning '!$C$11*$C$5*H$15</f>
        <v>0</v>
      </c>
      <c r="AG161" s="566">
        <f>I161*'4C2 Open-burning '!$C$10*'4C2 Open-burning '!$C$11*$C$5*I$15</f>
        <v>6.0081882908245822E-2</v>
      </c>
      <c r="AH161" s="567">
        <f t="shared" si="19"/>
        <v>0.12439918424541899</v>
      </c>
      <c r="AI161" s="1646"/>
      <c r="AJ161" s="1646"/>
      <c r="AK161" s="1646"/>
      <c r="AL161" s="4"/>
      <c r="AM161" s="4"/>
    </row>
    <row r="162" spans="1:39">
      <c r="A162" s="1083">
        <f>'Input data'!A123</f>
        <v>2023</v>
      </c>
      <c r="B162" s="640">
        <f>'Recycling - Case 3'!AP102</f>
        <v>0.12146828085607689</v>
      </c>
      <c r="C162" s="606">
        <f>'Recycling - Case 3'!$B102*'Recycling - Case 3'!$AF102*'Recycling - Case 3'!BM102*$B162</f>
        <v>640.90455345521548</v>
      </c>
      <c r="D162" s="607">
        <f>'Recycling - Case 3'!$B102*'Recycling - Case 3'!$AF102*'Recycling - Case 3'!BN102*$B162</f>
        <v>669.36406588591842</v>
      </c>
      <c r="E162" s="607">
        <f>'Recycling - Case 3'!$B102*'Recycling - Case 3'!$AF102*'Recycling - Case 3'!BO102*$B162</f>
        <v>182.82364672941361</v>
      </c>
      <c r="F162" s="607">
        <f>'Recycling - Case 3'!$B102*'Recycling - Case 3'!$AF102*'Recycling - Case 3'!BP102*$B162</f>
        <v>0</v>
      </c>
      <c r="G162" s="607">
        <f>'Recycling - Case 3'!$B102*'Recycling - Case 3'!$AF102*'Recycling - Case 3'!BQ102*$B162</f>
        <v>0</v>
      </c>
      <c r="H162" s="607">
        <f>'Recycling - Case 3'!$B102*'Recycling - Case 3'!$AF102*'Recycling - Case 3'!BR102*$B162</f>
        <v>0</v>
      </c>
      <c r="I162" s="607">
        <f>'Recycling - Case 3'!$B102*'Recycling - Case 3'!$AF102*'Recycling - Case 3'!BS102*$B162</f>
        <v>714.7776464519128</v>
      </c>
      <c r="J162" s="863">
        <f t="shared" si="16"/>
        <v>2207.8699125224603</v>
      </c>
      <c r="K162" s="1640">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0.96579150915866951</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24.625519475561298</v>
      </c>
      <c r="R162" s="1641">
        <f t="shared" si="17"/>
        <v>25.591310984719968</v>
      </c>
      <c r="S162" s="563">
        <f>C162*'4C2 Open-burning '!$C$9*'4C2 Open-burning '!$C$11*$C$5</f>
        <v>2.4995277584753404</v>
      </c>
      <c r="T162" s="564">
        <f>D162*'4C2 Open-burning '!$C$9*'4C2 Open-burning '!$C$11*$C$5</f>
        <v>2.6105198569550816</v>
      </c>
      <c r="U162" s="564">
        <f>E162*'4C2 Open-burning '!$C$9*'4C2 Open-burning '!$C$11*$C$5</f>
        <v>0.71301222224471306</v>
      </c>
      <c r="V162" s="564">
        <f>F162*'4C2 Open-burning '!$C$9*'4C2 Open-burning '!$C$11*$C$5</f>
        <v>0</v>
      </c>
      <c r="W162" s="564">
        <f>G162*'4C2 Open-burning '!$C$9*'4C2 Open-burning '!$C$11*$C$5</f>
        <v>0</v>
      </c>
      <c r="X162" s="564">
        <f>H162*'4C2 Open-burning '!$C$9*'4C2 Open-burning '!$C$11*$C$5</f>
        <v>0</v>
      </c>
      <c r="Y162" s="564">
        <f>I162*'4C2 Open-burning '!$C$9*'4C2 Open-burning '!$C$11*$C$5</f>
        <v>2.7876328211624597</v>
      </c>
      <c r="Z162" s="565">
        <f t="shared" si="18"/>
        <v>8.6106926588375945</v>
      </c>
      <c r="AA162" s="566">
        <f>C162*'4C2 Open-burning '!$C$10*'4C2 Open-burning '!$C$11*$C$5*C$15</f>
        <v>2.3072563924387758E-2</v>
      </c>
      <c r="AB162" s="566">
        <f>D162*'4C2 Open-burning '!$C$10*'4C2 Open-burning '!$C$11*$C$5*D$15</f>
        <v>2.4097106371893062E-2</v>
      </c>
      <c r="AC162" s="566">
        <f>E162*'4C2 Open-burning '!$C$10*'4C2 Open-burning '!$C$11*$C$5*E$15</f>
        <v>1.4808715385082501E-2</v>
      </c>
      <c r="AD162" s="566">
        <f>F162*'4C2 Open-burning '!$C$10*'4C2 Open-burning '!$C$11*$C$5*F$15</f>
        <v>0</v>
      </c>
      <c r="AE162" s="566">
        <f>G162*'4C2 Open-burning '!$C$10*'4C2 Open-burning '!$C$11*$C$5*G$15</f>
        <v>0</v>
      </c>
      <c r="AF162" s="566">
        <f>H162*'4C2 Open-burning '!$C$10*'4C2 Open-burning '!$C$11*$C$5*H$15</f>
        <v>0</v>
      </c>
      <c r="AG162" s="566">
        <f>I162*'4C2 Open-burning '!$C$10*'4C2 Open-burning '!$C$11*$C$5*I$15</f>
        <v>5.7896989362604935E-2</v>
      </c>
      <c r="AH162" s="567">
        <f t="shared" si="19"/>
        <v>0.11987537504396825</v>
      </c>
      <c r="AI162" s="1646"/>
      <c r="AJ162" s="1646"/>
      <c r="AK162" s="1646"/>
      <c r="AL162" s="4"/>
      <c r="AM162" s="4"/>
    </row>
    <row r="163" spans="1:39">
      <c r="A163" s="1083">
        <f>'Input data'!A124</f>
        <v>2024</v>
      </c>
      <c r="B163" s="640">
        <f>'Recycling - Case 3'!AP103</f>
        <v>0.12146828085607689</v>
      </c>
      <c r="C163" s="606">
        <f>'Recycling - Case 3'!$B103*'Recycling - Case 3'!$AF103*'Recycling - Case 3'!BM103*$B163</f>
        <v>615.19274000716371</v>
      </c>
      <c r="D163" s="607">
        <f>'Recycling - Case 3'!$B103*'Recycling - Case 3'!$AF103*'Recycling - Case 3'!BN103*$B163</f>
        <v>642.51051351512717</v>
      </c>
      <c r="E163" s="607">
        <f>'Recycling - Case 3'!$B103*'Recycling - Case 3'!$AF103*'Recycling - Case 3'!BO103*$B163</f>
        <v>175.48912636556716</v>
      </c>
      <c r="F163" s="607">
        <f>'Recycling - Case 3'!$B103*'Recycling - Case 3'!$AF103*'Recycling - Case 3'!BP103*$B163</f>
        <v>0</v>
      </c>
      <c r="G163" s="607">
        <f>'Recycling - Case 3'!$B103*'Recycling - Case 3'!$AF103*'Recycling - Case 3'!BQ103*$B163</f>
        <v>0</v>
      </c>
      <c r="H163" s="607">
        <f>'Recycling - Case 3'!$B103*'Recycling - Case 3'!$AF103*'Recycling - Case 3'!BR103*$B163</f>
        <v>0</v>
      </c>
      <c r="I163" s="607">
        <f>'Recycling - Case 3'!$B103*'Recycling - Case 3'!$AF103*'Recycling - Case 3'!BS103*$B163</f>
        <v>686.10219173197163</v>
      </c>
      <c r="J163" s="863">
        <f t="shared" si="16"/>
        <v>2119.2945716198296</v>
      </c>
      <c r="K163" s="1640">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0.92704587850379971</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23.637592709549885</v>
      </c>
      <c r="R163" s="1641">
        <f t="shared" si="17"/>
        <v>24.564638588053686</v>
      </c>
      <c r="S163" s="563">
        <f>C163*'4C2 Open-burning '!$C$9*'4C2 Open-burning '!$C$11*$C$5</f>
        <v>2.3992516860279385</v>
      </c>
      <c r="T163" s="564">
        <f>D163*'4C2 Open-burning '!$C$9*'4C2 Open-burning '!$C$11*$C$5</f>
        <v>2.5057910027089956</v>
      </c>
      <c r="U163" s="564">
        <f>E163*'4C2 Open-burning '!$C$9*'4C2 Open-burning '!$C$11*$C$5</f>
        <v>0.68440759282571195</v>
      </c>
      <c r="V163" s="564">
        <f>F163*'4C2 Open-burning '!$C$9*'4C2 Open-burning '!$C$11*$C$5</f>
        <v>0</v>
      </c>
      <c r="W163" s="564">
        <f>G163*'4C2 Open-burning '!$C$9*'4C2 Open-burning '!$C$11*$C$5</f>
        <v>0</v>
      </c>
      <c r="X163" s="564">
        <f>H163*'4C2 Open-burning '!$C$9*'4C2 Open-burning '!$C$11*$C$5</f>
        <v>0</v>
      </c>
      <c r="Y163" s="564">
        <f>I163*'4C2 Open-burning '!$C$9*'4C2 Open-burning '!$C$11*$C$5</f>
        <v>2.6757985477546891</v>
      </c>
      <c r="Z163" s="565">
        <f t="shared" si="18"/>
        <v>8.2652488293173363</v>
      </c>
      <c r="AA163" s="566">
        <f>C163*'4C2 Open-burning '!$C$10*'4C2 Open-burning '!$C$11*$C$5*C$15</f>
        <v>2.2146938640257893E-2</v>
      </c>
      <c r="AB163" s="566">
        <f>D163*'4C2 Open-burning '!$C$10*'4C2 Open-burning '!$C$11*$C$5*D$15</f>
        <v>2.3130378486544576E-2</v>
      </c>
      <c r="AC163" s="566">
        <f>E163*'4C2 Open-burning '!$C$10*'4C2 Open-burning '!$C$11*$C$5*E$15</f>
        <v>1.4214619235610938E-2</v>
      </c>
      <c r="AD163" s="566">
        <f>F163*'4C2 Open-burning '!$C$10*'4C2 Open-burning '!$C$11*$C$5*F$15</f>
        <v>0</v>
      </c>
      <c r="AE163" s="566">
        <f>G163*'4C2 Open-burning '!$C$10*'4C2 Open-burning '!$C$11*$C$5*G$15</f>
        <v>0</v>
      </c>
      <c r="AF163" s="566">
        <f>H163*'4C2 Open-burning '!$C$10*'4C2 Open-burning '!$C$11*$C$5*H$15</f>
        <v>0</v>
      </c>
      <c r="AG163" s="566">
        <f>I163*'4C2 Open-burning '!$C$10*'4C2 Open-burning '!$C$11*$C$5*I$15</f>
        <v>5.5574277530289699E-2</v>
      </c>
      <c r="AH163" s="567">
        <f t="shared" si="19"/>
        <v>0.11506621389270311</v>
      </c>
      <c r="AI163" s="1646"/>
      <c r="AJ163" s="1646"/>
      <c r="AK163" s="1646"/>
      <c r="AL163" s="4"/>
      <c r="AM163" s="4"/>
    </row>
    <row r="164" spans="1:39">
      <c r="A164" s="1083">
        <f>'Input data'!A125</f>
        <v>2025</v>
      </c>
      <c r="B164" s="640">
        <f>'Recycling - Case 3'!AP104</f>
        <v>0.1214682808560769</v>
      </c>
      <c r="C164" s="606">
        <f>'Recycling - Case 3'!$B104*'Recycling - Case 3'!$AF104*'Recycling - Case 3'!BM104*$B164</f>
        <v>587.87552337135207</v>
      </c>
      <c r="D164" s="607">
        <f>'Recycling - Case 3'!$B104*'Recycling - Case 3'!$AF104*'Recycling - Case 3'!BN104*$B164</f>
        <v>613.980269662973</v>
      </c>
      <c r="E164" s="607">
        <f>'Recycling - Case 3'!$B104*'Recycling - Case 3'!$AF104*'Recycling - Case 3'!BO104*$B164</f>
        <v>167.69665065770738</v>
      </c>
      <c r="F164" s="607">
        <f>'Recycling - Case 3'!$B104*'Recycling - Case 3'!$AF104*'Recycling - Case 3'!BP104*$B164</f>
        <v>0</v>
      </c>
      <c r="G164" s="607">
        <f>'Recycling - Case 3'!$B104*'Recycling - Case 3'!$AF104*'Recycling - Case 3'!BQ104*$B164</f>
        <v>0</v>
      </c>
      <c r="H164" s="607">
        <f>'Recycling - Case 3'!$B104*'Recycling - Case 3'!$AF104*'Recycling - Case 3'!BR104*$B164</f>
        <v>0</v>
      </c>
      <c r="I164" s="607">
        <f>'Recycling - Case 3'!$B104*'Recycling - Case 3'!$AF104*'Recycling - Case 3'!BS104*$B164</f>
        <v>655.63628895550335</v>
      </c>
      <c r="J164" s="863">
        <f t="shared" si="16"/>
        <v>2025.1887326475357</v>
      </c>
      <c r="K164" s="1640">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0.88588103463043133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22.587981427094999</v>
      </c>
      <c r="R164" s="1641">
        <f t="shared" si="17"/>
        <v>23.473862461725432</v>
      </c>
      <c r="S164" s="563">
        <f>C164*'4C2 Open-burning '!$C$9*'4C2 Open-burning '!$C$11*$C$5</f>
        <v>2.292714541148273</v>
      </c>
      <c r="T164" s="564">
        <f>D164*'4C2 Open-burning '!$C$9*'4C2 Open-burning '!$C$11*$C$5</f>
        <v>2.3945230516855944</v>
      </c>
      <c r="U164" s="564">
        <f>E164*'4C2 Open-burning '!$C$9*'4C2 Open-burning '!$C$11*$C$5</f>
        <v>0.65401693756505874</v>
      </c>
      <c r="V164" s="564">
        <f>F164*'4C2 Open-burning '!$C$9*'4C2 Open-burning '!$C$11*$C$5</f>
        <v>0</v>
      </c>
      <c r="W164" s="564">
        <f>G164*'4C2 Open-burning '!$C$9*'4C2 Open-burning '!$C$11*$C$5</f>
        <v>0</v>
      </c>
      <c r="X164" s="564">
        <f>H164*'4C2 Open-burning '!$C$9*'4C2 Open-burning '!$C$11*$C$5</f>
        <v>0</v>
      </c>
      <c r="Y164" s="564">
        <f>I164*'4C2 Open-burning '!$C$9*'4C2 Open-burning '!$C$11*$C$5</f>
        <v>2.5569815269264629</v>
      </c>
      <c r="Z164" s="565">
        <f t="shared" si="18"/>
        <v>7.8982360573253887</v>
      </c>
      <c r="AA164" s="566">
        <f>C164*'4C2 Open-burning '!$C$10*'4C2 Open-burning '!$C$11*$C$5*C$15</f>
        <v>2.1163518841368675E-2</v>
      </c>
      <c r="AB164" s="566">
        <f>D164*'4C2 Open-burning '!$C$10*'4C2 Open-burning '!$C$11*$C$5*D$15</f>
        <v>2.2103289707867027E-2</v>
      </c>
      <c r="AC164" s="566">
        <f>E164*'4C2 Open-burning '!$C$10*'4C2 Open-burning '!$C$11*$C$5*E$15</f>
        <v>1.3583428703274296E-2</v>
      </c>
      <c r="AD164" s="566">
        <f>F164*'4C2 Open-burning '!$C$10*'4C2 Open-burning '!$C$11*$C$5*F$15</f>
        <v>0</v>
      </c>
      <c r="AE164" s="566">
        <f>G164*'4C2 Open-burning '!$C$10*'4C2 Open-burning '!$C$11*$C$5*G$15</f>
        <v>0</v>
      </c>
      <c r="AF164" s="566">
        <f>H164*'4C2 Open-burning '!$C$10*'4C2 Open-burning '!$C$11*$C$5*H$15</f>
        <v>0</v>
      </c>
      <c r="AG164" s="566">
        <f>I164*'4C2 Open-burning '!$C$10*'4C2 Open-burning '!$C$11*$C$5*I$15</f>
        <v>5.3106539405395767E-2</v>
      </c>
      <c r="AH164" s="567">
        <f t="shared" si="19"/>
        <v>0.10995677665790576</v>
      </c>
      <c r="AI164" s="1646"/>
      <c r="AJ164" s="1646"/>
      <c r="AK164" s="1646"/>
      <c r="AL164" s="4"/>
      <c r="AM164" s="4"/>
    </row>
    <row r="165" spans="1:39">
      <c r="A165" s="1083">
        <f>'Input data'!A126</f>
        <v>2026</v>
      </c>
      <c r="B165" s="640">
        <f>'Recycling - Case 3'!AP105</f>
        <v>0.12146828085607689</v>
      </c>
      <c r="C165" s="606">
        <f>'Recycling - Case 3'!$B105*'Recycling - Case 3'!$AF105*'Recycling - Case 3'!BM105*$B165</f>
        <v>557.94489767639288</v>
      </c>
      <c r="D165" s="607">
        <f>'Recycling - Case 3'!$B105*'Recycling - Case 3'!$AF105*'Recycling - Case 3'!BN105*$B165</f>
        <v>582.7205677281396</v>
      </c>
      <c r="E165" s="607">
        <f>'Recycling - Case 3'!$B105*'Recycling - Case 3'!$AF105*'Recycling - Case 3'!BO105*$B165</f>
        <v>159.15867708746978</v>
      </c>
      <c r="F165" s="607">
        <f>'Recycling - Case 3'!$B105*'Recycling - Case 3'!$AF105*'Recycling - Case 3'!BP105*$B165</f>
        <v>0</v>
      </c>
      <c r="G165" s="607">
        <f>'Recycling - Case 3'!$B105*'Recycling - Case 3'!$AF105*'Recycling - Case 3'!BQ105*$B165</f>
        <v>0</v>
      </c>
      <c r="H165" s="607">
        <f>'Recycling - Case 3'!$B105*'Recycling - Case 3'!$AF105*'Recycling - Case 3'!BR105*$B165</f>
        <v>0</v>
      </c>
      <c r="I165" s="607">
        <f>'Recycling - Case 3'!$B105*'Recycling - Case 3'!$AF105*'Recycling - Case 3'!BS105*$B165</f>
        <v>622.25574566596174</v>
      </c>
      <c r="J165" s="863">
        <f t="shared" si="16"/>
        <v>1922.079888157964</v>
      </c>
      <c r="K165" s="1640">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0.84077799392935137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21.437954949683711</v>
      </c>
      <c r="R165" s="1641">
        <f t="shared" si="17"/>
        <v>22.278732943613061</v>
      </c>
      <c r="S165" s="563">
        <f>C165*'4C2 Open-burning '!$C$9*'4C2 Open-burning '!$C$11*$C$5</f>
        <v>2.1759851009379321</v>
      </c>
      <c r="T165" s="564">
        <f>D165*'4C2 Open-burning '!$C$9*'4C2 Open-burning '!$C$11*$C$5</f>
        <v>2.2726102141397444</v>
      </c>
      <c r="U165" s="564">
        <f>E165*'4C2 Open-burning '!$C$9*'4C2 Open-burning '!$C$11*$C$5</f>
        <v>0.62071884064113214</v>
      </c>
      <c r="V165" s="564">
        <f>F165*'4C2 Open-burning '!$C$9*'4C2 Open-burning '!$C$11*$C$5</f>
        <v>0</v>
      </c>
      <c r="W165" s="564">
        <f>G165*'4C2 Open-burning '!$C$9*'4C2 Open-burning '!$C$11*$C$5</f>
        <v>0</v>
      </c>
      <c r="X165" s="564">
        <f>H165*'4C2 Open-burning '!$C$9*'4C2 Open-burning '!$C$11*$C$5</f>
        <v>0</v>
      </c>
      <c r="Y165" s="564">
        <f>I165*'4C2 Open-burning '!$C$9*'4C2 Open-burning '!$C$11*$C$5</f>
        <v>2.4267974080972508</v>
      </c>
      <c r="Z165" s="565">
        <f t="shared" si="18"/>
        <v>7.4961115638160596</v>
      </c>
      <c r="AA165" s="566">
        <f>C165*'4C2 Open-burning '!$C$10*'4C2 Open-burning '!$C$11*$C$5*C$15</f>
        <v>2.0086016316350146E-2</v>
      </c>
      <c r="AB165" s="566">
        <f>D165*'4C2 Open-burning '!$C$10*'4C2 Open-burning '!$C$11*$C$5*D$15</f>
        <v>2.0977940438213025E-2</v>
      </c>
      <c r="AC165" s="566">
        <f>E165*'4C2 Open-burning '!$C$10*'4C2 Open-burning '!$C$11*$C$5*E$15</f>
        <v>1.2891852844085052E-2</v>
      </c>
      <c r="AD165" s="566">
        <f>F165*'4C2 Open-burning '!$C$10*'4C2 Open-burning '!$C$11*$C$5*F$15</f>
        <v>0</v>
      </c>
      <c r="AE165" s="566">
        <f>G165*'4C2 Open-burning '!$C$10*'4C2 Open-burning '!$C$11*$C$5*G$15</f>
        <v>0</v>
      </c>
      <c r="AF165" s="566">
        <f>H165*'4C2 Open-burning '!$C$10*'4C2 Open-burning '!$C$11*$C$5*H$15</f>
        <v>0</v>
      </c>
      <c r="AG165" s="566">
        <f>I165*'4C2 Open-burning '!$C$10*'4C2 Open-burning '!$C$11*$C$5*I$15</f>
        <v>5.04027153989429E-2</v>
      </c>
      <c r="AH165" s="567">
        <f t="shared" si="19"/>
        <v>0.10435852499759113</v>
      </c>
      <c r="AI165" s="1646"/>
      <c r="AJ165" s="1646"/>
      <c r="AK165" s="1646"/>
      <c r="AL165" s="4"/>
      <c r="AM165" s="4"/>
    </row>
    <row r="166" spans="1:39">
      <c r="A166" s="1083">
        <f>'Input data'!A127</f>
        <v>2027</v>
      </c>
      <c r="B166" s="640">
        <f>'Recycling - Case 3'!AP106</f>
        <v>0.1214682808560769</v>
      </c>
      <c r="C166" s="606">
        <f>'Recycling - Case 3'!$B106*'Recycling - Case 3'!$AF106*'Recycling - Case 3'!BM106*$B166</f>
        <v>526.34893906702928</v>
      </c>
      <c r="D166" s="607">
        <f>'Recycling - Case 3'!$B106*'Recycling - Case 3'!$AF106*'Recycling - Case 3'!BN106*$B166</f>
        <v>549.7215833921598</v>
      </c>
      <c r="E166" s="607">
        <f>'Recycling - Case 3'!$B106*'Recycling - Case 3'!$AF106*'Recycling - Case 3'!BO106*$B166</f>
        <v>150.14565269291134</v>
      </c>
      <c r="F166" s="607">
        <f>'Recycling - Case 3'!$B106*'Recycling - Case 3'!$AF106*'Recycling - Case 3'!BP106*$B166</f>
        <v>0</v>
      </c>
      <c r="G166" s="607">
        <f>'Recycling - Case 3'!$B106*'Recycling - Case 3'!$AF106*'Recycling - Case 3'!BQ106*$B166</f>
        <v>0</v>
      </c>
      <c r="H166" s="607">
        <f>'Recycling - Case 3'!$B106*'Recycling - Case 3'!$AF106*'Recycling - Case 3'!BR106*$B166</f>
        <v>0</v>
      </c>
      <c r="I166" s="607">
        <f>'Recycling - Case 3'!$B106*'Recycling - Case 3'!$AF106*'Recycling - Case 3'!BS106*$B166</f>
        <v>587.01791686534148</v>
      </c>
      <c r="J166" s="863">
        <f t="shared" si="16"/>
        <v>1813.234092017442</v>
      </c>
      <c r="K166" s="1640">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0.79316543074168111</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20.223941271844744</v>
      </c>
      <c r="R166" s="1641">
        <f t="shared" si="17"/>
        <v>21.017106702586425</v>
      </c>
      <c r="S166" s="563">
        <f>C166*'4C2 Open-burning '!$C$9*'4C2 Open-burning '!$C$11*$C$5</f>
        <v>2.052760862361414</v>
      </c>
      <c r="T166" s="564">
        <f>D166*'4C2 Open-burning '!$C$9*'4C2 Open-burning '!$C$11*$C$5</f>
        <v>2.1439141752294231</v>
      </c>
      <c r="U166" s="564">
        <f>E166*'4C2 Open-burning '!$C$9*'4C2 Open-burning '!$C$11*$C$5</f>
        <v>0.5855680455023542</v>
      </c>
      <c r="V166" s="564">
        <f>F166*'4C2 Open-burning '!$C$9*'4C2 Open-burning '!$C$11*$C$5</f>
        <v>0</v>
      </c>
      <c r="W166" s="564">
        <f>G166*'4C2 Open-burning '!$C$9*'4C2 Open-burning '!$C$11*$C$5</f>
        <v>0</v>
      </c>
      <c r="X166" s="564">
        <f>H166*'4C2 Open-burning '!$C$9*'4C2 Open-burning '!$C$11*$C$5</f>
        <v>0</v>
      </c>
      <c r="Y166" s="564">
        <f>I166*'4C2 Open-burning '!$C$9*'4C2 Open-burning '!$C$11*$C$5</f>
        <v>2.2893698757748315</v>
      </c>
      <c r="Z166" s="565">
        <f t="shared" si="18"/>
        <v>7.0716129588680232</v>
      </c>
      <c r="AA166" s="566">
        <f>C166*'4C2 Open-burning '!$C$10*'4C2 Open-burning '!$C$11*$C$5*C$15</f>
        <v>1.8948561806413054E-2</v>
      </c>
      <c r="AB166" s="566">
        <f>D166*'4C2 Open-burning '!$C$10*'4C2 Open-burning '!$C$11*$C$5*D$15</f>
        <v>1.9789977002117751E-2</v>
      </c>
      <c r="AC166" s="566">
        <f>E166*'4C2 Open-burning '!$C$10*'4C2 Open-burning '!$C$11*$C$5*E$15</f>
        <v>1.2161797868125818E-2</v>
      </c>
      <c r="AD166" s="566">
        <f>F166*'4C2 Open-burning '!$C$10*'4C2 Open-burning '!$C$11*$C$5*F$15</f>
        <v>0</v>
      </c>
      <c r="AE166" s="566">
        <f>G166*'4C2 Open-burning '!$C$10*'4C2 Open-burning '!$C$11*$C$5*G$15</f>
        <v>0</v>
      </c>
      <c r="AF166" s="566">
        <f>H166*'4C2 Open-burning '!$C$10*'4C2 Open-burning '!$C$11*$C$5*H$15</f>
        <v>0</v>
      </c>
      <c r="AG166" s="566">
        <f>I166*'4C2 Open-burning '!$C$10*'4C2 Open-burning '!$C$11*$C$5*I$15</f>
        <v>4.7548451266092653E-2</v>
      </c>
      <c r="AH166" s="567">
        <f t="shared" si="19"/>
        <v>9.8448787942749277E-2</v>
      </c>
      <c r="AI166" s="1646"/>
      <c r="AJ166" s="1646"/>
      <c r="AK166" s="1646"/>
      <c r="AL166" s="4"/>
      <c r="AM166" s="4"/>
    </row>
    <row r="167" spans="1:39">
      <c r="A167" s="1083">
        <f>'Input data'!A128</f>
        <v>2028</v>
      </c>
      <c r="B167" s="640">
        <f>'Recycling - Case 3'!AP107</f>
        <v>0.12146828085607689</v>
      </c>
      <c r="C167" s="606">
        <f>'Recycling - Case 3'!$B107*'Recycling - Case 3'!$AF107*'Recycling - Case 3'!BM107*$B167</f>
        <v>492.98524548230415</v>
      </c>
      <c r="D167" s="607">
        <f>'Recycling - Case 3'!$B107*'Recycling - Case 3'!$AF107*'Recycling - Case 3'!BN107*$B167</f>
        <v>514.87636740727453</v>
      </c>
      <c r="E167" s="607">
        <f>'Recycling - Case 3'!$B107*'Recycling - Case 3'!$AF107*'Recycling - Case 3'!BO107*$B167</f>
        <v>140.62836638773859</v>
      </c>
      <c r="F167" s="607">
        <f>'Recycling - Case 3'!$B107*'Recycling - Case 3'!$AF107*'Recycling - Case 3'!BP107*$B167</f>
        <v>0</v>
      </c>
      <c r="G167" s="607">
        <f>'Recycling - Case 3'!$B107*'Recycling - Case 3'!$AF107*'Recycling - Case 3'!BQ107*$B167</f>
        <v>0</v>
      </c>
      <c r="H167" s="607">
        <f>'Recycling - Case 3'!$B107*'Recycling - Case 3'!$AF107*'Recycling - Case 3'!BR107*$B167</f>
        <v>0</v>
      </c>
      <c r="I167" s="607">
        <f>'Recycling - Case 3'!$B107*'Recycling - Case 3'!$AF107*'Recycling - Case 3'!BS107*$B167</f>
        <v>549.80859724221443</v>
      </c>
      <c r="J167" s="863">
        <f t="shared" si="16"/>
        <v>1698.2985765195317</v>
      </c>
      <c r="K167" s="1640">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0.74288903341452339</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18.94200579218877</v>
      </c>
      <c r="R167" s="1641">
        <f t="shared" si="17"/>
        <v>19.684894825603294</v>
      </c>
      <c r="S167" s="563">
        <f>C167*'4C2 Open-burning '!$C$9*'4C2 Open-burning '!$C$11*$C$5</f>
        <v>1.9226424573809859</v>
      </c>
      <c r="T167" s="564">
        <f>D167*'4C2 Open-burning '!$C$9*'4C2 Open-burning '!$C$11*$C$5</f>
        <v>2.0080178328883704</v>
      </c>
      <c r="U167" s="564">
        <f>E167*'4C2 Open-burning '!$C$9*'4C2 Open-burning '!$C$11*$C$5</f>
        <v>0.54845062891218044</v>
      </c>
      <c r="V167" s="564">
        <f>F167*'4C2 Open-burning '!$C$9*'4C2 Open-burning '!$C$11*$C$5</f>
        <v>0</v>
      </c>
      <c r="W167" s="564">
        <f>G167*'4C2 Open-burning '!$C$9*'4C2 Open-burning '!$C$11*$C$5</f>
        <v>0</v>
      </c>
      <c r="X167" s="564">
        <f>H167*'4C2 Open-burning '!$C$9*'4C2 Open-burning '!$C$11*$C$5</f>
        <v>0</v>
      </c>
      <c r="Y167" s="564">
        <f>I167*'4C2 Open-burning '!$C$9*'4C2 Open-burning '!$C$11*$C$5</f>
        <v>2.1442535292446361</v>
      </c>
      <c r="Z167" s="565">
        <f t="shared" si="18"/>
        <v>6.6233644484261731</v>
      </c>
      <c r="AA167" s="566">
        <f>C167*'4C2 Open-burning '!$C$10*'4C2 Open-burning '!$C$11*$C$5*C$15</f>
        <v>1.7747468837362945E-2</v>
      </c>
      <c r="AB167" s="566">
        <f>D167*'4C2 Open-burning '!$C$10*'4C2 Open-burning '!$C$11*$C$5*D$15</f>
        <v>1.8535549226661882E-2</v>
      </c>
      <c r="AC167" s="566">
        <f>E167*'4C2 Open-burning '!$C$10*'4C2 Open-burning '!$C$11*$C$5*E$15</f>
        <v>1.1390897677406826E-2</v>
      </c>
      <c r="AD167" s="566">
        <f>F167*'4C2 Open-burning '!$C$10*'4C2 Open-burning '!$C$11*$C$5*F$15</f>
        <v>0</v>
      </c>
      <c r="AE167" s="566">
        <f>G167*'4C2 Open-burning '!$C$10*'4C2 Open-burning '!$C$11*$C$5*G$15</f>
        <v>0</v>
      </c>
      <c r="AF167" s="566">
        <f>H167*'4C2 Open-burning '!$C$10*'4C2 Open-burning '!$C$11*$C$5*H$15</f>
        <v>0</v>
      </c>
      <c r="AG167" s="566">
        <f>I167*'4C2 Open-burning '!$C$10*'4C2 Open-burning '!$C$11*$C$5*I$15</f>
        <v>4.4534496376619361E-2</v>
      </c>
      <c r="AH167" s="567">
        <f t="shared" si="19"/>
        <v>9.2208412118051003E-2</v>
      </c>
      <c r="AI167" s="1646"/>
      <c r="AJ167" s="1646"/>
      <c r="AK167" s="1646"/>
      <c r="AL167" s="4"/>
      <c r="AM167" s="4"/>
    </row>
    <row r="168" spans="1:39">
      <c r="A168" s="1083">
        <f>'Input data'!A129</f>
        <v>2029</v>
      </c>
      <c r="B168" s="640">
        <f>'Recycling - Case 3'!AP108</f>
        <v>0.1214682808560769</v>
      </c>
      <c r="C168" s="606">
        <f>'Recycling - Case 3'!$B108*'Recycling - Case 3'!$AF108*'Recycling - Case 3'!BM108*$B168</f>
        <v>457.77924932363032</v>
      </c>
      <c r="D168" s="607">
        <f>'Recycling - Case 3'!$B108*'Recycling - Case 3'!$AF108*'Recycling - Case 3'!BN108*$B168</f>
        <v>478.10704098372508</v>
      </c>
      <c r="E168" s="607">
        <f>'Recycling - Case 3'!$B108*'Recycling - Case 3'!$AF108*'Recycling - Case 3'!BO108*$B168</f>
        <v>130.58554711024962</v>
      </c>
      <c r="F168" s="607">
        <f>'Recycling - Case 3'!$B108*'Recycling - Case 3'!$AF108*'Recycling - Case 3'!BP108*$B168</f>
        <v>0</v>
      </c>
      <c r="G168" s="607">
        <f>'Recycling - Case 3'!$B108*'Recycling - Case 3'!$AF108*'Recycling - Case 3'!BQ108*$B168</f>
        <v>0</v>
      </c>
      <c r="H168" s="607">
        <f>'Recycling - Case 3'!$B108*'Recycling - Case 3'!$AF108*'Recycling - Case 3'!BR108*$B168</f>
        <v>0</v>
      </c>
      <c r="I168" s="607">
        <f>'Recycling - Case 3'!$B108*'Recycling - Case 3'!$AF108*'Recycling - Case 3'!BS108*$B168</f>
        <v>510.54462425337152</v>
      </c>
      <c r="J168" s="863">
        <f t="shared" si="16"/>
        <v>1577.0164616709765</v>
      </c>
      <c r="K168" s="1640">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0.68983643458648902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17.589283394777155</v>
      </c>
      <c r="R168" s="1641">
        <f t="shared" si="17"/>
        <v>18.279119829363644</v>
      </c>
      <c r="S168" s="563">
        <f>C168*'4C2 Open-burning '!$C$9*'4C2 Open-burning '!$C$11*$C$5</f>
        <v>1.7853390723621581</v>
      </c>
      <c r="T168" s="564">
        <f>D168*'4C2 Open-burning '!$C$9*'4C2 Open-burning '!$C$11*$C$5</f>
        <v>1.8646174598365275</v>
      </c>
      <c r="U168" s="564">
        <f>E168*'4C2 Open-burning '!$C$9*'4C2 Open-burning '!$C$11*$C$5</f>
        <v>0.50928363372997354</v>
      </c>
      <c r="V168" s="564">
        <f>F168*'4C2 Open-burning '!$C$9*'4C2 Open-burning '!$C$11*$C$5</f>
        <v>0</v>
      </c>
      <c r="W168" s="564">
        <f>G168*'4C2 Open-burning '!$C$9*'4C2 Open-burning '!$C$11*$C$5</f>
        <v>0</v>
      </c>
      <c r="X168" s="564">
        <f>H168*'4C2 Open-burning '!$C$9*'4C2 Open-burning '!$C$11*$C$5</f>
        <v>0</v>
      </c>
      <c r="Y168" s="564">
        <f>I168*'4C2 Open-burning '!$C$9*'4C2 Open-burning '!$C$11*$C$5</f>
        <v>1.9911240345881489</v>
      </c>
      <c r="Z168" s="565">
        <f t="shared" si="18"/>
        <v>6.1503642005168082</v>
      </c>
      <c r="AA168" s="566">
        <f>C168*'4C2 Open-burning '!$C$10*'4C2 Open-burning '!$C$11*$C$5*C$15</f>
        <v>1.6480052975650691E-2</v>
      </c>
      <c r="AB168" s="566">
        <f>D168*'4C2 Open-burning '!$C$10*'4C2 Open-burning '!$C$11*$C$5*D$15</f>
        <v>1.7211853475414103E-2</v>
      </c>
      <c r="AC168" s="566">
        <f>E168*'4C2 Open-burning '!$C$10*'4C2 Open-burning '!$C$11*$C$5*E$15</f>
        <v>1.0577429315930221E-2</v>
      </c>
      <c r="AD168" s="566">
        <f>F168*'4C2 Open-burning '!$C$10*'4C2 Open-burning '!$C$11*$C$5*F$15</f>
        <v>0</v>
      </c>
      <c r="AE168" s="566">
        <f>G168*'4C2 Open-burning '!$C$10*'4C2 Open-burning '!$C$11*$C$5*G$15</f>
        <v>0</v>
      </c>
      <c r="AF168" s="566">
        <f>H168*'4C2 Open-burning '!$C$10*'4C2 Open-burning '!$C$11*$C$5*H$15</f>
        <v>0</v>
      </c>
      <c r="AG168" s="566">
        <f>I168*'4C2 Open-burning '!$C$10*'4C2 Open-burning '!$C$11*$C$5*I$15</f>
        <v>4.1354114564523092E-2</v>
      </c>
      <c r="AH168" s="567">
        <f t="shared" si="19"/>
        <v>8.5623450331518108E-2</v>
      </c>
      <c r="AI168" s="1646"/>
      <c r="AJ168" s="1646"/>
      <c r="AK168" s="1646"/>
      <c r="AL168" s="4"/>
      <c r="AM168" s="4"/>
    </row>
    <row r="169" spans="1:39">
      <c r="A169" s="1083">
        <f>'Input data'!A130</f>
        <v>2030</v>
      </c>
      <c r="B169" s="640">
        <f>'Recycling - Case 3'!AP109</f>
        <v>0.1214682808560769</v>
      </c>
      <c r="C169" s="606">
        <f>'Recycling - Case 3'!$B109*'Recycling - Case 3'!$AF109*'Recycling - Case 3'!BM109*$B169</f>
        <v>420.62692836417199</v>
      </c>
      <c r="D169" s="607">
        <f>'Recycling - Case 3'!$B109*'Recycling - Case 3'!$AF109*'Recycling - Case 3'!BN109*$B169</f>
        <v>439.30496276403994</v>
      </c>
      <c r="E169" s="607">
        <f>'Recycling - Case 3'!$B109*'Recycling - Case 3'!$AF109*'Recycling - Case 3'!BO109*$B169</f>
        <v>119.98752160762005</v>
      </c>
      <c r="F169" s="607">
        <f>'Recycling - Case 3'!$B109*'Recycling - Case 3'!$AF109*'Recycling - Case 3'!BP109*$B169</f>
        <v>0</v>
      </c>
      <c r="G169" s="607">
        <f>'Recycling - Case 3'!$B109*'Recycling - Case 3'!$AF109*'Recycling - Case 3'!BQ109*$B169</f>
        <v>0</v>
      </c>
      <c r="H169" s="607">
        <f>'Recycling - Case 3'!$B109*'Recycling - Case 3'!$AF109*'Recycling - Case 3'!BR109*$B169</f>
        <v>0</v>
      </c>
      <c r="I169" s="607">
        <f>'Recycling - Case 3'!$B109*'Recycling - Case 3'!$AF109*'Recycling - Case 3'!BS109*$B169</f>
        <v>469.10998567503401</v>
      </c>
      <c r="J169" s="863">
        <f t="shared" si="16"/>
        <v>1449.029398410866</v>
      </c>
      <c r="K169" s="1640">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0.63385088114527799</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16.161777226476271</v>
      </c>
      <c r="R169" s="1641">
        <f t="shared" si="17"/>
        <v>16.79562810762155</v>
      </c>
      <c r="S169" s="563">
        <f>C169*'4C2 Open-burning '!$C$9*'4C2 Open-burning '!$C$11*$C$5</f>
        <v>1.6404450206202708</v>
      </c>
      <c r="T169" s="564">
        <f>D169*'4C2 Open-burning '!$C$9*'4C2 Open-burning '!$C$11*$C$5</f>
        <v>1.7132893547797556</v>
      </c>
      <c r="U169" s="564">
        <f>E169*'4C2 Open-burning '!$C$9*'4C2 Open-burning '!$C$11*$C$5</f>
        <v>0.46795133426971819</v>
      </c>
      <c r="V169" s="564">
        <f>F169*'4C2 Open-burning '!$C$9*'4C2 Open-burning '!$C$11*$C$5</f>
        <v>0</v>
      </c>
      <c r="W169" s="564">
        <f>G169*'4C2 Open-burning '!$C$9*'4C2 Open-burning '!$C$11*$C$5</f>
        <v>0</v>
      </c>
      <c r="X169" s="564">
        <f>H169*'4C2 Open-burning '!$C$9*'4C2 Open-burning '!$C$11*$C$5</f>
        <v>0</v>
      </c>
      <c r="Y169" s="564">
        <f>I169*'4C2 Open-burning '!$C$9*'4C2 Open-burning '!$C$11*$C$5</f>
        <v>1.8295289441326326</v>
      </c>
      <c r="Z169" s="565">
        <f t="shared" si="18"/>
        <v>5.6512146538023771</v>
      </c>
      <c r="AA169" s="566">
        <f>C169*'4C2 Open-burning '!$C$10*'4C2 Open-burning '!$C$11*$C$5*C$15</f>
        <v>1.5142569421110192E-2</v>
      </c>
      <c r="AB169" s="566">
        <f>D169*'4C2 Open-burning '!$C$10*'4C2 Open-burning '!$C$11*$C$5*D$15</f>
        <v>1.5814978659505437E-2</v>
      </c>
      <c r="AC169" s="566">
        <f>E169*'4C2 Open-burning '!$C$10*'4C2 Open-burning '!$C$11*$C$5*E$15</f>
        <v>9.7189892502172245E-3</v>
      </c>
      <c r="AD169" s="566">
        <f>F169*'4C2 Open-burning '!$C$10*'4C2 Open-burning '!$C$11*$C$5*F$15</f>
        <v>0</v>
      </c>
      <c r="AE169" s="566">
        <f>G169*'4C2 Open-burning '!$C$10*'4C2 Open-burning '!$C$11*$C$5*G$15</f>
        <v>0</v>
      </c>
      <c r="AF169" s="566">
        <f>H169*'4C2 Open-burning '!$C$10*'4C2 Open-burning '!$C$11*$C$5*H$15</f>
        <v>0</v>
      </c>
      <c r="AG169" s="566">
        <f>I169*'4C2 Open-burning '!$C$10*'4C2 Open-burning '!$C$11*$C$5*I$15</f>
        <v>3.7997908839677748E-2</v>
      </c>
      <c r="AH169" s="567">
        <f t="shared" si="19"/>
        <v>7.8674446170510601E-2</v>
      </c>
      <c r="AI169" s="1646"/>
      <c r="AJ169" s="1646"/>
      <c r="AK169" s="1646"/>
      <c r="AL169" s="4"/>
      <c r="AM169" s="4"/>
    </row>
    <row r="170" spans="1:39">
      <c r="A170" s="1083">
        <f>'Input data'!A131</f>
        <v>2031</v>
      </c>
      <c r="B170" s="640">
        <f>'Recycling - Case 3'!AP110</f>
        <v>0.12146828085607692</v>
      </c>
      <c r="C170" s="606">
        <f>'Recycling - Case 3'!$B110*'Recycling - Case 3'!$AF110*'Recycling - Case 3'!BM110*$B170</f>
        <v>375.26923595957692</v>
      </c>
      <c r="D170" s="607">
        <f>'Recycling - Case 3'!$B110*'Recycling - Case 3'!$AF110*'Recycling - Case 3'!BN110*$B170</f>
        <v>391.93315171438718</v>
      </c>
      <c r="E170" s="607">
        <f>'Recycling - Case 3'!$B110*'Recycling - Case 3'!$AF110*'Recycling - Case 3'!BO110*$B170</f>
        <v>107.04884191197245</v>
      </c>
      <c r="F170" s="607">
        <f>'Recycling - Case 3'!$B110*'Recycling - Case 3'!$AF110*'Recycling - Case 3'!BP110*$B170</f>
        <v>0</v>
      </c>
      <c r="G170" s="607">
        <f>'Recycling - Case 3'!$B110*'Recycling - Case 3'!$AF110*'Recycling - Case 3'!BQ110*$B170</f>
        <v>0</v>
      </c>
      <c r="H170" s="607">
        <f>'Recycling - Case 3'!$B110*'Recycling - Case 3'!$AF110*'Recycling - Case 3'!BR110*$B170</f>
        <v>0</v>
      </c>
      <c r="I170" s="607">
        <f>'Recycling - Case 3'!$B110*'Recycling - Case 3'!$AF110*'Recycling - Case 3'!BS110*$B170</f>
        <v>418.52419337466495</v>
      </c>
      <c r="J170" s="863">
        <f t="shared" si="16"/>
        <v>1292.7754229606014</v>
      </c>
      <c r="K170" s="1640">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0.56550049423786208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14.418995510143954</v>
      </c>
      <c r="R170" s="1641">
        <f t="shared" si="17"/>
        <v>14.984496004381816</v>
      </c>
      <c r="S170" s="563">
        <f>C170*'4C2 Open-burning '!$C$9*'4C2 Open-burning '!$C$11*$C$5</f>
        <v>1.4635500202423501</v>
      </c>
      <c r="T170" s="564">
        <f>D170*'4C2 Open-burning '!$C$9*'4C2 Open-burning '!$C$11*$C$5</f>
        <v>1.52853929168611</v>
      </c>
      <c r="U170" s="564">
        <f>E170*'4C2 Open-burning '!$C$9*'4C2 Open-burning '!$C$11*$C$5</f>
        <v>0.41749048345669254</v>
      </c>
      <c r="V170" s="564">
        <f>F170*'4C2 Open-burning '!$C$9*'4C2 Open-burning '!$C$11*$C$5</f>
        <v>0</v>
      </c>
      <c r="W170" s="564">
        <f>G170*'4C2 Open-burning '!$C$9*'4C2 Open-burning '!$C$11*$C$5</f>
        <v>0</v>
      </c>
      <c r="X170" s="564">
        <f>H170*'4C2 Open-burning '!$C$9*'4C2 Open-burning '!$C$11*$C$5</f>
        <v>0</v>
      </c>
      <c r="Y170" s="564">
        <f>I170*'4C2 Open-burning '!$C$9*'4C2 Open-burning '!$C$11*$C$5</f>
        <v>1.6322443541611933</v>
      </c>
      <c r="Z170" s="565">
        <f t="shared" si="18"/>
        <v>5.0418241495463452</v>
      </c>
      <c r="AA170" s="566">
        <f>C170*'4C2 Open-burning '!$C$10*'4C2 Open-burning '!$C$11*$C$5*C$15</f>
        <v>1.3509692494544768E-2</v>
      </c>
      <c r="AB170" s="566">
        <f>D170*'4C2 Open-burning '!$C$10*'4C2 Open-burning '!$C$11*$C$5*D$15</f>
        <v>1.4109593461717938E-2</v>
      </c>
      <c r="AC170" s="566">
        <f>E170*'4C2 Open-burning '!$C$10*'4C2 Open-burning '!$C$11*$C$5*E$15</f>
        <v>8.6709561948697667E-3</v>
      </c>
      <c r="AD170" s="566">
        <f>F170*'4C2 Open-burning '!$C$10*'4C2 Open-burning '!$C$11*$C$5*F$15</f>
        <v>0</v>
      </c>
      <c r="AE170" s="566">
        <f>G170*'4C2 Open-burning '!$C$10*'4C2 Open-burning '!$C$11*$C$5*G$15</f>
        <v>0</v>
      </c>
      <c r="AF170" s="566">
        <f>H170*'4C2 Open-burning '!$C$10*'4C2 Open-burning '!$C$11*$C$5*H$15</f>
        <v>0</v>
      </c>
      <c r="AG170" s="566">
        <f>I170*'4C2 Open-burning '!$C$10*'4C2 Open-burning '!$C$11*$C$5*I$15</f>
        <v>3.3900459663347857E-2</v>
      </c>
      <c r="AH170" s="567">
        <f t="shared" si="19"/>
        <v>7.0190701814480339E-2</v>
      </c>
      <c r="AI170" s="1646"/>
      <c r="AJ170" s="1646"/>
      <c r="AK170" s="1646"/>
      <c r="AL170" s="4"/>
      <c r="AM170" s="4"/>
    </row>
    <row r="171" spans="1:39">
      <c r="A171" s="1083">
        <f>'Input data'!A132</f>
        <v>2032</v>
      </c>
      <c r="B171" s="640">
        <f>'Recycling - Case 3'!AP111</f>
        <v>0.1214682808560769</v>
      </c>
      <c r="C171" s="606">
        <f>'Recycling - Case 3'!$B111*'Recycling - Case 3'!$AF111*'Recycling - Case 3'!BM111*$B171</f>
        <v>329.10750224120505</v>
      </c>
      <c r="D171" s="607">
        <f>'Recycling - Case 3'!$B111*'Recycling - Case 3'!$AF111*'Recycling - Case 3'!BN111*$B171</f>
        <v>343.72159571358924</v>
      </c>
      <c r="E171" s="607">
        <f>'Recycling - Case 3'!$B111*'Recycling - Case 3'!$AF111*'Recycling - Case 3'!BO111*$B171</f>
        <v>93.880802377463823</v>
      </c>
      <c r="F171" s="607">
        <f>'Recycling - Case 3'!$B111*'Recycling - Case 3'!$AF111*'Recycling - Case 3'!BP111*$B171</f>
        <v>0</v>
      </c>
      <c r="G171" s="607">
        <f>'Recycling - Case 3'!$B111*'Recycling - Case 3'!$AF111*'Recycling - Case 3'!BQ111*$B171</f>
        <v>0</v>
      </c>
      <c r="H171" s="607">
        <f>'Recycling - Case 3'!$B111*'Recycling - Case 3'!$AF111*'Recycling - Case 3'!BR111*$B171</f>
        <v>0</v>
      </c>
      <c r="I171" s="607">
        <f>'Recycling - Case 3'!$B111*'Recycling - Case 3'!$AF111*'Recycling - Case 3'!BS111*$B171</f>
        <v>367.04168290493192</v>
      </c>
      <c r="J171" s="863">
        <f t="shared" si="16"/>
        <v>1133.7515832371901</v>
      </c>
      <c r="K171" s="1640">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0.49593848187128547</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12.645320059440714</v>
      </c>
      <c r="R171" s="1641">
        <f t="shared" si="17"/>
        <v>13.141258541311998</v>
      </c>
      <c r="S171" s="563">
        <f>C171*'4C2 Open-burning '!$C$9*'4C2 Open-burning '!$C$11*$C$5</f>
        <v>1.2835192587406998</v>
      </c>
      <c r="T171" s="564">
        <f>D171*'4C2 Open-burning '!$C$9*'4C2 Open-burning '!$C$11*$C$5</f>
        <v>1.3405142232829981</v>
      </c>
      <c r="U171" s="564">
        <f>E171*'4C2 Open-burning '!$C$9*'4C2 Open-burning '!$C$11*$C$5</f>
        <v>0.36613512927210889</v>
      </c>
      <c r="V171" s="564">
        <f>F171*'4C2 Open-burning '!$C$9*'4C2 Open-burning '!$C$11*$C$5</f>
        <v>0</v>
      </c>
      <c r="W171" s="564">
        <f>G171*'4C2 Open-burning '!$C$9*'4C2 Open-burning '!$C$11*$C$5</f>
        <v>0</v>
      </c>
      <c r="X171" s="564">
        <f>H171*'4C2 Open-burning '!$C$9*'4C2 Open-burning '!$C$11*$C$5</f>
        <v>0</v>
      </c>
      <c r="Y171" s="564">
        <f>I171*'4C2 Open-burning '!$C$9*'4C2 Open-burning '!$C$11*$C$5</f>
        <v>1.4314625633292344</v>
      </c>
      <c r="Z171" s="565">
        <f t="shared" si="18"/>
        <v>4.4216311746250412</v>
      </c>
      <c r="AA171" s="566">
        <f>C171*'4C2 Open-burning '!$C$10*'4C2 Open-burning '!$C$11*$C$5*C$15</f>
        <v>1.1847870080683382E-2</v>
      </c>
      <c r="AB171" s="566">
        <f>D171*'4C2 Open-burning '!$C$10*'4C2 Open-burning '!$C$11*$C$5*D$15</f>
        <v>1.2373977445689213E-2</v>
      </c>
      <c r="AC171" s="566">
        <f>E171*'4C2 Open-burning '!$C$10*'4C2 Open-burning '!$C$11*$C$5*E$15</f>
        <v>7.6043449925745693E-3</v>
      </c>
      <c r="AD171" s="566">
        <f>F171*'4C2 Open-burning '!$C$10*'4C2 Open-burning '!$C$11*$C$5*F$15</f>
        <v>0</v>
      </c>
      <c r="AE171" s="566">
        <f>G171*'4C2 Open-burning '!$C$10*'4C2 Open-burning '!$C$11*$C$5*G$15</f>
        <v>0</v>
      </c>
      <c r="AF171" s="566">
        <f>H171*'4C2 Open-burning '!$C$10*'4C2 Open-burning '!$C$11*$C$5*H$15</f>
        <v>0</v>
      </c>
      <c r="AG171" s="566">
        <f>I171*'4C2 Open-burning '!$C$10*'4C2 Open-burning '!$C$11*$C$5*I$15</f>
        <v>2.9730376315299484E-2</v>
      </c>
      <c r="AH171" s="567">
        <f t="shared" si="19"/>
        <v>6.155656883424665E-2</v>
      </c>
      <c r="AI171" s="1646"/>
      <c r="AJ171" s="1646"/>
      <c r="AK171" s="1646"/>
      <c r="AL171" s="4"/>
      <c r="AM171" s="4"/>
    </row>
    <row r="172" spans="1:39">
      <c r="A172" s="1083">
        <f>'Input data'!A133</f>
        <v>2033</v>
      </c>
      <c r="B172" s="640">
        <f>'Recycling - Case 3'!AP112</f>
        <v>0.1214682808560769</v>
      </c>
      <c r="C172" s="606">
        <f>'Recycling - Case 3'!$B112*'Recycling - Case 3'!$AF112*'Recycling - Case 3'!BM112*$B172</f>
        <v>331.91355246378134</v>
      </c>
      <c r="D172" s="607">
        <f>'Recycling - Case 3'!$B112*'Recycling - Case 3'!$AF112*'Recycling - Case 3'!BN112*$B172</f>
        <v>346.65224923436341</v>
      </c>
      <c r="E172" s="607">
        <f>'Recycling - Case 3'!$B112*'Recycling - Case 3'!$AF112*'Recycling - Case 3'!BO112*$B172</f>
        <v>94.681252821810858</v>
      </c>
      <c r="F172" s="607">
        <f>'Recycling - Case 3'!$B112*'Recycling - Case 3'!$AF112*'Recycling - Case 3'!BP112*$B172</f>
        <v>0</v>
      </c>
      <c r="G172" s="607">
        <f>'Recycling - Case 3'!$B112*'Recycling - Case 3'!$AF112*'Recycling - Case 3'!BQ112*$B172</f>
        <v>0</v>
      </c>
      <c r="H172" s="607">
        <f>'Recycling - Case 3'!$B112*'Recycling - Case 3'!$AF112*'Recycling - Case 3'!BR112*$B172</f>
        <v>0</v>
      </c>
      <c r="I172" s="607">
        <f>'Recycling - Case 3'!$B112*'Recycling - Case 3'!$AF112*'Recycling - Case 3'!BS112*$B172</f>
        <v>370.17116913358461</v>
      </c>
      <c r="J172" s="863">
        <f t="shared" si="16"/>
        <v>1143.4182236535403</v>
      </c>
      <c r="K172" s="1640">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0.50016697340661087</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12.753137118990256</v>
      </c>
      <c r="R172" s="1641">
        <f t="shared" si="17"/>
        <v>13.253304092396867</v>
      </c>
      <c r="S172" s="563">
        <f>C172*'4C2 Open-burning '!$C$9*'4C2 Open-burning '!$C$11*$C$5</f>
        <v>1.2944628546087473</v>
      </c>
      <c r="T172" s="564">
        <f>D172*'4C2 Open-burning '!$C$9*'4C2 Open-burning '!$C$11*$C$5</f>
        <v>1.3519437720140173</v>
      </c>
      <c r="U172" s="564">
        <f>E172*'4C2 Open-burning '!$C$9*'4C2 Open-burning '!$C$11*$C$5</f>
        <v>0.3692568860050624</v>
      </c>
      <c r="V172" s="564">
        <f>F172*'4C2 Open-burning '!$C$9*'4C2 Open-burning '!$C$11*$C$5</f>
        <v>0</v>
      </c>
      <c r="W172" s="564">
        <f>G172*'4C2 Open-burning '!$C$9*'4C2 Open-burning '!$C$11*$C$5</f>
        <v>0</v>
      </c>
      <c r="X172" s="564">
        <f>H172*'4C2 Open-burning '!$C$9*'4C2 Open-burning '!$C$11*$C$5</f>
        <v>0</v>
      </c>
      <c r="Y172" s="564">
        <f>I172*'4C2 Open-burning '!$C$9*'4C2 Open-burning '!$C$11*$C$5</f>
        <v>1.4436675596209798</v>
      </c>
      <c r="Z172" s="565">
        <f t="shared" si="18"/>
        <v>4.4593310722488066</v>
      </c>
      <c r="AA172" s="566">
        <f>C172*'4C2 Open-burning '!$C$10*'4C2 Open-burning '!$C$11*$C$5*C$15</f>
        <v>1.1948887888696129E-2</v>
      </c>
      <c r="AB172" s="566">
        <f>D172*'4C2 Open-burning '!$C$10*'4C2 Open-burning '!$C$11*$C$5*D$15</f>
        <v>1.2479480972437083E-2</v>
      </c>
      <c r="AC172" s="566">
        <f>E172*'4C2 Open-burning '!$C$10*'4C2 Open-burning '!$C$11*$C$5*E$15</f>
        <v>7.6691814785666791E-3</v>
      </c>
      <c r="AD172" s="566">
        <f>F172*'4C2 Open-burning '!$C$10*'4C2 Open-burning '!$C$11*$C$5*F$15</f>
        <v>0</v>
      </c>
      <c r="AE172" s="566">
        <f>G172*'4C2 Open-burning '!$C$10*'4C2 Open-burning '!$C$11*$C$5*G$15</f>
        <v>0</v>
      </c>
      <c r="AF172" s="566">
        <f>H172*'4C2 Open-burning '!$C$10*'4C2 Open-burning '!$C$11*$C$5*H$15</f>
        <v>0</v>
      </c>
      <c r="AG172" s="566">
        <f>I172*'4C2 Open-burning '!$C$10*'4C2 Open-burning '!$C$11*$C$5*I$15</f>
        <v>2.9983864699820353E-2</v>
      </c>
      <c r="AH172" s="567">
        <f t="shared" si="19"/>
        <v>6.2081415039520242E-2</v>
      </c>
      <c r="AI172" s="1646"/>
      <c r="AJ172" s="1646"/>
      <c r="AK172" s="1646"/>
      <c r="AL172" s="4"/>
      <c r="AM172" s="4"/>
    </row>
    <row r="173" spans="1:39">
      <c r="A173" s="1083">
        <f>'Input data'!A134</f>
        <v>2034</v>
      </c>
      <c r="B173" s="640">
        <f>'Recycling - Case 3'!AP113</f>
        <v>0.1214682808560769</v>
      </c>
      <c r="C173" s="606">
        <f>'Recycling - Case 3'!$B113*'Recycling - Case 3'!$AF113*'Recycling - Case 3'!BM113*$B173</f>
        <v>334.74903677960123</v>
      </c>
      <c r="D173" s="607">
        <f>'Recycling - Case 3'!$B113*'Recycling - Case 3'!$AF113*'Recycling - Case 3'!BN113*$B173</f>
        <v>349.61364387598474</v>
      </c>
      <c r="E173" s="607">
        <f>'Recycling - Case 3'!$B113*'Recycling - Case 3'!$AF113*'Recycling - Case 3'!BO113*$B173</f>
        <v>95.490099599490179</v>
      </c>
      <c r="F173" s="607">
        <f>'Recycling - Case 3'!$B113*'Recycling - Case 3'!$AF113*'Recycling - Case 3'!BP113*$B173</f>
        <v>0</v>
      </c>
      <c r="G173" s="607">
        <f>'Recycling - Case 3'!$B113*'Recycling - Case 3'!$AF113*'Recycling - Case 3'!BQ113*$B173</f>
        <v>0</v>
      </c>
      <c r="H173" s="607">
        <f>'Recycling - Case 3'!$B113*'Recycling - Case 3'!$AF113*'Recycling - Case 3'!BR113*$B173</f>
        <v>0</v>
      </c>
      <c r="I173" s="607">
        <f>'Recycling - Case 3'!$B113*'Recycling - Case 3'!$AF113*'Recycling - Case 3'!BS113*$B173</f>
        <v>373.33348214085942</v>
      </c>
      <c r="J173" s="863">
        <f t="shared" si="16"/>
        <v>1153.1862623959355</v>
      </c>
      <c r="K173" s="1640">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0.50443981974825081</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12.862085126716888</v>
      </c>
      <c r="R173" s="1641">
        <f t="shared" si="17"/>
        <v>13.366524946465139</v>
      </c>
      <c r="S173" s="563">
        <f>C173*'4C2 Open-burning '!$C$9*'4C2 Open-burning '!$C$11*$C$5</f>
        <v>1.3055212434404446</v>
      </c>
      <c r="T173" s="564">
        <f>D173*'4C2 Open-burning '!$C$9*'4C2 Open-burning '!$C$11*$C$5</f>
        <v>1.3634932111163405</v>
      </c>
      <c r="U173" s="564">
        <f>E173*'4C2 Open-burning '!$C$9*'4C2 Open-burning '!$C$11*$C$5</f>
        <v>0.37241138843801164</v>
      </c>
      <c r="V173" s="564">
        <f>F173*'4C2 Open-burning '!$C$9*'4C2 Open-burning '!$C$11*$C$5</f>
        <v>0</v>
      </c>
      <c r="W173" s="564">
        <f>G173*'4C2 Open-burning '!$C$9*'4C2 Open-burning '!$C$11*$C$5</f>
        <v>0</v>
      </c>
      <c r="X173" s="564">
        <f>H173*'4C2 Open-burning '!$C$9*'4C2 Open-burning '!$C$11*$C$5</f>
        <v>0</v>
      </c>
      <c r="Y173" s="564">
        <f>I173*'4C2 Open-burning '!$C$9*'4C2 Open-burning '!$C$11*$C$5</f>
        <v>1.4560005803493519</v>
      </c>
      <c r="Z173" s="565">
        <f t="shared" si="18"/>
        <v>4.4974264233441481</v>
      </c>
      <c r="AA173" s="566">
        <f>C173*'4C2 Open-burning '!$C$10*'4C2 Open-burning '!$C$11*$C$5*C$15</f>
        <v>1.2050965324065643E-2</v>
      </c>
      <c r="AB173" s="566">
        <f>D173*'4C2 Open-burning '!$C$10*'4C2 Open-burning '!$C$11*$C$5*D$15</f>
        <v>1.258609117953545E-2</v>
      </c>
      <c r="AC173" s="566">
        <f>E173*'4C2 Open-burning '!$C$10*'4C2 Open-burning '!$C$11*$C$5*E$15</f>
        <v>7.7346980675587042E-3</v>
      </c>
      <c r="AD173" s="566">
        <f>F173*'4C2 Open-burning '!$C$10*'4C2 Open-burning '!$C$11*$C$5*F$15</f>
        <v>0</v>
      </c>
      <c r="AE173" s="566">
        <f>G173*'4C2 Open-burning '!$C$10*'4C2 Open-burning '!$C$11*$C$5*G$15</f>
        <v>0</v>
      </c>
      <c r="AF173" s="566">
        <f>H173*'4C2 Open-burning '!$C$10*'4C2 Open-burning '!$C$11*$C$5*H$15</f>
        <v>0</v>
      </c>
      <c r="AG173" s="566">
        <f>I173*'4C2 Open-burning '!$C$10*'4C2 Open-burning '!$C$11*$C$5*I$15</f>
        <v>3.0240012053409614E-2</v>
      </c>
      <c r="AH173" s="567">
        <f t="shared" si="19"/>
        <v>6.2611766624569409E-2</v>
      </c>
      <c r="AI173" s="1646"/>
      <c r="AJ173" s="1646"/>
      <c r="AK173" s="1646"/>
      <c r="AL173" s="4"/>
      <c r="AM173" s="4"/>
    </row>
    <row r="174" spans="1:39">
      <c r="A174" s="1083">
        <f>'Input data'!A135</f>
        <v>2035</v>
      </c>
      <c r="B174" s="640">
        <f>'Recycling - Case 3'!AP114</f>
        <v>0.1214682808560769</v>
      </c>
      <c r="C174" s="606">
        <f>'Recycling - Case 3'!$B114*'Recycling - Case 3'!$AF114*'Recycling - Case 3'!BM114*$B174</f>
        <v>337.60414382425051</v>
      </c>
      <c r="D174" s="607">
        <f>'Recycling - Case 3'!$B114*'Recycling - Case 3'!$AF114*'Recycling - Case 3'!BN114*$B174</f>
        <v>352.59553259817108</v>
      </c>
      <c r="E174" s="607">
        <f>'Recycling - Case 3'!$B114*'Recycling - Case 3'!$AF114*'Recycling - Case 3'!BO114*$B174</f>
        <v>96.304543932724414</v>
      </c>
      <c r="F174" s="607">
        <f>'Recycling - Case 3'!$B114*'Recycling - Case 3'!$AF114*'Recycling - Case 3'!BP114*$B174</f>
        <v>0</v>
      </c>
      <c r="G174" s="607">
        <f>'Recycling - Case 3'!$B114*'Recycling - Case 3'!$AF114*'Recycling - Case 3'!BQ114*$B174</f>
        <v>0</v>
      </c>
      <c r="H174" s="607">
        <f>'Recycling - Case 3'!$B114*'Recycling - Case 3'!$AF114*'Recycling - Case 3'!BR114*$B174</f>
        <v>0</v>
      </c>
      <c r="I174" s="607">
        <f>'Recycling - Case 3'!$B114*'Recycling - Case 3'!$AF114*'Recycling - Case 3'!BS114*$B174</f>
        <v>376.51767966721587</v>
      </c>
      <c r="J174" s="863">
        <f t="shared" si="16"/>
        <v>1163.0219000223619</v>
      </c>
      <c r="K174" s="1640">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0.50874223596076729</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12.97178709989492</v>
      </c>
      <c r="R174" s="1641">
        <f t="shared" si="17"/>
        <v>13.480529335855687</v>
      </c>
      <c r="S174" s="563">
        <f>C174*'4C2 Open-burning '!$C$9*'4C2 Open-burning '!$C$11*$C$5</f>
        <v>1.3166561609145768</v>
      </c>
      <c r="T174" s="564">
        <f>D174*'4C2 Open-burning '!$C$9*'4C2 Open-burning '!$C$11*$C$5</f>
        <v>1.3751225771328672</v>
      </c>
      <c r="U174" s="564">
        <f>E174*'4C2 Open-burning '!$C$9*'4C2 Open-burning '!$C$11*$C$5</f>
        <v>0.37558772133762519</v>
      </c>
      <c r="V174" s="564">
        <f>F174*'4C2 Open-burning '!$C$9*'4C2 Open-burning '!$C$11*$C$5</f>
        <v>0</v>
      </c>
      <c r="W174" s="564">
        <f>G174*'4C2 Open-burning '!$C$9*'4C2 Open-burning '!$C$11*$C$5</f>
        <v>0</v>
      </c>
      <c r="X174" s="564">
        <f>H174*'4C2 Open-burning '!$C$9*'4C2 Open-burning '!$C$11*$C$5</f>
        <v>0</v>
      </c>
      <c r="Y174" s="564">
        <f>I174*'4C2 Open-burning '!$C$9*'4C2 Open-burning '!$C$11*$C$5</f>
        <v>1.4684189507021417</v>
      </c>
      <c r="Z174" s="565">
        <f t="shared" si="18"/>
        <v>4.535785410087211</v>
      </c>
      <c r="AA174" s="566">
        <f>C174*'4C2 Open-burning '!$C$10*'4C2 Open-burning '!$C$11*$C$5*C$15</f>
        <v>1.2153749177673017E-2</v>
      </c>
      <c r="AB174" s="566">
        <f>D174*'4C2 Open-burning '!$C$10*'4C2 Open-burning '!$C$11*$C$5*D$15</f>
        <v>1.2693439173534158E-2</v>
      </c>
      <c r="AC174" s="566">
        <f>E174*'4C2 Open-burning '!$C$10*'4C2 Open-burning '!$C$11*$C$5*E$15</f>
        <v>7.8006680585506758E-3</v>
      </c>
      <c r="AD174" s="566">
        <f>F174*'4C2 Open-burning '!$C$10*'4C2 Open-burning '!$C$11*$C$5*F$15</f>
        <v>0</v>
      </c>
      <c r="AE174" s="566">
        <f>G174*'4C2 Open-burning '!$C$10*'4C2 Open-burning '!$C$11*$C$5*G$15</f>
        <v>0</v>
      </c>
      <c r="AF174" s="566">
        <f>H174*'4C2 Open-burning '!$C$10*'4C2 Open-burning '!$C$11*$C$5*H$15</f>
        <v>0</v>
      </c>
      <c r="AG174" s="566">
        <f>I174*'4C2 Open-burning '!$C$10*'4C2 Open-burning '!$C$11*$C$5*I$15</f>
        <v>3.0497932053044484E-2</v>
      </c>
      <c r="AH174" s="567">
        <f t="shared" si="19"/>
        <v>6.3145788462802332E-2</v>
      </c>
      <c r="AI174" s="1646"/>
      <c r="AJ174" s="1646"/>
      <c r="AK174" s="1646"/>
      <c r="AL174" s="4"/>
      <c r="AM174" s="4"/>
    </row>
    <row r="175" spans="1:39">
      <c r="A175" s="1083">
        <f>'Input data'!A136</f>
        <v>2036</v>
      </c>
      <c r="B175" s="640">
        <f>'Recycling - Case 3'!AP115</f>
        <v>0.1214682808560769</v>
      </c>
      <c r="C175" s="606">
        <f>'Recycling - Case 3'!$B115*'Recycling - Case 3'!$AF115*'Recycling - Case 3'!BM115*$B175</f>
        <v>340.07660765673012</v>
      </c>
      <c r="D175" s="607">
        <f>'Recycling - Case 3'!$B115*'Recycling - Case 3'!$AF115*'Recycling - Case 3'!BN115*$B175</f>
        <v>355.1777867493426</v>
      </c>
      <c r="E175" s="607">
        <f>'Recycling - Case 3'!$B115*'Recycling - Case 3'!$AF115*'Recycling - Case 3'!BO115*$B175</f>
        <v>97.009835932638566</v>
      </c>
      <c r="F175" s="607">
        <f>'Recycling - Case 3'!$B115*'Recycling - Case 3'!$AF115*'Recycling - Case 3'!BP115*$B175</f>
        <v>0</v>
      </c>
      <c r="G175" s="607">
        <f>'Recycling - Case 3'!$B115*'Recycling - Case 3'!$AF115*'Recycling - Case 3'!BQ115*$B175</f>
        <v>0</v>
      </c>
      <c r="H175" s="607">
        <f>'Recycling - Case 3'!$B115*'Recycling - Case 3'!$AF115*'Recycling - Case 3'!BR115*$B175</f>
        <v>0</v>
      </c>
      <c r="I175" s="607">
        <f>'Recycling - Case 3'!$B115*'Recycling - Case 3'!$AF115*'Recycling - Case 3'!BS115*$B175</f>
        <v>379.27512907148315</v>
      </c>
      <c r="J175" s="863">
        <f t="shared" si="16"/>
        <v>1171.5393594101945</v>
      </c>
      <c r="K175" s="1640">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0.51246803969119381</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13.066786746770736</v>
      </c>
      <c r="R175" s="1641">
        <f t="shared" si="17"/>
        <v>13.579254786461931</v>
      </c>
      <c r="S175" s="563">
        <f>C175*'4C2 Open-burning '!$C$9*'4C2 Open-burning '!$C$11*$C$5</f>
        <v>1.3262987698612474</v>
      </c>
      <c r="T175" s="564">
        <f>D175*'4C2 Open-burning '!$C$9*'4C2 Open-burning '!$C$11*$C$5</f>
        <v>1.385193368322436</v>
      </c>
      <c r="U175" s="564">
        <f>E175*'4C2 Open-burning '!$C$9*'4C2 Open-burning '!$C$11*$C$5</f>
        <v>0.37833836013729039</v>
      </c>
      <c r="V175" s="564">
        <f>F175*'4C2 Open-burning '!$C$9*'4C2 Open-burning '!$C$11*$C$5</f>
        <v>0</v>
      </c>
      <c r="W175" s="564">
        <f>G175*'4C2 Open-burning '!$C$9*'4C2 Open-burning '!$C$11*$C$5</f>
        <v>0</v>
      </c>
      <c r="X175" s="564">
        <f>H175*'4C2 Open-burning '!$C$9*'4C2 Open-burning '!$C$11*$C$5</f>
        <v>0</v>
      </c>
      <c r="Y175" s="564">
        <f>I175*'4C2 Open-burning '!$C$9*'4C2 Open-burning '!$C$11*$C$5</f>
        <v>1.4791730033787842</v>
      </c>
      <c r="Z175" s="565">
        <f t="shared" si="18"/>
        <v>4.5690035016997577</v>
      </c>
      <c r="AA175" s="566">
        <f>C175*'4C2 Open-burning '!$C$10*'4C2 Open-burning '!$C$11*$C$5*C$15</f>
        <v>1.2242757875642283E-2</v>
      </c>
      <c r="AB175" s="566">
        <f>D175*'4C2 Open-burning '!$C$10*'4C2 Open-burning '!$C$11*$C$5*D$15</f>
        <v>1.2786400322976333E-2</v>
      </c>
      <c r="AC175" s="566">
        <f>E175*'4C2 Open-burning '!$C$10*'4C2 Open-burning '!$C$11*$C$5*E$15</f>
        <v>7.857796710543723E-3</v>
      </c>
      <c r="AD175" s="566">
        <f>F175*'4C2 Open-burning '!$C$10*'4C2 Open-burning '!$C$11*$C$5*F$15</f>
        <v>0</v>
      </c>
      <c r="AE175" s="566">
        <f>G175*'4C2 Open-burning '!$C$10*'4C2 Open-burning '!$C$11*$C$5*G$15</f>
        <v>0</v>
      </c>
      <c r="AF175" s="566">
        <f>H175*'4C2 Open-burning '!$C$10*'4C2 Open-burning '!$C$11*$C$5*H$15</f>
        <v>0</v>
      </c>
      <c r="AG175" s="566">
        <f>I175*'4C2 Open-burning '!$C$10*'4C2 Open-burning '!$C$11*$C$5*I$15</f>
        <v>3.0721285454790134E-2</v>
      </c>
      <c r="AH175" s="567">
        <f t="shared" si="19"/>
        <v>6.3608240363952476E-2</v>
      </c>
      <c r="AI175" s="1646"/>
      <c r="AJ175" s="1646"/>
      <c r="AK175" s="1646"/>
      <c r="AL175" s="4"/>
      <c r="AM175" s="4"/>
    </row>
    <row r="176" spans="1:39">
      <c r="A176" s="1083">
        <f>'Input data'!A137</f>
        <v>2037</v>
      </c>
      <c r="B176" s="640">
        <f>'Recycling - Case 3'!AP116</f>
        <v>0.1214682808560769</v>
      </c>
      <c r="C176" s="606">
        <f>'Recycling - Case 3'!$B116*'Recycling - Case 3'!$AF116*'Recycling - Case 3'!BM116*$B176</f>
        <v>342.5637885358318</v>
      </c>
      <c r="D176" s="607">
        <f>'Recycling - Case 3'!$B116*'Recycling - Case 3'!$AF116*'Recycling - Case 3'!BN116*$B176</f>
        <v>357.77541146093785</v>
      </c>
      <c r="E176" s="607">
        <f>'Recycling - Case 3'!$B116*'Recycling - Case 3'!$AF116*'Recycling - Case 3'!BO116*$B176</f>
        <v>97.71932609921889</v>
      </c>
      <c r="F176" s="607">
        <f>'Recycling - Case 3'!$B116*'Recycling - Case 3'!$AF116*'Recycling - Case 3'!BP116*$B176</f>
        <v>0</v>
      </c>
      <c r="G176" s="607">
        <f>'Recycling - Case 3'!$B116*'Recycling - Case 3'!$AF116*'Recycling - Case 3'!BQ116*$B176</f>
        <v>0</v>
      </c>
      <c r="H176" s="607">
        <f>'Recycling - Case 3'!$B116*'Recycling - Case 3'!$AF116*'Recycling - Case 3'!BR116*$B176</f>
        <v>0</v>
      </c>
      <c r="I176" s="607">
        <f>'Recycling - Case 3'!$B116*'Recycling - Case 3'!$AF116*'Recycling - Case 3'!BS116*$B176</f>
        <v>382.04899186506168</v>
      </c>
      <c r="J176" s="863">
        <f t="shared" si="16"/>
        <v>1180.1075179610502</v>
      </c>
      <c r="K176" s="1640">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0.51621602082477769</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13.162351867735104</v>
      </c>
      <c r="R176" s="1641">
        <f t="shared" si="17"/>
        <v>13.678567888559883</v>
      </c>
      <c r="S176" s="563">
        <f>C176*'4C2 Open-burning '!$C$9*'4C2 Open-burning '!$C$11*$C$5</f>
        <v>1.3359987752897438</v>
      </c>
      <c r="T176" s="564">
        <f>D176*'4C2 Open-burning '!$C$9*'4C2 Open-burning '!$C$11*$C$5</f>
        <v>1.3953241046976574</v>
      </c>
      <c r="U176" s="564">
        <f>E176*'4C2 Open-burning '!$C$9*'4C2 Open-burning '!$C$11*$C$5</f>
        <v>0.38110537178695364</v>
      </c>
      <c r="V176" s="564">
        <f>F176*'4C2 Open-burning '!$C$9*'4C2 Open-burning '!$C$11*$C$5</f>
        <v>0</v>
      </c>
      <c r="W176" s="564">
        <f>G176*'4C2 Open-burning '!$C$9*'4C2 Open-burning '!$C$11*$C$5</f>
        <v>0</v>
      </c>
      <c r="X176" s="564">
        <f>H176*'4C2 Open-burning '!$C$9*'4C2 Open-burning '!$C$11*$C$5</f>
        <v>0</v>
      </c>
      <c r="Y176" s="564">
        <f>I176*'4C2 Open-burning '!$C$9*'4C2 Open-burning '!$C$11*$C$5</f>
        <v>1.4899910682737403</v>
      </c>
      <c r="Z176" s="565">
        <f t="shared" si="18"/>
        <v>4.602419320048095</v>
      </c>
      <c r="AA176" s="566">
        <f>C176*'4C2 Open-burning '!$C$10*'4C2 Open-burning '!$C$11*$C$5*C$15</f>
        <v>1.2332296387289944E-2</v>
      </c>
      <c r="AB176" s="566">
        <f>D176*'4C2 Open-burning '!$C$10*'4C2 Open-burning '!$C$11*$C$5*D$15</f>
        <v>1.2879914812593762E-2</v>
      </c>
      <c r="AC176" s="566">
        <f>E176*'4C2 Open-burning '!$C$10*'4C2 Open-burning '!$C$11*$C$5*E$15</f>
        <v>7.9152654140367297E-3</v>
      </c>
      <c r="AD176" s="566">
        <f>F176*'4C2 Open-burning '!$C$10*'4C2 Open-burning '!$C$11*$C$5*F$15</f>
        <v>0</v>
      </c>
      <c r="AE176" s="566">
        <f>G176*'4C2 Open-burning '!$C$10*'4C2 Open-burning '!$C$11*$C$5*G$15</f>
        <v>0</v>
      </c>
      <c r="AF176" s="566">
        <f>H176*'4C2 Open-burning '!$C$10*'4C2 Open-burning '!$C$11*$C$5*H$15</f>
        <v>0</v>
      </c>
      <c r="AG176" s="566">
        <f>I176*'4C2 Open-burning '!$C$10*'4C2 Open-burning '!$C$11*$C$5*I$15</f>
        <v>3.0945968341069992E-2</v>
      </c>
      <c r="AH176" s="567">
        <f t="shared" si="19"/>
        <v>6.4073444954990427E-2</v>
      </c>
      <c r="AI176" s="1646"/>
      <c r="AJ176" s="1646"/>
      <c r="AK176" s="1646"/>
      <c r="AL176" s="4"/>
      <c r="AM176" s="4"/>
    </row>
    <row r="177" spans="1:39">
      <c r="A177" s="1083">
        <f>'Input data'!A138</f>
        <v>2038</v>
      </c>
      <c r="B177" s="640">
        <f>'Recycling - Case 3'!AP117</f>
        <v>0.1214682808560769</v>
      </c>
      <c r="C177" s="606">
        <f>'Recycling - Case 3'!$B117*'Recycling - Case 3'!$AF117*'Recycling - Case 3'!BM117*$B177</f>
        <v>345.07549782596993</v>
      </c>
      <c r="D177" s="607">
        <f>'Recycling - Case 3'!$B117*'Recycling - Case 3'!$AF117*'Recycling - Case 3'!BN117*$B177</f>
        <v>360.39865377323918</v>
      </c>
      <c r="E177" s="607">
        <f>'Recycling - Case 3'!$B117*'Recycling - Case 3'!$AF117*'Recycling - Case 3'!BO117*$B177</f>
        <v>98.435813210242813</v>
      </c>
      <c r="F177" s="607">
        <f>'Recycling - Case 3'!$B117*'Recycling - Case 3'!$AF117*'Recycling - Case 3'!BP117*$B177</f>
        <v>0</v>
      </c>
      <c r="G177" s="607">
        <f>'Recycling - Case 3'!$B117*'Recycling - Case 3'!$AF117*'Recycling - Case 3'!BQ117*$B177</f>
        <v>0</v>
      </c>
      <c r="H177" s="607">
        <f>'Recycling - Case 3'!$B117*'Recycling - Case 3'!$AF117*'Recycling - Case 3'!BR117*$B177</f>
        <v>0</v>
      </c>
      <c r="I177" s="607">
        <f>'Recycling - Case 3'!$B117*'Recycling - Case 3'!$AF117*'Recycling - Case 3'!BS117*$B177</f>
        <v>384.85021030749209</v>
      </c>
      <c r="J177" s="863">
        <f t="shared" si="16"/>
        <v>1188.7601751169441</v>
      </c>
      <c r="K177" s="1640">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0.52000096429695708</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13.258859445513716</v>
      </c>
      <c r="R177" s="1641">
        <f t="shared" si="17"/>
        <v>13.778860409810672</v>
      </c>
      <c r="S177" s="563">
        <f>C177*'4C2 Open-burning '!$C$9*'4C2 Open-burning '!$C$11*$C$5</f>
        <v>1.3457944415212826</v>
      </c>
      <c r="T177" s="564">
        <f>D177*'4C2 Open-burning '!$C$9*'4C2 Open-burning '!$C$11*$C$5</f>
        <v>1.4055547497156327</v>
      </c>
      <c r="U177" s="564">
        <f>E177*'4C2 Open-burning '!$C$9*'4C2 Open-burning '!$C$11*$C$5</f>
        <v>0.38389967151994692</v>
      </c>
      <c r="V177" s="564">
        <f>F177*'4C2 Open-burning '!$C$9*'4C2 Open-burning '!$C$11*$C$5</f>
        <v>0</v>
      </c>
      <c r="W177" s="564">
        <f>G177*'4C2 Open-burning '!$C$9*'4C2 Open-burning '!$C$11*$C$5</f>
        <v>0</v>
      </c>
      <c r="X177" s="564">
        <f>H177*'4C2 Open-burning '!$C$9*'4C2 Open-burning '!$C$11*$C$5</f>
        <v>0</v>
      </c>
      <c r="Y177" s="564">
        <f>I177*'4C2 Open-burning '!$C$9*'4C2 Open-burning '!$C$11*$C$5</f>
        <v>1.500915820199219</v>
      </c>
      <c r="Z177" s="565">
        <f t="shared" si="18"/>
        <v>4.636164682956081</v>
      </c>
      <c r="AA177" s="566">
        <f>C177*'4C2 Open-burning '!$C$10*'4C2 Open-burning '!$C$11*$C$5*C$15</f>
        <v>1.2422717921734917E-2</v>
      </c>
      <c r="AB177" s="566">
        <f>D177*'4C2 Open-burning '!$C$10*'4C2 Open-burning '!$C$11*$C$5*D$15</f>
        <v>1.297435153583661E-2</v>
      </c>
      <c r="AC177" s="566">
        <f>E177*'4C2 Open-burning '!$C$10*'4C2 Open-burning '!$C$11*$C$5*E$15</f>
        <v>7.9733008700296672E-3</v>
      </c>
      <c r="AD177" s="566">
        <f>F177*'4C2 Open-burning '!$C$10*'4C2 Open-burning '!$C$11*$C$5*F$15</f>
        <v>0</v>
      </c>
      <c r="AE177" s="566">
        <f>G177*'4C2 Open-burning '!$C$10*'4C2 Open-burning '!$C$11*$C$5*G$15</f>
        <v>0</v>
      </c>
      <c r="AF177" s="566">
        <f>H177*'4C2 Open-burning '!$C$10*'4C2 Open-burning '!$C$11*$C$5*H$15</f>
        <v>0</v>
      </c>
      <c r="AG177" s="566">
        <f>I177*'4C2 Open-burning '!$C$10*'4C2 Open-burning '!$C$11*$C$5*I$15</f>
        <v>3.1172867034906855E-2</v>
      </c>
      <c r="AH177" s="567">
        <f t="shared" si="19"/>
        <v>6.4543237362508055E-2</v>
      </c>
      <c r="AI177" s="1646"/>
      <c r="AJ177" s="1646"/>
      <c r="AK177" s="1646"/>
      <c r="AL177" s="4"/>
      <c r="AM177" s="4"/>
    </row>
    <row r="178" spans="1:39">
      <c r="A178" s="1083">
        <f>'Input data'!A139</f>
        <v>2039</v>
      </c>
      <c r="B178" s="640">
        <f>'Recycling - Case 3'!AP118</f>
        <v>0.1214682808560769</v>
      </c>
      <c r="C178" s="606">
        <f>'Recycling - Case 3'!$B118*'Recycling - Case 3'!$AF118*'Recycling - Case 3'!BM118*$B178</f>
        <v>347.60192416272997</v>
      </c>
      <c r="D178" s="607">
        <f>'Recycling - Case 3'!$B118*'Recycling - Case 3'!$AF118*'Recycling - Case 3'!BN118*$B178</f>
        <v>363.03726664596411</v>
      </c>
      <c r="E178" s="607">
        <f>'Recycling - Case 3'!$B118*'Recycling - Case 3'!$AF118*'Recycling - Case 3'!BO118*$B178</f>
        <v>99.156498487932879</v>
      </c>
      <c r="F178" s="607">
        <f>'Recycling - Case 3'!$B118*'Recycling - Case 3'!$AF118*'Recycling - Case 3'!BP118*$B178</f>
        <v>0</v>
      </c>
      <c r="G178" s="607">
        <f>'Recycling - Case 3'!$B118*'Recycling - Case 3'!$AF118*'Recycling - Case 3'!BQ118*$B178</f>
        <v>0</v>
      </c>
      <c r="H178" s="607">
        <f>'Recycling - Case 3'!$B118*'Recycling - Case 3'!$AF118*'Recycling - Case 3'!BR118*$B178</f>
        <v>0</v>
      </c>
      <c r="I178" s="607">
        <f>'Recycling - Case 3'!$B118*'Recycling - Case 3'!$AF118*'Recycling - Case 3'!BS118*$B178</f>
        <v>387.66784213923347</v>
      </c>
      <c r="J178" s="863">
        <f t="shared" si="16"/>
        <v>1197.4635314358604</v>
      </c>
      <c r="K178" s="1640">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0.52380808517229371</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13.35593249738087</v>
      </c>
      <c r="R178" s="1641">
        <f t="shared" si="17"/>
        <v>13.879740582553163</v>
      </c>
      <c r="S178" s="563">
        <f>C178*'4C2 Open-burning '!$C$9*'4C2 Open-burning '!$C$11*$C$5</f>
        <v>1.355647504234647</v>
      </c>
      <c r="T178" s="564">
        <f>D178*'4C2 Open-burning '!$C$9*'4C2 Open-burning '!$C$11*$C$5</f>
        <v>1.4158453399192596</v>
      </c>
      <c r="U178" s="564">
        <f>E178*'4C2 Open-burning '!$C$9*'4C2 Open-burning '!$C$11*$C$5</f>
        <v>0.3867103441029382</v>
      </c>
      <c r="V178" s="564">
        <f>F178*'4C2 Open-burning '!$C$9*'4C2 Open-burning '!$C$11*$C$5</f>
        <v>0</v>
      </c>
      <c r="W178" s="564">
        <f>G178*'4C2 Open-burning '!$C$9*'4C2 Open-burning '!$C$11*$C$5</f>
        <v>0</v>
      </c>
      <c r="X178" s="564">
        <f>H178*'4C2 Open-burning '!$C$9*'4C2 Open-burning '!$C$11*$C$5</f>
        <v>0</v>
      </c>
      <c r="Y178" s="564">
        <f>I178*'4C2 Open-burning '!$C$9*'4C2 Open-burning '!$C$11*$C$5</f>
        <v>1.5119045843430103</v>
      </c>
      <c r="Z178" s="565">
        <f t="shared" si="18"/>
        <v>4.670107772599855</v>
      </c>
      <c r="AA178" s="566">
        <f>C178*'4C2 Open-burning '!$C$10*'4C2 Open-burning '!$C$11*$C$5*C$15</f>
        <v>1.251366926985828E-2</v>
      </c>
      <c r="AB178" s="566">
        <f>D178*'4C2 Open-burning '!$C$10*'4C2 Open-burning '!$C$11*$C$5*D$15</f>
        <v>1.3069341599254708E-2</v>
      </c>
      <c r="AC178" s="566">
        <f>E178*'4C2 Open-burning '!$C$10*'4C2 Open-burning '!$C$11*$C$5*E$15</f>
        <v>8.0316763775225633E-3</v>
      </c>
      <c r="AD178" s="566">
        <f>F178*'4C2 Open-burning '!$C$10*'4C2 Open-burning '!$C$11*$C$5*F$15</f>
        <v>0</v>
      </c>
      <c r="AE178" s="566">
        <f>G178*'4C2 Open-burning '!$C$10*'4C2 Open-burning '!$C$11*$C$5*G$15</f>
        <v>0</v>
      </c>
      <c r="AF178" s="566">
        <f>H178*'4C2 Open-burning '!$C$10*'4C2 Open-burning '!$C$11*$C$5*H$15</f>
        <v>0</v>
      </c>
      <c r="AG178" s="566">
        <f>I178*'4C2 Open-burning '!$C$10*'4C2 Open-burning '!$C$11*$C$5*I$15</f>
        <v>3.1401095213277913E-2</v>
      </c>
      <c r="AH178" s="567">
        <f t="shared" si="19"/>
        <v>6.5015782459913463E-2</v>
      </c>
      <c r="AI178" s="1646"/>
      <c r="AJ178" s="1646"/>
      <c r="AK178" s="1646"/>
      <c r="AL178" s="4"/>
      <c r="AM178" s="4"/>
    </row>
    <row r="179" spans="1:39">
      <c r="A179" s="1083">
        <f>'Input data'!A140</f>
        <v>2040</v>
      </c>
      <c r="B179" s="640">
        <f>'Recycling - Case 3'!AP119</f>
        <v>0.1214682808560769</v>
      </c>
      <c r="C179" s="606">
        <f>'Recycling - Case 3'!$B119*'Recycling - Case 3'!$AF119*'Recycling - Case 3'!BM119*$B179</f>
        <v>350.14306754611192</v>
      </c>
      <c r="D179" s="607">
        <f>'Recycling - Case 3'!$B119*'Recycling - Case 3'!$AF119*'Recycling - Case 3'!BN119*$B179</f>
        <v>365.69125007911271</v>
      </c>
      <c r="E179" s="607">
        <f>'Recycling - Case 3'!$B119*'Recycling - Case 3'!$AF119*'Recycling - Case 3'!BO119*$B179</f>
        <v>99.881381932289116</v>
      </c>
      <c r="F179" s="607">
        <f>'Recycling - Case 3'!$B119*'Recycling - Case 3'!$AF119*'Recycling - Case 3'!BP119*$B179</f>
        <v>0</v>
      </c>
      <c r="G179" s="607">
        <f>'Recycling - Case 3'!$B119*'Recycling - Case 3'!$AF119*'Recycling - Case 3'!BQ119*$B179</f>
        <v>0</v>
      </c>
      <c r="H179" s="607">
        <f>'Recycling - Case 3'!$B119*'Recycling - Case 3'!$AF119*'Recycling - Case 3'!BR119*$B179</f>
        <v>0</v>
      </c>
      <c r="I179" s="607">
        <f>'Recycling - Case 3'!$B119*'Recycling - Case 3'!$AF119*'Recycling - Case 3'!BS119*$B179</f>
        <v>390.50188736028616</v>
      </c>
      <c r="J179" s="863">
        <f t="shared" si="16"/>
        <v>1206.2175869178</v>
      </c>
      <c r="K179" s="1640">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0.52763738345078781</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13.453571023336577</v>
      </c>
      <c r="R179" s="1641">
        <f t="shared" si="17"/>
        <v>13.981208406787365</v>
      </c>
      <c r="S179" s="563">
        <f>C179*'4C2 Open-burning '!$C$9*'4C2 Open-burning '!$C$11*$C$5</f>
        <v>1.3655579634298365</v>
      </c>
      <c r="T179" s="564">
        <f>D179*'4C2 Open-burning '!$C$9*'4C2 Open-burning '!$C$11*$C$5</f>
        <v>1.4261958753085395</v>
      </c>
      <c r="U179" s="564">
        <f>E179*'4C2 Open-burning '!$C$9*'4C2 Open-burning '!$C$11*$C$5</f>
        <v>0.38953738953592754</v>
      </c>
      <c r="V179" s="564">
        <f>F179*'4C2 Open-burning '!$C$9*'4C2 Open-burning '!$C$11*$C$5</f>
        <v>0</v>
      </c>
      <c r="W179" s="564">
        <f>G179*'4C2 Open-burning '!$C$9*'4C2 Open-burning '!$C$11*$C$5</f>
        <v>0</v>
      </c>
      <c r="X179" s="564">
        <f>H179*'4C2 Open-burning '!$C$9*'4C2 Open-burning '!$C$11*$C$5</f>
        <v>0</v>
      </c>
      <c r="Y179" s="564">
        <f>I179*'4C2 Open-burning '!$C$9*'4C2 Open-burning '!$C$11*$C$5</f>
        <v>1.5229573607051161</v>
      </c>
      <c r="Z179" s="565">
        <f t="shared" si="18"/>
        <v>4.7042485889794197</v>
      </c>
      <c r="AA179" s="566">
        <f>C179*'4C2 Open-burning '!$C$10*'4C2 Open-burning '!$C$11*$C$5*C$15</f>
        <v>1.260515043166003E-2</v>
      </c>
      <c r="AB179" s="566">
        <f>D179*'4C2 Open-burning '!$C$10*'4C2 Open-burning '!$C$11*$C$5*D$15</f>
        <v>1.3164885002848056E-2</v>
      </c>
      <c r="AC179" s="566">
        <f>E179*'4C2 Open-burning '!$C$10*'4C2 Open-burning '!$C$11*$C$5*E$15</f>
        <v>8.0903919365154196E-3</v>
      </c>
      <c r="AD179" s="566">
        <f>F179*'4C2 Open-burning '!$C$10*'4C2 Open-burning '!$C$11*$C$5*F$15</f>
        <v>0</v>
      </c>
      <c r="AE179" s="566">
        <f>G179*'4C2 Open-burning '!$C$10*'4C2 Open-burning '!$C$11*$C$5*G$15</f>
        <v>0</v>
      </c>
      <c r="AF179" s="566">
        <f>H179*'4C2 Open-burning '!$C$10*'4C2 Open-burning '!$C$11*$C$5*H$15</f>
        <v>0</v>
      </c>
      <c r="AG179" s="566">
        <f>I179*'4C2 Open-burning '!$C$10*'4C2 Open-burning '!$C$11*$C$5*I$15</f>
        <v>3.1630652876183177E-2</v>
      </c>
      <c r="AH179" s="567">
        <f t="shared" si="19"/>
        <v>6.5491080247206679E-2</v>
      </c>
      <c r="AI179" s="1646"/>
      <c r="AJ179" s="1646"/>
      <c r="AK179" s="1646"/>
      <c r="AL179" s="4"/>
      <c r="AM179" s="4"/>
    </row>
    <row r="180" spans="1:39">
      <c r="A180" s="1083">
        <f>'Input data'!A141</f>
        <v>2041</v>
      </c>
      <c r="B180" s="640">
        <f>'Recycling - Case 3'!AP120</f>
        <v>0.1214682808560769</v>
      </c>
      <c r="C180" s="606">
        <f>'Recycling - Case 3'!$B120*'Recycling - Case 3'!$AF120*'Recycling - Case 3'!BM120*$B180</f>
        <v>352.32119044615359</v>
      </c>
      <c r="D180" s="607">
        <f>'Recycling - Case 3'!$B120*'Recycling - Case 3'!$AF120*'Recycling - Case 3'!BN120*$B180</f>
        <v>367.9660930218115</v>
      </c>
      <c r="E180" s="607">
        <f>'Recycling - Case 3'!$B120*'Recycling - Case 3'!$AF120*'Recycling - Case 3'!BO120*$B180</f>
        <v>100.50271059888017</v>
      </c>
      <c r="F180" s="607">
        <f>'Recycling - Case 3'!$B120*'Recycling - Case 3'!$AF120*'Recycling - Case 3'!BP120*$B180</f>
        <v>0</v>
      </c>
      <c r="G180" s="607">
        <f>'Recycling - Case 3'!$B120*'Recycling - Case 3'!$AF120*'Recycling - Case 3'!BQ120*$B180</f>
        <v>0</v>
      </c>
      <c r="H180" s="607">
        <f>'Recycling - Case 3'!$B120*'Recycling - Case 3'!$AF120*'Recycling - Case 3'!BR120*$B180</f>
        <v>0</v>
      </c>
      <c r="I180" s="607">
        <f>'Recycling - Case 3'!$B120*'Recycling - Case 3'!$AF120*'Recycling - Case 3'!BS120*$B180</f>
        <v>392.93106897833121</v>
      </c>
      <c r="J180" s="863">
        <f t="shared" si="16"/>
        <v>1213.7210630451766</v>
      </c>
      <c r="K180" s="1640">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0.53091963911806839</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13.537261188441466</v>
      </c>
      <c r="R180" s="1641">
        <f t="shared" si="17"/>
        <v>14.068180827559534</v>
      </c>
      <c r="S180" s="563">
        <f>C180*'4C2 Open-burning '!$C$9*'4C2 Open-burning '!$C$11*$C$5</f>
        <v>1.3740526427399988</v>
      </c>
      <c r="T180" s="564">
        <f>D180*'4C2 Open-burning '!$C$9*'4C2 Open-burning '!$C$11*$C$5</f>
        <v>1.4350677627850648</v>
      </c>
      <c r="U180" s="564">
        <f>E180*'4C2 Open-burning '!$C$9*'4C2 Open-burning '!$C$11*$C$5</f>
        <v>0.39196057133563267</v>
      </c>
      <c r="V180" s="564">
        <f>F180*'4C2 Open-burning '!$C$9*'4C2 Open-burning '!$C$11*$C$5</f>
        <v>0</v>
      </c>
      <c r="W180" s="564">
        <f>G180*'4C2 Open-burning '!$C$9*'4C2 Open-burning '!$C$11*$C$5</f>
        <v>0</v>
      </c>
      <c r="X180" s="564">
        <f>H180*'4C2 Open-burning '!$C$9*'4C2 Open-burning '!$C$11*$C$5</f>
        <v>0</v>
      </c>
      <c r="Y180" s="564">
        <f>I180*'4C2 Open-burning '!$C$9*'4C2 Open-burning '!$C$11*$C$5</f>
        <v>1.5324311690154917</v>
      </c>
      <c r="Z180" s="565">
        <f t="shared" si="18"/>
        <v>4.7335121458761877</v>
      </c>
      <c r="AA180" s="566">
        <f>C180*'4C2 Open-burning '!$C$10*'4C2 Open-burning '!$C$11*$C$5*C$15</f>
        <v>1.268356285606153E-2</v>
      </c>
      <c r="AB180" s="566">
        <f>D180*'4C2 Open-burning '!$C$10*'4C2 Open-burning '!$C$11*$C$5*D$15</f>
        <v>1.3246779348785213E-2</v>
      </c>
      <c r="AC180" s="566">
        <f>E180*'4C2 Open-burning '!$C$10*'4C2 Open-burning '!$C$11*$C$5*E$15</f>
        <v>8.1407195585092938E-3</v>
      </c>
      <c r="AD180" s="566">
        <f>F180*'4C2 Open-burning '!$C$10*'4C2 Open-burning '!$C$11*$C$5*F$15</f>
        <v>0</v>
      </c>
      <c r="AE180" s="566">
        <f>G180*'4C2 Open-burning '!$C$10*'4C2 Open-burning '!$C$11*$C$5*G$15</f>
        <v>0</v>
      </c>
      <c r="AF180" s="566">
        <f>H180*'4C2 Open-burning '!$C$10*'4C2 Open-burning '!$C$11*$C$5*H$15</f>
        <v>0</v>
      </c>
      <c r="AG180" s="566">
        <f>I180*'4C2 Open-burning '!$C$10*'4C2 Open-burning '!$C$11*$C$5*I$15</f>
        <v>3.1827416587244826E-2</v>
      </c>
      <c r="AH180" s="567">
        <f t="shared" si="19"/>
        <v>6.5898478350600864E-2</v>
      </c>
      <c r="AI180" s="1646"/>
      <c r="AJ180" s="1646"/>
      <c r="AK180" s="1646"/>
      <c r="AL180" s="4"/>
      <c r="AM180" s="4"/>
    </row>
    <row r="181" spans="1:39">
      <c r="A181" s="1083">
        <f>'Input data'!A142</f>
        <v>2042</v>
      </c>
      <c r="B181" s="640">
        <f>'Recycling - Case 3'!AP121</f>
        <v>0.1214682808560769</v>
      </c>
      <c r="C181" s="606">
        <f>'Recycling - Case 3'!$B121*'Recycling - Case 3'!$AF121*'Recycling - Case 3'!BM121*$B181</f>
        <v>354.50912471060991</v>
      </c>
      <c r="D181" s="607">
        <f>'Recycling - Case 3'!$B121*'Recycling - Case 3'!$AF121*'Recycling - Case 3'!BN121*$B181</f>
        <v>370.25118300479272</v>
      </c>
      <c r="E181" s="607">
        <f>'Recycling - Case 3'!$B121*'Recycling - Case 3'!$AF121*'Recycling - Case 3'!BO121*$B181</f>
        <v>101.12683804324867</v>
      </c>
      <c r="F181" s="607">
        <f>'Recycling - Case 3'!$B121*'Recycling - Case 3'!$AF121*'Recycling - Case 3'!BP121*$B181</f>
        <v>0</v>
      </c>
      <c r="G181" s="607">
        <f>'Recycling - Case 3'!$B121*'Recycling - Case 3'!$AF121*'Recycling - Case 3'!BQ121*$B181</f>
        <v>0</v>
      </c>
      <c r="H181" s="607">
        <f>'Recycling - Case 3'!$B121*'Recycling - Case 3'!$AF121*'Recycling - Case 3'!BR121*$B181</f>
        <v>0</v>
      </c>
      <c r="I181" s="607">
        <f>'Recycling - Case 3'!$B121*'Recycling - Case 3'!$AF121*'Recycling - Case 3'!BS121*$B181</f>
        <v>395.371192855917</v>
      </c>
      <c r="J181" s="863">
        <f t="shared" si="16"/>
        <v>1221.2583386145684</v>
      </c>
      <c r="K181" s="1640">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0.53421667972078712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13.62132833627205</v>
      </c>
      <c r="R181" s="1641">
        <f t="shared" si="17"/>
        <v>14.155545015992837</v>
      </c>
      <c r="S181" s="563">
        <f>C181*'4C2 Open-burning '!$C$9*'4C2 Open-burning '!$C$11*$C$5</f>
        <v>1.3825855863713785</v>
      </c>
      <c r="T181" s="564">
        <f>D181*'4C2 Open-burning '!$C$9*'4C2 Open-burning '!$C$11*$C$5</f>
        <v>1.4439796137186913</v>
      </c>
      <c r="U181" s="564">
        <f>E181*'4C2 Open-burning '!$C$9*'4C2 Open-burning '!$C$11*$C$5</f>
        <v>0.39439466836866982</v>
      </c>
      <c r="V181" s="564">
        <f>F181*'4C2 Open-burning '!$C$9*'4C2 Open-burning '!$C$11*$C$5</f>
        <v>0</v>
      </c>
      <c r="W181" s="564">
        <f>G181*'4C2 Open-burning '!$C$9*'4C2 Open-burning '!$C$11*$C$5</f>
        <v>0</v>
      </c>
      <c r="X181" s="564">
        <f>H181*'4C2 Open-burning '!$C$9*'4C2 Open-burning '!$C$11*$C$5</f>
        <v>0</v>
      </c>
      <c r="Y181" s="564">
        <f>I181*'4C2 Open-burning '!$C$9*'4C2 Open-burning '!$C$11*$C$5</f>
        <v>1.5419476521380762</v>
      </c>
      <c r="Z181" s="565">
        <f t="shared" si="18"/>
        <v>4.7629075205968157</v>
      </c>
      <c r="AA181" s="566">
        <f>C181*'4C2 Open-burning '!$C$10*'4C2 Open-burning '!$C$11*$C$5*C$15</f>
        <v>1.2762328489581956E-2</v>
      </c>
      <c r="AB181" s="566">
        <f>D181*'4C2 Open-burning '!$C$10*'4C2 Open-burning '!$C$11*$C$5*D$15</f>
        <v>1.3329042588172538E-2</v>
      </c>
      <c r="AC181" s="566">
        <f>E181*'4C2 Open-burning '!$C$10*'4C2 Open-burning '!$C$11*$C$5*E$15</f>
        <v>8.191273881503142E-3</v>
      </c>
      <c r="AD181" s="566">
        <f>F181*'4C2 Open-burning '!$C$10*'4C2 Open-burning '!$C$11*$C$5*F$15</f>
        <v>0</v>
      </c>
      <c r="AE181" s="566">
        <f>G181*'4C2 Open-burning '!$C$10*'4C2 Open-burning '!$C$11*$C$5*G$15</f>
        <v>0</v>
      </c>
      <c r="AF181" s="566">
        <f>H181*'4C2 Open-burning '!$C$10*'4C2 Open-burning '!$C$11*$C$5*H$15</f>
        <v>0</v>
      </c>
      <c r="AG181" s="566">
        <f>I181*'4C2 Open-burning '!$C$10*'4C2 Open-burning '!$C$11*$C$5*I$15</f>
        <v>3.2025066621329278E-2</v>
      </c>
      <c r="AH181" s="567">
        <f t="shared" si="19"/>
        <v>6.6307711580586903E-2</v>
      </c>
      <c r="AI181" s="1646"/>
      <c r="AJ181" s="1646"/>
      <c r="AK181" s="1646"/>
      <c r="AL181" s="4"/>
      <c r="AM181" s="4"/>
    </row>
    <row r="182" spans="1:39">
      <c r="A182" s="1083">
        <f>'Input data'!A143</f>
        <v>2043</v>
      </c>
      <c r="B182" s="640">
        <f>'Recycling - Case 3'!AP122</f>
        <v>0.1214682808560769</v>
      </c>
      <c r="C182" s="606">
        <f>'Recycling - Case 3'!$B122*'Recycling - Case 3'!$AF122*'Recycling - Case 3'!BM122*$B182</f>
        <v>356.71177602168797</v>
      </c>
      <c r="D182" s="607">
        <f>'Recycling - Case 3'!$B122*'Recycling - Case 3'!$AF122*'Recycling - Case 3'!BN122*$B182</f>
        <v>372.55164354819755</v>
      </c>
      <c r="E182" s="607">
        <f>'Recycling - Case 3'!$B122*'Recycling - Case 3'!$AF122*'Recycling - Case 3'!BO122*$B182</f>
        <v>101.75516365428329</v>
      </c>
      <c r="F182" s="607">
        <f>'Recycling - Case 3'!$B122*'Recycling - Case 3'!$AF122*'Recycling - Case 3'!BP122*$B182</f>
        <v>0</v>
      </c>
      <c r="G182" s="607">
        <f>'Recycling - Case 3'!$B122*'Recycling - Case 3'!$AF122*'Recycling - Case 3'!BQ122*$B182</f>
        <v>0</v>
      </c>
      <c r="H182" s="607">
        <f>'Recycling - Case 3'!$B122*'Recycling - Case 3'!$AF122*'Recycling - Case 3'!BR122*$B182</f>
        <v>0</v>
      </c>
      <c r="I182" s="607">
        <f>'Recycling - Case 3'!$B122*'Recycling - Case 3'!$AF122*'Recycling - Case 3'!BS122*$B182</f>
        <v>397.82773012281393</v>
      </c>
      <c r="J182" s="863">
        <f t="shared" si="16"/>
        <v>1228.8463133469827</v>
      </c>
      <c r="K182" s="1640">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0.5375358977266631</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13.705960958191184</v>
      </c>
      <c r="R182" s="1641">
        <f t="shared" si="17"/>
        <v>14.243496855917847</v>
      </c>
      <c r="S182" s="563">
        <f>C182*'4C2 Open-burning '!$C$9*'4C2 Open-burning '!$C$11*$C$5</f>
        <v>1.3911759264845829</v>
      </c>
      <c r="T182" s="564">
        <f>D182*'4C2 Open-burning '!$C$9*'4C2 Open-burning '!$C$11*$C$5</f>
        <v>1.4529514098379703</v>
      </c>
      <c r="U182" s="564">
        <f>E182*'4C2 Open-burning '!$C$9*'4C2 Open-burning '!$C$11*$C$5</f>
        <v>0.39684513825170481</v>
      </c>
      <c r="V182" s="564">
        <f>F182*'4C2 Open-burning '!$C$9*'4C2 Open-burning '!$C$11*$C$5</f>
        <v>0</v>
      </c>
      <c r="W182" s="564">
        <f>G182*'4C2 Open-burning '!$C$9*'4C2 Open-burning '!$C$11*$C$5</f>
        <v>0</v>
      </c>
      <c r="X182" s="564">
        <f>H182*'4C2 Open-burning '!$C$9*'4C2 Open-burning '!$C$11*$C$5</f>
        <v>0</v>
      </c>
      <c r="Y182" s="564">
        <f>I182*'4C2 Open-burning '!$C$9*'4C2 Open-burning '!$C$11*$C$5</f>
        <v>1.5515281474789744</v>
      </c>
      <c r="Z182" s="565">
        <f t="shared" si="18"/>
        <v>4.7925006220532325</v>
      </c>
      <c r="AA182" s="566">
        <f>C182*'4C2 Open-burning '!$C$10*'4C2 Open-burning '!$C$11*$C$5*C$15</f>
        <v>1.2841623936780767E-2</v>
      </c>
      <c r="AB182" s="566">
        <f>D182*'4C2 Open-burning '!$C$10*'4C2 Open-burning '!$C$11*$C$5*D$15</f>
        <v>1.341185916773511E-2</v>
      </c>
      <c r="AC182" s="566">
        <f>E182*'4C2 Open-burning '!$C$10*'4C2 Open-burning '!$C$11*$C$5*E$15</f>
        <v>8.242168255996947E-3</v>
      </c>
      <c r="AD182" s="566">
        <f>F182*'4C2 Open-burning '!$C$10*'4C2 Open-burning '!$C$11*$C$5*F$15</f>
        <v>0</v>
      </c>
      <c r="AE182" s="566">
        <f>G182*'4C2 Open-burning '!$C$10*'4C2 Open-burning '!$C$11*$C$5*G$15</f>
        <v>0</v>
      </c>
      <c r="AF182" s="566">
        <f>H182*'4C2 Open-burning '!$C$10*'4C2 Open-burning '!$C$11*$C$5*H$15</f>
        <v>0</v>
      </c>
      <c r="AG182" s="566">
        <f>I182*'4C2 Open-burning '!$C$10*'4C2 Open-burning '!$C$11*$C$5*I$15</f>
        <v>3.2224046139947927E-2</v>
      </c>
      <c r="AH182" s="567">
        <f t="shared" si="19"/>
        <v>6.6719697500460751E-2</v>
      </c>
      <c r="AI182" s="1646"/>
      <c r="AJ182" s="1646"/>
      <c r="AK182" s="1646"/>
      <c r="AL182" s="4"/>
      <c r="AM182" s="4"/>
    </row>
    <row r="183" spans="1:39">
      <c r="A183" s="1083">
        <f>'Input data'!A144</f>
        <v>2044</v>
      </c>
      <c r="B183" s="640">
        <f>'Recycling - Case 3'!AP123</f>
        <v>0.1214682808560769</v>
      </c>
      <c r="C183" s="606">
        <f>'Recycling - Case 3'!$B123*'Recycling - Case 3'!$AF123*'Recycling - Case 3'!BM123*$B183</f>
        <v>358.92423869718084</v>
      </c>
      <c r="D183" s="607">
        <f>'Recycling - Case 3'!$B123*'Recycling - Case 3'!$AF123*'Recycling - Case 3'!BN123*$B183</f>
        <v>374.86235113188485</v>
      </c>
      <c r="E183" s="607">
        <f>'Recycling - Case 3'!$B123*'Recycling - Case 3'!$AF123*'Recycling - Case 3'!BO123*$B183</f>
        <v>102.38628804309539</v>
      </c>
      <c r="F183" s="607">
        <f>'Recycling - Case 3'!$B123*'Recycling - Case 3'!$AF123*'Recycling - Case 3'!BP123*$B183</f>
        <v>0</v>
      </c>
      <c r="G183" s="607">
        <f>'Recycling - Case 3'!$B123*'Recycling - Case 3'!$AF123*'Recycling - Case 3'!BQ123*$B183</f>
        <v>0</v>
      </c>
      <c r="H183" s="607">
        <f>'Recycling - Case 3'!$B123*'Recycling - Case 3'!$AF123*'Recycling - Case 3'!BR123*$B183</f>
        <v>0</v>
      </c>
      <c r="I183" s="607">
        <f>'Recycling - Case 3'!$B123*'Recycling - Case 3'!$AF123*'Recycling - Case 3'!BS123*$B183</f>
        <v>400.29520964925166</v>
      </c>
      <c r="J183" s="863">
        <f t="shared" si="16"/>
        <v>1236.4680875214126</v>
      </c>
      <c r="K183" s="1640">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0.54086990066797747</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13.790970562836018</v>
      </c>
      <c r="R183" s="1641">
        <f t="shared" si="17"/>
        <v>14.331840463503996</v>
      </c>
      <c r="S183" s="563">
        <f>C183*'4C2 Open-burning '!$C$9*'4C2 Open-burning '!$C$11*$C$5</f>
        <v>1.399804530919005</v>
      </c>
      <c r="T183" s="564">
        <f>D183*'4C2 Open-burning '!$C$9*'4C2 Open-burning '!$C$11*$C$5</f>
        <v>1.4619631694143509</v>
      </c>
      <c r="U183" s="564">
        <f>E183*'4C2 Open-burning '!$C$9*'4C2 Open-burning '!$C$11*$C$5</f>
        <v>0.39930652336807199</v>
      </c>
      <c r="V183" s="564">
        <f>F183*'4C2 Open-burning '!$C$9*'4C2 Open-burning '!$C$11*$C$5</f>
        <v>0</v>
      </c>
      <c r="W183" s="564">
        <f>G183*'4C2 Open-burning '!$C$9*'4C2 Open-burning '!$C$11*$C$5</f>
        <v>0</v>
      </c>
      <c r="X183" s="564">
        <f>H183*'4C2 Open-burning '!$C$9*'4C2 Open-burning '!$C$11*$C$5</f>
        <v>0</v>
      </c>
      <c r="Y183" s="564">
        <f>I183*'4C2 Open-burning '!$C$9*'4C2 Open-burning '!$C$11*$C$5</f>
        <v>1.561151317632081</v>
      </c>
      <c r="Z183" s="565">
        <f t="shared" si="18"/>
        <v>4.8222255413335091</v>
      </c>
      <c r="AA183" s="566">
        <f>C183*'4C2 Open-burning '!$C$10*'4C2 Open-burning '!$C$11*$C$5*C$15</f>
        <v>1.2921272593098511E-2</v>
      </c>
      <c r="AB183" s="566">
        <f>D183*'4C2 Open-burning '!$C$10*'4C2 Open-burning '!$C$11*$C$5*D$15</f>
        <v>1.3495044640747854E-2</v>
      </c>
      <c r="AC183" s="566">
        <f>E183*'4C2 Open-burning '!$C$10*'4C2 Open-burning '!$C$11*$C$5*E$15</f>
        <v>8.2932893314907243E-3</v>
      </c>
      <c r="AD183" s="566">
        <f>F183*'4C2 Open-burning '!$C$10*'4C2 Open-burning '!$C$11*$C$5*F$15</f>
        <v>0</v>
      </c>
      <c r="AE183" s="566">
        <f>G183*'4C2 Open-burning '!$C$10*'4C2 Open-burning '!$C$11*$C$5*G$15</f>
        <v>0</v>
      </c>
      <c r="AF183" s="566">
        <f>H183*'4C2 Open-burning '!$C$10*'4C2 Open-burning '!$C$11*$C$5*H$15</f>
        <v>0</v>
      </c>
      <c r="AG183" s="566">
        <f>I183*'4C2 Open-burning '!$C$10*'4C2 Open-burning '!$C$11*$C$5*I$15</f>
        <v>3.2423911981589386E-2</v>
      </c>
      <c r="AH183" s="567">
        <f t="shared" si="19"/>
        <v>6.7133518546926479E-2</v>
      </c>
      <c r="AI183" s="1646"/>
      <c r="AJ183" s="1646"/>
      <c r="AK183" s="1646"/>
      <c r="AL183" s="4"/>
      <c r="AM183" s="4"/>
    </row>
    <row r="184" spans="1:39">
      <c r="A184" s="1083">
        <f>'Input data'!A145</f>
        <v>2045</v>
      </c>
      <c r="B184" s="640">
        <f>'Recycling - Case 3'!AP124</f>
        <v>0.1214682808560769</v>
      </c>
      <c r="C184" s="606">
        <f>'Recycling - Case 3'!$B124*'Recycling - Case 3'!$AF124*'Recycling - Case 3'!BM124*$B184</f>
        <v>361.15632410150283</v>
      </c>
      <c r="D184" s="607">
        <f>'Recycling - Case 3'!$B124*'Recycling - Case 3'!$AF124*'Recycling - Case 3'!BN124*$B184</f>
        <v>377.19355279613706</v>
      </c>
      <c r="E184" s="607">
        <f>'Recycling - Case 3'!$B124*'Recycling - Case 3'!$AF124*'Recycling - Case 3'!BO124*$B184</f>
        <v>103.02300998746236</v>
      </c>
      <c r="F184" s="607">
        <f>'Recycling - Case 3'!$B124*'Recycling - Case 3'!$AF124*'Recycling - Case 3'!BP124*$B184</f>
        <v>0</v>
      </c>
      <c r="G184" s="607">
        <f>'Recycling - Case 3'!$B124*'Recycling - Case 3'!$AF124*'Recycling - Case 3'!BQ124*$B184</f>
        <v>0</v>
      </c>
      <c r="H184" s="607">
        <f>'Recycling - Case 3'!$B124*'Recycling - Case 3'!$AF124*'Recycling - Case 3'!BR124*$B184</f>
        <v>0</v>
      </c>
      <c r="I184" s="607">
        <f>'Recycling - Case 3'!$B124*'Recycling - Case 3'!$AF124*'Recycling - Case 3'!BS124*$B184</f>
        <v>402.78457369477087</v>
      </c>
      <c r="J184" s="863">
        <f t="shared" si="16"/>
        <v>1244.1574605798733</v>
      </c>
      <c r="K184" s="1640">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0.54423347348016815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13.876734132932244</v>
      </c>
      <c r="R184" s="1641">
        <f t="shared" si="17"/>
        <v>14.420967606412411</v>
      </c>
      <c r="S184" s="563">
        <f>C184*'4C2 Open-burning '!$C$9*'4C2 Open-burning '!$C$11*$C$5</f>
        <v>1.408509663995861</v>
      </c>
      <c r="T184" s="564">
        <f>D184*'4C2 Open-burning '!$C$9*'4C2 Open-burning '!$C$11*$C$5</f>
        <v>1.4710548559049343</v>
      </c>
      <c r="U184" s="564">
        <f>E184*'4C2 Open-burning '!$C$9*'4C2 Open-burning '!$C$11*$C$5</f>
        <v>0.4017897389511032</v>
      </c>
      <c r="V184" s="564">
        <f>F184*'4C2 Open-burning '!$C$9*'4C2 Open-burning '!$C$11*$C$5</f>
        <v>0</v>
      </c>
      <c r="W184" s="564">
        <f>G184*'4C2 Open-burning '!$C$9*'4C2 Open-burning '!$C$11*$C$5</f>
        <v>0</v>
      </c>
      <c r="X184" s="564">
        <f>H184*'4C2 Open-burning '!$C$9*'4C2 Open-burning '!$C$11*$C$5</f>
        <v>0</v>
      </c>
      <c r="Y184" s="564">
        <f>I184*'4C2 Open-burning '!$C$9*'4C2 Open-burning '!$C$11*$C$5</f>
        <v>1.5708598374096063</v>
      </c>
      <c r="Z184" s="565">
        <f t="shared" si="18"/>
        <v>4.8522140962615055</v>
      </c>
      <c r="AA184" s="566">
        <f>C184*'4C2 Open-burning '!$C$10*'4C2 Open-burning '!$C$11*$C$5*C$15</f>
        <v>1.30016276676541E-2</v>
      </c>
      <c r="AB184" s="566">
        <f>D184*'4C2 Open-burning '!$C$10*'4C2 Open-burning '!$C$11*$C$5*D$15</f>
        <v>1.3578967900660932E-2</v>
      </c>
      <c r="AC184" s="566">
        <f>E184*'4C2 Open-burning '!$C$10*'4C2 Open-burning '!$C$11*$C$5*E$15</f>
        <v>8.3448638089844498E-3</v>
      </c>
      <c r="AD184" s="566">
        <f>F184*'4C2 Open-burning '!$C$10*'4C2 Open-burning '!$C$11*$C$5*F$15</f>
        <v>0</v>
      </c>
      <c r="AE184" s="566">
        <f>G184*'4C2 Open-burning '!$C$10*'4C2 Open-burning '!$C$11*$C$5*G$15</f>
        <v>0</v>
      </c>
      <c r="AF184" s="566">
        <f>H184*'4C2 Open-burning '!$C$10*'4C2 Open-burning '!$C$11*$C$5*H$15</f>
        <v>0</v>
      </c>
      <c r="AG184" s="566">
        <f>I184*'4C2 Open-burning '!$C$10*'4C2 Open-burning '!$C$11*$C$5*I$15</f>
        <v>3.2625550469276433E-2</v>
      </c>
      <c r="AH184" s="567">
        <f t="shared" si="19"/>
        <v>6.7551009846575916E-2</v>
      </c>
      <c r="AI184" s="1646"/>
      <c r="AJ184" s="1646"/>
      <c r="AK184" s="1646"/>
      <c r="AL184" s="4"/>
      <c r="AM184" s="4"/>
    </row>
    <row r="185" spans="1:39">
      <c r="A185" s="1083">
        <f>'Input data'!A146</f>
        <v>2046</v>
      </c>
      <c r="B185" s="640">
        <f>'Recycling - Case 3'!AP125</f>
        <v>0.1214682808560769</v>
      </c>
      <c r="C185" s="606">
        <f>'Recycling - Case 3'!$B125*'Recycling - Case 3'!$AF125*'Recycling - Case 3'!BM125*$B185</f>
        <v>362.99595492924072</v>
      </c>
      <c r="D185" s="607">
        <f>'Recycling - Case 3'!$B125*'Recycling - Case 3'!$AF125*'Recycling - Case 3'!BN125*$B185</f>
        <v>379.11487284909208</v>
      </c>
      <c r="E185" s="607">
        <f>'Recycling - Case 3'!$B125*'Recycling - Case 3'!$AF125*'Recycling - Case 3'!BO125*$B185</f>
        <v>103.54778082073182</v>
      </c>
      <c r="F185" s="607">
        <f>'Recycling - Case 3'!$B125*'Recycling - Case 3'!$AF125*'Recycling - Case 3'!BP125*$B185</f>
        <v>0</v>
      </c>
      <c r="G185" s="607">
        <f>'Recycling - Case 3'!$B125*'Recycling - Case 3'!$AF125*'Recycling - Case 3'!BQ125*$B185</f>
        <v>0</v>
      </c>
      <c r="H185" s="607">
        <f>'Recycling - Case 3'!$B125*'Recycling - Case 3'!$AF125*'Recycling - Case 3'!BR125*$B185</f>
        <v>0</v>
      </c>
      <c r="I185" s="607">
        <f>'Recycling - Case 3'!$B125*'Recycling - Case 3'!$AF125*'Recycling - Case 3'!BS125*$B185</f>
        <v>404.83624735866022</v>
      </c>
      <c r="J185" s="863">
        <f t="shared" si="16"/>
        <v>1250.4948559577247</v>
      </c>
      <c r="K185" s="1640">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0.54700564887483072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13.947418394000561</v>
      </c>
      <c r="R185" s="1641">
        <f t="shared" si="17"/>
        <v>14.494424042875391</v>
      </c>
      <c r="S185" s="563">
        <f>C185*'4C2 Open-burning '!$C$9*'4C2 Open-burning '!$C$11*$C$5</f>
        <v>1.4156842242240384</v>
      </c>
      <c r="T185" s="564">
        <f>D185*'4C2 Open-burning '!$C$9*'4C2 Open-burning '!$C$11*$C$5</f>
        <v>1.4785480041114589</v>
      </c>
      <c r="U185" s="564">
        <f>E185*'4C2 Open-burning '!$C$9*'4C2 Open-burning '!$C$11*$C$5</f>
        <v>0.40383634520085404</v>
      </c>
      <c r="V185" s="564">
        <f>F185*'4C2 Open-burning '!$C$9*'4C2 Open-burning '!$C$11*$C$5</f>
        <v>0</v>
      </c>
      <c r="W185" s="564">
        <f>G185*'4C2 Open-burning '!$C$9*'4C2 Open-burning '!$C$11*$C$5</f>
        <v>0</v>
      </c>
      <c r="X185" s="564">
        <f>H185*'4C2 Open-burning '!$C$9*'4C2 Open-burning '!$C$11*$C$5</f>
        <v>0</v>
      </c>
      <c r="Y185" s="564">
        <f>I185*'4C2 Open-burning '!$C$9*'4C2 Open-burning '!$C$11*$C$5</f>
        <v>1.5788613646987748</v>
      </c>
      <c r="Z185" s="565">
        <f t="shared" si="18"/>
        <v>4.8769299382351265</v>
      </c>
      <c r="AA185" s="566">
        <f>C185*'4C2 Open-burning '!$C$10*'4C2 Open-burning '!$C$11*$C$5*C$15</f>
        <v>1.3067854377452665E-2</v>
      </c>
      <c r="AB185" s="566">
        <f>D185*'4C2 Open-burning '!$C$10*'4C2 Open-burning '!$C$11*$C$5*D$15</f>
        <v>1.3648135422567315E-2</v>
      </c>
      <c r="AC185" s="566">
        <f>E185*'4C2 Open-burning '!$C$10*'4C2 Open-burning '!$C$11*$C$5*E$15</f>
        <v>8.3873702464792761E-3</v>
      </c>
      <c r="AD185" s="566">
        <f>F185*'4C2 Open-burning '!$C$10*'4C2 Open-burning '!$C$11*$C$5*F$15</f>
        <v>0</v>
      </c>
      <c r="AE185" s="566">
        <f>G185*'4C2 Open-burning '!$C$10*'4C2 Open-burning '!$C$11*$C$5*G$15</f>
        <v>0</v>
      </c>
      <c r="AF185" s="566">
        <f>H185*'4C2 Open-burning '!$C$10*'4C2 Open-burning '!$C$11*$C$5*H$15</f>
        <v>0</v>
      </c>
      <c r="AG185" s="566">
        <f>I185*'4C2 Open-burning '!$C$10*'4C2 Open-burning '!$C$11*$C$5*I$15</f>
        <v>3.2791736036051476E-2</v>
      </c>
      <c r="AH185" s="567">
        <f t="shared" si="19"/>
        <v>6.7895096082550732E-2</v>
      </c>
      <c r="AI185" s="1646"/>
      <c r="AJ185" s="1646"/>
      <c r="AK185" s="1646"/>
      <c r="AL185" s="4"/>
      <c r="AM185" s="4"/>
    </row>
    <row r="186" spans="1:39">
      <c r="A186" s="1083">
        <f>'Input data'!A147</f>
        <v>2047</v>
      </c>
      <c r="B186" s="640">
        <f>'Recycling - Case 3'!AP126</f>
        <v>0.1214682808560769</v>
      </c>
      <c r="C186" s="606">
        <f>'Recycling - Case 3'!$B126*'Recycling - Case 3'!$AF126*'Recycling - Case 3'!BM126*$B186</f>
        <v>364.85030280360053</v>
      </c>
      <c r="D186" s="607">
        <f>'Recycling - Case 3'!$B126*'Recycling - Case 3'!$AF126*'Recycling - Case 3'!BN126*$B186</f>
        <v>381.05156346247077</v>
      </c>
      <c r="E186" s="607">
        <f>'Recycling - Case 3'!$B126*'Recycling - Case 3'!$AF126*'Recycling - Case 3'!BO126*$B186</f>
        <v>104.07674982066744</v>
      </c>
      <c r="F186" s="607">
        <f>'Recycling - Case 3'!$B126*'Recycling - Case 3'!$AF126*'Recycling - Case 3'!BP126*$B186</f>
        <v>0</v>
      </c>
      <c r="G186" s="607">
        <f>'Recycling - Case 3'!$B126*'Recycling - Case 3'!$AF126*'Recycling - Case 3'!BQ126*$B186</f>
        <v>0</v>
      </c>
      <c r="H186" s="607">
        <f>'Recycling - Case 3'!$B126*'Recycling - Case 3'!$AF126*'Recycling - Case 3'!BR126*$B186</f>
        <v>0</v>
      </c>
      <c r="I186" s="607">
        <f>'Recycling - Case 3'!$B126*'Recycling - Case 3'!$AF126*'Recycling - Case 3'!BS126*$B186</f>
        <v>406.90433441186076</v>
      </c>
      <c r="J186" s="863">
        <f t="shared" si="16"/>
        <v>1256.8829504985995</v>
      </c>
      <c r="K186" s="1640">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0.54980000167265064</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14.018668129157426</v>
      </c>
      <c r="R186" s="1641">
        <f t="shared" si="17"/>
        <v>14.568468130830077</v>
      </c>
      <c r="S186" s="563">
        <f>C186*'4C2 Open-burning '!$C$9*'4C2 Open-burning '!$C$11*$C$5</f>
        <v>1.4229161809340418</v>
      </c>
      <c r="T186" s="564">
        <f>D186*'4C2 Open-burning '!$C$9*'4C2 Open-burning '!$C$11*$C$5</f>
        <v>1.4861010975036359</v>
      </c>
      <c r="U186" s="564">
        <f>E186*'4C2 Open-burning '!$C$9*'4C2 Open-burning '!$C$11*$C$5</f>
        <v>0.40589932430060299</v>
      </c>
      <c r="V186" s="564">
        <f>F186*'4C2 Open-burning '!$C$9*'4C2 Open-burning '!$C$11*$C$5</f>
        <v>0</v>
      </c>
      <c r="W186" s="564">
        <f>G186*'4C2 Open-burning '!$C$9*'4C2 Open-burning '!$C$11*$C$5</f>
        <v>0</v>
      </c>
      <c r="X186" s="564">
        <f>H186*'4C2 Open-burning '!$C$9*'4C2 Open-burning '!$C$11*$C$5</f>
        <v>0</v>
      </c>
      <c r="Y186" s="564">
        <f>I186*'4C2 Open-burning '!$C$9*'4C2 Open-burning '!$C$11*$C$5</f>
        <v>1.5869269042062568</v>
      </c>
      <c r="Z186" s="565">
        <f t="shared" si="18"/>
        <v>4.9018435069445374</v>
      </c>
      <c r="AA186" s="566">
        <f>C186*'4C2 Open-burning '!$C$10*'4C2 Open-burning '!$C$11*$C$5*C$15</f>
        <v>1.3134610900929621E-2</v>
      </c>
      <c r="AB186" s="566">
        <f>D186*'4C2 Open-burning '!$C$10*'4C2 Open-burning '!$C$11*$C$5*D$15</f>
        <v>1.3717856284648947E-2</v>
      </c>
      <c r="AC186" s="566">
        <f>E186*'4C2 Open-burning '!$C$10*'4C2 Open-burning '!$C$11*$C$5*E$15</f>
        <v>8.4302167354740627E-3</v>
      </c>
      <c r="AD186" s="566">
        <f>F186*'4C2 Open-burning '!$C$10*'4C2 Open-burning '!$C$11*$C$5*F$15</f>
        <v>0</v>
      </c>
      <c r="AE186" s="566">
        <f>G186*'4C2 Open-burning '!$C$10*'4C2 Open-burning '!$C$11*$C$5*G$15</f>
        <v>0</v>
      </c>
      <c r="AF186" s="566">
        <f>H186*'4C2 Open-burning '!$C$10*'4C2 Open-burning '!$C$11*$C$5*H$15</f>
        <v>0</v>
      </c>
      <c r="AG186" s="566">
        <f>I186*'4C2 Open-burning '!$C$10*'4C2 Open-burning '!$C$11*$C$5*I$15</f>
        <v>3.2959251087360725E-2</v>
      </c>
      <c r="AH186" s="567">
        <f t="shared" si="19"/>
        <v>6.8241935008413357E-2</v>
      </c>
      <c r="AI186" s="1646"/>
      <c r="AJ186" s="1646"/>
      <c r="AK186" s="1646"/>
      <c r="AL186" s="4"/>
      <c r="AM186" s="4"/>
    </row>
    <row r="187" spans="1:39">
      <c r="A187" s="1083">
        <f>'Input data'!A148</f>
        <v>2048</v>
      </c>
      <c r="B187" s="640">
        <f>'Recycling - Case 3'!AP127</f>
        <v>0.1214682808560769</v>
      </c>
      <c r="C187" s="606">
        <f>'Recycling - Case 3'!$B127*'Recycling - Case 3'!$AF127*'Recycling - Case 3'!BM127*$B187</f>
        <v>366.71446204237486</v>
      </c>
      <c r="D187" s="607">
        <f>'Recycling - Case 3'!$B127*'Recycling - Case 3'!$AF127*'Recycling - Case 3'!BN127*$B187</f>
        <v>382.99850111613188</v>
      </c>
      <c r="E187" s="607">
        <f>'Recycling - Case 3'!$B127*'Recycling - Case 3'!$AF127*'Recycling - Case 3'!BO127*$B187</f>
        <v>104.6085175983805</v>
      </c>
      <c r="F187" s="607">
        <f>'Recycling - Case 3'!$B127*'Recycling - Case 3'!$AF127*'Recycling - Case 3'!BP127*$B187</f>
        <v>0</v>
      </c>
      <c r="G187" s="607">
        <f>'Recycling - Case 3'!$B127*'Recycling - Case 3'!$AF127*'Recycling - Case 3'!BQ127*$B187</f>
        <v>0</v>
      </c>
      <c r="H187" s="607">
        <f>'Recycling - Case 3'!$B127*'Recycling - Case 3'!$AF127*'Recycling - Case 3'!BR127*$B187</f>
        <v>0</v>
      </c>
      <c r="I187" s="607">
        <f>'Recycling - Case 3'!$B127*'Recycling - Case 3'!$AF127*'Recycling - Case 3'!BS127*$B187</f>
        <v>408.98336372460199</v>
      </c>
      <c r="J187" s="863">
        <f t="shared" si="16"/>
        <v>1263.3048444814892</v>
      </c>
      <c r="K187" s="1640">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0.55260913940590872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14.090294847039987</v>
      </c>
      <c r="R187" s="1641">
        <f t="shared" si="17"/>
        <v>14.642903986445896</v>
      </c>
      <c r="S187" s="563">
        <f>C187*'4C2 Open-burning '!$C$9*'4C2 Open-burning '!$C$11*$C$5</f>
        <v>1.4301864019652619</v>
      </c>
      <c r="T187" s="564">
        <f>D187*'4C2 Open-burning '!$C$9*'4C2 Open-burning '!$C$11*$C$5</f>
        <v>1.4936941543529141</v>
      </c>
      <c r="U187" s="564">
        <f>E187*'4C2 Open-burning '!$C$9*'4C2 Open-burning '!$C$11*$C$5</f>
        <v>0.40797321863368391</v>
      </c>
      <c r="V187" s="564">
        <f>F187*'4C2 Open-burning '!$C$9*'4C2 Open-burning '!$C$11*$C$5</f>
        <v>0</v>
      </c>
      <c r="W187" s="564">
        <f>G187*'4C2 Open-burning '!$C$9*'4C2 Open-burning '!$C$11*$C$5</f>
        <v>0</v>
      </c>
      <c r="X187" s="564">
        <f>H187*'4C2 Open-burning '!$C$9*'4C2 Open-burning '!$C$11*$C$5</f>
        <v>0</v>
      </c>
      <c r="Y187" s="564">
        <f>I187*'4C2 Open-burning '!$C$9*'4C2 Open-burning '!$C$11*$C$5</f>
        <v>1.5950351185259475</v>
      </c>
      <c r="Z187" s="565">
        <f t="shared" si="18"/>
        <v>4.9268888934778072</v>
      </c>
      <c r="AA187" s="566">
        <f>C187*'4C2 Open-burning '!$C$10*'4C2 Open-burning '!$C$11*$C$5*C$15</f>
        <v>1.3201720633525494E-2</v>
      </c>
      <c r="AB187" s="566">
        <f>D187*'4C2 Open-burning '!$C$10*'4C2 Open-burning '!$C$11*$C$5*D$15</f>
        <v>1.3787946040180746E-2</v>
      </c>
      <c r="AC187" s="566">
        <f>E187*'4C2 Open-burning '!$C$10*'4C2 Open-burning '!$C$11*$C$5*E$15</f>
        <v>8.4732899254688198E-3</v>
      </c>
      <c r="AD187" s="566">
        <f>F187*'4C2 Open-burning '!$C$10*'4C2 Open-burning '!$C$11*$C$5*F$15</f>
        <v>0</v>
      </c>
      <c r="AE187" s="566">
        <f>G187*'4C2 Open-burning '!$C$10*'4C2 Open-burning '!$C$11*$C$5*G$15</f>
        <v>0</v>
      </c>
      <c r="AF187" s="566">
        <f>H187*'4C2 Open-burning '!$C$10*'4C2 Open-burning '!$C$11*$C$5*H$15</f>
        <v>0</v>
      </c>
      <c r="AG187" s="566">
        <f>I187*'4C2 Open-burning '!$C$10*'4C2 Open-burning '!$C$11*$C$5*I$15</f>
        <v>3.3127652461692761E-2</v>
      </c>
      <c r="AH187" s="567">
        <f t="shared" si="19"/>
        <v>6.8590609060867822E-2</v>
      </c>
      <c r="AI187" s="1646"/>
      <c r="AJ187" s="1646"/>
      <c r="AK187" s="1646"/>
      <c r="AL187" s="4"/>
      <c r="AM187" s="4"/>
    </row>
    <row r="188" spans="1:39">
      <c r="A188" s="1083">
        <f>'Input data'!A149</f>
        <v>2049</v>
      </c>
      <c r="B188" s="640">
        <f>'Recycling - Case 3'!AP128</f>
        <v>0.1214682808560769</v>
      </c>
      <c r="C188" s="606">
        <f>'Recycling - Case 3'!$B128*'Recycling - Case 3'!$AF128*'Recycling - Case 3'!BM128*$B188</f>
        <v>368.58352696335652</v>
      </c>
      <c r="D188" s="607">
        <f>'Recycling - Case 3'!$B128*'Recycling - Case 3'!$AF128*'Recycling - Case 3'!BN128*$B188</f>
        <v>384.95056228993423</v>
      </c>
      <c r="E188" s="607">
        <f>'Recycling - Case 3'!$B128*'Recycling - Case 3'!$AF128*'Recycling - Case 3'!BO128*$B188</f>
        <v>105.14168476498227</v>
      </c>
      <c r="F188" s="607">
        <f>'Recycling - Case 3'!$B128*'Recycling - Case 3'!$AF128*'Recycling - Case 3'!BP128*$B188</f>
        <v>0</v>
      </c>
      <c r="G188" s="607">
        <f>'Recycling - Case 3'!$B128*'Recycling - Case 3'!$AF128*'Recycling - Case 3'!BQ128*$B188</f>
        <v>0</v>
      </c>
      <c r="H188" s="607">
        <f>'Recycling - Case 3'!$B128*'Recycling - Case 3'!$AF128*'Recycling - Case 3'!BR128*$B188</f>
        <v>0</v>
      </c>
      <c r="I188" s="607">
        <f>'Recycling - Case 3'!$B128*'Recycling - Case 3'!$AF128*'Recycling - Case 3'!BS128*$B188</f>
        <v>411.06786416711361</v>
      </c>
      <c r="J188" s="863">
        <f t="shared" si="16"/>
        <v>1269.7436381853868</v>
      </c>
      <c r="K188" s="1640">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0.555425669606886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14.162110056285396</v>
      </c>
      <c r="R188" s="1641">
        <f t="shared" si="17"/>
        <v>14.717535725892283</v>
      </c>
      <c r="S188" s="563">
        <f>C188*'4C2 Open-burning '!$C$9*'4C2 Open-burning '!$C$11*$C$5</f>
        <v>1.4374757551570903</v>
      </c>
      <c r="T188" s="564">
        <f>D188*'4C2 Open-burning '!$C$9*'4C2 Open-burning '!$C$11*$C$5</f>
        <v>1.5013071929307436</v>
      </c>
      <c r="U188" s="564">
        <f>E188*'4C2 Open-burning '!$C$9*'4C2 Open-burning '!$C$11*$C$5</f>
        <v>0.41005257058343086</v>
      </c>
      <c r="V188" s="564">
        <f>F188*'4C2 Open-burning '!$C$9*'4C2 Open-burning '!$C$11*$C$5</f>
        <v>0</v>
      </c>
      <c r="W188" s="564">
        <f>G188*'4C2 Open-burning '!$C$9*'4C2 Open-burning '!$C$11*$C$5</f>
        <v>0</v>
      </c>
      <c r="X188" s="564">
        <f>H188*'4C2 Open-burning '!$C$9*'4C2 Open-burning '!$C$11*$C$5</f>
        <v>0</v>
      </c>
      <c r="Y188" s="564">
        <f>I188*'4C2 Open-burning '!$C$9*'4C2 Open-burning '!$C$11*$C$5</f>
        <v>1.603164670251743</v>
      </c>
      <c r="Z188" s="565">
        <f t="shared" si="18"/>
        <v>4.9520001889230079</v>
      </c>
      <c r="AA188" s="566">
        <f>C188*'4C2 Open-burning '!$C$10*'4C2 Open-burning '!$C$11*$C$5*C$15</f>
        <v>1.3269006970680834E-2</v>
      </c>
      <c r="AB188" s="566">
        <f>D188*'4C2 Open-burning '!$C$10*'4C2 Open-burning '!$C$11*$C$5*D$15</f>
        <v>1.385822024243763E-2</v>
      </c>
      <c r="AC188" s="566">
        <f>E188*'4C2 Open-burning '!$C$10*'4C2 Open-burning '!$C$11*$C$5*E$15</f>
        <v>8.5164764659635631E-3</v>
      </c>
      <c r="AD188" s="566">
        <f>F188*'4C2 Open-burning '!$C$10*'4C2 Open-burning '!$C$11*$C$5*F$15</f>
        <v>0</v>
      </c>
      <c r="AE188" s="566">
        <f>G188*'4C2 Open-burning '!$C$10*'4C2 Open-burning '!$C$11*$C$5*G$15</f>
        <v>0</v>
      </c>
      <c r="AF188" s="566">
        <f>H188*'4C2 Open-burning '!$C$10*'4C2 Open-burning '!$C$11*$C$5*H$15</f>
        <v>0</v>
      </c>
      <c r="AG188" s="566">
        <f>I188*'4C2 Open-burning '!$C$10*'4C2 Open-burning '!$C$11*$C$5*I$15</f>
        <v>3.3296496997536208E-2</v>
      </c>
      <c r="AH188" s="567">
        <f t="shared" si="19"/>
        <v>6.8940200676618241E-2</v>
      </c>
      <c r="AI188" s="1646"/>
      <c r="AJ188" s="1646"/>
      <c r="AK188" s="1646"/>
      <c r="AL188" s="4"/>
      <c r="AM188" s="4"/>
    </row>
    <row r="189" spans="1:39" ht="15" thickBot="1">
      <c r="A189" s="1084">
        <f>'Input data'!A150</f>
        <v>2050</v>
      </c>
      <c r="B189" s="919">
        <f>'Recycling - Case 3'!AP129</f>
        <v>0.1214682808560769</v>
      </c>
      <c r="C189" s="757">
        <f>'Recycling - Case 3'!$B129*'Recycling - Case 3'!$AF129*'Recycling - Case 3'!BM129*$B189</f>
        <v>370.46730893096014</v>
      </c>
      <c r="D189" s="754">
        <f>'Recycling - Case 3'!$B129*'Recycling - Case 3'!$AF129*'Recycling - Case 3'!BN129*$B189</f>
        <v>386.91799402416018</v>
      </c>
      <c r="E189" s="754">
        <f>'Recycling - Case 3'!$B129*'Recycling - Case 3'!$AF129*'Recycling - Case 3'!BO129*$B189</f>
        <v>105.67905009825022</v>
      </c>
      <c r="F189" s="754">
        <f>'Recycling - Case 3'!$B129*'Recycling - Case 3'!$AF129*'Recycling - Case 3'!BP129*$B189</f>
        <v>0</v>
      </c>
      <c r="G189" s="754">
        <f>'Recycling - Case 3'!$B129*'Recycling - Case 3'!$AF129*'Recycling - Case 3'!BQ129*$B189</f>
        <v>0</v>
      </c>
      <c r="H189" s="754">
        <f>'Recycling - Case 3'!$B129*'Recycling - Case 3'!$AF129*'Recycling - Case 3'!BR129*$B189</f>
        <v>0</v>
      </c>
      <c r="I189" s="754">
        <f>'Recycling - Case 3'!$B129*'Recycling - Case 3'!$AF129*'Recycling - Case 3'!BS129*$B189</f>
        <v>413.16877799893643</v>
      </c>
      <c r="J189" s="1060">
        <f t="shared" si="16"/>
        <v>1276.2331310523068</v>
      </c>
      <c r="K189" s="1642">
        <f>'4C2 Open-burning '!C$14*'4C2 Open-burning '!$C$5*'4C2 Open-burning '!$C$6*'4C2 Open-burning '!$C$7*C189</f>
        <v>0</v>
      </c>
      <c r="L189" s="1643">
        <f>'4C2 Open-burning '!D$14*'4C2 Open-burning '!$C$5*'4C2 Open-burning '!$C$6*'4C2 Open-burning '!$C$7*D189</f>
        <v>0</v>
      </c>
      <c r="M189" s="1643">
        <f>'4C2 Open-burning '!E$14*'4C2 Open-burning '!$C$5*'4C2 Open-burning '!$C$6*'4C2 Open-burning '!$C$7*E189</f>
        <v>0.55826437721102051</v>
      </c>
      <c r="N189" s="1643">
        <f>'4C2 Open-burning '!F$14*'4C2 Open-burning '!$C$5*'4C2 Open-burning '!$C$6*'4C2 Open-burning '!$C$7*F189</f>
        <v>0</v>
      </c>
      <c r="O189" s="1643">
        <f>'4C2 Open-burning '!G$14*'4C2 Open-burning '!$C$5*'4C2 Open-burning '!$C$6*'4C2 Open-burning '!$C$7*G189</f>
        <v>0</v>
      </c>
      <c r="P189" s="1643">
        <f>'4C2 Open-burning '!H$14*'4C2 Open-burning '!$C$5*'4C2 Open-burning '!$C$6*'4C2 Open-burning '!$C$7*H189</f>
        <v>0</v>
      </c>
      <c r="Q189" s="1643">
        <f>'4C2 Open-burning '!I$14*'4C2 Open-burning '!$C$5*'4C2 Open-burning '!$C$6*'4C2 Open-burning '!$C$7*I189</f>
        <v>14.234490739619357</v>
      </c>
      <c r="R189" s="1644">
        <f t="shared" si="17"/>
        <v>14.792755116830378</v>
      </c>
      <c r="S189" s="569">
        <f>C189*'4C2 Open-burning '!$C$9*'4C2 Open-burning '!$C$11*$C$5</f>
        <v>1.4448225048307444</v>
      </c>
      <c r="T189" s="570">
        <f>D189*'4C2 Open-burning '!$C$9*'4C2 Open-burning '!$C$11*$C$5</f>
        <v>1.5089801766942246</v>
      </c>
      <c r="U189" s="570">
        <f>E189*'4C2 Open-burning '!$C$9*'4C2 Open-burning '!$C$11*$C$5</f>
        <v>0.41214829538317582</v>
      </c>
      <c r="V189" s="570">
        <f>F189*'4C2 Open-burning '!$C$9*'4C2 Open-burning '!$C$11*$C$5</f>
        <v>0</v>
      </c>
      <c r="W189" s="570">
        <f>G189*'4C2 Open-burning '!$C$9*'4C2 Open-burning '!$C$11*$C$5</f>
        <v>0</v>
      </c>
      <c r="X189" s="570">
        <f>H189*'4C2 Open-burning '!$C$9*'4C2 Open-burning '!$C$11*$C$5</f>
        <v>0</v>
      </c>
      <c r="Y189" s="570">
        <f>I189*'4C2 Open-burning '!$C$9*'4C2 Open-burning '!$C$11*$C$5</f>
        <v>1.6113582341958519</v>
      </c>
      <c r="Z189" s="571">
        <f t="shared" si="18"/>
        <v>4.9773092111039965</v>
      </c>
      <c r="AA189" s="566">
        <f>C189*'4C2 Open-burning '!$C$10*'4C2 Open-burning '!$C$11*$C$5*C$15</f>
        <v>1.3336823121514567E-2</v>
      </c>
      <c r="AB189" s="566">
        <f>D189*'4C2 Open-burning '!$C$10*'4C2 Open-burning '!$C$11*$C$5*D$15</f>
        <v>1.3929047784869766E-2</v>
      </c>
      <c r="AC189" s="566">
        <f>E189*'4C2 Open-burning '!$C$10*'4C2 Open-burning '!$C$11*$C$5*E$15</f>
        <v>8.5600030579582667E-3</v>
      </c>
      <c r="AD189" s="566">
        <f>F189*'4C2 Open-burning '!$C$10*'4C2 Open-burning '!$C$11*$C$5*F$15</f>
        <v>0</v>
      </c>
      <c r="AE189" s="566">
        <f>G189*'4C2 Open-burning '!$C$10*'4C2 Open-burning '!$C$11*$C$5*G$15</f>
        <v>0</v>
      </c>
      <c r="AF189" s="566">
        <f>H189*'4C2 Open-burning '!$C$10*'4C2 Open-burning '!$C$11*$C$5*H$15</f>
        <v>0</v>
      </c>
      <c r="AG189" s="566">
        <f>I189*'4C2 Open-burning '!$C$10*'4C2 Open-burning '!$C$11*$C$5*I$15</f>
        <v>3.3466671017913847E-2</v>
      </c>
      <c r="AH189" s="572">
        <f t="shared" si="19"/>
        <v>6.9292544982256454E-2</v>
      </c>
      <c r="AI189" s="1646"/>
      <c r="AJ189" s="1646"/>
      <c r="AK189" s="1646"/>
      <c r="AL189" s="4"/>
      <c r="AM189" s="4"/>
    </row>
    <row r="190" spans="1:39">
      <c r="A190" s="99"/>
      <c r="B190" s="640"/>
      <c r="C190" s="1062"/>
      <c r="D190" s="1062"/>
      <c r="E190" s="1062"/>
      <c r="F190" s="1062"/>
      <c r="G190" s="1062"/>
      <c r="H190" s="1062"/>
      <c r="I190" s="1062"/>
      <c r="J190" s="1063"/>
      <c r="K190" s="158"/>
      <c r="L190" s="158"/>
      <c r="M190" s="158"/>
      <c r="N190" s="158"/>
      <c r="O190" s="158"/>
      <c r="P190" s="158"/>
      <c r="Q190" s="158"/>
      <c r="R190" s="1064"/>
      <c r="S190" s="158"/>
      <c r="T190" s="158"/>
      <c r="U190" s="158"/>
      <c r="V190" s="158"/>
      <c r="W190" s="158"/>
      <c r="X190" s="158"/>
      <c r="Y190" s="158"/>
      <c r="Z190" s="1064"/>
      <c r="AA190" s="1065"/>
      <c r="AB190" s="1065"/>
      <c r="AC190" s="1065"/>
      <c r="AD190" s="1065"/>
      <c r="AE190" s="1065"/>
      <c r="AF190" s="1065"/>
      <c r="AG190" s="1065"/>
      <c r="AH190" s="1066"/>
      <c r="AI190" s="1646"/>
      <c r="AJ190" s="1648"/>
      <c r="AK190" s="1646"/>
      <c r="AL190" s="4"/>
      <c r="AM190" s="4"/>
    </row>
    <row r="191" spans="1:39">
      <c r="A191" s="99"/>
      <c r="B191" s="640"/>
      <c r="C191" s="1062"/>
      <c r="D191" s="1062"/>
      <c r="E191" s="1062"/>
      <c r="F191" s="1062"/>
      <c r="G191" s="1062"/>
      <c r="H191" s="1062"/>
      <c r="I191" s="1062"/>
      <c r="J191" s="1063"/>
      <c r="K191" s="158"/>
      <c r="L191" s="158"/>
      <c r="M191" s="158"/>
      <c r="N191" s="158"/>
      <c r="O191" s="158"/>
      <c r="P191" s="158"/>
      <c r="Q191" s="158"/>
      <c r="R191" s="1064"/>
      <c r="S191" s="158"/>
      <c r="T191" s="158"/>
      <c r="U191" s="158"/>
      <c r="V191" s="158"/>
      <c r="W191" s="158"/>
      <c r="X191" s="158"/>
      <c r="Y191" s="158"/>
      <c r="Z191" s="1064"/>
      <c r="AA191" s="1065"/>
      <c r="AB191" s="1065"/>
      <c r="AC191" s="1065"/>
      <c r="AD191" s="1065"/>
      <c r="AE191" s="1065"/>
      <c r="AF191" s="1065"/>
      <c r="AG191" s="1065"/>
      <c r="AH191" s="1066"/>
      <c r="AI191" s="1646"/>
      <c r="AJ191" s="1648"/>
      <c r="AK191" s="1646"/>
      <c r="AL191" s="4"/>
      <c r="AM191" s="4"/>
    </row>
    <row r="192" spans="1:39">
      <c r="A192" s="99"/>
      <c r="B192" s="640"/>
      <c r="C192" s="1062"/>
      <c r="D192" s="1062"/>
      <c r="E192" s="1062"/>
      <c r="F192" s="1062"/>
      <c r="G192" s="1062"/>
      <c r="H192" s="1062"/>
      <c r="I192" s="1062"/>
      <c r="J192" s="1063"/>
      <c r="K192" s="158"/>
      <c r="L192" s="158"/>
      <c r="M192" s="158"/>
      <c r="N192" s="158"/>
      <c r="O192" s="158"/>
      <c r="P192" s="158"/>
      <c r="Q192" s="158"/>
      <c r="R192" s="1064"/>
      <c r="S192" s="158"/>
      <c r="T192" s="158"/>
      <c r="U192" s="158"/>
      <c r="V192" s="158"/>
      <c r="W192" s="158"/>
      <c r="X192" s="158"/>
      <c r="Y192" s="158"/>
      <c r="Z192" s="1064"/>
      <c r="AA192" s="1065"/>
      <c r="AB192" s="1065"/>
      <c r="AC192" s="1065"/>
      <c r="AD192" s="1065"/>
      <c r="AE192" s="1065"/>
      <c r="AF192" s="1065"/>
      <c r="AG192" s="1065"/>
      <c r="AH192" s="1066"/>
      <c r="AI192" s="1646"/>
      <c r="AJ192" s="1648"/>
      <c r="AK192" s="1646"/>
      <c r="AL192" s="4"/>
      <c r="AM192" s="4"/>
    </row>
    <row r="193" spans="1:39">
      <c r="A193" s="99"/>
      <c r="B193" s="640"/>
      <c r="C193" s="1062"/>
      <c r="D193" s="1062"/>
      <c r="E193" s="1062"/>
      <c r="F193" s="1062"/>
      <c r="G193" s="1062"/>
      <c r="H193" s="1062"/>
      <c r="I193" s="1062"/>
      <c r="J193" s="1063"/>
      <c r="K193" s="158"/>
      <c r="L193" s="158"/>
      <c r="M193" s="158"/>
      <c r="N193" s="158"/>
      <c r="O193" s="158"/>
      <c r="P193" s="158"/>
      <c r="Q193" s="158"/>
      <c r="R193" s="1064"/>
      <c r="S193" s="158"/>
      <c r="T193" s="158"/>
      <c r="U193" s="158"/>
      <c r="V193" s="158"/>
      <c r="W193" s="158"/>
      <c r="X193" s="158"/>
      <c r="Y193" s="158"/>
      <c r="Z193" s="1064"/>
      <c r="AA193" s="1065"/>
      <c r="AB193" s="1065"/>
      <c r="AC193" s="1065"/>
      <c r="AD193" s="1065"/>
      <c r="AE193" s="1065"/>
      <c r="AF193" s="1065"/>
      <c r="AG193" s="1065"/>
      <c r="AH193" s="1066"/>
      <c r="AI193" s="1646"/>
      <c r="AJ193" s="1648"/>
      <c r="AK193" s="1646"/>
      <c r="AL193" s="4"/>
      <c r="AM193" s="4"/>
    </row>
    <row r="194" spans="1:39">
      <c r="A194" s="99"/>
      <c r="B194" s="640"/>
      <c r="C194" s="1062"/>
      <c r="D194" s="1062"/>
      <c r="E194" s="1062"/>
      <c r="F194" s="1062"/>
      <c r="G194" s="1062"/>
      <c r="H194" s="1062"/>
      <c r="I194" s="1062"/>
      <c r="J194" s="1063"/>
      <c r="K194" s="158"/>
      <c r="L194" s="158"/>
      <c r="M194" s="158"/>
      <c r="N194" s="158"/>
      <c r="O194" s="158"/>
      <c r="P194" s="158"/>
      <c r="Q194" s="158"/>
      <c r="R194" s="1064"/>
      <c r="S194" s="158"/>
      <c r="T194" s="158"/>
      <c r="U194" s="158"/>
      <c r="V194" s="158"/>
      <c r="W194" s="158"/>
      <c r="X194" s="158"/>
      <c r="Y194" s="158"/>
      <c r="Z194" s="1064"/>
      <c r="AA194" s="1065"/>
      <c r="AB194" s="1065"/>
      <c r="AC194" s="1065"/>
      <c r="AD194" s="1065"/>
      <c r="AE194" s="1065"/>
      <c r="AF194" s="1065"/>
      <c r="AG194" s="1065"/>
      <c r="AH194" s="1066"/>
      <c r="AI194" s="1646"/>
      <c r="AJ194" s="1648"/>
      <c r="AK194" s="1646"/>
      <c r="AL194" s="4"/>
      <c r="AM194" s="4"/>
    </row>
    <row r="195" spans="1:39">
      <c r="A195" s="99"/>
      <c r="B195" s="640"/>
      <c r="C195" s="1062"/>
      <c r="D195" s="1062"/>
      <c r="E195" s="1062"/>
      <c r="F195" s="1062"/>
      <c r="G195" s="1062"/>
      <c r="H195" s="1062"/>
      <c r="I195" s="1062"/>
      <c r="J195" s="1063"/>
      <c r="K195" s="158"/>
      <c r="L195" s="158"/>
      <c r="M195" s="158"/>
      <c r="N195" s="158"/>
      <c r="O195" s="158"/>
      <c r="P195" s="158"/>
      <c r="Q195" s="158"/>
      <c r="R195" s="1064"/>
      <c r="S195" s="158"/>
      <c r="T195" s="158"/>
      <c r="U195" s="158"/>
      <c r="V195" s="158"/>
      <c r="W195" s="158"/>
      <c r="X195" s="158"/>
      <c r="Y195" s="158"/>
      <c r="Z195" s="1064"/>
      <c r="AA195" s="1065"/>
      <c r="AB195" s="1065"/>
      <c r="AC195" s="1065"/>
      <c r="AD195" s="1065"/>
      <c r="AE195" s="1065"/>
      <c r="AF195" s="1065"/>
      <c r="AG195" s="1065"/>
      <c r="AH195" s="1066"/>
      <c r="AI195" s="1646"/>
      <c r="AJ195" s="1648"/>
      <c r="AK195" s="1646"/>
      <c r="AL195" s="4"/>
      <c r="AM195" s="4"/>
    </row>
    <row r="196" spans="1:39">
      <c r="A196" s="99"/>
      <c r="B196" s="640"/>
      <c r="C196" s="1062"/>
      <c r="D196" s="1062"/>
      <c r="E196" s="1062"/>
      <c r="F196" s="1062"/>
      <c r="G196" s="1062"/>
      <c r="H196" s="1062"/>
      <c r="I196" s="1062"/>
      <c r="J196" s="1063"/>
      <c r="K196" s="158"/>
      <c r="L196" s="158"/>
      <c r="M196" s="158"/>
      <c r="N196" s="158"/>
      <c r="O196" s="158"/>
      <c r="P196" s="158"/>
      <c r="Q196" s="158"/>
      <c r="R196" s="1064"/>
      <c r="S196" s="158"/>
      <c r="T196" s="158"/>
      <c r="U196" s="158"/>
      <c r="V196" s="158"/>
      <c r="W196" s="158"/>
      <c r="X196" s="158"/>
      <c r="Y196" s="158"/>
      <c r="Z196" s="1064"/>
      <c r="AA196" s="1065"/>
      <c r="AB196" s="1065"/>
      <c r="AC196" s="1065"/>
      <c r="AD196" s="1065"/>
      <c r="AE196" s="1065"/>
      <c r="AF196" s="1065"/>
      <c r="AG196" s="1065"/>
      <c r="AH196" s="1066"/>
      <c r="AI196" s="1646"/>
      <c r="AJ196" s="1648"/>
      <c r="AK196" s="1646"/>
      <c r="AL196" s="4"/>
      <c r="AM196" s="4"/>
    </row>
    <row r="197" spans="1:39">
      <c r="A197" s="99"/>
      <c r="B197" s="640"/>
      <c r="C197" s="1062"/>
      <c r="D197" s="1062"/>
      <c r="E197" s="1062"/>
      <c r="F197" s="1062"/>
      <c r="G197" s="1062"/>
      <c r="H197" s="1062"/>
      <c r="I197" s="1062"/>
      <c r="J197" s="1063"/>
      <c r="K197" s="158"/>
      <c r="L197" s="158"/>
      <c r="M197" s="158"/>
      <c r="N197" s="158"/>
      <c r="O197" s="158"/>
      <c r="P197" s="158"/>
      <c r="Q197" s="158"/>
      <c r="R197" s="1064"/>
      <c r="S197" s="158"/>
      <c r="T197" s="158"/>
      <c r="U197" s="158"/>
      <c r="V197" s="158"/>
      <c r="W197" s="158"/>
      <c r="X197" s="158"/>
      <c r="Y197" s="158"/>
      <c r="Z197" s="1064"/>
      <c r="AA197" s="1065"/>
      <c r="AB197" s="1065"/>
      <c r="AC197" s="1065"/>
      <c r="AD197" s="1065"/>
      <c r="AE197" s="1065"/>
      <c r="AF197" s="1065"/>
      <c r="AG197" s="1065"/>
      <c r="AH197" s="1066"/>
      <c r="AI197" s="1646"/>
      <c r="AJ197" s="1648"/>
      <c r="AK197" s="1646"/>
      <c r="AL197" s="4"/>
      <c r="AM197" s="4"/>
    </row>
    <row r="198" spans="1:39">
      <c r="A198" s="99"/>
      <c r="B198" s="640"/>
      <c r="C198" s="99"/>
      <c r="D198" s="99"/>
      <c r="E198" s="99"/>
      <c r="F198" s="99"/>
      <c r="G198" s="99"/>
      <c r="H198" s="99"/>
      <c r="I198" s="99"/>
      <c r="J198" s="360"/>
      <c r="K198" s="158"/>
      <c r="L198" s="158"/>
      <c r="M198" s="158"/>
      <c r="N198" s="158"/>
      <c r="O198" s="158"/>
      <c r="P198" s="158"/>
      <c r="Q198" s="158"/>
      <c r="R198" s="1064"/>
      <c r="S198" s="158"/>
      <c r="T198" s="158"/>
      <c r="U198" s="158"/>
      <c r="V198" s="158"/>
      <c r="W198" s="158"/>
      <c r="X198" s="158"/>
      <c r="Y198" s="158"/>
      <c r="Z198" s="1064"/>
      <c r="AA198" s="1065"/>
      <c r="AB198" s="1065"/>
      <c r="AC198" s="1065"/>
      <c r="AD198" s="1065"/>
      <c r="AE198" s="1065"/>
      <c r="AF198" s="1065"/>
      <c r="AG198" s="1065"/>
      <c r="AH198" s="1066"/>
      <c r="AI198" s="1646"/>
      <c r="AJ198" s="1648"/>
      <c r="AK198" s="1646"/>
      <c r="AL198" s="4"/>
      <c r="AM198" s="4"/>
    </row>
    <row r="199" spans="1:39">
      <c r="A199" s="99"/>
      <c r="B199" s="640"/>
      <c r="C199" s="99"/>
      <c r="D199" s="99"/>
      <c r="E199" s="99"/>
      <c r="F199" s="99"/>
      <c r="G199" s="99"/>
      <c r="H199" s="99"/>
      <c r="I199" s="99"/>
      <c r="J199" s="360"/>
      <c r="K199" s="99"/>
      <c r="L199" s="99"/>
      <c r="M199" s="99"/>
      <c r="N199" s="99"/>
      <c r="O199" s="99"/>
      <c r="P199" s="99"/>
      <c r="Q199" s="99"/>
      <c r="R199" s="360"/>
      <c r="S199" s="99"/>
      <c r="T199" s="99"/>
      <c r="U199" s="99"/>
      <c r="V199" s="99"/>
      <c r="W199" s="99"/>
      <c r="X199" s="99"/>
      <c r="Y199" s="99"/>
      <c r="Z199" s="360"/>
      <c r="AA199" s="99"/>
      <c r="AB199" s="99"/>
      <c r="AC199" s="99"/>
      <c r="AD199" s="99"/>
      <c r="AE199" s="99"/>
      <c r="AF199" s="99"/>
      <c r="AG199" s="99"/>
      <c r="AH199" s="99"/>
      <c r="AI199" s="1646"/>
      <c r="AJ199" s="1648"/>
      <c r="AK199" s="1646"/>
      <c r="AL199" s="4"/>
      <c r="AM199" s="4"/>
    </row>
    <row r="200" spans="1:39">
      <c r="A200" s="99"/>
      <c r="B200" s="640"/>
      <c r="C200" s="99"/>
      <c r="D200" s="99"/>
      <c r="E200" s="99"/>
      <c r="F200" s="99"/>
      <c r="G200" s="99"/>
      <c r="H200" s="99"/>
      <c r="I200" s="99"/>
      <c r="J200" s="360"/>
      <c r="K200" s="99"/>
      <c r="L200" s="99"/>
      <c r="M200" s="99"/>
      <c r="N200" s="99"/>
      <c r="O200" s="99"/>
      <c r="P200" s="99"/>
      <c r="Q200" s="99"/>
      <c r="R200" s="360"/>
      <c r="S200" s="99"/>
      <c r="T200" s="99"/>
      <c r="U200" s="99"/>
      <c r="V200" s="99"/>
      <c r="W200" s="99"/>
      <c r="X200" s="99"/>
      <c r="Y200" s="99"/>
      <c r="Z200" s="360"/>
      <c r="AA200" s="99"/>
      <c r="AB200" s="99"/>
      <c r="AC200" s="99"/>
      <c r="AD200" s="99"/>
      <c r="AE200" s="99"/>
      <c r="AF200" s="99"/>
      <c r="AG200" s="99"/>
      <c r="AH200" s="99"/>
      <c r="AI200" s="1646"/>
      <c r="AJ200" s="1648"/>
      <c r="AK200" s="1646"/>
      <c r="AL200" s="4"/>
      <c r="AM200" s="4"/>
    </row>
    <row r="201" spans="1:39">
      <c r="A201" s="99"/>
      <c r="B201" s="640"/>
      <c r="C201" s="99"/>
      <c r="D201" s="99"/>
      <c r="E201" s="99"/>
      <c r="F201" s="99"/>
      <c r="G201" s="99"/>
      <c r="H201" s="99"/>
      <c r="I201" s="99"/>
      <c r="J201" s="360"/>
      <c r="K201" s="99"/>
      <c r="L201" s="99"/>
      <c r="M201" s="99"/>
      <c r="N201" s="99"/>
      <c r="O201" s="99"/>
      <c r="P201" s="99"/>
      <c r="Q201" s="99"/>
      <c r="R201" s="360"/>
      <c r="S201" s="99"/>
      <c r="T201" s="99"/>
      <c r="U201" s="99"/>
      <c r="V201" s="99"/>
      <c r="W201" s="99"/>
      <c r="X201" s="99"/>
      <c r="Y201" s="99"/>
      <c r="Z201" s="360"/>
      <c r="AA201" s="99"/>
      <c r="AB201" s="99"/>
      <c r="AC201" s="99"/>
      <c r="AD201" s="99"/>
      <c r="AE201" s="99"/>
      <c r="AF201" s="99"/>
      <c r="AG201" s="99"/>
      <c r="AH201" s="99"/>
      <c r="AI201" s="1646"/>
      <c r="AJ201" s="1648"/>
      <c r="AK201" s="1646"/>
      <c r="AL201" s="4"/>
      <c r="AM201" s="4"/>
    </row>
    <row r="202" spans="1:39">
      <c r="A202" s="99"/>
      <c r="B202" s="640"/>
      <c r="C202" s="99"/>
      <c r="D202" s="99"/>
      <c r="E202" s="99"/>
      <c r="F202" s="99"/>
      <c r="G202" s="99"/>
      <c r="H202" s="99"/>
      <c r="I202" s="99"/>
      <c r="J202" s="360"/>
      <c r="K202" s="99"/>
      <c r="L202" s="99"/>
      <c r="M202" s="99"/>
      <c r="N202" s="99"/>
      <c r="O202" s="99"/>
      <c r="P202" s="99"/>
      <c r="Q202" s="99"/>
      <c r="R202" s="360"/>
      <c r="S202" s="99"/>
      <c r="T202" s="99"/>
      <c r="U202" s="99"/>
      <c r="V202" s="99"/>
      <c r="W202" s="99"/>
      <c r="X202" s="99"/>
      <c r="Y202" s="99"/>
      <c r="Z202" s="360"/>
      <c r="AA202" s="99"/>
      <c r="AB202" s="99"/>
      <c r="AC202" s="99"/>
      <c r="AD202" s="99"/>
      <c r="AE202" s="99"/>
      <c r="AF202" s="99"/>
      <c r="AG202" s="99"/>
      <c r="AH202" s="99"/>
      <c r="AI202" s="1646"/>
      <c r="AJ202" s="1648"/>
      <c r="AK202" s="1646"/>
      <c r="AL202" s="4"/>
      <c r="AM202" s="4"/>
    </row>
    <row r="203" spans="1:39">
      <c r="A203" s="99"/>
      <c r="B203" s="640"/>
      <c r="C203" s="99"/>
      <c r="D203" s="99"/>
      <c r="E203" s="99"/>
      <c r="F203" s="99"/>
      <c r="G203" s="99"/>
      <c r="H203" s="99"/>
      <c r="I203" s="99"/>
      <c r="J203" s="360"/>
      <c r="K203" s="99"/>
      <c r="L203" s="99"/>
      <c r="M203" s="99"/>
      <c r="N203" s="99"/>
      <c r="O203" s="99"/>
      <c r="P203" s="99"/>
      <c r="Q203" s="99"/>
      <c r="R203" s="360"/>
      <c r="S203" s="99"/>
      <c r="T203" s="99"/>
      <c r="U203" s="99"/>
      <c r="V203" s="99"/>
      <c r="W203" s="99"/>
      <c r="X203" s="99"/>
      <c r="Y203" s="99"/>
      <c r="Z203" s="360"/>
      <c r="AA203" s="99"/>
      <c r="AB203" s="99"/>
      <c r="AC203" s="99"/>
      <c r="AD203" s="99"/>
      <c r="AE203" s="99"/>
      <c r="AF203" s="99"/>
      <c r="AG203" s="99"/>
      <c r="AH203" s="99"/>
      <c r="AI203" s="1646"/>
      <c r="AJ203" s="1648"/>
      <c r="AK203" s="1646"/>
      <c r="AL203" s="4"/>
      <c r="AM203" s="4"/>
    </row>
    <row r="204" spans="1:39">
      <c r="A204" s="4"/>
      <c r="B204" s="1073"/>
      <c r="C204" s="4"/>
      <c r="D204" s="4"/>
      <c r="E204" s="4"/>
      <c r="F204" s="4"/>
      <c r="G204" s="4"/>
      <c r="H204" s="4"/>
      <c r="I204" s="4"/>
      <c r="J204" s="530"/>
      <c r="K204" s="4"/>
      <c r="L204" s="4"/>
      <c r="M204" s="4"/>
      <c r="N204" s="4"/>
      <c r="O204" s="4"/>
      <c r="P204" s="4"/>
      <c r="Q204" s="4"/>
      <c r="R204" s="530"/>
      <c r="S204" s="4"/>
      <c r="T204" s="4"/>
      <c r="U204" s="4"/>
      <c r="V204" s="4"/>
      <c r="W204" s="4"/>
      <c r="X204" s="4"/>
      <c r="Y204" s="4"/>
      <c r="Z204" s="530"/>
      <c r="AA204" s="4"/>
      <c r="AB204" s="4"/>
      <c r="AC204" s="4"/>
      <c r="AD204" s="4"/>
      <c r="AE204" s="4"/>
      <c r="AF204" s="4"/>
      <c r="AG204" s="4"/>
      <c r="AH204" s="4"/>
      <c r="AI204" s="1648"/>
      <c r="AJ204" s="1648"/>
      <c r="AK204" s="1648"/>
      <c r="AL204" s="4"/>
      <c r="AM204" s="4"/>
    </row>
    <row r="205" spans="1:39">
      <c r="A205" s="4"/>
      <c r="B205" s="1073"/>
      <c r="C205" s="4"/>
      <c r="D205" s="4"/>
      <c r="E205" s="4"/>
      <c r="F205" s="4"/>
      <c r="G205" s="4"/>
      <c r="H205" s="4"/>
      <c r="I205" s="4"/>
      <c r="J205" s="530"/>
      <c r="K205" s="4"/>
      <c r="L205" s="4"/>
      <c r="M205" s="4"/>
      <c r="N205" s="4"/>
      <c r="O205" s="4"/>
      <c r="P205" s="4"/>
      <c r="Q205" s="4"/>
      <c r="R205" s="530"/>
      <c r="S205" s="4"/>
      <c r="T205" s="4"/>
      <c r="U205" s="4"/>
      <c r="V205" s="4"/>
      <c r="W205" s="4"/>
      <c r="X205" s="4"/>
      <c r="Y205" s="4"/>
      <c r="Z205" s="530"/>
      <c r="AA205" s="4"/>
      <c r="AB205" s="4"/>
      <c r="AC205" s="4"/>
      <c r="AD205" s="4"/>
      <c r="AE205" s="4"/>
      <c r="AF205" s="4"/>
      <c r="AG205" s="4"/>
      <c r="AH205" s="4"/>
      <c r="AI205" s="1648"/>
      <c r="AJ205" s="1648"/>
      <c r="AK205" s="1648"/>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A154" zoomScale="60" zoomScaleNormal="70" workbookViewId="0">
      <selection activeCell="H206" sqref="H206"/>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76"/>
      <c r="D14" s="776"/>
      <c r="E14" s="776"/>
      <c r="F14" s="776"/>
      <c r="G14" s="776"/>
      <c r="H14" s="776"/>
      <c r="I14" s="130"/>
    </row>
    <row r="15" spans="1:9">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2">
        <f>C16*$C$10+C17*$C$11+C18*$C$12</f>
        <v>0.2056</v>
      </c>
      <c r="D19" s="502">
        <f t="shared" ref="D19:H19" si="1">D16*$C$10+D17*$C$11+D18*$C$12</f>
        <v>8.3999999999999991E-2</v>
      </c>
      <c r="E19" s="502">
        <f t="shared" si="1"/>
        <v>0.14030000000000001</v>
      </c>
      <c r="F19" s="502">
        <f t="shared" si="1"/>
        <v>0.24480000000000002</v>
      </c>
      <c r="G19" s="502">
        <f t="shared" si="1"/>
        <v>4.0100000000000004E-2</v>
      </c>
      <c r="H19" s="502">
        <f t="shared" si="1"/>
        <v>0.28520000000000001</v>
      </c>
      <c r="I19" s="604">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 thickBot="1">
      <c r="A53" s="172"/>
      <c r="B53" s="163"/>
      <c r="C53" s="173"/>
      <c r="D53" s="173"/>
      <c r="E53" s="173"/>
      <c r="F53" s="163"/>
      <c r="G53" s="163"/>
      <c r="H53" s="163"/>
      <c r="I53" s="140"/>
      <c r="J53" s="104"/>
      <c r="K53" s="104"/>
    </row>
    <row r="54" spans="1:49" ht="15" thickBot="1"/>
    <row r="55" spans="1:49" ht="74.400000000000006" customHeight="1">
      <c r="A55" s="1744" t="s">
        <v>217</v>
      </c>
      <c r="B55" s="626" t="s">
        <v>218</v>
      </c>
      <c r="C55" s="627" t="s">
        <v>577</v>
      </c>
      <c r="D55" s="628" t="s">
        <v>580</v>
      </c>
      <c r="E55" s="629" t="s">
        <v>296</v>
      </c>
      <c r="F55" s="630" t="s">
        <v>309</v>
      </c>
      <c r="G55" s="631" t="s">
        <v>310</v>
      </c>
      <c r="H55" s="1804" t="s">
        <v>6</v>
      </c>
      <c r="I55" s="1852"/>
      <c r="J55" s="1852"/>
      <c r="K55" s="1852"/>
      <c r="L55" s="1852"/>
      <c r="M55" s="1805"/>
      <c r="N55" s="1804" t="s">
        <v>298</v>
      </c>
      <c r="O55" s="1852"/>
      <c r="P55" s="1852"/>
      <c r="Q55" s="1852"/>
      <c r="R55" s="1852"/>
      <c r="S55" s="1805"/>
      <c r="T55" s="1804" t="s">
        <v>299</v>
      </c>
      <c r="U55" s="1852"/>
      <c r="V55" s="1852"/>
      <c r="W55" s="1852"/>
      <c r="X55" s="1852"/>
      <c r="Y55" s="1805"/>
      <c r="Z55" s="1851" t="s">
        <v>308</v>
      </c>
      <c r="AA55" s="1765"/>
      <c r="AB55" s="1765"/>
      <c r="AC55" s="1765"/>
      <c r="AD55" s="1765"/>
      <c r="AE55" s="1765"/>
      <c r="AF55" s="1766"/>
      <c r="AG55" s="1851" t="s">
        <v>307</v>
      </c>
      <c r="AH55" s="1765"/>
      <c r="AI55" s="1765"/>
      <c r="AJ55" s="1765"/>
      <c r="AK55" s="1765"/>
      <c r="AL55" s="1765"/>
      <c r="AM55" s="1766"/>
      <c r="AN55" s="1851" t="s">
        <v>306</v>
      </c>
      <c r="AO55" s="1765"/>
      <c r="AP55" s="1765"/>
      <c r="AQ55" s="1765"/>
      <c r="AR55" s="1765"/>
      <c r="AS55" s="1765"/>
      <c r="AT55" s="1766"/>
      <c r="AU55" s="250" t="s">
        <v>311</v>
      </c>
      <c r="AV55" s="245" t="s">
        <v>305</v>
      </c>
      <c r="AW55" s="247" t="s">
        <v>313</v>
      </c>
    </row>
    <row r="56" spans="1:49" ht="58.2" thickBot="1">
      <c r="A56" s="1745"/>
      <c r="B56" s="632" t="s">
        <v>232</v>
      </c>
      <c r="C56" s="633" t="s">
        <v>229</v>
      </c>
      <c r="D56" s="634" t="s">
        <v>229</v>
      </c>
      <c r="E56" s="635" t="s">
        <v>297</v>
      </c>
      <c r="F56" s="636" t="s">
        <v>297</v>
      </c>
      <c r="G56" s="637" t="s">
        <v>297</v>
      </c>
      <c r="H56" s="638" t="s">
        <v>17</v>
      </c>
      <c r="I56" s="585" t="s">
        <v>23</v>
      </c>
      <c r="J56" s="585" t="s">
        <v>19</v>
      </c>
      <c r="K56" s="585" t="s">
        <v>304</v>
      </c>
      <c r="L56" s="585" t="s">
        <v>9</v>
      </c>
      <c r="M56" s="639" t="s">
        <v>10</v>
      </c>
      <c r="N56" s="587" t="s">
        <v>17</v>
      </c>
      <c r="O56" s="585" t="s">
        <v>23</v>
      </c>
      <c r="P56" s="585" t="s">
        <v>19</v>
      </c>
      <c r="Q56" s="585" t="s">
        <v>304</v>
      </c>
      <c r="R56" s="585" t="s">
        <v>9</v>
      </c>
      <c r="S56" s="639" t="s">
        <v>10</v>
      </c>
      <c r="T56" s="587" t="s">
        <v>17</v>
      </c>
      <c r="U56" s="585" t="s">
        <v>23</v>
      </c>
      <c r="V56" s="585" t="s">
        <v>19</v>
      </c>
      <c r="W56" s="585" t="s">
        <v>304</v>
      </c>
      <c r="X56" s="585" t="s">
        <v>9</v>
      </c>
      <c r="Y56" s="63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6" thickBot="1">
      <c r="A125" s="1099" t="s">
        <v>647</v>
      </c>
      <c r="B125" s="1106"/>
      <c r="C125" s="1107"/>
      <c r="D125" s="1107"/>
      <c r="E125" s="1108"/>
      <c r="F125" s="1108"/>
      <c r="G125" s="1108"/>
      <c r="H125" s="1068"/>
      <c r="I125" s="1068"/>
      <c r="J125" s="1068"/>
      <c r="K125" s="1068"/>
      <c r="L125" s="1068"/>
      <c r="M125" s="1068"/>
      <c r="N125" s="1068"/>
      <c r="O125" s="1068"/>
      <c r="P125" s="1068"/>
      <c r="Q125" s="1068"/>
      <c r="R125" s="1068"/>
      <c r="S125" s="1068"/>
      <c r="T125" s="1068"/>
      <c r="U125" s="1068"/>
      <c r="V125" s="1068"/>
      <c r="W125" s="1068"/>
      <c r="X125" s="1068"/>
      <c r="Y125" s="1068"/>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2"/>
      <c r="AV125" s="1103"/>
      <c r="AW125" s="1104"/>
    </row>
    <row r="126" spans="1:49">
      <c r="A126" s="193">
        <f>'Input data'!A118</f>
        <v>2018</v>
      </c>
      <c r="B126" s="208">
        <f>'Input data'!B118</f>
        <v>57.436</v>
      </c>
      <c r="C126" s="483">
        <f>'Recycling - Case 1'!E98</f>
        <v>0.72344242424242422</v>
      </c>
      <c r="D126" s="604">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83">
        <f>'Recycling - Case 1'!E99</f>
        <v>0.73208484848484845</v>
      </c>
      <c r="D127" s="604">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83">
        <f>'Recycling - Case 1'!E100</f>
        <v>0.74072727272727268</v>
      </c>
      <c r="D128" s="604">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83">
        <f>'Recycling - Case 1'!E101</f>
        <v>0.74936969696969691</v>
      </c>
      <c r="D129" s="604">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83">
        <f>'Recycling - Case 1'!E102</f>
        <v>0.75801212121212114</v>
      </c>
      <c r="D130" s="604">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83">
        <f>'Recycling - Case 1'!E103</f>
        <v>0.76665454545454537</v>
      </c>
      <c r="D131" s="604">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83">
        <f>'Recycling - Case 1'!E104</f>
        <v>0.7752969696969696</v>
      </c>
      <c r="D132" s="604">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83">
        <f>'Recycling - Case 1'!E105</f>
        <v>0.78393939393939382</v>
      </c>
      <c r="D133" s="604">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83">
        <f>'Recycling - Case 1'!E106</f>
        <v>0.79258181818181805</v>
      </c>
      <c r="D134" s="604">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83">
        <f>'Recycling - Case 1'!E107</f>
        <v>0.80122424242424228</v>
      </c>
      <c r="D135" s="604">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83">
        <f>'Recycling - Case 1'!E108</f>
        <v>0.80986666666666651</v>
      </c>
      <c r="D136" s="604">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83">
        <f>'Recycling - Case 1'!E109</f>
        <v>0.81850909090909074</v>
      </c>
      <c r="D137" s="604">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83">
        <f>'Recycling - Case 1'!E110</f>
        <v>0.82715151515151497</v>
      </c>
      <c r="D138" s="604">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83">
        <f>'Recycling - Case 1'!E111</f>
        <v>0.8357939393939392</v>
      </c>
      <c r="D139" s="604">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83">
        <f>'Recycling - Case 1'!E112</f>
        <v>0.84443636363636343</v>
      </c>
      <c r="D140" s="604">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83">
        <f>'Recycling - Case 1'!E113</f>
        <v>0.85307878787878766</v>
      </c>
      <c r="D141" s="604">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83">
        <f>'Recycling - Case 1'!E114</f>
        <v>0.86172121212121189</v>
      </c>
      <c r="D142" s="604">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83">
        <f>'Recycling - Case 1'!E115</f>
        <v>0.87036363636363612</v>
      </c>
      <c r="D143" s="604">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83">
        <f>'Recycling - Case 1'!E116</f>
        <v>0.87900606060606035</v>
      </c>
      <c r="D144" s="604">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83">
        <f>'Recycling - Case 1'!E117</f>
        <v>0.88764848484848458</v>
      </c>
      <c r="D145" s="604">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83">
        <f>'Recycling - Case 1'!E118</f>
        <v>0.89629090909090881</v>
      </c>
      <c r="D146" s="604">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83">
        <f>'Recycling - Case 1'!E119</f>
        <v>0.90493333333333303</v>
      </c>
      <c r="D147" s="604">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83">
        <f>'Recycling - Case 1'!E120</f>
        <v>0.91357575757575726</v>
      </c>
      <c r="D148" s="604">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83">
        <f>'Recycling - Case 1'!E121</f>
        <v>0.92221818181818149</v>
      </c>
      <c r="D149" s="604">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83">
        <f>'Recycling - Case 1'!E122</f>
        <v>0.93086060606060572</v>
      </c>
      <c r="D150" s="604">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83">
        <f>'Recycling - Case 1'!E123</f>
        <v>0.93950303030302995</v>
      </c>
      <c r="D151" s="604">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83">
        <f>'Recycling - Case 1'!E124</f>
        <v>0.94814545454545418</v>
      </c>
      <c r="D152" s="604">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83">
        <f>'Recycling - Case 1'!E125</f>
        <v>0.95678787878787841</v>
      </c>
      <c r="D153" s="604">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83">
        <f>'Recycling - Case 1'!E126</f>
        <v>0.96543030303030264</v>
      </c>
      <c r="D154" s="604">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83">
        <f>'Recycling - Case 1'!E127</f>
        <v>0.97407272727272687</v>
      </c>
      <c r="D155" s="604">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83">
        <f>'Recycling - Case 1'!E128</f>
        <v>0.9827151515151511</v>
      </c>
      <c r="D156" s="604">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83">
        <f>'Recycling - Case 1'!E129</f>
        <v>0.99135757575757533</v>
      </c>
      <c r="D157" s="604">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 thickBot="1">
      <c r="A158" s="195">
        <f>'Input data'!A150</f>
        <v>2050</v>
      </c>
      <c r="B158" s="209">
        <f>'Input data'!B150</f>
        <v>75.518000000000001</v>
      </c>
      <c r="C158" s="732">
        <f>'Recycling - Case 1'!E130</f>
        <v>1</v>
      </c>
      <c r="D158" s="733">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6" thickBot="1">
      <c r="A159" s="884" t="s">
        <v>709</v>
      </c>
    </row>
    <row r="160" spans="1:49">
      <c r="A160" s="194">
        <f>'Input data'!A118</f>
        <v>2018</v>
      </c>
      <c r="B160" s="207">
        <f>'Input data'!B118</f>
        <v>57.436</v>
      </c>
      <c r="C160" s="728">
        <f>'Recycling - Case 2'!E97</f>
        <v>0.73673846153846156</v>
      </c>
      <c r="D160" s="825">
        <f>'Recycling - Case 2'!F97</f>
        <v>0.29557307692307688</v>
      </c>
      <c r="E160" s="1085">
        <f>B160*$C$4*($C$7*$C$11+$C$8*$C$10+$C$7*$C$12)*10^6</f>
        <v>893963339.95000005</v>
      </c>
      <c r="F160" s="854">
        <v>0</v>
      </c>
      <c r="G160" s="855">
        <f t="shared" ref="G160:G192" si="132">E160-F160</f>
        <v>893963339.95000005</v>
      </c>
      <c r="H160" s="928">
        <f>($H$172-$H$124)/($A$172-$A$124)+H124</f>
        <v>0.10710059171597634</v>
      </c>
      <c r="I160" s="759">
        <f t="shared" si="85"/>
        <v>0</v>
      </c>
      <c r="J160" s="759">
        <f>($J$172-$J$124)/($A$172-$A$124)+J124</f>
        <v>0.10710059171597634</v>
      </c>
      <c r="K160" s="759">
        <f>($K$172-$K$124)/($A$172-$A$124)+K124</f>
        <v>0.29988165680473378</v>
      </c>
      <c r="L160" s="759">
        <f>($L$172-$L$124)/($A$172-$A$124)+L124</f>
        <v>4.2840236686390532E-2</v>
      </c>
      <c r="M160" s="929">
        <f>($M$172-$M$124)/($A$172-$A$124)+M124</f>
        <v>0.44307692307692303</v>
      </c>
      <c r="N160" s="928">
        <f t="shared" si="118"/>
        <v>0</v>
      </c>
      <c r="O160" s="759">
        <f t="shared" si="90"/>
        <v>0.7</v>
      </c>
      <c r="P160" s="759">
        <f t="shared" si="91"/>
        <v>0.15</v>
      </c>
      <c r="Q160" s="759">
        <f t="shared" si="92"/>
        <v>0.15</v>
      </c>
      <c r="R160" s="759">
        <f t="shared" si="93"/>
        <v>0</v>
      </c>
      <c r="S160" s="929">
        <f t="shared" si="94"/>
        <v>0</v>
      </c>
      <c r="T160" s="928">
        <f>($T$172-$T$124)/($A$172-$A$124)+T124</f>
        <v>0.34653846153846157</v>
      </c>
      <c r="U160" s="759">
        <f t="shared" ref="U160:U171" si="133">$D$16</f>
        <v>0</v>
      </c>
      <c r="V160" s="759">
        <f>($V$172-$V$124)/($A$172-$A$124)+V124</f>
        <v>0.17326923076923079</v>
      </c>
      <c r="W160" s="759">
        <f>($W$172-$W$124)/($A$172-$A$124)+W124</f>
        <v>0.2446153846153846</v>
      </c>
      <c r="X160" s="759">
        <f>($X$172-$X$124)/($A$172-$A$124)+X124</f>
        <v>5.0961538461538461E-2</v>
      </c>
      <c r="Y160" s="929">
        <f>($Y$172-$Y$124)/($A$172-$A$124)+Y124</f>
        <v>0.18461538461538463</v>
      </c>
      <c r="Z160" s="1085">
        <f>H160*$C$35*G160*$C$10</f>
        <v>11202048.313681155</v>
      </c>
      <c r="AA160" s="854">
        <f t="shared" ref="AA160:AA192" si="134">I160*$C$36*G160*$C$10</f>
        <v>0</v>
      </c>
      <c r="AB160" s="854">
        <f t="shared" ref="AB160:AB192" si="135">J160*$C$37*G160*$C$10</f>
        <v>11202048.313681155</v>
      </c>
      <c r="AC160" s="854">
        <f t="shared" ref="AC160:AC192" si="136">K160*$C$40*G160*$C$10</f>
        <v>6273147.0556614473</v>
      </c>
      <c r="AD160" s="854">
        <f t="shared" ref="AD160:AD192" si="137">L160*$C$41*G160*$C$10</f>
        <v>896163.86509449244</v>
      </c>
      <c r="AE160" s="854">
        <f t="shared" ref="AE160:AE192" si="138">M160*$C$42*G160*$C$10</f>
        <v>0</v>
      </c>
      <c r="AF160" s="1094">
        <f t="shared" ref="AF160:AF192" si="139">SUM(Z160:AE160)</f>
        <v>29573407.548118252</v>
      </c>
      <c r="AG160" s="235">
        <f t="shared" ref="AG160:AG192" si="140">N160*$C$35*G160*$C$11</f>
        <v>0</v>
      </c>
      <c r="AH160" s="236">
        <f t="shared" ref="AH160:AH192" si="141">O160*$C$36*G160*$C$11</f>
        <v>0</v>
      </c>
      <c r="AI160" s="236">
        <f t="shared" ref="AI160:AI192" si="142">P160*$C$37*G160*$C$11</f>
        <v>4827402.0357300006</v>
      </c>
      <c r="AJ160" s="236">
        <f t="shared" ref="AJ160:AJ192" si="143">Q160*$C$38*G160*$C$11</f>
        <v>965480.40714599984</v>
      </c>
      <c r="AK160" s="236">
        <f t="shared" ref="AK160:AK192" si="144">R160*$C$41*G160*$C$11</f>
        <v>0</v>
      </c>
      <c r="AL160" s="236">
        <f t="shared" ref="AL160:AL192" si="145">S160*$C$42*G160*$C$11</f>
        <v>0</v>
      </c>
      <c r="AM160" s="242">
        <f t="shared" ref="AM160:AM192" si="146">SUM(AG160:AL160)</f>
        <v>5792882.442876</v>
      </c>
      <c r="AN160" s="235">
        <f t="shared" ref="AN160:AN192" si="147">T160*$C$35*G160*$C$12</f>
        <v>45539524.03321448</v>
      </c>
      <c r="AO160" s="236">
        <f t="shared" ref="AO160:AO192" si="148">U160*$C$36*G160*$C$12</f>
        <v>0</v>
      </c>
      <c r="AP160" s="236">
        <f t="shared" ref="AP160:AP192" si="149">V160*$C$37*G160*$C$12</f>
        <v>22769762.01660724</v>
      </c>
      <c r="AQ160" s="236">
        <f t="shared" ref="AQ160:AQ192" si="150">W160*$C$39*G160*$C$12</f>
        <v>32145546.376386695</v>
      </c>
      <c r="AR160" s="236">
        <f t="shared" ref="AR160:AR192" si="151">X160*$C$41*G160*$C$12</f>
        <v>1339397.765682779</v>
      </c>
      <c r="AS160" s="236">
        <f t="shared" ref="AS160:AS192" si="152">Y160*$C$42*N160*$C$12</f>
        <v>0</v>
      </c>
      <c r="AT160" s="242">
        <f t="shared" ref="AT160:AT192" si="153">SUM(AN160:AS160)</f>
        <v>101794230.19189118</v>
      </c>
      <c r="AU160" s="254">
        <v>0</v>
      </c>
      <c r="AV160" s="246">
        <f>(AF160+AM160+AT160)/10^6-AU160</f>
        <v>137.16052018288545</v>
      </c>
      <c r="AW160" s="257">
        <f t="shared" ref="AW160:AW192" si="154">((B160*$C$46*$C$47*$C$48*$C$49)-$C$50)*$C$51*$C$52</f>
        <v>2.8960026562367029</v>
      </c>
    </row>
    <row r="161" spans="1:49">
      <c r="A161" s="193">
        <f>'Input data'!A119</f>
        <v>2019</v>
      </c>
      <c r="B161" s="208">
        <f>'Input data'!B119</f>
        <v>58.365000000000002</v>
      </c>
      <c r="C161" s="483">
        <f>'Recycling - Case 2'!E98</f>
        <v>0.75867692307692314</v>
      </c>
      <c r="D161" s="604">
        <f>'Recycling - Case 2'!F98</f>
        <v>0.3015461538461538</v>
      </c>
      <c r="E161" s="235">
        <f t="shared" ref="E161:E191" si="155">B161*$C$4*($C$7*$C$11+$C$8*$C$10+$C$7*$C$12)*10^6</f>
        <v>908422772.06250012</v>
      </c>
      <c r="F161" s="236">
        <v>0</v>
      </c>
      <c r="G161" s="237">
        <f t="shared" si="132"/>
        <v>908422772.06250012</v>
      </c>
      <c r="H161" s="117">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1095">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83">
        <f>'Recycling - Case 2'!E99</f>
        <v>0.78061538461538471</v>
      </c>
      <c r="D162" s="604">
        <f>'Recycling - Case 2'!F99</f>
        <v>0.30751923076923071</v>
      </c>
      <c r="E162" s="235">
        <f t="shared" si="155"/>
        <v>923115671.86249995</v>
      </c>
      <c r="F162" s="236">
        <v>0</v>
      </c>
      <c r="G162" s="237">
        <f t="shared" si="132"/>
        <v>923115671.86249995</v>
      </c>
      <c r="H162" s="117">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1095">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83">
        <f>'Recycling - Case 2'!E100</f>
        <v>0.80255384615384628</v>
      </c>
      <c r="D163" s="604">
        <f>'Recycling - Case 2'!F100</f>
        <v>0.31349230769230763</v>
      </c>
      <c r="E163" s="235">
        <f t="shared" si="155"/>
        <v>933746233.9000001</v>
      </c>
      <c r="F163" s="236">
        <v>0</v>
      </c>
      <c r="G163" s="237">
        <f t="shared" si="132"/>
        <v>933746233.9000001</v>
      </c>
      <c r="H163" s="117">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1095">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83">
        <f>'Recycling - Case 2'!E101</f>
        <v>0.82449230769230786</v>
      </c>
      <c r="D164" s="604">
        <f>'Recycling - Case 2'!F101</f>
        <v>0.31946538461538454</v>
      </c>
      <c r="E164" s="235">
        <f t="shared" si="155"/>
        <v>944485747.52500021</v>
      </c>
      <c r="F164" s="236">
        <v>0</v>
      </c>
      <c r="G164" s="237">
        <f t="shared" si="132"/>
        <v>944485747.52500021</v>
      </c>
      <c r="H164" s="117">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1095">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83">
        <f>'Recycling - Case 2'!E102</f>
        <v>0.84643076923076943</v>
      </c>
      <c r="D165" s="604">
        <f>'Recycling - Case 2'!F102</f>
        <v>0.32543846153846145</v>
      </c>
      <c r="E165" s="235">
        <f t="shared" si="155"/>
        <v>955365341.76250005</v>
      </c>
      <c r="F165" s="236">
        <v>0</v>
      </c>
      <c r="G165" s="237">
        <f t="shared" si="132"/>
        <v>955365341.76250005</v>
      </c>
      <c r="H165" s="117">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1095">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83">
        <f>'Recycling - Case 2'!E103</f>
        <v>0.868369230769231</v>
      </c>
      <c r="D166" s="604">
        <f>'Recycling - Case 2'!F103</f>
        <v>0.33141153846153837</v>
      </c>
      <c r="E166" s="235">
        <f t="shared" si="155"/>
        <v>966369452.10000014</v>
      </c>
      <c r="F166" s="236">
        <v>0</v>
      </c>
      <c r="G166" s="237">
        <f t="shared" si="132"/>
        <v>966369452.10000014</v>
      </c>
      <c r="H166" s="117">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1095">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83">
        <f>'Recycling - Case 2'!E104</f>
        <v>0.89030769230769258</v>
      </c>
      <c r="D167" s="604">
        <f>'Recycling - Case 2'!F104</f>
        <v>0.33738461538461528</v>
      </c>
      <c r="E167" s="235">
        <f t="shared" si="155"/>
        <v>977498078.53750014</v>
      </c>
      <c r="F167" s="236">
        <v>0</v>
      </c>
      <c r="G167" s="237">
        <f t="shared" si="132"/>
        <v>977498078.53750014</v>
      </c>
      <c r="H167" s="117">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1095">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83">
        <f>'Recycling - Case 2'!E105</f>
        <v>0.91224615384615415</v>
      </c>
      <c r="D168" s="604">
        <f>'Recycling - Case 2'!F105</f>
        <v>0.3433576923076922</v>
      </c>
      <c r="E168" s="235">
        <f t="shared" si="155"/>
        <v>987116947.26250017</v>
      </c>
      <c r="F168" s="236">
        <v>0</v>
      </c>
      <c r="G168" s="237">
        <f t="shared" si="132"/>
        <v>987116947.26250017</v>
      </c>
      <c r="H168" s="117">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1095">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83">
        <f>'Recycling - Case 2'!E106</f>
        <v>0.93418461538461572</v>
      </c>
      <c r="D169" s="604">
        <f>'Recycling - Case 2'!F106</f>
        <v>0.34933076923076911</v>
      </c>
      <c r="E169" s="235">
        <f t="shared" si="155"/>
        <v>996844767.57500017</v>
      </c>
      <c r="F169" s="236">
        <v>0</v>
      </c>
      <c r="G169" s="237">
        <f t="shared" si="132"/>
        <v>996844767.57500017</v>
      </c>
      <c r="H169" s="117">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1095">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83">
        <f>'Recycling - Case 2'!E107</f>
        <v>0.9561230769230773</v>
      </c>
      <c r="D170" s="604">
        <f>'Recycling - Case 2'!F107</f>
        <v>0.35530384615384603</v>
      </c>
      <c r="E170" s="235">
        <f t="shared" si="155"/>
        <v>1006650410.4500002</v>
      </c>
      <c r="F170" s="236">
        <v>0</v>
      </c>
      <c r="G170" s="237">
        <f t="shared" si="132"/>
        <v>1006650410.4500002</v>
      </c>
      <c r="H170" s="117">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1095">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83">
        <f>'Recycling - Case 2'!E108</f>
        <v>0.97806153846153887</v>
      </c>
      <c r="D171" s="604">
        <f>'Recycling - Case 2'!F108</f>
        <v>0.36127692307692294</v>
      </c>
      <c r="E171" s="235">
        <f t="shared" si="155"/>
        <v>1016565004.9125001</v>
      </c>
      <c r="F171" s="236">
        <v>0</v>
      </c>
      <c r="G171" s="237">
        <f t="shared" si="132"/>
        <v>1016565004.9125001</v>
      </c>
      <c r="H171" s="117">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1095">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83">
        <f>'Recycling - Case 2'!E109</f>
        <v>1</v>
      </c>
      <c r="D172" s="604">
        <f>'Recycling - Case 2'!F109</f>
        <v>0.36725000000000002</v>
      </c>
      <c r="E172" s="888">
        <f t="shared" si="155"/>
        <v>1026572986.4500002</v>
      </c>
      <c r="F172" s="605">
        <v>0</v>
      </c>
      <c r="G172" s="750">
        <f t="shared" si="132"/>
        <v>1026572986.4500002</v>
      </c>
      <c r="H172" s="889">
        <f>'Recycling - Case 2'!C46</f>
        <v>0.19230769230769232</v>
      </c>
      <c r="I172" s="484">
        <f>'Recycling - Case 2'!D46</f>
        <v>0</v>
      </c>
      <c r="J172" s="484">
        <f>'Recycling - Case 2'!E46</f>
        <v>0.19230769230769232</v>
      </c>
      <c r="K172" s="484">
        <f>'Recycling - Case 2'!F46</f>
        <v>0.53846153846153855</v>
      </c>
      <c r="L172" s="484">
        <f>'Recycling - Case 2'!G46</f>
        <v>7.6923076923076927E-2</v>
      </c>
      <c r="M172" s="119">
        <f>'Recycling - Case 2'!H46</f>
        <v>0</v>
      </c>
      <c r="N172" s="889">
        <f>'Recycling - Case 2'!J46</f>
        <v>0</v>
      </c>
      <c r="O172" s="484">
        <f>'Recycling - Case 2'!K46</f>
        <v>0.7</v>
      </c>
      <c r="P172" s="484">
        <f>'Recycling - Case 2'!L46</f>
        <v>0.15</v>
      </c>
      <c r="Q172" s="484">
        <f>'Recycling - Case 2'!M46</f>
        <v>0.15</v>
      </c>
      <c r="R172" s="484">
        <f>'Recycling - Case 2'!N46</f>
        <v>0</v>
      </c>
      <c r="S172" s="119">
        <f>'Recycling - Case 2'!O46</f>
        <v>0</v>
      </c>
      <c r="T172" s="889">
        <f>'Recycling - Case 2'!Q46</f>
        <v>0.42500000000000004</v>
      </c>
      <c r="U172" s="484">
        <f>'Recycling - Case 2'!R46</f>
        <v>0</v>
      </c>
      <c r="V172" s="484">
        <f>'Recycling - Case 2'!S46</f>
        <v>0.21250000000000002</v>
      </c>
      <c r="W172" s="484">
        <f>'Recycling - Case 2'!T46</f>
        <v>0.3</v>
      </c>
      <c r="X172" s="484">
        <f>'Recycling - Case 2'!U46</f>
        <v>6.25E-2</v>
      </c>
      <c r="Y172" s="119">
        <f>'Recycling - Case 2'!V46</f>
        <v>0</v>
      </c>
      <c r="Z172" s="888">
        <f t="shared" si="166"/>
        <v>23097892.195125006</v>
      </c>
      <c r="AA172" s="605">
        <f t="shared" si="134"/>
        <v>0</v>
      </c>
      <c r="AB172" s="605">
        <f t="shared" si="135"/>
        <v>23097892.195125006</v>
      </c>
      <c r="AC172" s="605">
        <f t="shared" si="136"/>
        <v>12934819.629270006</v>
      </c>
      <c r="AD172" s="605">
        <f t="shared" si="137"/>
        <v>1847831.3756100005</v>
      </c>
      <c r="AE172" s="605">
        <f t="shared" si="138"/>
        <v>0</v>
      </c>
      <c r="AF172" s="1105">
        <f t="shared" si="139"/>
        <v>60978435.395130016</v>
      </c>
      <c r="AG172" s="888">
        <f t="shared" si="140"/>
        <v>0</v>
      </c>
      <c r="AH172" s="605">
        <f t="shared" si="141"/>
        <v>0</v>
      </c>
      <c r="AI172" s="605">
        <f t="shared" si="142"/>
        <v>5543494.1268300004</v>
      </c>
      <c r="AJ172" s="605">
        <f t="shared" si="143"/>
        <v>1108698.8253660002</v>
      </c>
      <c r="AK172" s="605">
        <f t="shared" si="144"/>
        <v>0</v>
      </c>
      <c r="AL172" s="605">
        <f t="shared" si="145"/>
        <v>0</v>
      </c>
      <c r="AM172" s="890">
        <f t="shared" si="146"/>
        <v>6652192.9521960001</v>
      </c>
      <c r="AN172" s="888">
        <f t="shared" si="147"/>
        <v>64135147.328463756</v>
      </c>
      <c r="AO172" s="605">
        <f t="shared" si="148"/>
        <v>0</v>
      </c>
      <c r="AP172" s="605">
        <f t="shared" si="149"/>
        <v>32067573.664231878</v>
      </c>
      <c r="AQ172" s="605">
        <f t="shared" si="150"/>
        <v>45271868.702445</v>
      </c>
      <c r="AR172" s="605">
        <f t="shared" si="151"/>
        <v>1886327.8626018751</v>
      </c>
      <c r="AS172" s="605">
        <f t="shared" si="152"/>
        <v>0</v>
      </c>
      <c r="AT172" s="890">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83">
        <f>'Recycling - Case 2'!E110</f>
        <v>1</v>
      </c>
      <c r="D173" s="604">
        <f>'Recycling - Case 2'!F110</f>
        <v>0.36725000000000002</v>
      </c>
      <c r="E173" s="235">
        <f t="shared" si="155"/>
        <v>1035335806.9875003</v>
      </c>
      <c r="F173" s="236">
        <v>0</v>
      </c>
      <c r="G173" s="237">
        <f t="shared" si="132"/>
        <v>1035335806.9875003</v>
      </c>
      <c r="H173" s="117">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1095">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83">
        <f>'Recycling - Case 2'!E111</f>
        <v>1</v>
      </c>
      <c r="D174" s="604">
        <f>'Recycling - Case 2'!F111</f>
        <v>0.36725000000000002</v>
      </c>
      <c r="E174" s="235">
        <f t="shared" si="155"/>
        <v>1044176450.0875001</v>
      </c>
      <c r="F174" s="236">
        <v>0</v>
      </c>
      <c r="G174" s="237">
        <f t="shared" si="132"/>
        <v>1044176450.0875001</v>
      </c>
      <c r="H174" s="117">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1095">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83">
        <f>'Recycling - Case 2'!E112</f>
        <v>1</v>
      </c>
      <c r="D175" s="604">
        <f>'Recycling - Case 2'!F112</f>
        <v>0.36725000000000002</v>
      </c>
      <c r="E175" s="235">
        <f t="shared" si="155"/>
        <v>1053079351.2375003</v>
      </c>
      <c r="F175" s="236">
        <v>0</v>
      </c>
      <c r="G175" s="237">
        <f t="shared" si="132"/>
        <v>1053079351.2375003</v>
      </c>
      <c r="H175" s="117">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1095">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83">
        <f>'Recycling - Case 2'!E113</f>
        <v>1</v>
      </c>
      <c r="D176" s="604">
        <f>'Recycling - Case 2'!F113</f>
        <v>0.36725000000000002</v>
      </c>
      <c r="E176" s="235">
        <f t="shared" si="155"/>
        <v>1062075639.4625</v>
      </c>
      <c r="F176" s="236">
        <v>0</v>
      </c>
      <c r="G176" s="237">
        <f t="shared" si="132"/>
        <v>1062075639.4625</v>
      </c>
      <c r="H176" s="117">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1095">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83">
        <f>'Recycling - Case 2'!E114</f>
        <v>1</v>
      </c>
      <c r="D177" s="604">
        <f>'Recycling - Case 2'!F114</f>
        <v>0.36725000000000002</v>
      </c>
      <c r="E177" s="235">
        <f t="shared" si="155"/>
        <v>1071134185.7375001</v>
      </c>
      <c r="F177" s="236">
        <v>0</v>
      </c>
      <c r="G177" s="237">
        <f t="shared" si="132"/>
        <v>1071134185.7375001</v>
      </c>
      <c r="H177" s="117">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1095">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83">
        <f>'Recycling - Case 2'!E115</f>
        <v>1</v>
      </c>
      <c r="D178" s="604">
        <f>'Recycling - Case 2'!F115</f>
        <v>0.36725000000000002</v>
      </c>
      <c r="E178" s="235">
        <f t="shared" si="155"/>
        <v>1078978700.0374999</v>
      </c>
      <c r="F178" s="236">
        <v>0</v>
      </c>
      <c r="G178" s="237">
        <f t="shared" si="132"/>
        <v>1078978700.0374999</v>
      </c>
      <c r="H178" s="117">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1095">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83">
        <f>'Recycling - Case 2'!E116</f>
        <v>1</v>
      </c>
      <c r="D179" s="604">
        <f>'Recycling - Case 2'!F116</f>
        <v>0.36725000000000002</v>
      </c>
      <c r="E179" s="235">
        <f t="shared" si="155"/>
        <v>1086869907.875</v>
      </c>
      <c r="F179" s="236">
        <v>0</v>
      </c>
      <c r="G179" s="237">
        <f t="shared" si="132"/>
        <v>1086869907.875</v>
      </c>
      <c r="H179" s="117">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1095">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83">
        <f>'Recycling - Case 2'!E117</f>
        <v>1</v>
      </c>
      <c r="D180" s="604">
        <f>'Recycling - Case 2'!F117</f>
        <v>0.36725000000000002</v>
      </c>
      <c r="E180" s="235">
        <f t="shared" si="155"/>
        <v>1094838938.2750001</v>
      </c>
      <c r="F180" s="236">
        <v>0</v>
      </c>
      <c r="G180" s="237">
        <f t="shared" si="132"/>
        <v>1094838938.2750001</v>
      </c>
      <c r="H180" s="117">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1095">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83">
        <f>'Recycling - Case 2'!E118</f>
        <v>1</v>
      </c>
      <c r="D181" s="604">
        <f>'Recycling - Case 2'!F118</f>
        <v>0.36725000000000002</v>
      </c>
      <c r="E181" s="235">
        <f t="shared" si="155"/>
        <v>1102854662.2125003</v>
      </c>
      <c r="F181" s="236">
        <v>0</v>
      </c>
      <c r="G181" s="237">
        <f t="shared" si="132"/>
        <v>1102854662.2125003</v>
      </c>
      <c r="H181" s="117">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1095">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83">
        <f>'Recycling - Case 2'!E119</f>
        <v>1</v>
      </c>
      <c r="D182" s="604">
        <f>'Recycling - Case 2'!F119</f>
        <v>0.36725000000000002</v>
      </c>
      <c r="E182" s="235">
        <f t="shared" si="155"/>
        <v>1110917079.6875</v>
      </c>
      <c r="F182" s="236">
        <v>0</v>
      </c>
      <c r="G182" s="237">
        <f t="shared" si="132"/>
        <v>1110917079.6875</v>
      </c>
      <c r="H182" s="117">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1095">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83">
        <f>'Recycling - Case 2'!E120</f>
        <v>1</v>
      </c>
      <c r="D183" s="604">
        <f>'Recycling - Case 2'!F120</f>
        <v>0.36725000000000002</v>
      </c>
      <c r="E183" s="235">
        <f t="shared" si="155"/>
        <v>1117827723.2375002</v>
      </c>
      <c r="F183" s="236">
        <v>0</v>
      </c>
      <c r="G183" s="237">
        <f t="shared" si="132"/>
        <v>1117827723.2375002</v>
      </c>
      <c r="H183" s="117">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1095">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83">
        <f>'Recycling - Case 2'!E121</f>
        <v>1</v>
      </c>
      <c r="D184" s="604">
        <f>'Recycling - Case 2'!F121</f>
        <v>0.36725000000000002</v>
      </c>
      <c r="E184" s="235">
        <f t="shared" si="155"/>
        <v>1124769495.8125</v>
      </c>
      <c r="F184" s="236">
        <v>0</v>
      </c>
      <c r="G184" s="237">
        <f t="shared" si="132"/>
        <v>1124769495.8125</v>
      </c>
      <c r="H184" s="117">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1095">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83">
        <f>'Recycling - Case 2'!E122</f>
        <v>1</v>
      </c>
      <c r="D185" s="604">
        <f>'Recycling - Case 2'!F122</f>
        <v>0.36725000000000002</v>
      </c>
      <c r="E185" s="235">
        <f t="shared" si="155"/>
        <v>1131757961.925</v>
      </c>
      <c r="F185" s="236">
        <v>0</v>
      </c>
      <c r="G185" s="237">
        <f t="shared" si="132"/>
        <v>1131757961.925</v>
      </c>
      <c r="H185" s="117">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1095">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83">
        <f>'Recycling - Case 2'!E123</f>
        <v>1</v>
      </c>
      <c r="D186" s="604">
        <f>'Recycling - Case 2'!F123</f>
        <v>0.36725000000000002</v>
      </c>
      <c r="E186" s="235">
        <f t="shared" si="155"/>
        <v>1138777557.0625005</v>
      </c>
      <c r="F186" s="236">
        <v>0</v>
      </c>
      <c r="G186" s="237">
        <f t="shared" si="132"/>
        <v>1138777557.0625005</v>
      </c>
      <c r="H186" s="117">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1095">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83">
        <f>'Recycling - Case 2'!E124</f>
        <v>1</v>
      </c>
      <c r="D187" s="604">
        <f>'Recycling - Case 2'!F124</f>
        <v>0.36725000000000002</v>
      </c>
      <c r="E187" s="235">
        <f t="shared" si="155"/>
        <v>1145859410.2500002</v>
      </c>
      <c r="F187" s="236">
        <v>0</v>
      </c>
      <c r="G187" s="237">
        <f t="shared" si="132"/>
        <v>1145859410.2500002</v>
      </c>
      <c r="H187" s="117">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1095">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83">
        <f>'Recycling - Case 2'!E125</f>
        <v>1</v>
      </c>
      <c r="D188" s="604">
        <f>'Recycling - Case 2'!F125</f>
        <v>0.36725000000000002</v>
      </c>
      <c r="E188" s="235">
        <f t="shared" si="155"/>
        <v>1151696102.4375002</v>
      </c>
      <c r="F188" s="236">
        <v>0</v>
      </c>
      <c r="G188" s="237">
        <f t="shared" si="132"/>
        <v>1151696102.4375002</v>
      </c>
      <c r="H188" s="117">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1095">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83">
        <f>'Recycling - Case 2'!E126</f>
        <v>1</v>
      </c>
      <c r="D189" s="604">
        <f>'Recycling - Case 2'!F126</f>
        <v>0.36725000000000002</v>
      </c>
      <c r="E189" s="235">
        <f t="shared" si="155"/>
        <v>1157579488.1625001</v>
      </c>
      <c r="F189" s="236">
        <v>0</v>
      </c>
      <c r="G189" s="237">
        <f t="shared" si="132"/>
        <v>1157579488.1625001</v>
      </c>
      <c r="H189" s="117">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1095">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83">
        <f>'Recycling - Case 2'!E127</f>
        <v>1</v>
      </c>
      <c r="D190" s="604">
        <f>'Recycling - Case 2'!F127</f>
        <v>0.36725000000000002</v>
      </c>
      <c r="E190" s="235">
        <f t="shared" si="155"/>
        <v>1163494002.9125004</v>
      </c>
      <c r="F190" s="236">
        <v>0</v>
      </c>
      <c r="G190" s="237">
        <f t="shared" si="132"/>
        <v>1163494002.9125004</v>
      </c>
      <c r="H190" s="117">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1095">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83">
        <f>'Recycling - Case 2'!E128</f>
        <v>1</v>
      </c>
      <c r="D191" s="604">
        <f>'Recycling - Case 2'!F128</f>
        <v>0.36725000000000002</v>
      </c>
      <c r="E191" s="235">
        <f t="shared" si="155"/>
        <v>1169424082.1750002</v>
      </c>
      <c r="F191" s="236">
        <v>0</v>
      </c>
      <c r="G191" s="237">
        <f t="shared" si="132"/>
        <v>1169424082.1750002</v>
      </c>
      <c r="H191" s="117">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1095">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 thickBot="1">
      <c r="A192" s="195">
        <f>'Input data'!A150</f>
        <v>2050</v>
      </c>
      <c r="B192" s="209">
        <f>'Input data'!B150</f>
        <v>75.518000000000001</v>
      </c>
      <c r="C192" s="732">
        <f>'Recycling - Case 2'!E129</f>
        <v>1</v>
      </c>
      <c r="D192" s="733">
        <f>'Recycling - Case 2'!F129</f>
        <v>0.36725000000000002</v>
      </c>
      <c r="E192" s="238">
        <f>B192*$C$4*($C$7*$C$11+$C$8*$C$10+$C$7*$C$12)*10^6</f>
        <v>1175400854.9750001</v>
      </c>
      <c r="F192" s="239">
        <v>0</v>
      </c>
      <c r="G192" s="240">
        <f t="shared" si="132"/>
        <v>1175400854.9750001</v>
      </c>
      <c r="H192" s="120">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1096">
        <f t="shared" si="139"/>
        <v>69818810.78551501</v>
      </c>
      <c r="AG192" s="235">
        <f t="shared" si="140"/>
        <v>0</v>
      </c>
      <c r="AH192" s="236">
        <f t="shared" si="141"/>
        <v>0</v>
      </c>
      <c r="AI192" s="236">
        <f t="shared" si="142"/>
        <v>6347164.6168649998</v>
      </c>
      <c r="AJ192" s="236">
        <f t="shared" si="143"/>
        <v>1269432.923373</v>
      </c>
      <c r="AK192" s="236">
        <f t="shared" si="144"/>
        <v>0</v>
      </c>
      <c r="AL192" s="236">
        <f t="shared" si="145"/>
        <v>0</v>
      </c>
      <c r="AM192" s="242">
        <f t="shared" si="146"/>
        <v>7616597.5402379995</v>
      </c>
      <c r="AN192" s="235">
        <f t="shared" si="147"/>
        <v>73433168.414563134</v>
      </c>
      <c r="AO192" s="236">
        <f t="shared" si="148"/>
        <v>0</v>
      </c>
      <c r="AP192" s="236">
        <f t="shared" si="149"/>
        <v>36716584.207281567</v>
      </c>
      <c r="AQ192" s="236">
        <f t="shared" si="150"/>
        <v>51835177.7043975</v>
      </c>
      <c r="AR192" s="236">
        <f t="shared" si="151"/>
        <v>2159799.0710165626</v>
      </c>
      <c r="AS192" s="236">
        <f t="shared" si="152"/>
        <v>0</v>
      </c>
      <c r="AT192" s="242">
        <f t="shared" si="153"/>
        <v>164144729.39725876</v>
      </c>
      <c r="AU192" s="254">
        <v>0</v>
      </c>
      <c r="AV192" s="246">
        <f t="shared" si="167"/>
        <v>241.58013772301177</v>
      </c>
      <c r="AW192" s="257">
        <f t="shared" si="154"/>
        <v>3.8077221358326381</v>
      </c>
    </row>
    <row r="193" spans="1:49" ht="21.6" thickBot="1">
      <c r="A193" s="1099" t="s">
        <v>711</v>
      </c>
      <c r="B193" s="1100"/>
      <c r="C193" s="1067"/>
      <c r="D193" s="1100"/>
      <c r="E193" s="1101"/>
      <c r="F193" s="1101"/>
      <c r="G193" s="1101"/>
      <c r="H193" s="1100"/>
      <c r="I193" s="1100"/>
      <c r="J193" s="1100"/>
      <c r="K193" s="1100"/>
      <c r="L193" s="1100"/>
      <c r="M193" s="1100"/>
      <c r="N193" s="1100"/>
      <c r="O193" s="1100"/>
      <c r="P193" s="1100"/>
      <c r="Q193" s="1100"/>
      <c r="R193" s="1100"/>
      <c r="S193" s="1100"/>
      <c r="T193" s="177"/>
      <c r="U193" s="177"/>
      <c r="V193" s="177"/>
      <c r="W193" s="177"/>
      <c r="X193" s="177"/>
      <c r="Y193" s="177"/>
      <c r="Z193" s="1101"/>
      <c r="AA193" s="1101"/>
      <c r="AB193" s="1101"/>
      <c r="AC193" s="1101"/>
      <c r="AD193" s="1101"/>
      <c r="AE193" s="1101"/>
      <c r="AF193" s="1101"/>
      <c r="AG193" s="1101"/>
      <c r="AH193" s="1101"/>
      <c r="AI193" s="1101"/>
      <c r="AJ193" s="1101"/>
      <c r="AK193" s="1101"/>
      <c r="AL193" s="1101"/>
      <c r="AM193" s="1101"/>
      <c r="AN193" s="1101"/>
      <c r="AO193" s="1101"/>
      <c r="AP193" s="1101"/>
      <c r="AQ193" s="1101"/>
      <c r="AR193" s="1101"/>
      <c r="AS193" s="1101"/>
      <c r="AT193" s="1101"/>
      <c r="AU193" s="1102"/>
      <c r="AV193" s="1103"/>
      <c r="AW193" s="1104"/>
    </row>
    <row r="194" spans="1:49">
      <c r="A194" s="127">
        <f>'Input data'!A118</f>
        <v>2018</v>
      </c>
      <c r="B194" s="105">
        <f>'Input data'!B118</f>
        <v>57.436</v>
      </c>
      <c r="C194" s="483">
        <f>'Recycling - Case 3'!E97</f>
        <v>0.73673846153846156</v>
      </c>
      <c r="D194" s="604">
        <f>'Recycling - Case 3'!F97</f>
        <v>0.29578461538461537</v>
      </c>
      <c r="E194" s="235">
        <f t="shared" ref="E194:E226" si="188">B194*$C$4*($C$7*$C$11+$C$8*$C$10+$C$7*$C$12)*10^6</f>
        <v>893963339.95000005</v>
      </c>
      <c r="F194" s="236">
        <v>0</v>
      </c>
      <c r="G194" s="237">
        <f t="shared" ref="G194:G226" si="189">E194-F194</f>
        <v>893963339.95000005</v>
      </c>
      <c r="H194" s="928">
        <f>($H$206-$H$124)/($A$206-$A$124)+H124</f>
        <v>0.10710059171597634</v>
      </c>
      <c r="I194" s="759">
        <f t="shared" ref="I194:I205" si="190">$D$16</f>
        <v>0</v>
      </c>
      <c r="J194" s="759">
        <f>($J$206-$J$124)/($A$206-$A$124)+J124</f>
        <v>0.10710059171597634</v>
      </c>
      <c r="K194" s="759">
        <f>($K$206-$K$124)/($A$206-$A$124)+K124</f>
        <v>0.29988165680473378</v>
      </c>
      <c r="L194" s="759">
        <f>($L$206-$L$124)/($A$206-$A$124)+L124</f>
        <v>4.2840236686390532E-2</v>
      </c>
      <c r="M194" s="929">
        <f>($M$206-$M$124)/($A$206-$A$124)+M124</f>
        <v>0.44307692307692303</v>
      </c>
      <c r="N194" s="928">
        <f>($N$206-$N$124)/($A$206-$A$124)+N124</f>
        <v>0</v>
      </c>
      <c r="O194" s="759">
        <f>($O$206-$O$124)/($A$206-$A$124)+O124</f>
        <v>0.7</v>
      </c>
      <c r="P194" s="759">
        <f>($P$206-$P$124)/($A$206-$A$124)+P124</f>
        <v>0.15</v>
      </c>
      <c r="Q194" s="759">
        <f>($Q$206-$Q$124)/($A$206-$A$124)+Q124</f>
        <v>0.15</v>
      </c>
      <c r="R194" s="759">
        <f>($R$206-$R$124)/($A$206-$A$124)+R124</f>
        <v>0</v>
      </c>
      <c r="S194" s="929">
        <f>($S$206-$S$124)/($A$206-$A$124)+S124</f>
        <v>0</v>
      </c>
      <c r="T194" s="928">
        <f>($T$206-$T$124)/($A$206-$A$124)+T124</f>
        <v>0.34653846153846157</v>
      </c>
      <c r="U194" s="759">
        <f>($U$206-$U$124)/($A$206-$A$124)+U124</f>
        <v>0</v>
      </c>
      <c r="V194" s="759">
        <f>($V$206-$V$124)/($A$206-$A$124)+V124</f>
        <v>0.17326923076923079</v>
      </c>
      <c r="W194" s="759">
        <f>($W$206-$W$124)/($A$206-$A$124)+W124</f>
        <v>0.2446153846153846</v>
      </c>
      <c r="X194" s="759">
        <f>($X$206-$X$124)/($A$206-$A$124)+X124</f>
        <v>5.0961538461538461E-2</v>
      </c>
      <c r="Y194" s="929">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1095">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1097">
        <f t="shared" ref="AW194:AW202" si="213">((B194*$C$46*$C$47*$C$48*$C$49)-$C$50)*$C$51*$C$52</f>
        <v>2.8960026562367029</v>
      </c>
    </row>
    <row r="195" spans="1:49">
      <c r="A195" s="127">
        <f>'Input data'!A119</f>
        <v>2019</v>
      </c>
      <c r="B195" s="105">
        <f>'Input data'!B119</f>
        <v>58.365000000000002</v>
      </c>
      <c r="C195" s="483">
        <f>'Recycling - Case 3'!E98</f>
        <v>0.75867692307692314</v>
      </c>
      <c r="D195" s="604">
        <f>'Recycling - Case 3'!F98</f>
        <v>0.30196923076923077</v>
      </c>
      <c r="E195" s="235">
        <f t="shared" si="188"/>
        <v>908422772.06250012</v>
      </c>
      <c r="F195" s="236">
        <v>0</v>
      </c>
      <c r="G195" s="237">
        <f t="shared" si="189"/>
        <v>908422772.06250012</v>
      </c>
      <c r="H195" s="117">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1095">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1097">
        <f t="shared" si="213"/>
        <v>2.9428441226975277</v>
      </c>
    </row>
    <row r="196" spans="1:49">
      <c r="A196" s="127">
        <f>'Input data'!A120</f>
        <v>2020</v>
      </c>
      <c r="B196" s="105">
        <f>'Input data'!B120</f>
        <v>59.308999999999997</v>
      </c>
      <c r="C196" s="483">
        <f>'Recycling - Case 3'!E99</f>
        <v>0.78061538461538471</v>
      </c>
      <c r="D196" s="604">
        <f>'Recycling - Case 3'!F99</f>
        <v>0.30815384615384617</v>
      </c>
      <c r="E196" s="235">
        <f t="shared" si="188"/>
        <v>923115671.86249995</v>
      </c>
      <c r="F196" s="236">
        <v>0</v>
      </c>
      <c r="G196" s="237">
        <f t="shared" si="189"/>
        <v>923115671.86249995</v>
      </c>
      <c r="H196" s="117">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1095">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1097">
        <f t="shared" si="213"/>
        <v>2.9904419099300554</v>
      </c>
    </row>
    <row r="197" spans="1:49">
      <c r="A197" s="127">
        <f>'Input data'!A121</f>
        <v>2021</v>
      </c>
      <c r="B197" s="105">
        <f>'Input data'!B121</f>
        <v>59.991999999999997</v>
      </c>
      <c r="C197" s="483">
        <f>'Recycling - Case 3'!E100</f>
        <v>0.80255384615384628</v>
      </c>
      <c r="D197" s="604">
        <f>'Recycling - Case 3'!F100</f>
        <v>0.31433846153846157</v>
      </c>
      <c r="E197" s="235">
        <f t="shared" si="188"/>
        <v>933746233.9000001</v>
      </c>
      <c r="F197" s="236">
        <v>0</v>
      </c>
      <c r="G197" s="237">
        <f t="shared" si="189"/>
        <v>933746233.9000001</v>
      </c>
      <c r="H197" s="117">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1095">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1097">
        <f t="shared" si="213"/>
        <v>3.024879715734945</v>
      </c>
    </row>
    <row r="198" spans="1:49">
      <c r="A198" s="127">
        <f>'Input data'!A122</f>
        <v>2022</v>
      </c>
      <c r="B198" s="105">
        <f>'Input data'!B122</f>
        <v>60.682000000000002</v>
      </c>
      <c r="C198" s="483">
        <f>'Recycling - Case 3'!E101</f>
        <v>0.82449230769230786</v>
      </c>
      <c r="D198" s="604">
        <f>'Recycling - Case 3'!F101</f>
        <v>0.32052307692307697</v>
      </c>
      <c r="E198" s="235">
        <f t="shared" si="188"/>
        <v>944485747.52500021</v>
      </c>
      <c r="F198" s="236">
        <v>0</v>
      </c>
      <c r="G198" s="237">
        <f t="shared" si="189"/>
        <v>944485747.52500021</v>
      </c>
      <c r="H198" s="117">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1095">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1097">
        <f t="shared" si="213"/>
        <v>3.0596704712332969</v>
      </c>
    </row>
    <row r="199" spans="1:49">
      <c r="A199" s="127">
        <f>'Input data'!A123</f>
        <v>2023</v>
      </c>
      <c r="B199" s="105">
        <f>'Input data'!B123</f>
        <v>61.381</v>
      </c>
      <c r="C199" s="483">
        <f>'Recycling - Case 3'!E102</f>
        <v>0.84643076923076943</v>
      </c>
      <c r="D199" s="604">
        <f>'Recycling - Case 3'!F102</f>
        <v>0.32670769230769237</v>
      </c>
      <c r="E199" s="235">
        <f t="shared" si="188"/>
        <v>955365341.76250005</v>
      </c>
      <c r="F199" s="236">
        <v>0</v>
      </c>
      <c r="G199" s="237">
        <f t="shared" si="189"/>
        <v>955365341.76250005</v>
      </c>
      <c r="H199" s="117">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1095">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1097">
        <f t="shared" si="213"/>
        <v>3.0949150191946715</v>
      </c>
    </row>
    <row r="200" spans="1:49">
      <c r="A200" s="127">
        <f>'Input data'!A124</f>
        <v>2024</v>
      </c>
      <c r="B200" s="105">
        <f>'Input data'!B124</f>
        <v>62.088000000000001</v>
      </c>
      <c r="C200" s="483">
        <f>'Recycling - Case 3'!E103</f>
        <v>0.868369230769231</v>
      </c>
      <c r="D200" s="604">
        <f>'Recycling - Case 3'!F103</f>
        <v>0.33289230769230777</v>
      </c>
      <c r="E200" s="235">
        <f t="shared" si="188"/>
        <v>966369452.10000014</v>
      </c>
      <c r="F200" s="236">
        <v>0</v>
      </c>
      <c r="G200" s="237">
        <f t="shared" si="189"/>
        <v>966369452.10000014</v>
      </c>
      <c r="H200" s="117">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1095">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1097">
        <f t="shared" si="213"/>
        <v>3.1305629382342866</v>
      </c>
    </row>
    <row r="201" spans="1:49">
      <c r="A201" s="127">
        <f>'Input data'!A125</f>
        <v>2025</v>
      </c>
      <c r="B201" s="105">
        <f>'Input data'!B125</f>
        <v>62.802999999999997</v>
      </c>
      <c r="C201" s="483">
        <f>'Recycling - Case 3'!E104</f>
        <v>0.89030769230769258</v>
      </c>
      <c r="D201" s="604">
        <f>'Recycling - Case 3'!F104</f>
        <v>0.33907692307692316</v>
      </c>
      <c r="E201" s="235">
        <f t="shared" si="188"/>
        <v>977498078.53750014</v>
      </c>
      <c r="F201" s="236">
        <v>0</v>
      </c>
      <c r="G201" s="237">
        <f t="shared" si="189"/>
        <v>977498078.53750014</v>
      </c>
      <c r="H201" s="117">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1095">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1097">
        <f t="shared" si="213"/>
        <v>3.166614228352143</v>
      </c>
    </row>
    <row r="202" spans="1:49">
      <c r="A202" s="127">
        <f>'Input data'!A126</f>
        <v>2026</v>
      </c>
      <c r="B202" s="105">
        <f>'Input data'!B126</f>
        <v>63.420999999999999</v>
      </c>
      <c r="C202" s="483">
        <f>'Recycling - Case 3'!E105</f>
        <v>0.91224615384615415</v>
      </c>
      <c r="D202" s="604">
        <f>'Recycling - Case 3'!F105</f>
        <v>0.34526153846153856</v>
      </c>
      <c r="E202" s="235">
        <f t="shared" si="188"/>
        <v>987116947.26250017</v>
      </c>
      <c r="F202" s="236">
        <v>0</v>
      </c>
      <c r="G202" s="237">
        <f t="shared" si="189"/>
        <v>987116947.26250017</v>
      </c>
      <c r="H202" s="117">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1095">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1097">
        <f t="shared" si="213"/>
        <v>3.1977746441463193</v>
      </c>
    </row>
    <row r="203" spans="1:49">
      <c r="A203" s="127">
        <f>'Input data'!A127</f>
        <v>2027</v>
      </c>
      <c r="B203" s="105">
        <f>'Input data'!B127</f>
        <v>64.046000000000006</v>
      </c>
      <c r="C203" s="483">
        <f>'Recycling - Case 3'!E106</f>
        <v>0.93418461538461572</v>
      </c>
      <c r="D203" s="604">
        <f>'Recycling - Case 3'!F106</f>
        <v>0.35144615384615396</v>
      </c>
      <c r="E203" s="235">
        <f t="shared" si="188"/>
        <v>996844767.57500017</v>
      </c>
      <c r="F203" s="236">
        <v>0</v>
      </c>
      <c r="G203" s="237">
        <f t="shared" si="189"/>
        <v>996844767.57500017</v>
      </c>
      <c r="H203" s="117">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1095">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1097">
        <f t="shared" ref="AW203:AW219" si="253">((B203*$C$46*$C$47*$C$48*$C$49)-$C$50)*$C$51*$C$52</f>
        <v>3.2292880096339567</v>
      </c>
    </row>
    <row r="204" spans="1:49">
      <c r="A204" s="127">
        <f>'Input data'!A128</f>
        <v>2028</v>
      </c>
      <c r="B204" s="105">
        <f>'Input data'!B128</f>
        <v>64.676000000000002</v>
      </c>
      <c r="C204" s="483">
        <f>'Recycling - Case 3'!E107</f>
        <v>0.9561230769230773</v>
      </c>
      <c r="D204" s="604">
        <f>'Recycling - Case 3'!F107</f>
        <v>0.35763076923076936</v>
      </c>
      <c r="E204" s="235">
        <f t="shared" si="188"/>
        <v>1006650410.4500002</v>
      </c>
      <c r="F204" s="236">
        <v>0</v>
      </c>
      <c r="G204" s="237">
        <f t="shared" si="189"/>
        <v>1006650410.4500002</v>
      </c>
      <c r="H204" s="117">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1095">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1097">
        <f t="shared" si="253"/>
        <v>3.2610534820454951</v>
      </c>
    </row>
    <row r="205" spans="1:49">
      <c r="A205" s="127">
        <f>'Input data'!A129</f>
        <v>2029</v>
      </c>
      <c r="B205" s="105">
        <f>'Input data'!B129</f>
        <v>65.313000000000002</v>
      </c>
      <c r="C205" s="483">
        <f>'Recycling - Case 3'!E108</f>
        <v>0.97806153846153887</v>
      </c>
      <c r="D205" s="604">
        <f>'Recycling - Case 3'!F108</f>
        <v>0.36381538461538476</v>
      </c>
      <c r="E205" s="235">
        <f t="shared" si="188"/>
        <v>1016565004.9125001</v>
      </c>
      <c r="F205" s="236">
        <v>0</v>
      </c>
      <c r="G205" s="237">
        <f t="shared" si="189"/>
        <v>1016565004.9125001</v>
      </c>
      <c r="H205" s="117">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1095">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1097">
        <f t="shared" si="253"/>
        <v>3.2931719041504954</v>
      </c>
    </row>
    <row r="206" spans="1:49">
      <c r="A206" s="127">
        <f>'Input data'!A130</f>
        <v>2030</v>
      </c>
      <c r="B206" s="105">
        <f>'Input data'!B130</f>
        <v>65.956000000000003</v>
      </c>
      <c r="C206" s="483">
        <f>'Recycling - Case 3'!E109</f>
        <v>1</v>
      </c>
      <c r="D206" s="604">
        <f>'Recycling - Case 3'!F109</f>
        <v>0.37</v>
      </c>
      <c r="E206" s="235">
        <f t="shared" si="188"/>
        <v>1026572986.4500002</v>
      </c>
      <c r="F206" s="236">
        <v>0</v>
      </c>
      <c r="G206" s="237">
        <f t="shared" si="189"/>
        <v>1026572986.4500002</v>
      </c>
      <c r="H206" s="889">
        <f>'Recycling - Case 3'!C47</f>
        <v>0.19230769230769232</v>
      </c>
      <c r="I206" s="484">
        <f>'Recycling - Case 3'!D47</f>
        <v>0</v>
      </c>
      <c r="J206" s="484">
        <f>'Recycling - Case 3'!E47</f>
        <v>0.19230769230769232</v>
      </c>
      <c r="K206" s="484">
        <f>'Recycling - Case 3'!F47</f>
        <v>0.53846153846153855</v>
      </c>
      <c r="L206" s="484">
        <f>'Recycling - Case 3'!G47</f>
        <v>7.6923076923076927E-2</v>
      </c>
      <c r="M206" s="119">
        <f>'Recycling - Case 3'!H47</f>
        <v>0</v>
      </c>
      <c r="N206" s="889">
        <f>'Recycling - Case 3'!J47</f>
        <v>0</v>
      </c>
      <c r="O206" s="484">
        <f>'Recycling - Case 3'!K47</f>
        <v>0.7</v>
      </c>
      <c r="P206" s="484">
        <f>'Recycling - Case 3'!L47</f>
        <v>0.15</v>
      </c>
      <c r="Q206" s="484">
        <f>'Recycling - Case 3'!M47</f>
        <v>0.15</v>
      </c>
      <c r="R206" s="484">
        <f>'Recycling - Case 3'!N47</f>
        <v>0</v>
      </c>
      <c r="S206" s="119">
        <f>'Recycling - Case 3'!O47</f>
        <v>0</v>
      </c>
      <c r="T206" s="889">
        <f>'Recycling - Case 3'!Q47</f>
        <v>0.42500000000000004</v>
      </c>
      <c r="U206" s="484">
        <f>'Recycling - Case 3'!R47</f>
        <v>0</v>
      </c>
      <c r="V206" s="484">
        <f>'Recycling - Case 3'!S47</f>
        <v>0.21250000000000002</v>
      </c>
      <c r="W206" s="484">
        <f>'Recycling - Case 3'!T47</f>
        <v>0.3</v>
      </c>
      <c r="X206" s="484">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1095">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1097">
        <f t="shared" si="253"/>
        <v>3.3255928545641762</v>
      </c>
    </row>
    <row r="207" spans="1:49">
      <c r="A207" s="127">
        <f>'Input data'!A131</f>
        <v>2031</v>
      </c>
      <c r="B207" s="105">
        <f>'Input data'!B131</f>
        <v>66.519000000000005</v>
      </c>
      <c r="C207" s="483">
        <f>'Recycling - Case 3'!E110</f>
        <v>1</v>
      </c>
      <c r="D207" s="604">
        <f>'Recycling - Case 3'!F110</f>
        <v>0.37</v>
      </c>
      <c r="E207" s="235">
        <f t="shared" si="188"/>
        <v>1035335806.9875003</v>
      </c>
      <c r="F207" s="236">
        <v>0</v>
      </c>
      <c r="G207" s="237">
        <f t="shared" si="189"/>
        <v>1035335806.9875003</v>
      </c>
      <c r="H207" s="117">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1095">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1097">
        <f t="shared" si="253"/>
        <v>3.3539800941954407</v>
      </c>
    </row>
    <row r="208" spans="1:49">
      <c r="A208" s="127">
        <f>'Input data'!A132</f>
        <v>2032</v>
      </c>
      <c r="B208" s="105">
        <f>'Input data'!B132</f>
        <v>67.087000000000003</v>
      </c>
      <c r="C208" s="483">
        <f>'Recycling - Case 3'!E111</f>
        <v>1</v>
      </c>
      <c r="D208" s="604">
        <f>'Recycling - Case 3'!F111</f>
        <v>0.37</v>
      </c>
      <c r="E208" s="235">
        <f t="shared" si="188"/>
        <v>1044176450.0875001</v>
      </c>
      <c r="F208" s="236">
        <v>0</v>
      </c>
      <c r="G208" s="237">
        <f t="shared" si="189"/>
        <v>1044176450.0875001</v>
      </c>
      <c r="H208" s="117">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1095">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1097">
        <f t="shared" si="253"/>
        <v>3.3826194407506049</v>
      </c>
    </row>
    <row r="209" spans="1:49">
      <c r="A209" s="127">
        <f>'Input data'!A133</f>
        <v>2033</v>
      </c>
      <c r="B209" s="105">
        <f>'Input data'!B133</f>
        <v>67.659000000000006</v>
      </c>
      <c r="C209" s="483">
        <f>'Recycling - Case 3'!E112</f>
        <v>1</v>
      </c>
      <c r="D209" s="604">
        <f>'Recycling - Case 3'!F112</f>
        <v>0.37</v>
      </c>
      <c r="E209" s="235">
        <f t="shared" si="188"/>
        <v>1053079351.2375003</v>
      </c>
      <c r="F209" s="236">
        <v>0</v>
      </c>
      <c r="G209" s="237">
        <f t="shared" si="189"/>
        <v>1053079351.2375003</v>
      </c>
      <c r="H209" s="117">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1095">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1097">
        <f t="shared" si="253"/>
        <v>3.4114604728448907</v>
      </c>
    </row>
    <row r="210" spans="1:49">
      <c r="A210" s="127">
        <f>'Input data'!A134</f>
        <v>2034</v>
      </c>
      <c r="B210" s="105">
        <f>'Input data'!B134</f>
        <v>68.236999999999995</v>
      </c>
      <c r="C210" s="483">
        <f>'Recycling - Case 3'!E113</f>
        <v>1</v>
      </c>
      <c r="D210" s="604">
        <f>'Recycling - Case 3'!F113</f>
        <v>0.37</v>
      </c>
      <c r="E210" s="235">
        <f t="shared" si="188"/>
        <v>1062075639.4625</v>
      </c>
      <c r="F210" s="236">
        <v>0</v>
      </c>
      <c r="G210" s="237">
        <f t="shared" si="189"/>
        <v>1062075639.4625</v>
      </c>
      <c r="H210" s="117">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1095">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1097">
        <f t="shared" si="253"/>
        <v>3.4406040332478574</v>
      </c>
    </row>
    <row r="211" spans="1:49">
      <c r="A211" s="127">
        <f>'Input data'!A135</f>
        <v>2035</v>
      </c>
      <c r="B211" s="105">
        <f>'Input data'!B135</f>
        <v>68.819000000000003</v>
      </c>
      <c r="C211" s="483">
        <f>'Recycling - Case 3'!E114</f>
        <v>1</v>
      </c>
      <c r="D211" s="604">
        <f>'Recycling - Case 3'!F114</f>
        <v>0.37</v>
      </c>
      <c r="E211" s="235">
        <f t="shared" si="188"/>
        <v>1071134185.7375001</v>
      </c>
      <c r="F211" s="236">
        <v>0</v>
      </c>
      <c r="G211" s="237">
        <f t="shared" si="189"/>
        <v>1071134185.7375001</v>
      </c>
      <c r="H211" s="117">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1095">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1097">
        <f t="shared" si="253"/>
        <v>3.4699492791899456</v>
      </c>
    </row>
    <row r="212" spans="1:49">
      <c r="A212" s="127">
        <f>'Input data'!A136</f>
        <v>2036</v>
      </c>
      <c r="B212" s="105">
        <f>'Input data'!B136</f>
        <v>69.322999999999993</v>
      </c>
      <c r="C212" s="483">
        <f>'Recycling - Case 3'!E115</f>
        <v>1</v>
      </c>
      <c r="D212" s="604">
        <f>'Recycling - Case 3'!F115</f>
        <v>0.37</v>
      </c>
      <c r="E212" s="235">
        <f t="shared" si="188"/>
        <v>1078978700.0374999</v>
      </c>
      <c r="F212" s="236">
        <v>0</v>
      </c>
      <c r="G212" s="237">
        <f t="shared" si="189"/>
        <v>1078978700.0374999</v>
      </c>
      <c r="H212" s="117">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1095">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1097">
        <f t="shared" si="253"/>
        <v>3.4953616571191763</v>
      </c>
    </row>
    <row r="213" spans="1:49">
      <c r="A213" s="127">
        <f>'Input data'!A137</f>
        <v>2037</v>
      </c>
      <c r="B213" s="105">
        <f>'Input data'!B137</f>
        <v>69.83</v>
      </c>
      <c r="C213" s="483">
        <f>'Recycling - Case 3'!E116</f>
        <v>1</v>
      </c>
      <c r="D213" s="604">
        <f>'Recycling - Case 3'!F116</f>
        <v>0.37</v>
      </c>
      <c r="E213" s="235">
        <f t="shared" si="188"/>
        <v>1086869907.875</v>
      </c>
      <c r="F213" s="236">
        <v>0</v>
      </c>
      <c r="G213" s="237">
        <f t="shared" si="189"/>
        <v>1086869907.875</v>
      </c>
      <c r="H213" s="117">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1095">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1097">
        <f t="shared" si="253"/>
        <v>3.5209252992027475</v>
      </c>
    </row>
    <row r="214" spans="1:49">
      <c r="A214" s="127">
        <f>'Input data'!A138</f>
        <v>2038</v>
      </c>
      <c r="B214" s="105">
        <f>'Input data'!B138</f>
        <v>70.341999999999999</v>
      </c>
      <c r="C214" s="483">
        <f>'Recycling - Case 3'!E117</f>
        <v>1</v>
      </c>
      <c r="D214" s="604">
        <f>'Recycling - Case 3'!F117</f>
        <v>0.37</v>
      </c>
      <c r="E214" s="235">
        <f t="shared" si="188"/>
        <v>1094838938.2750001</v>
      </c>
      <c r="F214" s="236">
        <v>0</v>
      </c>
      <c r="G214" s="237">
        <f t="shared" si="189"/>
        <v>1094838938.2750001</v>
      </c>
      <c r="H214" s="117">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1095">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1097">
        <f t="shared" si="253"/>
        <v>3.5467410482102202</v>
      </c>
    </row>
    <row r="215" spans="1:49">
      <c r="A215" s="127">
        <f>'Input data'!A139</f>
        <v>2039</v>
      </c>
      <c r="B215" s="105">
        <f>'Input data'!B139</f>
        <v>70.856999999999999</v>
      </c>
      <c r="C215" s="483">
        <f>'Recycling - Case 3'!E118</f>
        <v>1</v>
      </c>
      <c r="D215" s="604">
        <f>'Recycling - Case 3'!F118</f>
        <v>0.37</v>
      </c>
      <c r="E215" s="235">
        <f t="shared" si="188"/>
        <v>1102854662.2125003</v>
      </c>
      <c r="F215" s="236">
        <v>0</v>
      </c>
      <c r="G215" s="237">
        <f t="shared" si="189"/>
        <v>1102854662.2125003</v>
      </c>
      <c r="H215" s="117">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1095">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1097">
        <f t="shared" si="253"/>
        <v>3.5727080613720332</v>
      </c>
    </row>
    <row r="216" spans="1:49">
      <c r="A216" s="127">
        <f>'Input data'!A140</f>
        <v>2040</v>
      </c>
      <c r="B216" s="105">
        <f>'Input data'!B140</f>
        <v>71.375</v>
      </c>
      <c r="C216" s="483">
        <f>'Recycling - Case 3'!E119</f>
        <v>1</v>
      </c>
      <c r="D216" s="604">
        <f>'Recycling - Case 3'!F119</f>
        <v>0.37</v>
      </c>
      <c r="E216" s="235">
        <f t="shared" si="188"/>
        <v>1110917079.6875</v>
      </c>
      <c r="F216" s="236">
        <v>0</v>
      </c>
      <c r="G216" s="237">
        <f t="shared" si="189"/>
        <v>1110917079.6875</v>
      </c>
      <c r="H216" s="117">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1095">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1097">
        <f t="shared" si="253"/>
        <v>3.5988263386881876</v>
      </c>
    </row>
    <row r="217" spans="1:49">
      <c r="A217" s="127">
        <f>'Input data'!A141</f>
        <v>2041</v>
      </c>
      <c r="B217" s="105">
        <f>'Input data'!B141</f>
        <v>71.819000000000003</v>
      </c>
      <c r="C217" s="483">
        <f>'Recycling - Case 3'!E120</f>
        <v>1</v>
      </c>
      <c r="D217" s="604">
        <f>'Recycling - Case 3'!F120</f>
        <v>0.37</v>
      </c>
      <c r="E217" s="235">
        <f t="shared" si="188"/>
        <v>1117827723.2375002</v>
      </c>
      <c r="F217" s="236">
        <v>0</v>
      </c>
      <c r="G217" s="237">
        <f t="shared" si="189"/>
        <v>1117827723.2375002</v>
      </c>
      <c r="H217" s="117">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1095">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1097">
        <f t="shared" si="253"/>
        <v>3.6212134335306052</v>
      </c>
    </row>
    <row r="218" spans="1:49">
      <c r="A218" s="127">
        <f>'Input data'!A142</f>
        <v>2042</v>
      </c>
      <c r="B218" s="105">
        <f>'Input data'!B142</f>
        <v>72.265000000000001</v>
      </c>
      <c r="C218" s="483">
        <f>'Recycling - Case 3'!E121</f>
        <v>1</v>
      </c>
      <c r="D218" s="604">
        <f>'Recycling - Case 3'!F121</f>
        <v>0.37</v>
      </c>
      <c r="E218" s="235">
        <f t="shared" si="188"/>
        <v>1124769495.8125</v>
      </c>
      <c r="F218" s="236">
        <v>0</v>
      </c>
      <c r="G218" s="237">
        <f t="shared" si="189"/>
        <v>1124769495.8125</v>
      </c>
      <c r="H218" s="117">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1095">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1097">
        <f t="shared" si="253"/>
        <v>3.643701371142583</v>
      </c>
    </row>
    <row r="219" spans="1:49">
      <c r="A219" s="127">
        <f>'Input data'!A143</f>
        <v>2043</v>
      </c>
      <c r="B219" s="105">
        <f>'Input data'!B143</f>
        <v>72.713999999999999</v>
      </c>
      <c r="C219" s="483">
        <f>'Recycling - Case 3'!E122</f>
        <v>1</v>
      </c>
      <c r="D219" s="604">
        <f>'Recycling - Case 3'!F122</f>
        <v>0.37</v>
      </c>
      <c r="E219" s="235">
        <f t="shared" si="188"/>
        <v>1131757961.925</v>
      </c>
      <c r="F219" s="236">
        <v>0</v>
      </c>
      <c r="G219" s="237">
        <f t="shared" si="189"/>
        <v>1131757961.925</v>
      </c>
      <c r="H219" s="117">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1095">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1097">
        <f t="shared" si="253"/>
        <v>3.6663405729089016</v>
      </c>
    </row>
    <row r="220" spans="1:49">
      <c r="A220" s="127">
        <f>'Input data'!A144</f>
        <v>2044</v>
      </c>
      <c r="B220" s="105">
        <f>'Input data'!B144</f>
        <v>73.165000000000006</v>
      </c>
      <c r="C220" s="483">
        <f>'Recycling - Case 3'!E123</f>
        <v>1</v>
      </c>
      <c r="D220" s="604">
        <f>'Recycling - Case 3'!F123</f>
        <v>0.37</v>
      </c>
      <c r="E220" s="235">
        <f t="shared" si="188"/>
        <v>1138777557.0625005</v>
      </c>
      <c r="F220" s="236">
        <v>0</v>
      </c>
      <c r="G220" s="237">
        <f t="shared" si="189"/>
        <v>1138777557.0625005</v>
      </c>
      <c r="H220" s="117">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1095">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1097">
        <f t="shared" ref="AW220:AW226" si="295">((B220*$C$46*$C$47*$C$48*$C$49)-$C$50)*$C$51*$C$52</f>
        <v>3.6890806174447812</v>
      </c>
    </row>
    <row r="221" spans="1:49">
      <c r="A221" s="127">
        <f>'Input data'!A145</f>
        <v>2045</v>
      </c>
      <c r="B221" s="105">
        <f>'Input data'!B145</f>
        <v>73.62</v>
      </c>
      <c r="C221" s="483">
        <f>'Recycling - Case 3'!E124</f>
        <v>1</v>
      </c>
      <c r="D221" s="604">
        <f>'Recycling - Case 3'!F124</f>
        <v>0.37</v>
      </c>
      <c r="E221" s="235">
        <f t="shared" si="188"/>
        <v>1145859410.2500002</v>
      </c>
      <c r="F221" s="236">
        <v>0</v>
      </c>
      <c r="G221" s="237">
        <f t="shared" si="189"/>
        <v>1145859410.2500002</v>
      </c>
      <c r="H221" s="117">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1095">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1097">
        <f t="shared" si="295"/>
        <v>3.7120223475197802</v>
      </c>
    </row>
    <row r="222" spans="1:49">
      <c r="A222" s="127">
        <f>'Input data'!A146</f>
        <v>2046</v>
      </c>
      <c r="B222" s="105">
        <f>'Input data'!B146</f>
        <v>73.995000000000005</v>
      </c>
      <c r="C222" s="483">
        <f>'Recycling - Case 3'!E125</f>
        <v>1</v>
      </c>
      <c r="D222" s="604">
        <f>'Recycling - Case 3'!F125</f>
        <v>0.37</v>
      </c>
      <c r="E222" s="235">
        <f t="shared" si="188"/>
        <v>1151696102.4375002</v>
      </c>
      <c r="F222" s="236">
        <v>0</v>
      </c>
      <c r="G222" s="237">
        <f t="shared" si="189"/>
        <v>1151696102.4375002</v>
      </c>
      <c r="H222" s="117">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1095">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1097">
        <f t="shared" si="295"/>
        <v>3.7309303668123635</v>
      </c>
    </row>
    <row r="223" spans="1:49">
      <c r="A223" s="127">
        <f>'Input data'!A147</f>
        <v>2047</v>
      </c>
      <c r="B223" s="105">
        <f>'Input data'!B147</f>
        <v>74.373000000000005</v>
      </c>
      <c r="C223" s="483">
        <f>'Recycling - Case 3'!E126</f>
        <v>1</v>
      </c>
      <c r="D223" s="604">
        <f>'Recycling - Case 3'!F126</f>
        <v>0.37</v>
      </c>
      <c r="E223" s="235">
        <f t="shared" si="188"/>
        <v>1157579488.1625001</v>
      </c>
      <c r="F223" s="236">
        <v>0</v>
      </c>
      <c r="G223" s="237">
        <f t="shared" si="189"/>
        <v>1157579488.1625001</v>
      </c>
      <c r="H223" s="117">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1095">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1097">
        <f t="shared" si="295"/>
        <v>3.7499896502592862</v>
      </c>
    </row>
    <row r="224" spans="1:49">
      <c r="A224" s="127">
        <f>'Input data'!A148</f>
        <v>2048</v>
      </c>
      <c r="B224" s="105">
        <f>'Input data'!B148</f>
        <v>74.753</v>
      </c>
      <c r="C224" s="483">
        <f>'Recycling - Case 3'!E127</f>
        <v>1</v>
      </c>
      <c r="D224" s="604">
        <f>'Recycling - Case 3'!F127</f>
        <v>0.37</v>
      </c>
      <c r="E224" s="235">
        <f t="shared" si="188"/>
        <v>1163494002.9125004</v>
      </c>
      <c r="F224" s="236">
        <v>0</v>
      </c>
      <c r="G224" s="237">
        <f t="shared" si="189"/>
        <v>1163494002.9125004</v>
      </c>
      <c r="H224" s="117">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1095">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1097">
        <f t="shared" si="295"/>
        <v>3.76914977647577</v>
      </c>
    </row>
    <row r="225" spans="1:49">
      <c r="A225" s="127">
        <f>'Input data'!A149</f>
        <v>2049</v>
      </c>
      <c r="B225" s="105">
        <f>'Input data'!B149</f>
        <v>75.134</v>
      </c>
      <c r="C225" s="483">
        <f>'Recycling - Case 3'!E128</f>
        <v>1</v>
      </c>
      <c r="D225" s="604">
        <f>'Recycling - Case 3'!F128</f>
        <v>0.37</v>
      </c>
      <c r="E225" s="235">
        <f t="shared" si="188"/>
        <v>1169424082.1750002</v>
      </c>
      <c r="F225" s="236">
        <v>0</v>
      </c>
      <c r="G225" s="237">
        <f t="shared" si="189"/>
        <v>1169424082.1750002</v>
      </c>
      <c r="H225" s="117">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1095">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1097">
        <f t="shared" si="295"/>
        <v>3.7883603240770336</v>
      </c>
    </row>
    <row r="226" spans="1:49" ht="15" thickBot="1">
      <c r="A226" s="172">
        <f>'Input data'!A150</f>
        <v>2050</v>
      </c>
      <c r="B226" s="1086">
        <f>'Input data'!B150</f>
        <v>75.518000000000001</v>
      </c>
      <c r="C226" s="732">
        <f>'Recycling - Case 3'!E129</f>
        <v>1</v>
      </c>
      <c r="D226" s="733">
        <f>'Recycling - Case 3'!F129</f>
        <v>0.37</v>
      </c>
      <c r="E226" s="238">
        <f t="shared" si="188"/>
        <v>1175400854.9750001</v>
      </c>
      <c r="F226" s="236">
        <v>0</v>
      </c>
      <c r="G226" s="240">
        <f t="shared" si="189"/>
        <v>1175400854.9750001</v>
      </c>
      <c r="H226" s="120">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1096">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1098">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23" workbookViewId="0">
      <selection activeCell="C47" sqref="C47"/>
    </sheetView>
  </sheetViews>
  <sheetFormatPr defaultColWidth="8.88671875" defaultRowHeight="14.4"/>
  <cols>
    <col min="1" max="1" width="39.33203125" style="10" customWidth="1"/>
    <col min="2" max="2" width="23.33203125" style="10" customWidth="1"/>
    <col min="3" max="3" width="16.5546875" style="10" customWidth="1"/>
    <col min="4" max="4" width="14.6640625" style="10" customWidth="1"/>
    <col min="5" max="5" width="16.44140625" style="10" customWidth="1"/>
    <col min="6" max="6" width="17" style="10" customWidth="1"/>
    <col min="7" max="7" width="13.88671875" style="10" customWidth="1"/>
    <col min="8" max="8" width="16.5546875" style="10" customWidth="1"/>
    <col min="9" max="9" width="20.33203125" style="10" customWidth="1"/>
    <col min="10" max="10" width="15.109375" style="10" customWidth="1"/>
    <col min="11" max="11" width="8.88671875" style="10"/>
    <col min="12" max="12" width="20.88671875" style="10" customWidth="1"/>
    <col min="13" max="13" width="8.88671875" style="10"/>
    <col min="14" max="14" width="11" style="10" customWidth="1"/>
    <col min="15" max="15" width="10.6640625" style="10" bestFit="1" customWidth="1"/>
    <col min="16" max="16384" width="8.88671875" style="10"/>
  </cols>
  <sheetData>
    <row r="1" spans="1:23">
      <c r="A1" s="9" t="s">
        <v>126</v>
      </c>
      <c r="B1" s="15"/>
      <c r="C1" s="15"/>
      <c r="D1" s="15"/>
      <c r="E1" s="15"/>
      <c r="F1" s="15"/>
      <c r="G1" s="15"/>
      <c r="H1" s="15"/>
      <c r="I1" s="15"/>
      <c r="J1" s="15"/>
    </row>
    <row r="2" spans="1:23" ht="14.4" customHeight="1"/>
    <row r="3" spans="1:23">
      <c r="A3" s="10" t="s">
        <v>159</v>
      </c>
      <c r="B3" s="37"/>
      <c r="C3" s="37"/>
      <c r="D3" s="37"/>
      <c r="E3" s="37"/>
      <c r="F3" s="37"/>
      <c r="G3" s="37"/>
      <c r="L3" s="52" t="s">
        <v>127</v>
      </c>
      <c r="M3" s="53"/>
      <c r="N3" s="53"/>
      <c r="O3" s="53"/>
    </row>
    <row r="4" spans="1:23" ht="15" thickBot="1">
      <c r="A4" s="15"/>
      <c r="B4" s="15"/>
      <c r="C4" s="15"/>
      <c r="D4" s="15"/>
      <c r="E4" s="15"/>
      <c r="F4" s="15"/>
      <c r="G4" s="15"/>
      <c r="L4" s="53"/>
      <c r="M4" s="53"/>
      <c r="N4" s="53"/>
      <c r="O4" s="53"/>
    </row>
    <row r="5" spans="1:23" ht="15" customHeight="1" thickBot="1">
      <c r="A5" s="1956"/>
      <c r="B5" s="1957"/>
      <c r="C5" s="1962" t="s">
        <v>53</v>
      </c>
      <c r="D5" s="1963"/>
      <c r="E5" s="1963"/>
      <c r="F5" s="1964"/>
      <c r="G5" s="1962" t="s">
        <v>54</v>
      </c>
      <c r="H5" s="1963"/>
      <c r="I5" s="1963"/>
      <c r="J5" s="1964"/>
      <c r="L5" s="53"/>
      <c r="M5" s="54" t="s">
        <v>128</v>
      </c>
      <c r="N5" s="54" t="s">
        <v>129</v>
      </c>
      <c r="O5" s="55" t="s">
        <v>130</v>
      </c>
      <c r="Q5" s="1955" t="s">
        <v>144</v>
      </c>
      <c r="R5" s="1955"/>
      <c r="S5" s="1955"/>
      <c r="T5" s="1955"/>
      <c r="U5" s="1955"/>
      <c r="V5" s="56"/>
      <c r="W5" s="56"/>
    </row>
    <row r="6" spans="1:23" ht="15" thickBot="1">
      <c r="A6" s="1958"/>
      <c r="B6" s="1959"/>
      <c r="C6" s="1965" t="s">
        <v>55</v>
      </c>
      <c r="D6" s="1966"/>
      <c r="E6" s="1965" t="s">
        <v>56</v>
      </c>
      <c r="F6" s="1966"/>
      <c r="G6" s="1965" t="s">
        <v>55</v>
      </c>
      <c r="H6" s="1966"/>
      <c r="I6" s="1967" t="s">
        <v>57</v>
      </c>
      <c r="J6" s="1968"/>
      <c r="L6" s="54" t="s">
        <v>131</v>
      </c>
      <c r="M6" s="73" t="s">
        <v>132</v>
      </c>
      <c r="N6" s="74"/>
      <c r="O6" s="75" t="s">
        <v>133</v>
      </c>
      <c r="Q6" s="1955"/>
      <c r="R6" s="1955"/>
      <c r="S6" s="1955"/>
      <c r="T6" s="1955"/>
      <c r="U6" s="1955"/>
      <c r="V6" s="38"/>
      <c r="W6" s="38"/>
    </row>
    <row r="7" spans="1:23" ht="15" thickBot="1">
      <c r="A7" s="1960" t="s">
        <v>58</v>
      </c>
      <c r="B7" s="1961"/>
      <c r="C7" s="67" t="s">
        <v>59</v>
      </c>
      <c r="D7" s="68" t="s">
        <v>60</v>
      </c>
      <c r="E7" s="67" t="s">
        <v>59</v>
      </c>
      <c r="F7" s="68" t="s">
        <v>60</v>
      </c>
      <c r="G7" s="67" t="s">
        <v>59</v>
      </c>
      <c r="H7" s="68" t="s">
        <v>60</v>
      </c>
      <c r="I7" s="67" t="s">
        <v>59</v>
      </c>
      <c r="J7" s="68" t="s">
        <v>60</v>
      </c>
      <c r="L7" s="54" t="s">
        <v>134</v>
      </c>
      <c r="M7" s="76" t="s">
        <v>132</v>
      </c>
      <c r="N7" s="77"/>
      <c r="O7" s="78" t="s">
        <v>135</v>
      </c>
      <c r="Q7" s="1955"/>
      <c r="R7" s="1955"/>
      <c r="S7" s="1955"/>
      <c r="T7" s="1955"/>
      <c r="U7" s="1955"/>
      <c r="V7" s="38"/>
      <c r="W7" s="38"/>
    </row>
    <row r="8" spans="1:23" ht="15" thickBot="1">
      <c r="A8" s="1969"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1955"/>
      <c r="R8" s="1955"/>
      <c r="S8" s="1955"/>
      <c r="T8" s="1955"/>
      <c r="U8" s="1955"/>
      <c r="V8" s="38"/>
      <c r="W8" s="38"/>
    </row>
    <row r="9" spans="1:23" ht="29.4" thickBot="1">
      <c r="A9" s="1970"/>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1955"/>
      <c r="R9" s="1955"/>
      <c r="S9" s="1955"/>
      <c r="T9" s="1955"/>
      <c r="U9" s="1955"/>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29.4"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 thickBot="1">
      <c r="A19" s="53"/>
      <c r="B19" s="53"/>
      <c r="C19" s="53"/>
      <c r="D19" s="53"/>
      <c r="E19" s="53"/>
      <c r="F19" s="53"/>
      <c r="G19" s="53"/>
      <c r="H19" s="7"/>
      <c r="M19" s="53"/>
      <c r="N19" s="61"/>
      <c r="O19" s="58"/>
    </row>
    <row r="20" spans="1:15" ht="16.2">
      <c r="A20" s="62" t="s">
        <v>148</v>
      </c>
      <c r="B20" s="1971" t="s">
        <v>160</v>
      </c>
      <c r="C20" s="1972"/>
      <c r="D20" s="53"/>
      <c r="E20" s="53"/>
      <c r="F20" s="53"/>
      <c r="G20" s="53"/>
      <c r="H20" s="7"/>
      <c r="M20" s="53"/>
      <c r="N20" s="57"/>
      <c r="O20" s="58"/>
    </row>
    <row r="21" spans="1:15">
      <c r="A21" s="70">
        <v>35</v>
      </c>
      <c r="B21" s="1949">
        <f>LN(2)/A21</f>
        <v>1.980420515885558E-2</v>
      </c>
      <c r="C21" s="1950"/>
      <c r="D21" s="53"/>
      <c r="E21" s="53"/>
      <c r="F21" s="53"/>
      <c r="G21" s="53"/>
      <c r="H21" s="7"/>
      <c r="M21" s="53"/>
      <c r="N21" s="57"/>
      <c r="O21" s="58"/>
    </row>
    <row r="22" spans="1:15" ht="16.2">
      <c r="A22" s="63" t="s">
        <v>161</v>
      </c>
      <c r="B22" s="1951" t="s">
        <v>149</v>
      </c>
      <c r="C22" s="1952"/>
      <c r="D22" s="53"/>
      <c r="E22" s="53"/>
      <c r="F22" s="53"/>
      <c r="G22" s="53"/>
      <c r="H22" s="7"/>
      <c r="M22" s="53"/>
      <c r="N22" s="15"/>
      <c r="O22" s="53"/>
    </row>
    <row r="23" spans="1:15" ht="15" thickBot="1">
      <c r="A23" s="69">
        <v>0.05</v>
      </c>
      <c r="B23" s="1953">
        <f>LN(2)/A23</f>
        <v>13.862943611198904</v>
      </c>
      <c r="C23" s="1954"/>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 thickBot="1">
      <c r="A26" s="16" t="s">
        <v>101</v>
      </c>
      <c r="B26" s="7"/>
      <c r="C26" s="7"/>
      <c r="D26" s="7"/>
      <c r="E26" s="7"/>
      <c r="F26" s="7"/>
      <c r="G26" s="7"/>
    </row>
    <row r="27" spans="1:15" ht="1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2">
      <c r="A33" s="44" t="s">
        <v>93</v>
      </c>
      <c r="B33" s="21">
        <v>0.24</v>
      </c>
      <c r="C33" s="22" t="s">
        <v>94</v>
      </c>
      <c r="D33" s="7"/>
      <c r="E33" s="7"/>
      <c r="F33" s="7"/>
      <c r="G33" s="7"/>
    </row>
    <row r="34" spans="1:12">
      <c r="A34" s="44" t="s">
        <v>95</v>
      </c>
      <c r="B34" s="21">
        <v>0.39</v>
      </c>
      <c r="C34" s="22" t="s">
        <v>96</v>
      </c>
      <c r="D34" s="7"/>
      <c r="E34" s="7"/>
      <c r="F34" s="7"/>
      <c r="G34" s="7"/>
    </row>
    <row r="35" spans="1:12" ht="15" thickBot="1">
      <c r="A35" s="44" t="s">
        <v>247</v>
      </c>
      <c r="B35" s="21">
        <v>0</v>
      </c>
      <c r="C35" s="103"/>
      <c r="D35" s="7"/>
      <c r="E35" s="7"/>
      <c r="F35" s="7"/>
      <c r="G35" s="7"/>
    </row>
    <row r="36" spans="1:12">
      <c r="A36" s="45" t="s">
        <v>97</v>
      </c>
      <c r="B36" s="23">
        <v>0.18</v>
      </c>
      <c r="C36" s="24" t="s">
        <v>98</v>
      </c>
      <c r="D36" s="7"/>
      <c r="E36" s="7"/>
      <c r="F36" s="7"/>
      <c r="G36" s="7"/>
    </row>
    <row r="37" spans="1:12" ht="15" thickBot="1">
      <c r="A37" s="46" t="s">
        <v>99</v>
      </c>
      <c r="B37" s="25">
        <v>0.15</v>
      </c>
      <c r="C37" s="26" t="s">
        <v>100</v>
      </c>
      <c r="D37" s="7"/>
      <c r="E37" s="7"/>
      <c r="F37" s="7"/>
      <c r="G37" s="7"/>
    </row>
    <row r="38" spans="1:12">
      <c r="A38" s="16"/>
      <c r="B38" s="34"/>
      <c r="C38" s="35"/>
      <c r="D38" s="7"/>
      <c r="E38" s="7"/>
      <c r="F38" s="7"/>
      <c r="G38" s="7"/>
    </row>
    <row r="40" spans="1:12">
      <c r="A40" s="27" t="s">
        <v>102</v>
      </c>
      <c r="E40" s="135" t="s">
        <v>221</v>
      </c>
      <c r="F40" s="104" t="s">
        <v>85</v>
      </c>
      <c r="G40" s="104" t="s">
        <v>87</v>
      </c>
      <c r="H40" s="104" t="s">
        <v>222</v>
      </c>
      <c r="I40" s="104" t="s">
        <v>115</v>
      </c>
      <c r="J40" s="104" t="s">
        <v>223</v>
      </c>
      <c r="K40" s="130" t="s">
        <v>224</v>
      </c>
      <c r="L40"/>
    </row>
    <row r="41" spans="1:12">
      <c r="A41" s="27"/>
    </row>
    <row r="42" spans="1:12">
      <c r="H42" s="13" t="s">
        <v>122</v>
      </c>
    </row>
    <row r="43" spans="1:12" ht="28.8">
      <c r="A43" s="40" t="s">
        <v>103</v>
      </c>
      <c r="B43" s="40" t="s">
        <v>83</v>
      </c>
      <c r="C43" s="40" t="s">
        <v>85</v>
      </c>
      <c r="D43" s="40" t="s">
        <v>87</v>
      </c>
      <c r="E43" s="40" t="s">
        <v>89</v>
      </c>
      <c r="F43" s="40" t="s">
        <v>91</v>
      </c>
      <c r="G43" s="40" t="s">
        <v>93</v>
      </c>
      <c r="H43" s="40" t="s">
        <v>107</v>
      </c>
      <c r="I43" s="40" t="s">
        <v>104</v>
      </c>
      <c r="J43" s="40" t="s">
        <v>105</v>
      </c>
      <c r="K43" s="40" t="s">
        <v>106</v>
      </c>
      <c r="L43" s="40" t="s">
        <v>107</v>
      </c>
    </row>
    <row r="44" spans="1:12">
      <c r="A44" s="49" t="s">
        <v>111</v>
      </c>
      <c r="B44" s="11">
        <v>0.4</v>
      </c>
      <c r="C44" s="11">
        <v>0.4</v>
      </c>
      <c r="D44" s="11">
        <v>0.9</v>
      </c>
      <c r="E44" s="11">
        <v>0.85</v>
      </c>
      <c r="F44" s="11">
        <v>0.8</v>
      </c>
      <c r="G44" s="11">
        <v>0.4</v>
      </c>
      <c r="H44" s="11">
        <v>0.9</v>
      </c>
      <c r="I44" s="11">
        <v>1</v>
      </c>
      <c r="J44" s="11">
        <v>1</v>
      </c>
      <c r="K44" s="11">
        <v>1</v>
      </c>
      <c r="L44" s="11">
        <v>0.9</v>
      </c>
    </row>
    <row r="45" spans="1:12">
      <c r="A45" s="49" t="s">
        <v>150</v>
      </c>
      <c r="B45" s="28">
        <v>0.15</v>
      </c>
      <c r="C45" s="29">
        <v>0.2</v>
      </c>
      <c r="D45" s="29">
        <v>0.4</v>
      </c>
      <c r="E45" s="28">
        <v>0.43</v>
      </c>
      <c r="F45" s="28">
        <v>0.24</v>
      </c>
      <c r="G45" s="28">
        <v>0.24</v>
      </c>
      <c r="H45" s="12" t="s">
        <v>108</v>
      </c>
      <c r="I45" s="12" t="s">
        <v>108</v>
      </c>
      <c r="J45" s="12" t="s">
        <v>108</v>
      </c>
      <c r="K45" s="12" t="s">
        <v>108</v>
      </c>
      <c r="L45" s="12" t="s">
        <v>108</v>
      </c>
    </row>
    <row r="46" spans="1:12">
      <c r="A46" s="49" t="s">
        <v>151</v>
      </c>
      <c r="B46" s="12">
        <v>0.38</v>
      </c>
      <c r="C46" s="12">
        <v>0.49</v>
      </c>
      <c r="D46" s="12">
        <v>0.44</v>
      </c>
      <c r="E46" s="11">
        <v>0.5</v>
      </c>
      <c r="F46" s="11">
        <v>0.3</v>
      </c>
      <c r="G46" s="11">
        <v>0.6</v>
      </c>
      <c r="H46" s="12" t="s">
        <v>108</v>
      </c>
      <c r="I46" s="12" t="s">
        <v>108</v>
      </c>
      <c r="J46" s="12" t="s">
        <v>108</v>
      </c>
      <c r="K46" s="12" t="s">
        <v>108</v>
      </c>
      <c r="L46" s="12" t="s">
        <v>108</v>
      </c>
    </row>
    <row r="47" spans="1:12">
      <c r="A47" s="49" t="s">
        <v>109</v>
      </c>
      <c r="B47" s="12">
        <v>0.38</v>
      </c>
      <c r="C47" s="12">
        <v>0.49</v>
      </c>
      <c r="D47" s="12">
        <v>0.46</v>
      </c>
      <c r="E47" s="11">
        <v>0.5</v>
      </c>
      <c r="F47" s="11">
        <v>0.5</v>
      </c>
      <c r="G47" s="11">
        <v>0.7</v>
      </c>
      <c r="H47" s="12">
        <v>0.03</v>
      </c>
      <c r="I47" s="12">
        <v>0.75</v>
      </c>
      <c r="J47" s="11">
        <v>0</v>
      </c>
      <c r="K47" s="11">
        <v>0</v>
      </c>
      <c r="L47" s="12">
        <v>0.03</v>
      </c>
    </row>
    <row r="48" spans="1:12">
      <c r="A48" s="49" t="s">
        <v>110</v>
      </c>
      <c r="B48" s="11">
        <v>0</v>
      </c>
      <c r="C48" s="11">
        <v>0</v>
      </c>
      <c r="D48" s="11">
        <v>0.01</v>
      </c>
      <c r="E48" s="11">
        <v>0</v>
      </c>
      <c r="F48" s="11">
        <v>0.2</v>
      </c>
      <c r="G48" s="11">
        <v>0.1</v>
      </c>
      <c r="H48" s="11">
        <v>1</v>
      </c>
      <c r="I48" s="11">
        <v>1</v>
      </c>
      <c r="J48" s="11">
        <v>0</v>
      </c>
      <c r="K48" s="11">
        <v>0</v>
      </c>
      <c r="L48" s="11">
        <v>1</v>
      </c>
    </row>
    <row r="49" spans="1:20">
      <c r="A49" s="16"/>
      <c r="B49" s="486"/>
      <c r="C49" s="34"/>
      <c r="D49" s="203"/>
      <c r="E49" s="203"/>
      <c r="F49" s="486"/>
    </row>
    <row r="50" spans="1:20">
      <c r="G50" s="198"/>
      <c r="H50" s="355"/>
      <c r="I50" s="486"/>
      <c r="J50" s="486"/>
      <c r="K50" s="486"/>
      <c r="L50" s="486"/>
      <c r="M50" s="486"/>
      <c r="N50" s="486"/>
      <c r="O50" s="486"/>
      <c r="P50" s="486"/>
      <c r="Q50" s="486"/>
      <c r="R50" s="486"/>
      <c r="S50" s="486"/>
      <c r="T50" s="198"/>
    </row>
    <row r="51" spans="1:20">
      <c r="A51" s="27" t="s">
        <v>112</v>
      </c>
      <c r="G51" s="198"/>
      <c r="H51" s="355"/>
      <c r="I51" s="34"/>
      <c r="J51" s="487"/>
      <c r="K51" s="487"/>
      <c r="L51" s="34"/>
      <c r="M51" s="34"/>
      <c r="N51" s="34"/>
      <c r="O51" s="34"/>
      <c r="P51" s="203"/>
      <c r="Q51" s="203"/>
      <c r="R51" s="203"/>
      <c r="S51" s="203"/>
      <c r="T51" s="198"/>
    </row>
    <row r="52" spans="1:20">
      <c r="A52" s="27"/>
      <c r="G52" s="198"/>
      <c r="H52" s="355"/>
      <c r="I52" s="203"/>
      <c r="J52" s="203"/>
      <c r="K52" s="203"/>
      <c r="L52" s="486"/>
      <c r="M52" s="486"/>
      <c r="N52" s="486"/>
      <c r="O52" s="203"/>
      <c r="P52" s="203"/>
      <c r="Q52" s="203"/>
      <c r="R52" s="203"/>
      <c r="S52" s="203"/>
      <c r="T52" s="198"/>
    </row>
    <row r="53" spans="1:20">
      <c r="A53" s="50" t="s">
        <v>113</v>
      </c>
      <c r="B53" s="51" t="s">
        <v>120</v>
      </c>
      <c r="C53" s="51" t="s">
        <v>123</v>
      </c>
      <c r="D53" s="51" t="s">
        <v>124</v>
      </c>
      <c r="E53" s="51" t="s">
        <v>125</v>
      </c>
      <c r="G53" s="198"/>
      <c r="H53" s="355"/>
      <c r="I53" s="203"/>
      <c r="J53" s="203"/>
      <c r="K53" s="203"/>
      <c r="L53" s="486"/>
      <c r="M53" s="486"/>
      <c r="N53" s="486"/>
      <c r="O53" s="203"/>
      <c r="P53" s="203"/>
      <c r="Q53" s="486"/>
      <c r="R53" s="486"/>
      <c r="S53" s="203"/>
      <c r="T53" s="198"/>
    </row>
    <row r="54" spans="1:20" ht="28.8">
      <c r="A54" s="39" t="s">
        <v>114</v>
      </c>
      <c r="B54" s="31">
        <v>0.15</v>
      </c>
      <c r="C54" s="32" t="s">
        <v>108</v>
      </c>
      <c r="D54" s="31">
        <v>0.15</v>
      </c>
      <c r="E54" s="33">
        <v>0.6</v>
      </c>
      <c r="G54" s="198"/>
      <c r="H54" s="355"/>
      <c r="I54" s="486"/>
      <c r="J54" s="486"/>
      <c r="K54" s="486"/>
      <c r="L54" s="486"/>
      <c r="M54" s="486"/>
      <c r="N54" s="486"/>
      <c r="O54" s="486"/>
      <c r="P54" s="486"/>
      <c r="Q54" s="486"/>
      <c r="R54" s="486"/>
      <c r="S54" s="486"/>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Julla</cp:lastModifiedBy>
  <dcterms:created xsi:type="dcterms:W3CDTF">2020-04-24T15:45:05Z</dcterms:created>
  <dcterms:modified xsi:type="dcterms:W3CDTF">2020-07-27T21:29:32Z</dcterms:modified>
</cp:coreProperties>
</file>